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1.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mc:AlternateContent xmlns:mc="http://schemas.openxmlformats.org/markup-compatibility/2006">
    <mc:Choice Requires="x15">
      <x15ac:absPath xmlns:x15ac="http://schemas.microsoft.com/office/spreadsheetml/2010/11/ac" url="C:\Users\37933\Downloads\"/>
    </mc:Choice>
  </mc:AlternateContent>
  <xr:revisionPtr revIDLastSave="0" documentId="8_{C5354695-C3B6-4B17-B6C3-FAFCFA2827D3}" xr6:coauthVersionLast="45" xr6:coauthVersionMax="45" xr10:uidLastSave="{00000000-0000-0000-0000-000000000000}"/>
  <workbookProtection workbookAlgorithmName="SHA-512" workbookHashValue="0hg9js0PDUHtr47Mp7qeKU5qdZaQ6q8QV/ifGpMQNYme7CxUzDNFugfjVj6TQ5psm1qjVzQK+ikFvp1JF4+XOg==" workbookSaltValue="The/y9W76JCYb+p/H+DvrA==" workbookSpinCount="100000" lockStructure="1"/>
  <bookViews>
    <workbookView showSheetTabs="0" xWindow="-120" yWindow="-120" windowWidth="29040" windowHeight="15840" firstSheet="9" activeTab="9" xr2:uid="{F91A0A8C-8B9F-4D6B-BF60-FE02A3BD2857}"/>
  </bookViews>
  <sheets>
    <sheet name="Changelog" sheetId="107" state="hidden" r:id="rId1"/>
    <sheet name="DATA TABLES" sheetId="109" state="hidden" r:id="rId2"/>
    <sheet name="TEMPLATE" sheetId="3" state="hidden" r:id="rId3"/>
    <sheet name="MEASURES1_M" sheetId="173" state="hidden" r:id="rId4"/>
    <sheet name="MEASURES2_M" sheetId="202" state="hidden" r:id="rId5"/>
    <sheet name="MEASURES3_M" sheetId="106" state="hidden" r:id="rId6"/>
    <sheet name="CBDATA" sheetId="108" state="hidden" r:id="rId7"/>
    <sheet name="LPD Tables" sheetId="116" state="hidden" r:id="rId8"/>
    <sheet name="EXPORT" sheetId="110"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151" r:id="rId17"/>
    <sheet name="M03-S02" sheetId="158" r:id="rId18"/>
    <sheet name="M03-S03" sheetId="159" r:id="rId19"/>
    <sheet name="M03-S04" sheetId="160" r:id="rId20"/>
    <sheet name="M03-S05" sheetId="161" r:id="rId21"/>
    <sheet name="M03-S08" sheetId="182" r:id="rId22"/>
    <sheet name="M03-S06" sheetId="162" r:id="rId23"/>
    <sheet name="M03-S07" sheetId="163" r:id="rId24"/>
    <sheet name="M04-S02" sheetId="167" r:id="rId25"/>
    <sheet name="M04-S03" sheetId="168" r:id="rId26"/>
    <sheet name="M04-S04" sheetId="169" r:id="rId27"/>
    <sheet name="M04-S05" sheetId="170" r:id="rId28"/>
    <sheet name="M04-S08" sheetId="175" r:id="rId29"/>
    <sheet name="M04-S06" sheetId="171" r:id="rId30"/>
    <sheet name="M04-S07" sheetId="13" r:id="rId31"/>
    <sheet name="M04-S09" sheetId="176" r:id="rId32"/>
    <sheet name="M05-S01" sheetId="153" r:id="rId33"/>
    <sheet name="M05-S02" sheetId="154" r:id="rId34"/>
    <sheet name="M05-S02-1" sheetId="180" r:id="rId35"/>
    <sheet name="M05-S03" sheetId="14" r:id="rId36"/>
    <sheet name="M05-S04" sheetId="155" state="hidden" r:id="rId37"/>
    <sheet name="M05-S05" sheetId="156" state="hidden" r:id="rId38"/>
    <sheet name="M05-S07" sheetId="81" state="hidden" r:id="rId39"/>
  </sheets>
  <definedNames>
    <definedName name="ACTIVEBLOCK">'M05-S07'!$AL$23</definedName>
    <definedName name="ACTIVEBLOCK_N">#REF!</definedName>
    <definedName name="ACTIVEBLOCK_X">#REF!</definedName>
    <definedName name="ACTIVECOMPL">'M05-S07'!$AL$22</definedName>
    <definedName name="ACTIVECOMPL_N">#REF!</definedName>
    <definedName name="ACTIVECOMPL_X">#REF!</definedName>
    <definedName name="ACTIVEOFFER">'M05-S07'!$AL$21</definedName>
    <definedName name="ACTIVEOFFER_N">#REF!</definedName>
    <definedName name="ACTIVEOFFER_X">#REF!</definedName>
    <definedName name="APP_TYPE">TEMPLATE!$B$3</definedName>
    <definedName name="BLOCKBIDRATE">'DATA TABLES'!$D$107</definedName>
    <definedName name="BONUSCUSRATE">'M05-S07'!$AI$27</definedName>
    <definedName name="BUILDING">BUILDINGTYPE[Building Type]</definedName>
    <definedName name="BUSDEVELNAME">BUSDEVEL[Business Development Lead]</definedName>
    <definedName name="CBALL">TEMPLATE!$R$29</definedName>
    <definedName name="CBALL_N">#REF!</definedName>
    <definedName name="CBCUSE">TEMPLATE!$R$28</definedName>
    <definedName name="CBCUST_N">#REF!</definedName>
    <definedName name="CBLIGHT_N">#REF!</definedName>
    <definedName name="CBPRESE">TEMPLATE!$R$27</definedName>
    <definedName name="CBPROJ_N">#REF!</definedName>
    <definedName name="CBRCX">#REF!</definedName>
    <definedName name="CBREQ">'DATA TABLES'!$D$101</definedName>
    <definedName name="CBXALL">#REF!</definedName>
    <definedName name="CBXCUS">#REF!</definedName>
    <definedName name="CITIES">'LPD Tables'!$O$3:$O$367</definedName>
    <definedName name="CITIES_X">#REF!</definedName>
    <definedName name="CITY_X">#REF!</definedName>
    <definedName name="CITYCODE">#REF!</definedName>
    <definedName name="CITYCOUNTCODES_X">#REF!</definedName>
    <definedName name="CMECOMPAIRDESC">INDEX(CMECOMPAIR[Proj Desc 1],MATCH('M04-S06'!$C1,CMECOMPAIR[Project Category],0),1):INDEX(CMECOMPAIR[Proj Desc 1],MATCH('M04-S06'!$C1,CMECOMPAIR[Project Category],1),1)</definedName>
    <definedName name="CMECOMPAIRLIST_N">#REF!</definedName>
    <definedName name="CMECOOKDESC">INDEX(CMECOOK[Proj Desc 1],MATCH('M04-S07'!$C1,CMECOOK[Project Category],0),1):INDEX(CMECOOK[Proj Desc 1],MATCH('M04-S07'!$C1,CMECOOK[Project Category],1),1)</definedName>
    <definedName name="CMECOOKLIST_N">#REF!</definedName>
    <definedName name="CMEHVACDESC">INDEX(CMEHVAC[Proj Desc 1],MATCH('M04-S05'!$C1,CMEHVAC[Project Category],0),1):INDEX(CMEHVAC[Proj Desc 1],MATCH('M04-S05'!$C1,CMEHVAC[Project Category],1),1)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1],MATCH('M04-S03'!$C1,CMELIGHTCON[Project Category],0),1):INDEX(CMELIGHTCON[Proj Desc 1],MATCH('M04-S03'!$C1,CMELIGHTCON[Project Category],1),1)</definedName>
    <definedName name="CMELIGHTEFF1" localSheetId="16">CMLIGHTEFF[Eff Desc 1]</definedName>
    <definedName name="CMELIGHTEFF1" localSheetId="28">CMLIGHTEFF[Eff Desc 1]</definedName>
    <definedName name="CMELIGHTEFF1" localSheetId="31">CMLIGHTEFF[Eff Desc 1]</definedName>
    <definedName name="CMELIGHTEFF1">CMLIGHTEFF[Eff Desc 1]</definedName>
    <definedName name="CMELIGHTEFFBASEW" localSheetId="16">CMLIGHTEFF[Eff Watt 1]</definedName>
    <definedName name="CMELIGHTEFFBASEW" localSheetId="28">CMLIGHTEFF[Eff Watt 1]</definedName>
    <definedName name="CMELIGHTEFFBASEW" localSheetId="31">CMLIGHTEFF[Eff Watt 1]</definedName>
    <definedName name="CMELIGHTEFFBASEW">CMLIGHTEFF[Eff Watt 1]</definedName>
    <definedName name="CMEMISC2DESC">CMEMISC2[Proj Desc 1]</definedName>
    <definedName name="CMEMISCDESC">INDEX(CMEMISC[Proj Desc 1],MATCH('M04-S09'!XFB1,CMEMISC[Project Category],0),1):INDEX(CMEMISC[Proj Desc 1],MATCH('M04-S09'!XFB1,CMEMISC[Project Category],1),1)</definedName>
    <definedName name="CMEMISCLIST_N">#REF!</definedName>
    <definedName name="CMEMOTORDESC">INDEX(CMEMOTOR[Proj Desc 1],MATCH('M04-S08'!$C1,CMEMOTOR[Project Category],0),1):INDEX(CMEMOTOR[Proj Desc 1],MATCH('M04-S08'!$C1,CMEMOTOR[Project Category],1),1)</definedName>
    <definedName name="CMEMOTORLIST_N">#REF!</definedName>
    <definedName name="CMEREFRIDESC">INDEX(CMEREFRI[Proj Desc 1],MATCH('M04-S04'!$C1,CMEREFRI[Project Category],0),1):INDEX(CMEREFRI[Proj Desc 1],MATCH('M04-S04'!$C1,CMEREFRI[Project Category],1),1)</definedName>
    <definedName name="CMEREFRILIST_N">#REF!</definedName>
    <definedName name="COMPBUILD">TEMPLATE!$E$114</definedName>
    <definedName name="COMPBUILD_N">#REF!</definedName>
    <definedName name="COMPBUILD_X">#REF!</definedName>
    <definedName name="COMPCUSTOMER">TEMPLATE!$E$101</definedName>
    <definedName name="COMPDTM_N">#REF!</definedName>
    <definedName name="COMPMEASURE">TEMPLATE!$E$142</definedName>
    <definedName name="COMPMEASURE_N">#REF!</definedName>
    <definedName name="COMPMEASURE_X">#REF!</definedName>
    <definedName name="COMPPAY">TEMPLATE!$E$147</definedName>
    <definedName name="COMPPAY_N">#REF!</definedName>
    <definedName name="COMPPAY_X">#REF!</definedName>
    <definedName name="COMPRCX">#REF!</definedName>
    <definedName name="COMPSUMMARY">TEMPLATE!$E$165</definedName>
    <definedName name="COMPTA">TEMPLATE!$E$81</definedName>
    <definedName name="COMPTA_N">#REF!</definedName>
    <definedName name="COMPTA_X">#REF!</definedName>
    <definedName name="COMPTERMS">TEMPLATE!$E$75</definedName>
    <definedName name="COMPTERMS_N">#REF!</definedName>
    <definedName name="COMPTERMS_X">#REF!</definedName>
    <definedName name="COMPWBP_N">#REF!</definedName>
    <definedName name="COSTTOTAL">TEMPLATE!$O$29</definedName>
    <definedName name="COSTTOTAL_N">#REF!</definedName>
    <definedName name="COSTTOTALALL">TEMPLATE!$K$29</definedName>
    <definedName name="COSTTOTALALL_N">#REF!</definedName>
    <definedName name="COSTTOTALALLCUSE">TEMPLATE!$K$28</definedName>
    <definedName name="COSTTOTALALLPRESE">TEMPLATE!$K$27</definedName>
    <definedName name="COSTTOTALALLRCXE">#REF!</definedName>
    <definedName name="COSTTOTALALLX">#REF!</definedName>
    <definedName name="COSTTOTALALLXCUS">#REF!</definedName>
    <definedName name="COSTTOTALCUSE">TEMPLATE!$O$28</definedName>
    <definedName name="COSTTOTALCUST_N">#REF!</definedName>
    <definedName name="COSTTOTALLIGHT_N">#REF!</definedName>
    <definedName name="COSTTOTALPRESE">TEMPLATE!$O$27</definedName>
    <definedName name="COSTTOTALSTD_N">#REF!</definedName>
    <definedName name="COSTTOTALWBP_N">#REF!</definedName>
    <definedName name="COSTTYPELIST">COSTTYPE[Cost Type]</definedName>
    <definedName name="COUNTYCODE">#REF!</definedName>
    <definedName name="CUSTINFOLIST">CUSTINFO[Customer Info]</definedName>
    <definedName name="CUSTLIGHTCONTLIST">CMELIGHTCON[Proj Desc 1]</definedName>
    <definedName name="CUSTOMPROJECTTYPE">PROGRAMTYPE[Project Category]</definedName>
    <definedName name="DESIGNTEAMLIST">DESIGNTEAM[Design Team Options]</definedName>
    <definedName name="EDR">CBDATA!$B$7</definedName>
    <definedName name="ELOSS">CBDATA!$B$6</definedName>
    <definedName name="ENDUSECAT" localSheetId="28">ENDUSEALL[End Use to Coincident Peak Demand Factors]</definedName>
    <definedName name="ENDUSECAT" localSheetId="31">ENDUSEALL[End Use to Coincident Peak Demand Factors]</definedName>
    <definedName name="ENDUSECAT">ENDUSEALL[End Use to Coincident Peak Demand Factors]</definedName>
    <definedName name="ENERGYCODESLIST">ENERGYCODES[Codes]</definedName>
    <definedName name="ENERGYMODELLIST">ENERGYMODEL[Energy Modeling Software]</definedName>
    <definedName name="ENGCALC">'M05-S04'!$O$43</definedName>
    <definedName name="ENGCALC_N">#REF!</definedName>
    <definedName name="ENGCALC_X">#REF!</definedName>
    <definedName name="ENGDATE">'M05-S04'!$AG$42</definedName>
    <definedName name="ENGDATE_N">#REF!</definedName>
    <definedName name="ENGDATE_X">#REF!</definedName>
    <definedName name="ENGNRSNAMES" localSheetId="28">ENGNRS[Engineers]</definedName>
    <definedName name="ENGNRSNAMES" localSheetId="31">ENGNRS[Engineers]</definedName>
    <definedName name="ENGNRSNAMES">ENGNRS[Engineers]</definedName>
    <definedName name="ENGSIGN">'M05-S04'!$O$42</definedName>
    <definedName name="ENGSIGN_N">#REF!</definedName>
    <definedName name="ENGSIGN_X">#REF!</definedName>
    <definedName name="EXPIRATION">TEMPLATE!$B$6</definedName>
    <definedName name="EXPIRATION_DATE">TEMPLATE!$B$5</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CBDATA!$N$42</definedName>
    <definedName name="GLOSS">CBDATA!$N$41</definedName>
    <definedName name="GROWBASELABOR">#REF!</definedName>
    <definedName name="GROWBASEMATERIAL">#REF!</definedName>
    <definedName name="GROWBASEWATT">#REF!</definedName>
    <definedName name="GROWEFFLABOR">#REF!</definedName>
    <definedName name="GROWEFFMATERIAL">#REF!</definedName>
    <definedName name="GROWEFFPPF">#REF!</definedName>
    <definedName name="GROWEFFWATT">#REF!</definedName>
    <definedName name="IMPLSPECNAME" localSheetId="28">IMPLSPEC[Impl. Specialist]</definedName>
    <definedName name="IMPLSPECNAME" localSheetId="31">IMPLSPEC[Impl. Specialist]</definedName>
    <definedName name="IMPLSPECNAME">IMPLSPEC[Impl. Specialist]</definedName>
    <definedName name="INCCOSTCAP">'DATA TABLES'!$D$106</definedName>
    <definedName name="INCENSTATUS">TEMPLATE!$H$2</definedName>
    <definedName name="INCENSTATUS_N">#REF!</definedName>
    <definedName name="INCENSTATUS_X">#REF!</definedName>
    <definedName name="INCENTOTAL">TEMPLATE!$L$29</definedName>
    <definedName name="INCENTOTAL_N">#REF!</definedName>
    <definedName name="INCENTOTAL_X">#REF!</definedName>
    <definedName name="INCENTOTALCUSE">TEMPLATE!$L$28</definedName>
    <definedName name="INCENTOTALCUST_N">#REF!</definedName>
    <definedName name="INCENTOTALLIGHT_N">#REF!</definedName>
    <definedName name="INCENTOTALPRESE">TEMPLATE!$L$27</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STALL" localSheetId="28">INSTALLER[Installer]</definedName>
    <definedName name="INSTALL" localSheetId="31">INSTALLER[Installer]</definedName>
    <definedName name="INSTALL">INSTALLER[Installer]</definedName>
    <definedName name="INSTALLERLIST" localSheetId="28">INSTALLER[Installer]</definedName>
    <definedName name="INSTALLERLIST" localSheetId="31">INSTALLER[Installer]</definedName>
    <definedName name="INSTALLERLIST">INSTALLER[Installer]</definedName>
    <definedName name="INTLPDNUMBER">#REF!</definedName>
    <definedName name="KWHRATEMAX">'DATA TABLES'!$D$104</definedName>
    <definedName name="KWHRATEMIN">'DATA TABLES'!$D$103</definedName>
    <definedName name="KWHSTATUS">TEMPLATE!$H$1</definedName>
    <definedName name="KWHSTATUS_N">#REF!</definedName>
    <definedName name="KWHSTATUS_X">#REF!</definedName>
    <definedName name="KWHTOTAL">TEMPLATE!$M$29</definedName>
    <definedName name="KWHTOTAL_N">#REF!</definedName>
    <definedName name="KWHTOTALALL">TEMPLATE!$I$29</definedName>
    <definedName name="KWHTOTALALL_N">#REF!</definedName>
    <definedName name="KWHTOTALALLCUSE">TEMPLATE!$I$28</definedName>
    <definedName name="KWHTOTALALLCUST_N">#REF!</definedName>
    <definedName name="KWHTOTALALLLIGHT_N">#REF!</definedName>
    <definedName name="KWHTOTALALLPRESE">TEMPLATE!$I$27</definedName>
    <definedName name="KWHTOTALALLRCXE">#REF!</definedName>
    <definedName name="KWHTOTALALLSTD_N">#REF!</definedName>
    <definedName name="KWHTOTALALLWBP_N">#REF!</definedName>
    <definedName name="KWHTOTALALLX">#REF!</definedName>
    <definedName name="KWHTOTALALLXCUS">#REF!</definedName>
    <definedName name="KWHTOTALCUSE">TEMPLATE!$M$28</definedName>
    <definedName name="KWHTOTALCUST_N">#REF!</definedName>
    <definedName name="KWHTOTALLIGHT_N">#REF!</definedName>
    <definedName name="KWHTOTALPRESE">TEMPLATE!$M$27</definedName>
    <definedName name="KWHTOTALPROV_N">#REF!</definedName>
    <definedName name="KWHTOTALSTD_N">#REF!</definedName>
    <definedName name="KWHTOTALWBP_N">#REF!</definedName>
    <definedName name="KWRATE">'DATA TABLES'!$D$108</definedName>
    <definedName name="KWTOTAL">TEMPLATE!$N$29</definedName>
    <definedName name="KWTOTAL_N">#REF!</definedName>
    <definedName name="KWTOTALALL">TEMPLATE!$J$29</definedName>
    <definedName name="KWTOTALALL_N">#REF!</definedName>
    <definedName name="KWTOTALALLCUSE">TEMPLATE!$J$28</definedName>
    <definedName name="KWTOTALALLPRESE">TEMPLATE!$J$27</definedName>
    <definedName name="KWTOTALALLRCXE">#REF!</definedName>
    <definedName name="KWTOTALALLXCUS">#REF!</definedName>
    <definedName name="KWTOTALCUSE">TEMPLATE!$N$28</definedName>
    <definedName name="KWTOTALCUST_N">#REF!</definedName>
    <definedName name="KWTOTALLIGHT_N">#REF!</definedName>
    <definedName name="KWTOTALPRESE">TEMPLATE!$N$27</definedName>
    <definedName name="KWTOTALPROV_N">#REF!</definedName>
    <definedName name="KWTOTALSTD_N">#REF!</definedName>
    <definedName name="KWTOTALWBP_N">#REF!</definedName>
    <definedName name="LIGHTHEATCOIN">'DATA TABLES'!#REF!</definedName>
    <definedName name="LOCATIONTYPELIST">LOCATIONTYPE[Location Type]</definedName>
    <definedName name="LPDSPACELIST">LPDWATT[Building Area Type]</definedName>
    <definedName name="M02S01F01">'M02-S01'!$F$27</definedName>
    <definedName name="M02S01F02">'M02-S01'!$X$27</definedName>
    <definedName name="M02S01F03">'M02-S01'!$AL$27</definedName>
    <definedName name="M02S02F01">'M02-S02'!$Z$13</definedName>
    <definedName name="M02S02F02">'M02-S02'!$F$18</definedName>
    <definedName name="M02S02F03">'M02-S02'!$M$18</definedName>
    <definedName name="M02S02F04">'M02-S02'!$T$18</definedName>
    <definedName name="M02S02F05">'M02-S02'!$AA$18</definedName>
    <definedName name="M02S02F06">'M02-S02'!$AH$18</definedName>
    <definedName name="M02S02F07">'M02-S02'!$F$21</definedName>
    <definedName name="M02S02F08">'M02-S02'!$M$21</definedName>
    <definedName name="M02S02F09">'M02-S02'!$T$21</definedName>
    <definedName name="M02S02F10">'M02-S02'!$AA$21</definedName>
    <definedName name="M02S02F11">'M02-S02'!$AH$21</definedName>
    <definedName name="M02S02F12">'M02-S02'!$Z$15</definedName>
    <definedName name="M02S02F13">'M02-S02'!$F$26</definedName>
    <definedName name="M02S02F14">'M02-S02'!$M$26</definedName>
    <definedName name="M02S02F15">'M02-S02'!$T$26</definedName>
    <definedName name="M02S02F16">'M02-S02'!$AA$26</definedName>
    <definedName name="M02S02F17">'M02-S02'!$AH$26</definedName>
    <definedName name="M02S03F01">'M02-S03'!$F$15</definedName>
    <definedName name="M02S03F02">'M02-S03'!$M$15</definedName>
    <definedName name="M02S03F03">'M02-S03'!$T$15</definedName>
    <definedName name="M02S03F04">'M02-S03'!$AA$15</definedName>
    <definedName name="M02S03F05">'M02-S03'!$AH$15</definedName>
    <definedName name="M02S03F06">'M02-S03'!$F$18</definedName>
    <definedName name="M02S03F07">'M02-S03'!$M$18</definedName>
    <definedName name="M02S03F08">'M02-S03'!$T$18</definedName>
    <definedName name="M02S03F09">'M02-S03'!$AA$18</definedName>
    <definedName name="M02S03F10">'M02-S03'!$AH$18</definedName>
    <definedName name="M02S04F01">'M02-S04'!$BH$12</definedName>
    <definedName name="M02S04F02">'M02-S04'!$AA$20</definedName>
    <definedName name="M02S04F03">'M02-S04'!$I$15</definedName>
    <definedName name="M02S04F04">'M02-S04'!$P$15</definedName>
    <definedName name="M02S04F05">'M02-S04'!$W$15</definedName>
    <definedName name="M02S04F06">'M02-S04'!$AD$15</definedName>
    <definedName name="M02S04F07">'M02-S04'!$F$18</definedName>
    <definedName name="M02S04F08">'M02-S04'!$M$18</definedName>
    <definedName name="M02S04F09">'M02-S04'!$T$18</definedName>
    <definedName name="M02S04F10">'M02-S04'!$AA$18</definedName>
    <definedName name="M02S04F11">'M02-S04'!$AH$18</definedName>
    <definedName name="M02S04F12">'M02-S04'!$F$23</definedName>
    <definedName name="M02S04F13">'M02-S04'!$M$23</definedName>
    <definedName name="M02S04F14">'M02-S04'!$T$23</definedName>
    <definedName name="M02S04F15">'M02-S04'!$AA$23</definedName>
    <definedName name="M02S04F16">'M02-S04'!$AH$23</definedName>
    <definedName name="M02S04F17">'M02-S04'!$AV$15</definedName>
    <definedName name="M02S04F18">'M02-S04'!$I$29</definedName>
    <definedName name="M02S04F19">'M02-S04'!$I$32</definedName>
    <definedName name="M02S04F20">'M02-S04'!$P$32</definedName>
    <definedName name="M02S04F21">'M02-S04'!$W$32</definedName>
    <definedName name="M02S04F22">'M02-S04'!$AD$32</definedName>
    <definedName name="M02S04F23">'M02-S04'!$F$35</definedName>
    <definedName name="M02S04F24">'M02-S04'!$P$29</definedName>
    <definedName name="M02S04F25">'M02-S04'!$W$29</definedName>
    <definedName name="M05S01F01">'M05-S01'!$V$13</definedName>
    <definedName name="M05S01F02">'M05-S01'!$F$16</definedName>
    <definedName name="M05S01F03">'M05-S01'!$M$16</definedName>
    <definedName name="M05S01F04">'M05-S01'!$T$16</definedName>
    <definedName name="M05S01F05">'M05-S01'!$AA$16</definedName>
    <definedName name="M05S01F06">'M05-S01'!$AH$16</definedName>
    <definedName name="M05S01F07">'M05-S01'!$F$19</definedName>
    <definedName name="M05S01F08">'M05-S01'!$M$19</definedName>
    <definedName name="M05S01F09">'M05-S01'!$T$19</definedName>
    <definedName name="M05S01F10">'M05-S01'!$AA$19</definedName>
    <definedName name="M05S01F11">'M05-S01'!$AA$22</definedName>
    <definedName name="M05S01F12">'M05-S01'!$AH$22</definedName>
    <definedName name="M05S01F13">'M05-S01'!$AJ$22</definedName>
    <definedName name="M05S01F14">'M05-S01'!$AH$19</definedName>
    <definedName name="M05S02F01">'M05-S02'!$AB$38</definedName>
    <definedName name="M05S02F02">'M05-S02'!$AI$38</definedName>
    <definedName name="M05S02HIDE">'M05-S02'!$H$6</definedName>
    <definedName name="M05S04F01">'M05-S04'!$K$51</definedName>
    <definedName name="M05S04F02">'M05-S04'!$Q$51</definedName>
    <definedName name="M05S04F03">'M05-S04'!$Y$51</definedName>
    <definedName name="M05S04F04">'M05-S04'!$AG$51</definedName>
    <definedName name="M05S05F01">'M05-S05'!$K$58</definedName>
    <definedName name="M05S05F02">'M05-S05'!$S$58</definedName>
    <definedName name="M05S07F02">'M05-S07'!$AL$14</definedName>
    <definedName name="M05S07F03">'M05-S07'!$AL$15</definedName>
    <definedName name="M05S07F04">'M05-S07'!$AL$16</definedName>
    <definedName name="M05S07F05">'M05-S07'!$AL$17</definedName>
    <definedName name="M05S07F06">'M05-S07'!$AL$18</definedName>
    <definedName name="M05S07F07">'M05-S07'!$G$19</definedName>
    <definedName name="M05S07F08">'M05-S07'!$W$13</definedName>
    <definedName name="M05S07F09">'M05-S07'!$W$19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6">TEMPLATE!$B$33</definedName>
    <definedName name="M3S7">TEMPLATE!$B$34</definedName>
    <definedName name="M3S8">TEMPLATE!$B$35</definedName>
    <definedName name="M4S1">TEMPLATE!$B$37</definedName>
    <definedName name="M4S2">TEMPLATE!$B$38</definedName>
    <definedName name="M4S3">TEMPLATE!$B$39</definedName>
    <definedName name="M4S4">TEMPLATE!$B$40</definedName>
    <definedName name="M4S5">TEMPLATE!$B$41</definedName>
    <definedName name="M4S6">TEMPLATE!$B$42</definedName>
    <definedName name="M4S7">TEMPLATE!$B$43</definedName>
    <definedName name="M4S8">TEMPLATE!$B$44</definedName>
    <definedName name="M4S9">TEMPLATE!$B$45</definedName>
    <definedName name="M5S1">TEMPLATE!$B$47</definedName>
    <definedName name="M5S2">TEMPLATE!$B$48</definedName>
    <definedName name="M5S3">TEMPLATE!$B$49</definedName>
    <definedName name="M5S4">TEMPLATE!$B$50</definedName>
    <definedName name="M5S5">TEMPLATE!$B$51</definedName>
    <definedName name="M5S6">TEMPLATE!$B$52</definedName>
    <definedName name="M5S7">TEMPLATE!$B$53</definedName>
    <definedName name="M5S8">TEMPLATE!$B$54</definedName>
    <definedName name="M6S1">TEMPLATE!$B$56</definedName>
    <definedName name="M6S2">TEMPLATE!$B$57</definedName>
    <definedName name="M6S3">TEMPLATE!$B$58</definedName>
    <definedName name="M6S4">TEMPLATE!$B$59</definedName>
    <definedName name="M6S5">TEMPLATE!$B$60</definedName>
    <definedName name="M6S6">TEMPLATE!$B$61</definedName>
    <definedName name="M6S7">TEMPLATE!$B$62</definedName>
    <definedName name="M6S8">TEMPLATE!$B$63</definedName>
    <definedName name="M7S1">TEMPLATE!$B$65</definedName>
    <definedName name="M7S2">TEMPLATE!$B$66</definedName>
    <definedName name="M7S3">TEMPLATE!$B$67</definedName>
    <definedName name="M7S4">TEMPLATE!$B$68</definedName>
    <definedName name="M7S5">TEMPLATE!$B$69</definedName>
    <definedName name="M7S6">TEMPLATE!$B$70</definedName>
    <definedName name="M7S7">TEMPLATE!$B$71</definedName>
    <definedName name="M7S8">TEMPLATE!$B$72</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TEMPLATE!$B$46</definedName>
    <definedName name="MAIN5_N">#REF!</definedName>
    <definedName name="MAIN5_X">#REF!</definedName>
    <definedName name="MAIN6">TEMPLATE!$B$55</definedName>
    <definedName name="MAIN6_N">#REF!</definedName>
    <definedName name="MAIN6_X">#REF!</definedName>
    <definedName name="MAIN7">TEMPLATE!$B$64</definedName>
    <definedName name="MAIN7_N">#REF!</definedName>
    <definedName name="MEASUREBLDG">'DATA TABLES'!$C$92</definedName>
    <definedName name="MEASURECB">'DATA TABLES'!$C$86</definedName>
    <definedName name="MEASUREELI">'DATA TABLES'!$C$83</definedName>
    <definedName name="MEASUREINCR">'DATA TABLES'!$C$96</definedName>
    <definedName name="MEASURELPD">'DATA TABLES'!$C$95</definedName>
    <definedName name="MEASUREPAY">'DATA TABLES'!$C$85</definedName>
    <definedName name="MEASURERATE">'DATA TABLES'!$C$88</definedName>
    <definedName name="MEASURESAVE">'DATA TABLES'!$C$84</definedName>
    <definedName name="MEASURESITE">'DATA TABLES'!$C$93</definedName>
    <definedName name="MEASURESTEP1">'DATA TABLES'!$C$94</definedName>
    <definedName name="MEASURESUBMIT">'DATA TABLES'!$C$87</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5">#REF!</definedName>
    <definedName name="N3S6">#REF!</definedName>
    <definedName name="N3S7">#REF!</definedName>
    <definedName name="N3S8">#REF!</definedName>
    <definedName name="N3S9">#REF!</definedName>
    <definedName name="N4S1">#REF!</definedName>
    <definedName name="N4S2">#REF!</definedName>
    <definedName name="N4S3">#REF!</definedName>
    <definedName name="N4S4">#REF!</definedName>
    <definedName name="N4S5">#REF!</definedName>
    <definedName name="N4S6">#REF!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TABLES'!$D$111</definedName>
    <definedName name="NCLIGHTINGRATE">'DATA TABLES'!$D$110</definedName>
    <definedName name="NEWCONCODE">#REF!</definedName>
    <definedName name="OVERRIDETOTAL">TEMPLATE!$Q$29</definedName>
    <definedName name="PAYALL">TEMPLATE!$S$29</definedName>
    <definedName name="PAYALL_N">#REF!</definedName>
    <definedName name="PAYBACKREQ">'DATA TABLES'!$D$102</definedName>
    <definedName name="PAYCUSE">TEMPLATE!$S$28</definedName>
    <definedName name="PAYCUST_N">#REF!</definedName>
    <definedName name="PayeeChckBox">TEMPLATE!$C$162</definedName>
    <definedName name="PayeeChckBox_N">#REF!</definedName>
    <definedName name="PayeeChckBox_X">#REF!</definedName>
    <definedName name="PAYLIGHT_N">#REF!</definedName>
    <definedName name="PAYMENTLIST" localSheetId="28">PAYMENT[Payment to]</definedName>
    <definedName name="PAYMENTLIST" localSheetId="31">PAYMENT[Payment to]</definedName>
    <definedName name="PAYMENTLIST">PAYMENT[Payment to]</definedName>
    <definedName name="PAYMENTLIST_N">PAYMENT_N[Payment to]</definedName>
    <definedName name="Paymentlist_x">PAYMENT_X[Payment to]</definedName>
    <definedName name="PAYPRESE">TEMPLATE!$S$27</definedName>
    <definedName name="PAYPROJ_N">#REF!</definedName>
    <definedName name="PAYRCX">#REF!</definedName>
    <definedName name="PAYTO" localSheetId="28">PAYMENT[Payment to]</definedName>
    <definedName name="PAYTO" localSheetId="31">PAYMENT[Payment to]</definedName>
    <definedName name="PAYTO">PAYMENT[Payment to]</definedName>
    <definedName name="PAYXALL">#REF!</definedName>
    <definedName name="PAYXCUS">#REF!</definedName>
    <definedName name="PEAKTD">CBDATA!$B$8</definedName>
    <definedName name="PNAME">TEMPLATE!$B$2</definedName>
    <definedName name="PREAPPROV2018">'DATA TABLES'!#REF!</definedName>
    <definedName name="_xlnm.Print_Area" localSheetId="9">'M01-S01'!$A$1:$AS$202</definedName>
    <definedName name="_xlnm.Print_Area" localSheetId="10">'M01-S02'!$A$1:$AS$202</definedName>
    <definedName name="_xlnm.Print_Area" localSheetId="11">'M01-S03'!$A$1:$AS$202</definedName>
    <definedName name="_xlnm.Print_Area" localSheetId="12">'M02-S01'!$A$1:$AS$202</definedName>
    <definedName name="_xlnm.Print_Area" localSheetId="13">'M02-S02'!$A$1:$AS$202</definedName>
    <definedName name="_xlnm.Print_Area" localSheetId="14">'M02-S03'!$A$1:$AS$202</definedName>
    <definedName name="_xlnm.Print_Area" localSheetId="15">'M02-S04'!$A$1:$AS$202</definedName>
    <definedName name="_xlnm.Print_Area" localSheetId="16">'M03-S01'!$A$1:$AS$202</definedName>
    <definedName name="_xlnm.Print_Area" localSheetId="17">'M03-S02'!$A$1:$AS$202</definedName>
    <definedName name="_xlnm.Print_Area" localSheetId="18">'M03-S03'!$A$1:$AS$202</definedName>
    <definedName name="_xlnm.Print_Area" localSheetId="19">'M03-S04'!$A$1:$AS$202</definedName>
    <definedName name="_xlnm.Print_Area" localSheetId="20">'M03-S05'!$A$1:$AS$345</definedName>
    <definedName name="_xlnm.Print_Area" localSheetId="22">'M03-S06'!$A$1:$AS$202</definedName>
    <definedName name="_xlnm.Print_Area" localSheetId="23">'M03-S07'!$A$1:$AS$202</definedName>
    <definedName name="_xlnm.Print_Area" localSheetId="21">'M03-S08'!$A$1:$AS$202</definedName>
    <definedName name="_xlnm.Print_Area" localSheetId="24">'M04-S02'!$A$1:$AS$202</definedName>
    <definedName name="_xlnm.Print_Area" localSheetId="25">'M04-S03'!$A$1:$AS$202</definedName>
    <definedName name="_xlnm.Print_Area" localSheetId="26">'M04-S04'!$A$1:$AS$202</definedName>
    <definedName name="_xlnm.Print_Area" localSheetId="27">'M04-S05'!$A$1:$AS$202</definedName>
    <definedName name="_xlnm.Print_Area" localSheetId="29">'M04-S06'!$A$1:$AS$202</definedName>
    <definedName name="_xlnm.Print_Area" localSheetId="30">'M04-S07'!$A$1:$AS$202</definedName>
    <definedName name="_xlnm.Print_Area" localSheetId="28">'M04-S08'!$A$1:$AS$202</definedName>
    <definedName name="_xlnm.Print_Area" localSheetId="31">'M04-S09'!$A$1:$AS$202</definedName>
    <definedName name="_xlnm.Print_Area" localSheetId="32">'M05-S01'!$A$1:$AS$202</definedName>
    <definedName name="_xlnm.Print_Area" localSheetId="33">'M05-S02'!$A$1:$AS$202</definedName>
    <definedName name="_xlnm.Print_Area" localSheetId="34">'M05-S02-1'!$A$1:$AS$202</definedName>
    <definedName name="_xlnm.Print_Area" localSheetId="35">'M05-S03'!$J$16:$AJ$77</definedName>
    <definedName name="_xlnm.Print_Area" localSheetId="36">'M05-S04'!$J$14:$AJ$73</definedName>
    <definedName name="_xlnm.Print_Area" localSheetId="37">'M05-S05'!$J$14:$AJ$72</definedName>
    <definedName name="_xlnm.Print_Area" localSheetId="38">'M05-S07'!$C$10:$AQ$48</definedName>
    <definedName name="PROGRAM" localSheetId="28">PROJECTTYPE[Project Type]</definedName>
    <definedName name="PROGRAM" localSheetId="31">PROJECTTYPE[Project Type]</definedName>
    <definedName name="PROGRAM">PROJECTTYPE[Project Type]</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PROJECTTYPE[Project Type]</definedName>
    <definedName name="PROJID">'M05-S07'!$AL$13</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TABLES'!$D$109</definedName>
    <definedName name="SHEAT">SPACEHEAT[Space Conditioning]</definedName>
    <definedName name="SPACELPD1">'LPD Tables'!$C$39</definedName>
    <definedName name="SPACELPD2">'LPD Tables'!$C$40</definedName>
    <definedName name="SPACELPD3">'LPD Tables'!$C$41</definedName>
    <definedName name="SPACELPD4">'LPD Tables'!$C$42</definedName>
    <definedName name="SPACELPD5">'LPD Tables'!$C$43</definedName>
    <definedName name="SPACELPD6">'LPD Tables'!$C$44</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TABLES'!$B$103</definedName>
    <definedName name="SPOpts_X">Table72[RCx TA Options]</definedName>
    <definedName name="STATESABBREV">STATES[Abbrev]</definedName>
    <definedName name="STDCOMPRESSLIST">STDCOMPRESS[Measure Name]</definedName>
    <definedName name="STDHVACEFFMIN">STDHVAC[Baseline Min Efficiency]</definedName>
    <definedName name="STDHVACEFFMIN_N">#REF!</definedName>
    <definedName name="STDHVACEFFMIN2">STDHVAC[Baseline Min Efficiency 2]</definedName>
    <definedName name="STDHVACEFFMIN2_N">#REF!</definedName>
    <definedName name="STDHVACLIST">STDHVAC[Measure Name]</definedName>
    <definedName name="STDHVACLIST_N">#REF!</definedName>
    <definedName name="STDHVACMEASURES">STDHVAC[Measure Name]</definedName>
    <definedName name="STDHVACMEASURES_N">#REF!</definedName>
    <definedName name="STDHVACTONMAX">STDHVAC[Max Tons]</definedName>
    <definedName name="STDHVACTONMAX_N">#REF!</definedName>
    <definedName name="STDHVACTONMIN">STDHVAC[Min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Controlled],MATCH('M03-S03'!$C1,STDLIGHTCONT[Measure Name],0))</definedName>
    <definedName name="STDLIGHTCONTLIST" localSheetId="28">STDLIGHTCONT[Measure Name]</definedName>
    <definedName name="STDLIGHTCONTLIST" localSheetId="31">STDLIGHTCONT[Measure Name]</definedName>
    <definedName name="STDLIGHTCONTLIST">STDLIGHTCONT[Measure Name]</definedName>
    <definedName name="STDLIGHTEFFMAX">STDLIGHT[Eff Max Wattage]</definedName>
    <definedName name="STDLIGHTEFFMIN">STDLIGHT[Eff Min Wattage]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MEASURELIST">INDEX(STDLIGHT[Measure Name],MATCH('M03-S02'!$C1,STDLIGHT[Eff Category 1],0),1):INDEX(STDLIGHT[Measure Name],MATCH('M03-S02'!$C1,STDLIGHT[Eff Category 1],1),1)</definedName>
    <definedName name="STDLIGHTMEASURES">STDLIGHT[Measure Name]</definedName>
    <definedName name="STDMOTORSLIST">STDMOTORS[Measure Name]</definedName>
    <definedName name="STDREFRIGLIST">STDREFRIG[Measure Name]</definedName>
    <definedName name="STDREFRIGLIST_N">#REF!</definedName>
    <definedName name="STDWATERLIST">STDWATER[Measure Name]</definedName>
    <definedName name="STDWATERLIST_N">#REF!</definedName>
    <definedName name="TAXLIST" localSheetId="28">TAXENTITY[Tax Entity]</definedName>
    <definedName name="TAXLIST" localSheetId="31">TAXENTITY[Tax Entity]</definedName>
    <definedName name="TAXLIST">TAXENTITY[Tax Entity]</definedName>
    <definedName name="TOTALCOSTALLSTUDY">#REF!</definedName>
    <definedName name="TOTCOSTCAP">'DATA TABLES'!$D$105</definedName>
    <definedName name="TRANSFERID">TEMPLATE!$B$4</definedName>
    <definedName name="VERSION">TEMPLATE!$B$1</definedName>
    <definedName name="WBPCAP">'DATA TABLES'!$D$112</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3">#REF!</definedName>
    <definedName name="X3S4">#REF!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INC">#REF!</definedName>
    <definedName name="XBOPTMN">#REF!</definedName>
    <definedName name="XBOPTUNIT">#REF!</definedName>
    <definedName name="XBPOTINC">#REF!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_X">#REF!</definedName>
    <definedName name="ZIPCODES">INDEX(CITYCOUNTCODES[ZIP Code],MATCH(M02S04F09,CITYCOUNTCODES[City],0),1):INDEX(CITYCOUNTCODES[ZIP Code],MATCH(M02S04F09,CITYCOUNTCODES[City],1),1)</definedName>
    <definedName name="ZIPCODES_N">INDEX(CITYCOUNTCODES[ZIP Code],MATCH(N02S03F17,CITYCOUNTCODES[City],0),1):INDEX(CITYCOUNTCODES[ZIP Code],MATCH(N02S03F17,CITYCOUNTCODES[City],1),1)</definedName>
    <definedName name="ZIPCODES_X">INDEX(ZIPCODE_X,MATCH(X02S03F26,CITY_X,0),1):INDEX(ZIPCODE_X,MATCH(X02S03F26,CITY_X,1),1)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48" i="158" l="1"/>
  <c r="BE50" i="158"/>
  <c r="BE52" i="158"/>
  <c r="BE54" i="158"/>
  <c r="BE56" i="158"/>
  <c r="BE58" i="158"/>
  <c r="BE60" i="158"/>
  <c r="BD62" i="158"/>
  <c r="BE62" i="158"/>
  <c r="AY64" i="158"/>
  <c r="BE64" i="158"/>
  <c r="BE66" i="158"/>
  <c r="BE68" i="158"/>
  <c r="BE70" i="158"/>
  <c r="AU72" i="158"/>
  <c r="BE72" i="158"/>
  <c r="BE74" i="158"/>
  <c r="BE76" i="158"/>
  <c r="R70" i="158"/>
  <c r="AZ70" i="158" s="1"/>
  <c r="T70" i="158"/>
  <c r="AI70" i="158"/>
  <c r="R72" i="158"/>
  <c r="AK72" i="158" s="1"/>
  <c r="T72" i="158"/>
  <c r="AI72" i="158"/>
  <c r="R74" i="158"/>
  <c r="T74" i="158"/>
  <c r="AI74" i="158"/>
  <c r="R76" i="158"/>
  <c r="T76" i="158"/>
  <c r="AI76" i="158"/>
  <c r="R48" i="158"/>
  <c r="AK48" i="158" s="1"/>
  <c r="T48" i="158"/>
  <c r="AI48" i="158"/>
  <c r="R50" i="158"/>
  <c r="T50" i="158"/>
  <c r="AI50" i="158"/>
  <c r="R52" i="158"/>
  <c r="AV52" i="158" s="1"/>
  <c r="T52" i="158"/>
  <c r="AI52" i="158"/>
  <c r="R54" i="158"/>
  <c r="T54" i="158"/>
  <c r="AI54" i="158"/>
  <c r="R56" i="158"/>
  <c r="BB56" i="158" s="1"/>
  <c r="T56" i="158"/>
  <c r="AI56" i="158"/>
  <c r="R58" i="158"/>
  <c r="AY58" i="158" s="1"/>
  <c r="T58" i="158"/>
  <c r="AI58" i="158"/>
  <c r="R60" i="158"/>
  <c r="T60" i="158"/>
  <c r="AI60" i="158"/>
  <c r="R62" i="158"/>
  <c r="AZ62" i="158" s="1"/>
  <c r="T62" i="158"/>
  <c r="AI62" i="158"/>
  <c r="R64" i="158"/>
  <c r="AU64" i="158" s="1"/>
  <c r="T64" i="158"/>
  <c r="AI64" i="158"/>
  <c r="R66" i="158"/>
  <c r="AX66" i="158" s="1"/>
  <c r="T66" i="158"/>
  <c r="AI66" i="158"/>
  <c r="R68" i="158"/>
  <c r="T68" i="158"/>
  <c r="AZ68" i="158" s="1"/>
  <c r="AI68" i="158"/>
  <c r="AK50" i="158" l="1"/>
  <c r="AK74" i="158"/>
  <c r="AK54" i="158"/>
  <c r="AK60" i="158"/>
  <c r="BH74" i="158"/>
  <c r="AW74" i="158"/>
  <c r="BA66" i="158"/>
  <c r="BH50" i="158"/>
  <c r="AT74" i="158"/>
  <c r="BF58" i="158"/>
  <c r="AN66" i="158"/>
  <c r="BC66" i="158" s="1"/>
  <c r="AK52" i="158"/>
  <c r="AW50" i="158"/>
  <c r="AV68" i="158"/>
  <c r="BF62" i="158"/>
  <c r="AY70" i="158"/>
  <c r="AX72" i="158"/>
  <c r="BB64" i="158"/>
  <c r="BB58" i="158"/>
  <c r="AT50" i="158"/>
  <c r="BF72" i="158"/>
  <c r="BH70" i="158"/>
  <c r="AT70" i="158"/>
  <c r="AU68" i="158"/>
  <c r="AV66" i="158"/>
  <c r="AW64" i="158"/>
  <c r="AX62" i="158"/>
  <c r="AY60" i="158"/>
  <c r="AZ58" i="158"/>
  <c r="BA56" i="158"/>
  <c r="BB54" i="158"/>
  <c r="BD52" i="158"/>
  <c r="BF48" i="158"/>
  <c r="BF70" i="158"/>
  <c r="BH68" i="158"/>
  <c r="AT68" i="158"/>
  <c r="AU66" i="158"/>
  <c r="AV64" i="158"/>
  <c r="AW62" i="158"/>
  <c r="AX60" i="158"/>
  <c r="AZ56" i="158"/>
  <c r="BA54" i="158"/>
  <c r="BB52" i="158"/>
  <c r="BD50" i="158"/>
  <c r="AK58" i="158"/>
  <c r="AN72" i="158"/>
  <c r="BC72" i="158" s="1"/>
  <c r="BB74" i="158"/>
  <c r="BD72" i="158"/>
  <c r="BF68" i="158"/>
  <c r="BH66" i="158"/>
  <c r="AT66" i="158"/>
  <c r="AV62" i="158"/>
  <c r="AW60" i="158"/>
  <c r="AX58" i="158"/>
  <c r="AY56" i="158"/>
  <c r="AZ54" i="158"/>
  <c r="BA52" i="158"/>
  <c r="BB50" i="158"/>
  <c r="BD48" i="158"/>
  <c r="AW68" i="158"/>
  <c r="BD74" i="158"/>
  <c r="AK64" i="158"/>
  <c r="AN56" i="158"/>
  <c r="BC56" i="158" s="1"/>
  <c r="BA74" i="158"/>
  <c r="BB72" i="158"/>
  <c r="BD70" i="158"/>
  <c r="BF66" i="158"/>
  <c r="BH64" i="158"/>
  <c r="AT64" i="158"/>
  <c r="AU62" i="158"/>
  <c r="AV60" i="158"/>
  <c r="AW58" i="158"/>
  <c r="AX56" i="158"/>
  <c r="AY54" i="158"/>
  <c r="AZ52" i="158"/>
  <c r="BA50" i="158"/>
  <c r="BB48" i="158"/>
  <c r="AN60" i="158"/>
  <c r="BC60" i="158" s="1"/>
  <c r="AV70" i="158"/>
  <c r="AN68" i="158"/>
  <c r="BC68" i="158" s="1"/>
  <c r="AK56" i="158"/>
  <c r="AZ74" i="158"/>
  <c r="BA72" i="158"/>
  <c r="BB70" i="158"/>
  <c r="BD68" i="158"/>
  <c r="BF64" i="158"/>
  <c r="BH62" i="158"/>
  <c r="AT62" i="158"/>
  <c r="AU60" i="158"/>
  <c r="AV58" i="158"/>
  <c r="AW56" i="158"/>
  <c r="AX54" i="158"/>
  <c r="AY52" i="158"/>
  <c r="AZ50" i="158"/>
  <c r="BA48" i="158"/>
  <c r="BD56" i="158"/>
  <c r="AY74" i="158"/>
  <c r="AZ72" i="158"/>
  <c r="BA70" i="158"/>
  <c r="BB68" i="158"/>
  <c r="BD66" i="158"/>
  <c r="BH60" i="158"/>
  <c r="AT60" i="158"/>
  <c r="AU58" i="158"/>
  <c r="AV56" i="158"/>
  <c r="AW54" i="158"/>
  <c r="AX52" i="158"/>
  <c r="AY50" i="158"/>
  <c r="AZ48" i="158"/>
  <c r="BA60" i="158"/>
  <c r="AK68" i="158"/>
  <c r="AK62" i="158"/>
  <c r="AX74" i="158"/>
  <c r="AY72" i="158"/>
  <c r="BA68" i="158"/>
  <c r="BB66" i="158"/>
  <c r="BD64" i="158"/>
  <c r="BF60" i="158"/>
  <c r="BH58" i="158"/>
  <c r="AT58" i="158"/>
  <c r="AU56" i="158"/>
  <c r="AV54" i="158"/>
  <c r="AW52" i="158"/>
  <c r="AX50" i="158"/>
  <c r="AY48" i="158"/>
  <c r="AK70" i="158"/>
  <c r="AV74" i="158"/>
  <c r="AW72" i="158"/>
  <c r="AX70" i="158"/>
  <c r="AY68" i="158"/>
  <c r="AZ66" i="158"/>
  <c r="BA64" i="158"/>
  <c r="BB62" i="158"/>
  <c r="BD60" i="158"/>
  <c r="BF56" i="158"/>
  <c r="BH54" i="158"/>
  <c r="AT54" i="158"/>
  <c r="AU52" i="158"/>
  <c r="AV50" i="158"/>
  <c r="AW48" i="158"/>
  <c r="BH56" i="158"/>
  <c r="AT56" i="158"/>
  <c r="AU54" i="158"/>
  <c r="AX48" i="158"/>
  <c r="AK66" i="158"/>
  <c r="AU74" i="158"/>
  <c r="AV72" i="158"/>
  <c r="AW70" i="158"/>
  <c r="AX68" i="158"/>
  <c r="AY66" i="158"/>
  <c r="AZ64" i="158"/>
  <c r="BA62" i="158"/>
  <c r="BB60" i="158"/>
  <c r="BD58" i="158"/>
  <c r="BF54" i="158"/>
  <c r="BH52" i="158"/>
  <c r="AT52" i="158"/>
  <c r="AU50" i="158"/>
  <c r="AV48" i="158"/>
  <c r="BF52" i="158"/>
  <c r="AU48" i="158"/>
  <c r="AN58" i="158"/>
  <c r="BC58" i="158" s="1"/>
  <c r="BF74" i="158"/>
  <c r="BH72" i="158"/>
  <c r="AT72" i="158"/>
  <c r="AU70" i="158"/>
  <c r="AW66" i="158"/>
  <c r="AX64" i="158"/>
  <c r="AY62" i="158"/>
  <c r="AZ60" i="158"/>
  <c r="BA58" i="158"/>
  <c r="BD54" i="158"/>
  <c r="BF50" i="158"/>
  <c r="BH48" i="158"/>
  <c r="AT48" i="158"/>
  <c r="AV76" i="158"/>
  <c r="BD76" i="158"/>
  <c r="BB76" i="158"/>
  <c r="AU76" i="158"/>
  <c r="BA76" i="158"/>
  <c r="AZ76" i="158"/>
  <c r="BH76" i="158"/>
  <c r="BF76" i="158"/>
  <c r="AY76" i="158"/>
  <c r="AN76" i="158"/>
  <c r="BC76" i="158" s="1"/>
  <c r="AX76" i="158"/>
  <c r="AK76" i="158"/>
  <c r="AW76" i="158"/>
  <c r="AT76" i="158"/>
  <c r="AN70" i="158"/>
  <c r="BC70" i="158" s="1"/>
  <c r="AN74" i="158"/>
  <c r="BC74" i="158" s="1"/>
  <c r="AN50" i="158"/>
  <c r="BC50" i="158" s="1"/>
  <c r="AN64" i="158"/>
  <c r="BC64" i="158" s="1"/>
  <c r="AN54" i="158"/>
  <c r="BC54" i="158" s="1"/>
  <c r="AN48" i="158"/>
  <c r="BC48" i="158" s="1"/>
  <c r="AN62" i="158"/>
  <c r="BC62" i="158" s="1"/>
  <c r="AN52" i="158"/>
  <c r="BC52" i="158" s="1"/>
  <c r="T18" i="161"/>
  <c r="R46" i="158"/>
  <c r="T46" i="158"/>
  <c r="T18" i="158"/>
  <c r="BD20" i="159" l="1"/>
  <c r="BD22" i="159"/>
  <c r="BD24" i="159"/>
  <c r="BD26" i="159"/>
  <c r="BD28" i="159"/>
  <c r="BD30" i="159"/>
  <c r="BD32" i="159"/>
  <c r="BD34" i="159"/>
  <c r="BD36" i="159"/>
  <c r="BD20" i="160"/>
  <c r="BD22" i="160"/>
  <c r="BD24" i="160"/>
  <c r="BD26" i="160"/>
  <c r="BD28" i="160"/>
  <c r="BD30" i="160"/>
  <c r="BD32" i="160"/>
  <c r="BD34" i="160"/>
  <c r="BD20" i="182"/>
  <c r="BD22" i="182"/>
  <c r="BD24" i="182"/>
  <c r="BD26" i="182"/>
  <c r="BD28" i="182"/>
  <c r="BD30" i="182"/>
  <c r="BD32" i="182"/>
  <c r="BD34" i="182"/>
  <c r="BD36" i="182"/>
  <c r="BD20" i="162"/>
  <c r="BD22" i="162"/>
  <c r="BD24" i="162"/>
  <c r="BD26" i="162"/>
  <c r="BD28" i="162"/>
  <c r="BD30" i="162"/>
  <c r="BD32" i="162"/>
  <c r="BD34" i="162"/>
  <c r="BD36" i="162"/>
  <c r="BD20" i="163"/>
  <c r="BD22" i="163"/>
  <c r="BD24" i="163"/>
  <c r="BD26" i="163"/>
  <c r="BD28" i="163"/>
  <c r="BD30" i="163"/>
  <c r="BD32" i="163"/>
  <c r="BD34" i="163"/>
  <c r="BD36" i="163"/>
  <c r="Q26" i="3" l="1"/>
  <c r="Q25" i="3"/>
  <c r="Q24" i="3"/>
  <c r="Q23" i="3"/>
  <c r="Q22" i="3"/>
  <c r="Q21" i="3"/>
  <c r="Q20" i="3"/>
  <c r="Q19" i="3"/>
  <c r="Q18" i="3"/>
  <c r="Q15" i="3"/>
  <c r="Q16" i="3"/>
  <c r="Q14" i="3"/>
  <c r="Q13" i="3"/>
  <c r="Q12" i="3"/>
  <c r="Q11" i="3"/>
  <c r="Q10" i="3"/>
  <c r="Q27" i="3" l="1"/>
  <c r="Q28" i="3"/>
  <c r="Q29" i="3" s="1"/>
  <c r="C12" i="81" s="1"/>
  <c r="A92" i="110"/>
  <c r="H92" i="110"/>
  <c r="I92" i="110"/>
  <c r="L92" i="110"/>
  <c r="M92" i="110"/>
  <c r="AD92" i="110"/>
  <c r="AE92" i="110"/>
  <c r="AI92" i="110"/>
  <c r="AK92" i="110"/>
  <c r="A93" i="110"/>
  <c r="H93" i="110"/>
  <c r="I93" i="110"/>
  <c r="L93" i="110"/>
  <c r="M93" i="110"/>
  <c r="AD93" i="110"/>
  <c r="AE93" i="110"/>
  <c r="AI93" i="110"/>
  <c r="AK93" i="110"/>
  <c r="A94" i="110"/>
  <c r="H94" i="110"/>
  <c r="I94" i="110"/>
  <c r="L94" i="110"/>
  <c r="M94" i="110"/>
  <c r="AD94" i="110"/>
  <c r="AE94" i="110"/>
  <c r="AI94" i="110"/>
  <c r="AK94" i="110"/>
  <c r="A95" i="110"/>
  <c r="H95" i="110"/>
  <c r="I95" i="110"/>
  <c r="L95" i="110"/>
  <c r="M95" i="110"/>
  <c r="AD95" i="110"/>
  <c r="AE95" i="110"/>
  <c r="AI95" i="110"/>
  <c r="AK95" i="110"/>
  <c r="A96" i="110"/>
  <c r="H96" i="110"/>
  <c r="I96" i="110"/>
  <c r="L96" i="110"/>
  <c r="M96" i="110"/>
  <c r="AD96" i="110"/>
  <c r="AE96" i="110"/>
  <c r="AI96" i="110"/>
  <c r="AK96" i="110"/>
  <c r="A97" i="110"/>
  <c r="H97" i="110"/>
  <c r="I97" i="110"/>
  <c r="L97" i="110"/>
  <c r="M97" i="110"/>
  <c r="AD97" i="110"/>
  <c r="AE97" i="110"/>
  <c r="AI97" i="110"/>
  <c r="AK97" i="110"/>
  <c r="A98" i="110"/>
  <c r="H98" i="110"/>
  <c r="I98" i="110"/>
  <c r="L98" i="110"/>
  <c r="M98" i="110"/>
  <c r="AD98" i="110"/>
  <c r="AE98" i="110"/>
  <c r="AI98" i="110"/>
  <c r="AK98" i="110"/>
  <c r="A99" i="110"/>
  <c r="H99" i="110"/>
  <c r="I99" i="110"/>
  <c r="L99" i="110"/>
  <c r="M99" i="110"/>
  <c r="AD99" i="110"/>
  <c r="AE99" i="110"/>
  <c r="AI99" i="110"/>
  <c r="AK99" i="110"/>
  <c r="A100" i="110"/>
  <c r="H100" i="110"/>
  <c r="I100" i="110"/>
  <c r="L100" i="110"/>
  <c r="M100" i="110"/>
  <c r="AD100" i="110"/>
  <c r="AE100" i="110"/>
  <c r="AI100" i="110"/>
  <c r="AK100" i="110"/>
  <c r="A101" i="110"/>
  <c r="H101" i="110"/>
  <c r="I101" i="110"/>
  <c r="L101" i="110"/>
  <c r="M101" i="110"/>
  <c r="AD101" i="110"/>
  <c r="AE101" i="110"/>
  <c r="AI101" i="110"/>
  <c r="AK101" i="110"/>
  <c r="J76" i="161"/>
  <c r="L76" i="161"/>
  <c r="P76" i="161"/>
  <c r="R76" i="161"/>
  <c r="T76" i="161"/>
  <c r="AE76" i="161"/>
  <c r="AI76" i="161"/>
  <c r="BA76" i="161"/>
  <c r="O96" i="110" s="1"/>
  <c r="BE76" i="161"/>
  <c r="J78" i="161"/>
  <c r="L78" i="161"/>
  <c r="P78" i="161"/>
  <c r="R78" i="161"/>
  <c r="T78" i="161"/>
  <c r="AE78" i="161"/>
  <c r="AI78" i="161"/>
  <c r="BA78" i="161"/>
  <c r="O97" i="110" s="1"/>
  <c r="BE78" i="161"/>
  <c r="J80" i="161"/>
  <c r="L80" i="161"/>
  <c r="P80" i="161"/>
  <c r="R80" i="161"/>
  <c r="T80" i="161"/>
  <c r="AE80" i="161"/>
  <c r="AI80" i="161"/>
  <c r="BA80" i="161"/>
  <c r="O98" i="110" s="1"/>
  <c r="BE80" i="161"/>
  <c r="J82" i="161"/>
  <c r="L82" i="161"/>
  <c r="P82" i="161"/>
  <c r="R82" i="161"/>
  <c r="T82" i="161"/>
  <c r="BD82" i="161" s="1"/>
  <c r="AE82" i="161"/>
  <c r="AI82" i="161"/>
  <c r="BA82" i="161"/>
  <c r="O99" i="110" s="1"/>
  <c r="BE82" i="161"/>
  <c r="J84" i="161"/>
  <c r="L84" i="161"/>
  <c r="P84" i="161"/>
  <c r="R84" i="161"/>
  <c r="T84" i="161"/>
  <c r="AE84" i="161"/>
  <c r="AI84" i="161"/>
  <c r="BA84" i="161"/>
  <c r="O100" i="110" s="1"/>
  <c r="BE84" i="161"/>
  <c r="J86" i="161"/>
  <c r="L86" i="161"/>
  <c r="P86" i="161"/>
  <c r="R86" i="161"/>
  <c r="T86" i="161"/>
  <c r="AE86" i="161"/>
  <c r="AI86" i="161"/>
  <c r="BA86" i="161"/>
  <c r="O101" i="110" s="1"/>
  <c r="BE86" i="161"/>
  <c r="J64" i="161"/>
  <c r="L64" i="161"/>
  <c r="P64" i="161"/>
  <c r="R64" i="161"/>
  <c r="T64" i="161"/>
  <c r="AE64" i="161"/>
  <c r="AI64" i="161"/>
  <c r="BA64" i="161"/>
  <c r="BE64" i="161"/>
  <c r="J66" i="161"/>
  <c r="L66" i="161"/>
  <c r="P66" i="161"/>
  <c r="R66" i="161"/>
  <c r="T66" i="161"/>
  <c r="BD66" i="161" s="1"/>
  <c r="AE66" i="161"/>
  <c r="AI66" i="161"/>
  <c r="BA66" i="161"/>
  <c r="BE66" i="161"/>
  <c r="J68" i="161"/>
  <c r="L68" i="161"/>
  <c r="P68" i="161"/>
  <c r="R68" i="161"/>
  <c r="T68" i="161"/>
  <c r="AE68" i="161"/>
  <c r="AI68" i="161"/>
  <c r="BA68" i="161"/>
  <c r="O92" i="110" s="1"/>
  <c r="BE68" i="161"/>
  <c r="J70" i="161"/>
  <c r="L70" i="161"/>
  <c r="P70" i="161"/>
  <c r="R70" i="161"/>
  <c r="T70" i="161"/>
  <c r="BD70" i="161" s="1"/>
  <c r="AE70" i="161"/>
  <c r="AI70" i="161"/>
  <c r="BA70" i="161"/>
  <c r="O93" i="110" s="1"/>
  <c r="BE70" i="161"/>
  <c r="J72" i="161"/>
  <c r="L72" i="161"/>
  <c r="P72" i="161"/>
  <c r="R72" i="161"/>
  <c r="T72" i="161"/>
  <c r="AE72" i="161"/>
  <c r="AI72" i="161"/>
  <c r="BA72" i="161"/>
  <c r="O94" i="110" s="1"/>
  <c r="BE72" i="161"/>
  <c r="J74" i="161"/>
  <c r="L74" i="161"/>
  <c r="P74" i="161"/>
  <c r="R74" i="161"/>
  <c r="T74" i="161"/>
  <c r="AE74" i="161"/>
  <c r="AI74" i="161"/>
  <c r="BA74" i="161"/>
  <c r="O95" i="110" s="1"/>
  <c r="BE74" i="161"/>
  <c r="J58" i="161"/>
  <c r="L58" i="161"/>
  <c r="P58" i="161"/>
  <c r="R58" i="161"/>
  <c r="T58" i="161"/>
  <c r="AE58" i="161"/>
  <c r="AI58" i="161"/>
  <c r="BA58" i="161"/>
  <c r="BE58" i="161"/>
  <c r="J60" i="161"/>
  <c r="L60" i="161"/>
  <c r="P60" i="161"/>
  <c r="R60" i="161"/>
  <c r="T60" i="161"/>
  <c r="AE60" i="161"/>
  <c r="AI60" i="161"/>
  <c r="BA60" i="161"/>
  <c r="BE60" i="161"/>
  <c r="J62" i="161"/>
  <c r="L62" i="161"/>
  <c r="P62" i="161"/>
  <c r="R62" i="161"/>
  <c r="T62" i="161"/>
  <c r="AE62" i="161"/>
  <c r="AI62" i="161"/>
  <c r="BA62" i="161"/>
  <c r="BE62" i="161"/>
  <c r="AT70" i="161" l="1"/>
  <c r="J93" i="110" s="1"/>
  <c r="AU70" i="161"/>
  <c r="AP93" i="110" s="1"/>
  <c r="AK82" i="161"/>
  <c r="AW64" i="161"/>
  <c r="BD64" i="161"/>
  <c r="AN74" i="161"/>
  <c r="BC74" i="161" s="1"/>
  <c r="BD74" i="161"/>
  <c r="AZ82" i="161"/>
  <c r="E99" i="110" s="1"/>
  <c r="AN78" i="161"/>
  <c r="BC78" i="161" s="1"/>
  <c r="BD78" i="161"/>
  <c r="AV82" i="161"/>
  <c r="N99" i="110" s="1"/>
  <c r="AL96" i="110"/>
  <c r="AU82" i="161"/>
  <c r="AP99" i="110" s="1"/>
  <c r="AW58" i="161"/>
  <c r="BD58" i="161"/>
  <c r="AK80" i="161"/>
  <c r="BD80" i="161"/>
  <c r="AV68" i="161"/>
  <c r="N92" i="110" s="1"/>
  <c r="BD68" i="161"/>
  <c r="AW84" i="161"/>
  <c r="P100" i="110" s="1"/>
  <c r="BD84" i="161"/>
  <c r="AV60" i="161"/>
  <c r="BD60" i="161"/>
  <c r="AM98" i="110"/>
  <c r="AU86" i="161"/>
  <c r="AP101" i="110" s="1"/>
  <c r="BD86" i="161"/>
  <c r="AK62" i="161"/>
  <c r="BD62" i="161"/>
  <c r="AZ72" i="161"/>
  <c r="E94" i="110" s="1"/>
  <c r="BD72" i="161"/>
  <c r="AW76" i="161"/>
  <c r="P96" i="110" s="1"/>
  <c r="BD76" i="161"/>
  <c r="AW82" i="161"/>
  <c r="P99" i="110" s="1"/>
  <c r="BH86" i="161"/>
  <c r="BF86" i="161"/>
  <c r="AM101" i="110"/>
  <c r="AK86" i="161"/>
  <c r="AK74" i="161"/>
  <c r="AL100" i="110"/>
  <c r="AM99" i="110"/>
  <c r="AM95" i="110"/>
  <c r="AV70" i="161"/>
  <c r="N93" i="110" s="1"/>
  <c r="AZ68" i="161"/>
  <c r="BB68" i="161" s="1"/>
  <c r="Q92" i="110" s="1"/>
  <c r="BF78" i="161"/>
  <c r="AL97" i="110"/>
  <c r="AU76" i="161"/>
  <c r="AP96" i="110" s="1"/>
  <c r="AZ78" i="161"/>
  <c r="E97" i="110" s="1"/>
  <c r="AT82" i="161"/>
  <c r="J99" i="110" s="1"/>
  <c r="AT78" i="161"/>
  <c r="J97" i="110" s="1"/>
  <c r="AL98" i="110"/>
  <c r="AW60" i="161"/>
  <c r="AU60" i="161"/>
  <c r="AL92" i="110"/>
  <c r="BF60" i="161"/>
  <c r="AZ60" i="161"/>
  <c r="BB60" i="161" s="1"/>
  <c r="AT60" i="161"/>
  <c r="AN60" i="161"/>
  <c r="BC60" i="161" s="1"/>
  <c r="AL95" i="110"/>
  <c r="AM94" i="110"/>
  <c r="AL93" i="110"/>
  <c r="AK60" i="161"/>
  <c r="AM100" i="110"/>
  <c r="AL94" i="110"/>
  <c r="AW68" i="161"/>
  <c r="P92" i="110" s="1"/>
  <c r="BF66" i="161"/>
  <c r="AN82" i="161"/>
  <c r="AW78" i="161"/>
  <c r="P97" i="110" s="1"/>
  <c r="AV76" i="161"/>
  <c r="N96" i="110" s="1"/>
  <c r="BH60" i="161"/>
  <c r="BH70" i="161"/>
  <c r="AT68" i="161"/>
  <c r="J92" i="110" s="1"/>
  <c r="AZ86" i="161"/>
  <c r="E101" i="110" s="1"/>
  <c r="BH82" i="161"/>
  <c r="AK78" i="161"/>
  <c r="AM96" i="110"/>
  <c r="AN68" i="161"/>
  <c r="AT66" i="161"/>
  <c r="AW86" i="161"/>
  <c r="P101" i="110" s="1"/>
  <c r="BF82" i="161"/>
  <c r="AU68" i="161"/>
  <c r="AP92" i="110" s="1"/>
  <c r="AM97" i="110"/>
  <c r="AL101" i="110"/>
  <c r="AK68" i="161"/>
  <c r="AK66" i="161"/>
  <c r="AV86" i="161"/>
  <c r="N101" i="110" s="1"/>
  <c r="AZ70" i="161"/>
  <c r="E93" i="110" s="1"/>
  <c r="BH68" i="161"/>
  <c r="AT86" i="161"/>
  <c r="J101" i="110" s="1"/>
  <c r="AV84" i="161"/>
  <c r="N100" i="110" s="1"/>
  <c r="AM92" i="110"/>
  <c r="BF74" i="161"/>
  <c r="AW70" i="161"/>
  <c r="P93" i="110" s="1"/>
  <c r="BF68" i="161"/>
  <c r="AN86" i="161"/>
  <c r="AU84" i="161"/>
  <c r="AP100" i="110" s="1"/>
  <c r="R95" i="110"/>
  <c r="BF58" i="161"/>
  <c r="AM93" i="110"/>
  <c r="AL99" i="110"/>
  <c r="E92" i="110"/>
  <c r="AT76" i="161"/>
  <c r="J96" i="110" s="1"/>
  <c r="BH84" i="161"/>
  <c r="AN84" i="161"/>
  <c r="BC84" i="161" s="1"/>
  <c r="AV78" i="161"/>
  <c r="N97" i="110" s="1"/>
  <c r="BH76" i="161"/>
  <c r="AN76" i="161"/>
  <c r="BC76" i="161" s="1"/>
  <c r="AT84" i="161"/>
  <c r="J100" i="110" s="1"/>
  <c r="BF84" i="161"/>
  <c r="AK84" i="161"/>
  <c r="AZ80" i="161"/>
  <c r="AU78" i="161"/>
  <c r="AP97" i="110" s="1"/>
  <c r="BF76" i="161"/>
  <c r="AK76" i="161"/>
  <c r="AW80" i="161"/>
  <c r="P98" i="110" s="1"/>
  <c r="AV80" i="161"/>
  <c r="N98" i="110" s="1"/>
  <c r="BH78" i="161"/>
  <c r="AT80" i="161"/>
  <c r="J98" i="110" s="1"/>
  <c r="AU80" i="161"/>
  <c r="AP98" i="110" s="1"/>
  <c r="BH80" i="161"/>
  <c r="AN80" i="161"/>
  <c r="AZ84" i="161"/>
  <c r="BF80" i="161"/>
  <c r="AZ76" i="161"/>
  <c r="AW72" i="161"/>
  <c r="P94" i="110" s="1"/>
  <c r="AV72" i="161"/>
  <c r="N94" i="110" s="1"/>
  <c r="AN70" i="161"/>
  <c r="AV64" i="161"/>
  <c r="AZ74" i="161"/>
  <c r="AU72" i="161"/>
  <c r="AP94" i="110" s="1"/>
  <c r="BF70" i="161"/>
  <c r="AK70" i="161"/>
  <c r="AZ66" i="161"/>
  <c r="BB66" i="161" s="1"/>
  <c r="AU64" i="161"/>
  <c r="AW66" i="161"/>
  <c r="AT64" i="161"/>
  <c r="AW74" i="161"/>
  <c r="P95" i="110" s="1"/>
  <c r="AV74" i="161"/>
  <c r="N95" i="110" s="1"/>
  <c r="BH72" i="161"/>
  <c r="AN72" i="161"/>
  <c r="BC72" i="161" s="1"/>
  <c r="AV66" i="161"/>
  <c r="BH64" i="161"/>
  <c r="AN64" i="161"/>
  <c r="BC64" i="161" s="1"/>
  <c r="AT72" i="161"/>
  <c r="J94" i="110" s="1"/>
  <c r="AU74" i="161"/>
  <c r="AP95" i="110" s="1"/>
  <c r="BF72" i="161"/>
  <c r="AK72" i="161"/>
  <c r="AU66" i="161"/>
  <c r="BF64" i="161"/>
  <c r="AK64" i="161"/>
  <c r="AT74" i="161"/>
  <c r="J95" i="110" s="1"/>
  <c r="BH74" i="161"/>
  <c r="BH66" i="161"/>
  <c r="AN66" i="161"/>
  <c r="BC66" i="161" s="1"/>
  <c r="AZ64" i="161"/>
  <c r="BB64" i="161" s="1"/>
  <c r="AV58" i="161"/>
  <c r="AU58" i="161"/>
  <c r="AT58" i="161"/>
  <c r="BH58" i="161"/>
  <c r="AN58" i="161"/>
  <c r="BC58" i="161" s="1"/>
  <c r="AK58" i="161"/>
  <c r="AW62" i="161"/>
  <c r="AU62" i="161"/>
  <c r="AV62" i="161"/>
  <c r="AT62" i="161"/>
  <c r="AZ62" i="161"/>
  <c r="BB62" i="161" s="1"/>
  <c r="BH62" i="161"/>
  <c r="AN62" i="161"/>
  <c r="BC62" i="161" s="1"/>
  <c r="BF62" i="161"/>
  <c r="AZ58" i="161"/>
  <c r="BB58" i="161" s="1"/>
  <c r="AN22" i="168"/>
  <c r="AN24" i="168"/>
  <c r="AN26" i="168"/>
  <c r="AN28" i="168"/>
  <c r="AN30" i="168"/>
  <c r="AN32" i="168"/>
  <c r="AN34" i="168"/>
  <c r="AN36" i="168"/>
  <c r="AN18" i="168"/>
  <c r="AN20" i="168"/>
  <c r="AN20" i="159"/>
  <c r="AN22" i="159"/>
  <c r="AN24" i="159"/>
  <c r="AN26" i="159"/>
  <c r="AN28" i="159"/>
  <c r="AN30" i="159"/>
  <c r="AN32" i="159"/>
  <c r="AN34" i="159"/>
  <c r="AN36" i="159"/>
  <c r="BB72" i="161" l="1"/>
  <c r="Q94" i="110" s="1"/>
  <c r="R97" i="110"/>
  <c r="C97" i="110" s="1"/>
  <c r="B97" i="110" s="1"/>
  <c r="BB78" i="161"/>
  <c r="Q97" i="110" s="1"/>
  <c r="AT95" i="110"/>
  <c r="AT97" i="110"/>
  <c r="BB82" i="161"/>
  <c r="Q99" i="110" s="1"/>
  <c r="BB74" i="161"/>
  <c r="Q95" i="110" s="1"/>
  <c r="E95" i="110"/>
  <c r="BB80" i="161"/>
  <c r="Q98" i="110" s="1"/>
  <c r="E98" i="110"/>
  <c r="BB86" i="161"/>
  <c r="Q101" i="110" s="1"/>
  <c r="AT94" i="110"/>
  <c r="R94" i="110"/>
  <c r="C94" i="110" s="1"/>
  <c r="BC70" i="161"/>
  <c r="AT93" i="110"/>
  <c r="R93" i="110"/>
  <c r="R96" i="110"/>
  <c r="C96" i="110" s="1"/>
  <c r="AT96" i="110"/>
  <c r="BC82" i="161"/>
  <c r="AT99" i="110"/>
  <c r="R99" i="110"/>
  <c r="BB84" i="161"/>
  <c r="Q100" i="110" s="1"/>
  <c r="E100" i="110"/>
  <c r="BC80" i="161"/>
  <c r="AT98" i="110"/>
  <c r="R98" i="110"/>
  <c r="BC68" i="161"/>
  <c r="AT92" i="110"/>
  <c r="R92" i="110"/>
  <c r="C95" i="110"/>
  <c r="BB70" i="161"/>
  <c r="Q93" i="110" s="1"/>
  <c r="BB76" i="161"/>
  <c r="Q96" i="110" s="1"/>
  <c r="E96" i="110"/>
  <c r="AT100" i="110"/>
  <c r="R100" i="110"/>
  <c r="C100" i="110" s="1"/>
  <c r="BC86" i="161"/>
  <c r="AT101" i="110"/>
  <c r="R101" i="110"/>
  <c r="AT149" i="110"/>
  <c r="AT148" i="110"/>
  <c r="AT147" i="110"/>
  <c r="AT146" i="110"/>
  <c r="AT145" i="110"/>
  <c r="AT133" i="110"/>
  <c r="AT132" i="110"/>
  <c r="AT131" i="110"/>
  <c r="AT130" i="110"/>
  <c r="AT129" i="110"/>
  <c r="AT117" i="110"/>
  <c r="AT116" i="110"/>
  <c r="AT115" i="110"/>
  <c r="AT114" i="110"/>
  <c r="AT113" i="110"/>
  <c r="AT91" i="110"/>
  <c r="AT90" i="110"/>
  <c r="AT89" i="110"/>
  <c r="AT88" i="110"/>
  <c r="AT87" i="110"/>
  <c r="AT65" i="110"/>
  <c r="AT64" i="110"/>
  <c r="AT63" i="110"/>
  <c r="AT62" i="110"/>
  <c r="AT61" i="110"/>
  <c r="AT49" i="110"/>
  <c r="AT48" i="110"/>
  <c r="AT47" i="110"/>
  <c r="AT46" i="110"/>
  <c r="AT45" i="110"/>
  <c r="R36" i="160"/>
  <c r="AT33" i="110"/>
  <c r="AT32" i="110"/>
  <c r="AT31" i="110"/>
  <c r="AT30" i="110"/>
  <c r="AT29" i="110"/>
  <c r="AT28" i="110"/>
  <c r="AT27" i="110"/>
  <c r="AT26" i="110"/>
  <c r="AT25" i="110"/>
  <c r="AT24" i="110"/>
  <c r="AT23" i="110"/>
  <c r="AT22" i="110"/>
  <c r="AT21" i="110"/>
  <c r="AT20" i="110"/>
  <c r="AT19" i="110"/>
  <c r="AR97" i="110" l="1"/>
  <c r="AS97" i="110"/>
  <c r="C93" i="110"/>
  <c r="B93" i="110" s="1"/>
  <c r="C101" i="110"/>
  <c r="AR101" i="110" s="1"/>
  <c r="C98" i="110"/>
  <c r="B98" i="110" s="1"/>
  <c r="C99" i="110"/>
  <c r="AR99" i="110" s="1"/>
  <c r="B94" i="110"/>
  <c r="AR94" i="110"/>
  <c r="AS94" i="110"/>
  <c r="B100" i="110"/>
  <c r="AR100" i="110"/>
  <c r="AS100" i="110"/>
  <c r="B95" i="110"/>
  <c r="AR95" i="110"/>
  <c r="AS95" i="110"/>
  <c r="C92" i="110"/>
  <c r="B96" i="110"/>
  <c r="AR96" i="110"/>
  <c r="AS96" i="110"/>
  <c r="G37" i="81"/>
  <c r="AS101" i="110" l="1"/>
  <c r="B101" i="110"/>
  <c r="AS93" i="110"/>
  <c r="AS98" i="110"/>
  <c r="AR93" i="110"/>
  <c r="AR98" i="110"/>
  <c r="B99" i="110"/>
  <c r="AS99" i="110"/>
  <c r="B92" i="110"/>
  <c r="AS92" i="110"/>
  <c r="AR92" i="110"/>
  <c r="AZ20" i="167"/>
  <c r="AZ22" i="167"/>
  <c r="AZ24" i="167"/>
  <c r="AZ26" i="167"/>
  <c r="AZ28" i="167"/>
  <c r="AZ30" i="167"/>
  <c r="AZ32" i="167"/>
  <c r="AZ34" i="167"/>
  <c r="AZ36" i="167"/>
  <c r="AZ38" i="167"/>
  <c r="AZ40" i="167"/>
  <c r="AZ42" i="167"/>
  <c r="AZ44" i="167"/>
  <c r="AZ46" i="167"/>
  <c r="AZ48" i="167"/>
  <c r="AZ50" i="167"/>
  <c r="AZ52" i="167"/>
  <c r="AZ54" i="167"/>
  <c r="AZ56" i="167"/>
  <c r="AZ58" i="167"/>
  <c r="AZ60" i="167"/>
  <c r="AZ62" i="167"/>
  <c r="AZ64" i="167"/>
  <c r="AZ66" i="167"/>
  <c r="AZ68" i="167"/>
  <c r="AZ70" i="167"/>
  <c r="AZ72" i="167"/>
  <c r="AZ74" i="167"/>
  <c r="AZ76" i="167"/>
  <c r="AZ18" i="167"/>
  <c r="K534" i="202"/>
  <c r="AY18" i="175" l="1"/>
  <c r="AZ18" i="175"/>
  <c r="S19" i="109" l="1"/>
  <c r="S20" i="109"/>
  <c r="R19" i="109"/>
  <c r="Q19" i="109"/>
  <c r="P19" i="109"/>
  <c r="N19" i="109"/>
  <c r="O19" i="109"/>
  <c r="M19" i="109"/>
  <c r="L19" i="109"/>
  <c r="K19" i="109"/>
  <c r="L40" i="109"/>
  <c r="L39" i="109"/>
  <c r="AY18" i="168" l="1"/>
  <c r="AZ18" i="170" l="1"/>
  <c r="AY18" i="170"/>
  <c r="T20" i="158" l="1"/>
  <c r="AX20" i="168"/>
  <c r="AX22" i="168"/>
  <c r="AX24" i="168"/>
  <c r="AX26" i="168"/>
  <c r="AX28" i="168"/>
  <c r="AX30" i="168"/>
  <c r="AX32" i="168"/>
  <c r="AX34" i="168"/>
  <c r="AX36" i="168"/>
  <c r="AX18" i="168"/>
  <c r="AW20" i="168"/>
  <c r="AW22" i="168"/>
  <c r="AW24" i="168"/>
  <c r="AW26" i="168"/>
  <c r="AW28" i="168"/>
  <c r="AW30" i="168"/>
  <c r="AW32" i="168"/>
  <c r="AW34" i="168"/>
  <c r="AW36" i="168"/>
  <c r="AW18" i="168"/>
  <c r="BA20" i="159"/>
  <c r="BA22" i="159"/>
  <c r="BA24" i="159"/>
  <c r="BA26" i="159"/>
  <c r="BA28" i="159"/>
  <c r="BA30" i="159"/>
  <c r="BA32" i="159"/>
  <c r="BA34" i="159"/>
  <c r="BA36" i="159"/>
  <c r="BA18" i="159"/>
  <c r="AC12" i="116" l="1"/>
  <c r="AK20" i="159"/>
  <c r="AK22" i="159"/>
  <c r="AK24" i="159"/>
  <c r="AK26" i="159"/>
  <c r="AK28" i="159"/>
  <c r="AK30" i="159"/>
  <c r="AK32" i="159"/>
  <c r="AK34" i="159"/>
  <c r="AK36" i="159"/>
  <c r="BH20" i="159"/>
  <c r="BH22" i="159"/>
  <c r="BH24" i="159"/>
  <c r="BH26" i="159"/>
  <c r="BH28" i="159"/>
  <c r="BH30" i="159"/>
  <c r="BH32" i="159"/>
  <c r="BH34" i="159"/>
  <c r="BH36" i="159"/>
  <c r="BH18" i="159"/>
  <c r="D9" i="109" l="1"/>
  <c r="B6" i="3" l="1"/>
  <c r="B3" i="3"/>
  <c r="BD18" i="159" l="1"/>
  <c r="BD18" i="160"/>
  <c r="BD36" i="160"/>
  <c r="BD18" i="182"/>
  <c r="BD18" i="163"/>
  <c r="BD18" i="162"/>
  <c r="BJ18" i="168"/>
  <c r="BJ22" i="168"/>
  <c r="BJ24" i="168"/>
  <c r="BJ26" i="168"/>
  <c r="BJ28" i="168"/>
  <c r="BJ32" i="168"/>
  <c r="BJ36" i="168"/>
  <c r="BJ30" i="168"/>
  <c r="BJ34" i="168"/>
  <c r="BJ20" i="168"/>
  <c r="D7" i="109" l="1"/>
  <c r="M200" i="8" s="1"/>
  <c r="D8" i="109"/>
  <c r="D5" i="109" l="1"/>
  <c r="AR201" i="8" s="1"/>
  <c r="D4" i="109"/>
  <c r="AR202" i="8"/>
  <c r="B202" i="8"/>
  <c r="B201" i="8"/>
  <c r="B200" i="8"/>
  <c r="AR200" i="8" l="1"/>
  <c r="I62" i="8"/>
  <c r="W202" i="8"/>
  <c r="P62" i="8" l="1"/>
  <c r="J679" i="202" l="1"/>
  <c r="K679" i="202" s="1"/>
  <c r="J677" i="202"/>
  <c r="K677" i="202" s="1"/>
  <c r="M712" i="202"/>
  <c r="M678" i="202"/>
  <c r="M619" i="202"/>
  <c r="M533" i="202"/>
  <c r="M513" i="202"/>
  <c r="M488" i="202"/>
  <c r="M532" i="202"/>
  <c r="M512" i="202"/>
  <c r="M487" i="202"/>
  <c r="M627" i="202"/>
  <c r="M719" i="202"/>
  <c r="M711" i="202"/>
  <c r="M683" i="202"/>
  <c r="M618" i="202"/>
  <c r="M718" i="202"/>
  <c r="M707" i="202"/>
  <c r="M682" i="202"/>
  <c r="M614" i="202"/>
  <c r="M717" i="202"/>
  <c r="M703" i="202"/>
  <c r="M684" i="202"/>
  <c r="M610" i="202"/>
  <c r="M693" i="202"/>
  <c r="M646" i="202"/>
  <c r="M596" i="202"/>
  <c r="M531" i="202"/>
  <c r="M511" i="202"/>
  <c r="M486" i="202"/>
  <c r="M527" i="202"/>
  <c r="M515" i="202"/>
  <c r="M482" i="202"/>
  <c r="M362" i="202"/>
  <c r="M300" i="202"/>
  <c r="M360" i="202"/>
  <c r="M290" i="202"/>
  <c r="M280" i="202"/>
  <c r="M423" i="202"/>
  <c r="M417" i="202"/>
  <c r="M353" i="202"/>
  <c r="M268" i="202"/>
  <c r="M422" i="202"/>
  <c r="M413" i="202"/>
  <c r="M381" i="202"/>
  <c r="M264" i="202"/>
  <c r="M350" i="202"/>
  <c r="M253" i="202"/>
  <c r="M399" i="202"/>
  <c r="M373" i="202"/>
  <c r="M236" i="202"/>
  <c r="M626" i="202"/>
  <c r="M710" i="202"/>
  <c r="M665" i="202"/>
  <c r="M617" i="202"/>
  <c r="M702" i="202"/>
  <c r="M659" i="202"/>
  <c r="M609" i="202"/>
  <c r="M692" i="202"/>
  <c r="M645" i="202"/>
  <c r="M595" i="202"/>
  <c r="M530" i="202"/>
  <c r="M517" i="202"/>
  <c r="M485" i="202"/>
  <c r="M526" i="202"/>
  <c r="M508" i="202"/>
  <c r="M481" i="202"/>
  <c r="M370" i="202"/>
  <c r="M312" i="202"/>
  <c r="M367" i="202"/>
  <c r="M309" i="202"/>
  <c r="M359" i="202"/>
  <c r="M289" i="202"/>
  <c r="M358" i="202"/>
  <c r="M284" i="202"/>
  <c r="M279" i="202"/>
  <c r="M416" i="202"/>
  <c r="M352" i="202"/>
  <c r="M267" i="202"/>
  <c r="M412" i="202"/>
  <c r="M380" i="202"/>
  <c r="M263" i="202"/>
  <c r="M420" i="202"/>
  <c r="M355" i="202"/>
  <c r="M271" i="202"/>
  <c r="M695" i="202"/>
  <c r="M723" i="202"/>
  <c r="M680" i="202"/>
  <c r="M641" i="202"/>
  <c r="M721" i="202"/>
  <c r="M689" i="202"/>
  <c r="M639" i="202"/>
  <c r="M688" i="202"/>
  <c r="M634" i="202"/>
  <c r="M686" i="202"/>
  <c r="M636" i="202"/>
  <c r="M671" i="202"/>
  <c r="M632" i="202"/>
  <c r="M629" i="202"/>
  <c r="M713" i="202"/>
  <c r="M666" i="202"/>
  <c r="M620" i="202"/>
  <c r="M709" i="202"/>
  <c r="M664" i="202"/>
  <c r="M616" i="202"/>
  <c r="M701" i="202"/>
  <c r="M658" i="202"/>
  <c r="M608" i="202"/>
  <c r="M691" i="202"/>
  <c r="M644" i="202"/>
  <c r="M594" i="202"/>
  <c r="M491" i="202"/>
  <c r="M529" i="202"/>
  <c r="M516" i="202"/>
  <c r="M484" i="202"/>
  <c r="M525" i="202"/>
  <c r="M507" i="202"/>
  <c r="M480" i="202"/>
  <c r="M504" i="202"/>
  <c r="M477" i="202"/>
  <c r="M401" i="202"/>
  <c r="M429" i="202"/>
  <c r="M363" i="202"/>
  <c r="M304" i="202"/>
  <c r="M427" i="202"/>
  <c r="M390" i="202"/>
  <c r="M302" i="202"/>
  <c r="M435" i="202"/>
  <c r="M369" i="202"/>
  <c r="M311" i="202"/>
  <c r="M433" i="202"/>
  <c r="M366" i="202"/>
  <c r="M308" i="202"/>
  <c r="M431" i="202"/>
  <c r="M364" i="202"/>
  <c r="M306" i="202"/>
  <c r="M293" i="202"/>
  <c r="M385" i="202"/>
  <c r="M288" i="202"/>
  <c r="M386" i="202"/>
  <c r="M286" i="202"/>
  <c r="M357" i="202"/>
  <c r="M283" i="202"/>
  <c r="M278" i="202"/>
  <c r="M419" i="202"/>
  <c r="M354" i="202"/>
  <c r="M270" i="202"/>
  <c r="M672" i="202"/>
  <c r="M635" i="202"/>
  <c r="J590" i="202"/>
  <c r="K590" i="202" s="1"/>
  <c r="J588" i="202"/>
  <c r="K588" i="202" s="1"/>
  <c r="M582" i="202"/>
  <c r="M155" i="202"/>
  <c r="M154" i="202"/>
  <c r="M151" i="202"/>
  <c r="M465" i="202"/>
  <c r="M464" i="202"/>
  <c r="M153" i="202"/>
  <c r="M227" i="202"/>
  <c r="M217" i="202"/>
  <c r="M225" i="202"/>
  <c r="M224" i="202"/>
  <c r="M223" i="202"/>
  <c r="M221" i="202"/>
  <c r="M212" i="202"/>
  <c r="M462" i="202"/>
  <c r="M460" i="202"/>
  <c r="M216" i="202"/>
  <c r="M215" i="202"/>
  <c r="M200" i="202"/>
  <c r="M213" i="202"/>
  <c r="M211" i="202"/>
  <c r="M209" i="202"/>
  <c r="M164" i="202"/>
  <c r="M591" i="202"/>
  <c r="M459" i="202"/>
  <c r="M457" i="202"/>
  <c r="M456" i="202"/>
  <c r="M455" i="202"/>
  <c r="M452" i="202"/>
  <c r="M589" i="202"/>
  <c r="M584" i="202"/>
  <c r="M579" i="202"/>
  <c r="M578" i="202"/>
  <c r="M577" i="202"/>
  <c r="M572" i="202"/>
  <c r="M587" i="202"/>
  <c r="M571" i="202"/>
  <c r="M570" i="202"/>
  <c r="M569" i="202"/>
  <c r="M567" i="202"/>
  <c r="M563" i="202"/>
  <c r="M562" i="202"/>
  <c r="M561" i="202"/>
  <c r="M549" i="202"/>
  <c r="M548" i="202"/>
  <c r="M547" i="202"/>
  <c r="M205" i="202"/>
  <c r="M198" i="202"/>
  <c r="M191" i="202"/>
  <c r="M190" i="202"/>
  <c r="AK20" i="168" l="1"/>
  <c r="AK22" i="168"/>
  <c r="AK24" i="168"/>
  <c r="AK26" i="168"/>
  <c r="AK28" i="168"/>
  <c r="AK30" i="168"/>
  <c r="AK32" i="168"/>
  <c r="AK34" i="168"/>
  <c r="AK36" i="168"/>
  <c r="AK18" i="168"/>
  <c r="BA20" i="161"/>
  <c r="BA22" i="161"/>
  <c r="BA24" i="161"/>
  <c r="BA26" i="161"/>
  <c r="BA28" i="161"/>
  <c r="BA30" i="161"/>
  <c r="BA32" i="161"/>
  <c r="BA34" i="161"/>
  <c r="BA36" i="161"/>
  <c r="BA38" i="161"/>
  <c r="BA40" i="161"/>
  <c r="BA42" i="161"/>
  <c r="BA44" i="161"/>
  <c r="BA46" i="161"/>
  <c r="BA48" i="161"/>
  <c r="BA50" i="161"/>
  <c r="BA52" i="161"/>
  <c r="BA54" i="161"/>
  <c r="BA56" i="161"/>
  <c r="AV20" i="159"/>
  <c r="AV22" i="159"/>
  <c r="AV24" i="159"/>
  <c r="AV26" i="159"/>
  <c r="AV28" i="159"/>
  <c r="AV30" i="159"/>
  <c r="AV32" i="159"/>
  <c r="AV34" i="159"/>
  <c r="AV36" i="159"/>
  <c r="AV18" i="159"/>
  <c r="I11" i="3" l="1"/>
  <c r="AK18" i="159"/>
  <c r="M5" i="110"/>
  <c r="M6" i="110"/>
  <c r="M7" i="110"/>
  <c r="M8" i="110"/>
  <c r="M9" i="110"/>
  <c r="M10" i="110"/>
  <c r="M11" i="110"/>
  <c r="M12" i="110"/>
  <c r="M13" i="110"/>
  <c r="M14" i="110"/>
  <c r="M15" i="110"/>
  <c r="M16" i="110"/>
  <c r="M17" i="110"/>
  <c r="M18" i="110"/>
  <c r="M19" i="110"/>
  <c r="M20" i="110"/>
  <c r="M21" i="110"/>
  <c r="M22" i="110"/>
  <c r="M23" i="110"/>
  <c r="M24" i="110"/>
  <c r="M25" i="110"/>
  <c r="M26" i="110"/>
  <c r="M27" i="110"/>
  <c r="M28" i="110"/>
  <c r="M29" i="110"/>
  <c r="M30" i="110"/>
  <c r="M31" i="110"/>
  <c r="M32" i="110"/>
  <c r="M33" i="110"/>
  <c r="M4" i="110"/>
  <c r="L5" i="110"/>
  <c r="L6" i="110"/>
  <c r="L7" i="110"/>
  <c r="L8" i="110"/>
  <c r="L9" i="110"/>
  <c r="L10" i="110"/>
  <c r="L11" i="110"/>
  <c r="L12" i="110"/>
  <c r="L13" i="110"/>
  <c r="L14" i="110"/>
  <c r="L15" i="110"/>
  <c r="L16" i="110"/>
  <c r="L17" i="110"/>
  <c r="L18" i="110"/>
  <c r="L19" i="110"/>
  <c r="L20" i="110"/>
  <c r="L21" i="110"/>
  <c r="L22" i="110"/>
  <c r="L23" i="110"/>
  <c r="L24" i="110"/>
  <c r="L25" i="110"/>
  <c r="L26" i="110"/>
  <c r="L27" i="110"/>
  <c r="L28" i="110"/>
  <c r="L29" i="110"/>
  <c r="L30" i="110"/>
  <c r="L31" i="110"/>
  <c r="L32" i="110"/>
  <c r="L33" i="110"/>
  <c r="L4" i="110"/>
  <c r="F5" i="110"/>
  <c r="F6" i="110"/>
  <c r="F7"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4" i="110"/>
  <c r="J694" i="202" l="1"/>
  <c r="K694" i="202" s="1"/>
  <c r="J695" i="202"/>
  <c r="K695" i="202" s="1"/>
  <c r="J402" i="202" l="1"/>
  <c r="K402" i="202" s="1"/>
  <c r="J403" i="202"/>
  <c r="K403" i="202" s="1"/>
  <c r="J400" i="202"/>
  <c r="K400" i="202" s="1"/>
  <c r="J401" i="202"/>
  <c r="K401" i="202" s="1"/>
  <c r="J423" i="202"/>
  <c r="K423" i="202" s="1"/>
  <c r="J422" i="202"/>
  <c r="K422" i="202" s="1"/>
  <c r="J421" i="202"/>
  <c r="K421" i="202" s="1"/>
  <c r="J716" i="202"/>
  <c r="K716" i="202" s="1"/>
  <c r="J717" i="202"/>
  <c r="K717" i="202" s="1"/>
  <c r="J718" i="202"/>
  <c r="K718" i="202" s="1"/>
  <c r="J719" i="202"/>
  <c r="K719" i="202" s="1"/>
  <c r="O18" i="167"/>
  <c r="AN18" i="167" s="1"/>
  <c r="AW18" i="167" l="1"/>
  <c r="AX18" i="167"/>
  <c r="BJ18" i="167" l="1"/>
  <c r="M15" i="109"/>
  <c r="L15" i="109"/>
  <c r="K15" i="109"/>
  <c r="O14" i="109"/>
  <c r="N14" i="109"/>
  <c r="M14" i="109"/>
  <c r="L14" i="109"/>
  <c r="K14" i="109"/>
  <c r="S13" i="109"/>
  <c r="R13" i="109"/>
  <c r="Q13" i="109"/>
  <c r="P13" i="109"/>
  <c r="O13" i="109"/>
  <c r="N13" i="109"/>
  <c r="M13" i="109"/>
  <c r="L13" i="109"/>
  <c r="K13" i="109"/>
  <c r="S12" i="109"/>
  <c r="R12" i="109"/>
  <c r="Q12" i="109"/>
  <c r="P12" i="109"/>
  <c r="O12" i="109"/>
  <c r="N12" i="109"/>
  <c r="M12" i="109"/>
  <c r="L12" i="109"/>
  <c r="K12" i="109"/>
  <c r="O15" i="109"/>
  <c r="N15" i="109"/>
  <c r="AC3" i="116"/>
  <c r="AC4" i="116"/>
  <c r="AC5" i="116"/>
  <c r="AC6" i="116"/>
  <c r="AC7" i="116"/>
  <c r="AC8" i="116"/>
  <c r="AC9" i="116"/>
  <c r="AC10" i="116"/>
  <c r="AC11" i="116"/>
  <c r="AC13" i="116"/>
  <c r="AC14" i="116"/>
  <c r="AC15" i="116"/>
  <c r="AC16" i="116"/>
  <c r="AC17" i="116"/>
  <c r="AC18" i="116"/>
  <c r="AC19" i="116"/>
  <c r="AC20" i="116"/>
  <c r="AC21" i="116"/>
  <c r="AC22" i="116"/>
  <c r="AC23" i="116"/>
  <c r="AC24" i="116"/>
  <c r="AC25" i="116"/>
  <c r="AC26" i="116"/>
  <c r="AC27" i="116"/>
  <c r="AC28" i="116"/>
  <c r="AC29" i="116"/>
  <c r="AC30" i="116"/>
  <c r="AC31" i="116"/>
  <c r="AC32" i="116"/>
  <c r="AC33" i="116"/>
  <c r="AC34" i="116"/>
  <c r="AC35" i="116"/>
  <c r="AC36" i="116"/>
  <c r="AC37" i="116"/>
  <c r="O29" i="109" l="1"/>
  <c r="N29" i="109"/>
  <c r="M29" i="109"/>
  <c r="L29" i="109"/>
  <c r="K29" i="109"/>
  <c r="O28" i="109"/>
  <c r="N28" i="109"/>
  <c r="M28" i="109"/>
  <c r="L28" i="109"/>
  <c r="K28" i="109"/>
  <c r="S27" i="109"/>
  <c r="R27" i="109"/>
  <c r="Q27" i="109"/>
  <c r="P27" i="109"/>
  <c r="O27" i="109"/>
  <c r="N27" i="109"/>
  <c r="M27" i="109"/>
  <c r="L27" i="109"/>
  <c r="K27" i="109"/>
  <c r="S26" i="109"/>
  <c r="R26" i="109"/>
  <c r="Q26" i="109"/>
  <c r="P26" i="109"/>
  <c r="O26" i="109"/>
  <c r="N26" i="109"/>
  <c r="M26" i="109"/>
  <c r="L26" i="109"/>
  <c r="K26" i="109"/>
  <c r="AK34" i="154" l="1"/>
  <c r="R29" i="109" l="1"/>
  <c r="R28" i="109"/>
  <c r="P28" i="109"/>
  <c r="P29" i="109"/>
  <c r="S28" i="109"/>
  <c r="S29" i="109"/>
  <c r="Q28" i="109"/>
  <c r="Q29" i="109"/>
  <c r="C44" i="116" l="1" a="1"/>
  <c r="C44" i="116" s="1"/>
  <c r="C42" i="116" a="1"/>
  <c r="C42" i="116" s="1"/>
  <c r="C40" i="116" a="1"/>
  <c r="C40" i="116" s="1"/>
  <c r="C43" i="116" a="1"/>
  <c r="C43" i="116" s="1"/>
  <c r="C41" i="116" a="1"/>
  <c r="C41" i="116" s="1"/>
  <c r="C39" i="116" a="1"/>
  <c r="C39" i="116" s="1"/>
  <c r="G19" i="151" l="1"/>
  <c r="P19" i="151"/>
  <c r="Y19" i="151"/>
  <c r="AH19" i="151"/>
  <c r="O22" i="109" l="1"/>
  <c r="N22" i="109"/>
  <c r="M22" i="109"/>
  <c r="L22" i="109"/>
  <c r="K22" i="109"/>
  <c r="O21" i="109"/>
  <c r="N21" i="109"/>
  <c r="M21" i="109"/>
  <c r="L21" i="109"/>
  <c r="K21" i="109"/>
  <c r="R20" i="109"/>
  <c r="Q20" i="109"/>
  <c r="P20" i="109"/>
  <c r="O20" i="109"/>
  <c r="N20" i="109"/>
  <c r="M20" i="109"/>
  <c r="L20" i="109"/>
  <c r="K20" i="109"/>
  <c r="AA35" i="154" l="1"/>
  <c r="S21" i="109" l="1"/>
  <c r="R22" i="109" l="1"/>
  <c r="R21" i="109"/>
  <c r="P22" i="109"/>
  <c r="P21" i="109"/>
  <c r="S22" i="109"/>
  <c r="Q21" i="109"/>
  <c r="Q22" i="109"/>
  <c r="T22" i="158"/>
  <c r="AV30" i="176" l="1"/>
  <c r="G26" i="3"/>
  <c r="BA30" i="176"/>
  <c r="AY30" i="176"/>
  <c r="BC30" i="176" l="1"/>
  <c r="J26" i="3"/>
  <c r="EW2" i="110" l="1"/>
  <c r="EX2" i="110"/>
  <c r="EY2" i="110"/>
  <c r="FA2" i="110"/>
  <c r="EZ2" i="110"/>
  <c r="Z15" i="166"/>
  <c r="P20" i="154"/>
  <c r="U19" i="154"/>
  <c r="P19" i="154"/>
  <c r="P18" i="154"/>
  <c r="O22" i="167" l="1"/>
  <c r="AN22" i="167" s="1"/>
  <c r="R28" i="158"/>
  <c r="T28" i="158"/>
  <c r="AN28" i="158" l="1"/>
  <c r="BD28" i="158"/>
  <c r="AK28" i="158"/>
  <c r="BH28" i="158"/>
  <c r="AX28" i="158"/>
  <c r="BA28" i="158"/>
  <c r="AV28" i="158"/>
  <c r="AY28" i="158"/>
  <c r="AW22" i="167"/>
  <c r="AX22" i="167"/>
  <c r="J519" i="202"/>
  <c r="K519" i="202" s="1"/>
  <c r="J520" i="202"/>
  <c r="K520" i="202" s="1"/>
  <c r="J521" i="202"/>
  <c r="K521" i="202" s="1"/>
  <c r="J522" i="202"/>
  <c r="K522" i="202" s="1"/>
  <c r="J523" i="202"/>
  <c r="K523" i="202" s="1"/>
  <c r="J524" i="202"/>
  <c r="K524" i="202" s="1"/>
  <c r="J525" i="202"/>
  <c r="K525" i="202" s="1"/>
  <c r="J526" i="202"/>
  <c r="K526" i="202" s="1"/>
  <c r="J527" i="202"/>
  <c r="K527" i="202" s="1"/>
  <c r="J528" i="202"/>
  <c r="K528" i="202" s="1"/>
  <c r="J529" i="202"/>
  <c r="K529" i="202" s="1"/>
  <c r="J530" i="202"/>
  <c r="K530" i="202" s="1"/>
  <c r="J531" i="202"/>
  <c r="K531" i="202" s="1"/>
  <c r="J532" i="202"/>
  <c r="K532" i="202" s="1"/>
  <c r="J533" i="202"/>
  <c r="K533" i="202" s="1"/>
  <c r="J518" i="202"/>
  <c r="K518" i="202" s="1"/>
  <c r="J721" i="202"/>
  <c r="K721" i="202" s="1"/>
  <c r="J722" i="202"/>
  <c r="K722" i="202" s="1"/>
  <c r="J723" i="202"/>
  <c r="K723" i="202" s="1"/>
  <c r="J720" i="202"/>
  <c r="K720" i="202" s="1"/>
  <c r="J715" i="202"/>
  <c r="K715" i="202" s="1"/>
  <c r="J697" i="202"/>
  <c r="K697" i="202" s="1"/>
  <c r="J698" i="202"/>
  <c r="K698" i="202" s="1"/>
  <c r="J699" i="202"/>
  <c r="K699" i="202" s="1"/>
  <c r="J700" i="202"/>
  <c r="K700" i="202" s="1"/>
  <c r="J701" i="202"/>
  <c r="K701" i="202" s="1"/>
  <c r="J702" i="202"/>
  <c r="K702" i="202" s="1"/>
  <c r="J703" i="202"/>
  <c r="K703" i="202" s="1"/>
  <c r="J704" i="202"/>
  <c r="K704" i="202" s="1"/>
  <c r="J705" i="202"/>
  <c r="K705" i="202" s="1"/>
  <c r="J706" i="202"/>
  <c r="K706" i="202" s="1"/>
  <c r="J707" i="202"/>
  <c r="K707" i="202" s="1"/>
  <c r="J708" i="202"/>
  <c r="K708" i="202" s="1"/>
  <c r="J709" i="202"/>
  <c r="K709" i="202" s="1"/>
  <c r="J710" i="202"/>
  <c r="K710" i="202" s="1"/>
  <c r="J711" i="202"/>
  <c r="K711" i="202" s="1"/>
  <c r="J712" i="202"/>
  <c r="K712" i="202" s="1"/>
  <c r="J713" i="202"/>
  <c r="K713" i="202" s="1"/>
  <c r="J714" i="202"/>
  <c r="K714" i="202" s="1"/>
  <c r="J696" i="202"/>
  <c r="K696" i="202" s="1"/>
  <c r="J691" i="202"/>
  <c r="K691" i="202" s="1"/>
  <c r="J692" i="202"/>
  <c r="K692" i="202" s="1"/>
  <c r="J693" i="202"/>
  <c r="K693" i="202" s="1"/>
  <c r="J690" i="202"/>
  <c r="K690" i="202" s="1"/>
  <c r="J435" i="202"/>
  <c r="K435" i="202" s="1"/>
  <c r="J434" i="202"/>
  <c r="K434" i="202" s="1"/>
  <c r="J433" i="202"/>
  <c r="K433" i="202" s="1"/>
  <c r="J432" i="202"/>
  <c r="K432" i="202" s="1"/>
  <c r="J431" i="202"/>
  <c r="K431" i="202" s="1"/>
  <c r="J430" i="202"/>
  <c r="K430" i="202" s="1"/>
  <c r="J429" i="202"/>
  <c r="K429" i="202" s="1"/>
  <c r="J428" i="202"/>
  <c r="K428" i="202" s="1"/>
  <c r="J427" i="202"/>
  <c r="K427" i="202" s="1"/>
  <c r="J426" i="202"/>
  <c r="K426" i="202" s="1"/>
  <c r="J425" i="202"/>
  <c r="K425" i="202" s="1"/>
  <c r="J424" i="202"/>
  <c r="K424" i="202" s="1"/>
  <c r="J399" i="202"/>
  <c r="K399" i="202" s="1"/>
  <c r="J398" i="202"/>
  <c r="K398" i="202" s="1"/>
  <c r="J397" i="202"/>
  <c r="K397" i="202" s="1"/>
  <c r="J396" i="202"/>
  <c r="K396" i="202" s="1"/>
  <c r="J395" i="202"/>
  <c r="K395" i="202" s="1"/>
  <c r="J394" i="202"/>
  <c r="K394" i="202" s="1"/>
  <c r="J393" i="202"/>
  <c r="K393" i="202" s="1"/>
  <c r="J392" i="202"/>
  <c r="K392" i="202" s="1"/>
  <c r="J404" i="202"/>
  <c r="K404" i="202" s="1"/>
  <c r="J405" i="202"/>
  <c r="K405" i="202" s="1"/>
  <c r="J406" i="202"/>
  <c r="K406" i="202" s="1"/>
  <c r="J407" i="202"/>
  <c r="K407" i="202" s="1"/>
  <c r="J408" i="202"/>
  <c r="K408" i="202" s="1"/>
  <c r="J409" i="202"/>
  <c r="K409" i="202" s="1"/>
  <c r="J410" i="202"/>
  <c r="K410" i="202" s="1"/>
  <c r="J411" i="202"/>
  <c r="K411" i="202" s="1"/>
  <c r="J412" i="202"/>
  <c r="K412" i="202" s="1"/>
  <c r="J413" i="202"/>
  <c r="K413" i="202" s="1"/>
  <c r="J414" i="202"/>
  <c r="K414" i="202" s="1"/>
  <c r="J415" i="202"/>
  <c r="K415" i="202" s="1"/>
  <c r="J416" i="202"/>
  <c r="K416" i="202" s="1"/>
  <c r="J417" i="202"/>
  <c r="K417" i="202" s="1"/>
  <c r="J418" i="202"/>
  <c r="K418" i="202" s="1"/>
  <c r="J419" i="202"/>
  <c r="K419" i="202" s="1"/>
  <c r="J420" i="202"/>
  <c r="K420" i="202" s="1"/>
  <c r="D95" i="3"/>
  <c r="D94" i="3"/>
  <c r="D97" i="3"/>
  <c r="D96" i="3"/>
  <c r="D98" i="3"/>
  <c r="C97" i="3"/>
  <c r="C96" i="3"/>
  <c r="C94" i="3"/>
  <c r="B96" i="3"/>
  <c r="B98" i="3"/>
  <c r="B97" i="3"/>
  <c r="C95" i="3"/>
  <c r="C98" i="3"/>
  <c r="B94" i="3"/>
  <c r="B95" i="3"/>
  <c r="BJ22" i="167" l="1"/>
  <c r="J4" i="202"/>
  <c r="F17" i="154" l="1"/>
  <c r="F18" i="154"/>
  <c r="P17" i="154"/>
  <c r="M20" i="168" l="1"/>
  <c r="M22" i="168"/>
  <c r="M24" i="168"/>
  <c r="M26" i="168"/>
  <c r="M28" i="168"/>
  <c r="M30" i="168"/>
  <c r="M32" i="168"/>
  <c r="M34" i="168"/>
  <c r="M36" i="168"/>
  <c r="M18" i="168"/>
  <c r="M20" i="159"/>
  <c r="M22" i="159"/>
  <c r="M24" i="159"/>
  <c r="M26" i="159"/>
  <c r="M28" i="159"/>
  <c r="M30" i="159"/>
  <c r="M32" i="159"/>
  <c r="M34" i="159"/>
  <c r="M36" i="159"/>
  <c r="M18" i="159"/>
  <c r="H68" i="110"/>
  <c r="I68" i="110"/>
  <c r="L68" i="110"/>
  <c r="M68" i="110"/>
  <c r="H69" i="110"/>
  <c r="I69" i="110"/>
  <c r="L69" i="110"/>
  <c r="M69" i="110"/>
  <c r="H70" i="110"/>
  <c r="I70" i="110"/>
  <c r="L70" i="110"/>
  <c r="M70" i="110"/>
  <c r="H71" i="110"/>
  <c r="I71" i="110"/>
  <c r="L71" i="110"/>
  <c r="M71" i="110"/>
  <c r="H72" i="110"/>
  <c r="I72" i="110"/>
  <c r="L72" i="110"/>
  <c r="M72" i="110"/>
  <c r="H73" i="110"/>
  <c r="I73" i="110"/>
  <c r="L73" i="110"/>
  <c r="M73" i="110"/>
  <c r="H74" i="110"/>
  <c r="I74" i="110"/>
  <c r="L74" i="110"/>
  <c r="M74" i="110"/>
  <c r="H75" i="110"/>
  <c r="I75" i="110"/>
  <c r="L75" i="110"/>
  <c r="M75" i="110"/>
  <c r="H76" i="110"/>
  <c r="I76" i="110"/>
  <c r="L76" i="110"/>
  <c r="M76" i="110"/>
  <c r="H77" i="110"/>
  <c r="I77" i="110"/>
  <c r="L77" i="110"/>
  <c r="M77" i="110"/>
  <c r="H78" i="110"/>
  <c r="I78" i="110"/>
  <c r="L78" i="110"/>
  <c r="M78" i="110"/>
  <c r="H79" i="110"/>
  <c r="I79" i="110"/>
  <c r="L79" i="110"/>
  <c r="M79" i="110"/>
  <c r="H80" i="110"/>
  <c r="I80" i="110"/>
  <c r="L80" i="110"/>
  <c r="M80" i="110"/>
  <c r="H81" i="110"/>
  <c r="I81" i="110"/>
  <c r="L81" i="110"/>
  <c r="M81" i="110"/>
  <c r="H82" i="110"/>
  <c r="I82" i="110"/>
  <c r="L82" i="110"/>
  <c r="M82" i="110"/>
  <c r="H83" i="110"/>
  <c r="I83" i="110"/>
  <c r="L83" i="110"/>
  <c r="M83" i="110"/>
  <c r="H84" i="110"/>
  <c r="I84" i="110"/>
  <c r="L84" i="110"/>
  <c r="M84" i="110"/>
  <c r="H85" i="110"/>
  <c r="I85" i="110"/>
  <c r="L85" i="110"/>
  <c r="M85" i="110"/>
  <c r="H86" i="110"/>
  <c r="I86" i="110"/>
  <c r="L86" i="110"/>
  <c r="M86" i="110"/>
  <c r="H87" i="110"/>
  <c r="I87" i="110"/>
  <c r="J87" i="110"/>
  <c r="L87" i="110"/>
  <c r="M87" i="110"/>
  <c r="N87" i="110"/>
  <c r="O87" i="110"/>
  <c r="P87" i="110"/>
  <c r="Q87" i="110"/>
  <c r="R87" i="110"/>
  <c r="H88" i="110"/>
  <c r="I88" i="110"/>
  <c r="J88" i="110"/>
  <c r="L88" i="110"/>
  <c r="M88" i="110"/>
  <c r="N88" i="110"/>
  <c r="O88" i="110"/>
  <c r="P88" i="110"/>
  <c r="Q88" i="110"/>
  <c r="R88" i="110"/>
  <c r="H89" i="110"/>
  <c r="I89" i="110"/>
  <c r="J89" i="110"/>
  <c r="L89" i="110"/>
  <c r="M89" i="110"/>
  <c r="N89" i="110"/>
  <c r="O89" i="110"/>
  <c r="P89" i="110"/>
  <c r="Q89" i="110"/>
  <c r="R89" i="110"/>
  <c r="H90" i="110"/>
  <c r="I90" i="110"/>
  <c r="J90" i="110"/>
  <c r="L90" i="110"/>
  <c r="M90" i="110"/>
  <c r="N90" i="110"/>
  <c r="O90" i="110"/>
  <c r="P90" i="110"/>
  <c r="Q90" i="110"/>
  <c r="R90" i="110"/>
  <c r="H91" i="110"/>
  <c r="I91" i="110"/>
  <c r="J91" i="110"/>
  <c r="L91" i="110"/>
  <c r="M91" i="110"/>
  <c r="N91" i="110"/>
  <c r="O91" i="110"/>
  <c r="P91" i="110"/>
  <c r="Q91" i="110"/>
  <c r="R91" i="110"/>
  <c r="AD68" i="110"/>
  <c r="AE68" i="110"/>
  <c r="AI68" i="110"/>
  <c r="AK68" i="110"/>
  <c r="AD69" i="110"/>
  <c r="AE69" i="110"/>
  <c r="AI69" i="110"/>
  <c r="AK69" i="110"/>
  <c r="AD70" i="110"/>
  <c r="AE70" i="110"/>
  <c r="AI70" i="110"/>
  <c r="AK70" i="110"/>
  <c r="AD71" i="110"/>
  <c r="AE71" i="110"/>
  <c r="AI71" i="110"/>
  <c r="AK71" i="110"/>
  <c r="AD72" i="110"/>
  <c r="AE72" i="110"/>
  <c r="AI72" i="110"/>
  <c r="AK72" i="110"/>
  <c r="AD73" i="110"/>
  <c r="AE73" i="110"/>
  <c r="AI73" i="110"/>
  <c r="AK73" i="110"/>
  <c r="AD74" i="110"/>
  <c r="AE74" i="110"/>
  <c r="AI74" i="110"/>
  <c r="AK74" i="110"/>
  <c r="AD75" i="110"/>
  <c r="AE75" i="110"/>
  <c r="AI75" i="110"/>
  <c r="AK75" i="110"/>
  <c r="AD76" i="110"/>
  <c r="AE76" i="110"/>
  <c r="AI76" i="110"/>
  <c r="AK76" i="110"/>
  <c r="AD77" i="110"/>
  <c r="AE77" i="110"/>
  <c r="AI77" i="110"/>
  <c r="AK77" i="110"/>
  <c r="AD78" i="110"/>
  <c r="AE78" i="110"/>
  <c r="AI78" i="110"/>
  <c r="AK78" i="110"/>
  <c r="AD79" i="110"/>
  <c r="AE79" i="110"/>
  <c r="AI79" i="110"/>
  <c r="AK79" i="110"/>
  <c r="AD80" i="110"/>
  <c r="AE80" i="110"/>
  <c r="AI80" i="110"/>
  <c r="AK80" i="110"/>
  <c r="AD81" i="110"/>
  <c r="AE81" i="110"/>
  <c r="AI81" i="110"/>
  <c r="AK81" i="110"/>
  <c r="AD82" i="110"/>
  <c r="AE82" i="110"/>
  <c r="AI82" i="110"/>
  <c r="AK82" i="110"/>
  <c r="AD83" i="110"/>
  <c r="AE83" i="110"/>
  <c r="AI83" i="110"/>
  <c r="AK83" i="110"/>
  <c r="AD84" i="110"/>
  <c r="AE84" i="110"/>
  <c r="AI84" i="110"/>
  <c r="AK84" i="110"/>
  <c r="AD85" i="110"/>
  <c r="AE85" i="110"/>
  <c r="AI85" i="110"/>
  <c r="AK85" i="110"/>
  <c r="AD86" i="110"/>
  <c r="AE86" i="110"/>
  <c r="AI86" i="110"/>
  <c r="AK86" i="110"/>
  <c r="AD87" i="110"/>
  <c r="AE87" i="110"/>
  <c r="AI87" i="110"/>
  <c r="AK87" i="110"/>
  <c r="AL87" i="110"/>
  <c r="AM87" i="110"/>
  <c r="AD88" i="110"/>
  <c r="AE88" i="110"/>
  <c r="AI88" i="110"/>
  <c r="AK88" i="110"/>
  <c r="AL88" i="110"/>
  <c r="AM88" i="110"/>
  <c r="AD89" i="110"/>
  <c r="AE89" i="110"/>
  <c r="AI89" i="110"/>
  <c r="AK89" i="110"/>
  <c r="AL89" i="110"/>
  <c r="AM89" i="110"/>
  <c r="AD90" i="110"/>
  <c r="AE90" i="110"/>
  <c r="AI90" i="110"/>
  <c r="AK90" i="110"/>
  <c r="AL90" i="110"/>
  <c r="AM90" i="110"/>
  <c r="AD91" i="110"/>
  <c r="AE91" i="110"/>
  <c r="AI91" i="110"/>
  <c r="AK91" i="110"/>
  <c r="AL91" i="110"/>
  <c r="AM91" i="110"/>
  <c r="M67" i="110"/>
  <c r="L67" i="110"/>
  <c r="T20" i="161"/>
  <c r="BD20" i="161" s="1"/>
  <c r="T22" i="161"/>
  <c r="T24" i="161"/>
  <c r="T26" i="161"/>
  <c r="T28" i="161"/>
  <c r="T30" i="161"/>
  <c r="T32" i="161"/>
  <c r="BD32" i="161" s="1"/>
  <c r="T34" i="161"/>
  <c r="T36" i="161"/>
  <c r="T38" i="161"/>
  <c r="T40" i="161"/>
  <c r="BD40" i="161" s="1"/>
  <c r="T42" i="161"/>
  <c r="T44" i="161"/>
  <c r="T46" i="161"/>
  <c r="T48" i="161"/>
  <c r="T50" i="161"/>
  <c r="T52" i="161"/>
  <c r="T54" i="161"/>
  <c r="T56" i="161"/>
  <c r="O68" i="110"/>
  <c r="O71" i="110"/>
  <c r="O73" i="110"/>
  <c r="O74" i="110"/>
  <c r="O75" i="110"/>
  <c r="O76" i="110"/>
  <c r="O77" i="110"/>
  <c r="O78" i="110"/>
  <c r="O79" i="110"/>
  <c r="O80" i="110"/>
  <c r="O81" i="110"/>
  <c r="O82" i="110"/>
  <c r="O83" i="110"/>
  <c r="O84" i="110"/>
  <c r="O85" i="110"/>
  <c r="O86" i="110"/>
  <c r="W73" i="173"/>
  <c r="W74" i="173"/>
  <c r="W75" i="173"/>
  <c r="W76" i="173"/>
  <c r="W77" i="173"/>
  <c r="W78" i="173"/>
  <c r="W79" i="173"/>
  <c r="W80" i="173"/>
  <c r="W81" i="173"/>
  <c r="R20" i="161"/>
  <c r="R22" i="161"/>
  <c r="R24" i="161"/>
  <c r="R26" i="161"/>
  <c r="R30" i="161"/>
  <c r="R32" i="161"/>
  <c r="R34" i="161"/>
  <c r="R36" i="161"/>
  <c r="R38" i="161"/>
  <c r="R40" i="161"/>
  <c r="R42" i="161"/>
  <c r="R44" i="161"/>
  <c r="R46" i="161"/>
  <c r="R48" i="161"/>
  <c r="R50" i="161"/>
  <c r="R52" i="161"/>
  <c r="R54" i="161"/>
  <c r="R56" i="161"/>
  <c r="P20" i="161"/>
  <c r="P22" i="161"/>
  <c r="P24" i="161"/>
  <c r="O70" i="110" s="1"/>
  <c r="P26" i="161"/>
  <c r="P28" i="161"/>
  <c r="P30" i="161"/>
  <c r="P32" i="161"/>
  <c r="P34" i="161"/>
  <c r="P36" i="161"/>
  <c r="P38" i="161"/>
  <c r="P40" i="161"/>
  <c r="P42" i="161"/>
  <c r="P44" i="161"/>
  <c r="P46" i="161"/>
  <c r="P48" i="161"/>
  <c r="P50" i="161"/>
  <c r="P52" i="161"/>
  <c r="P54" i="161"/>
  <c r="P56" i="161"/>
  <c r="P18" i="161"/>
  <c r="BE20" i="161"/>
  <c r="BE22" i="161"/>
  <c r="BE24" i="161"/>
  <c r="BE26" i="161"/>
  <c r="BE28" i="161"/>
  <c r="BE30" i="161"/>
  <c r="BE32" i="161"/>
  <c r="BE34" i="161"/>
  <c r="BE36" i="161"/>
  <c r="BE38" i="161"/>
  <c r="BE40" i="161"/>
  <c r="BE42" i="161"/>
  <c r="BE44" i="161"/>
  <c r="BE46" i="161"/>
  <c r="BE48" i="161"/>
  <c r="BE50" i="161"/>
  <c r="BE52" i="161"/>
  <c r="BE54" i="161"/>
  <c r="BE56" i="161"/>
  <c r="AC82" i="173"/>
  <c r="R28" i="161" s="1"/>
  <c r="O72" i="110" s="1"/>
  <c r="AC72" i="173"/>
  <c r="R18" i="161" s="1"/>
  <c r="AN36" i="161" l="1"/>
  <c r="BD36" i="161"/>
  <c r="AN34" i="161"/>
  <c r="BD34" i="161"/>
  <c r="AN54" i="161"/>
  <c r="BD54" i="161"/>
  <c r="AN30" i="161"/>
  <c r="BD30" i="161"/>
  <c r="AN56" i="161"/>
  <c r="BD56" i="161"/>
  <c r="AN52" i="161"/>
  <c r="BD52" i="161"/>
  <c r="AN28" i="161"/>
  <c r="BD28" i="161"/>
  <c r="AN50" i="161"/>
  <c r="BD50" i="161"/>
  <c r="AN26" i="161"/>
  <c r="BD26" i="161"/>
  <c r="AN48" i="161"/>
  <c r="BD48" i="161"/>
  <c r="AN24" i="161"/>
  <c r="BD24" i="161"/>
  <c r="AN46" i="161"/>
  <c r="BD46" i="161"/>
  <c r="AN22" i="161"/>
  <c r="BD22" i="161"/>
  <c r="AN44" i="161"/>
  <c r="BD44" i="161"/>
  <c r="AN38" i="161"/>
  <c r="BD38" i="161"/>
  <c r="AN42" i="161"/>
  <c r="BD42" i="161"/>
  <c r="AN32" i="161"/>
  <c r="AW20" i="161"/>
  <c r="P68" i="110" s="1"/>
  <c r="AN20" i="161"/>
  <c r="AW40" i="161"/>
  <c r="P78" i="110" s="1"/>
  <c r="AN40" i="161"/>
  <c r="AK38" i="161"/>
  <c r="BH38" i="161"/>
  <c r="AK22" i="161"/>
  <c r="BH22" i="161"/>
  <c r="BH36" i="161"/>
  <c r="AK36" i="161"/>
  <c r="AK20" i="161"/>
  <c r="BH20" i="161"/>
  <c r="AK54" i="161"/>
  <c r="BH54" i="161"/>
  <c r="AT30" i="161"/>
  <c r="J73" i="110" s="1"/>
  <c r="AK30" i="161"/>
  <c r="BH30" i="161"/>
  <c r="BH52" i="161"/>
  <c r="AK52" i="161"/>
  <c r="BH28" i="161"/>
  <c r="AK28" i="161"/>
  <c r="BH50" i="161"/>
  <c r="AK50" i="161"/>
  <c r="BH42" i="161"/>
  <c r="AK42" i="161"/>
  <c r="BH34" i="161"/>
  <c r="AK34" i="161"/>
  <c r="BH26" i="161"/>
  <c r="AK26" i="161"/>
  <c r="AK46" i="161"/>
  <c r="BH46" i="161"/>
  <c r="AK44" i="161"/>
  <c r="BH44" i="161"/>
  <c r="BH56" i="161"/>
  <c r="AK56" i="161"/>
  <c r="BH48" i="161"/>
  <c r="AK48" i="161"/>
  <c r="BH40" i="161"/>
  <c r="AK40" i="161"/>
  <c r="AU32" i="161"/>
  <c r="BH32" i="161"/>
  <c r="AK32" i="161"/>
  <c r="BH24" i="161"/>
  <c r="AK24" i="161"/>
  <c r="BH18" i="161"/>
  <c r="AT36" i="161"/>
  <c r="J76" i="110" s="1"/>
  <c r="AZ40" i="161"/>
  <c r="AV54" i="161"/>
  <c r="N85" i="110" s="1"/>
  <c r="AV46" i="161"/>
  <c r="N81" i="110" s="1"/>
  <c r="AT38" i="161"/>
  <c r="J77" i="110" s="1"/>
  <c r="AV38" i="161"/>
  <c r="N77" i="110" s="1"/>
  <c r="AV30" i="161"/>
  <c r="N73" i="110" s="1"/>
  <c r="AZ22" i="161"/>
  <c r="AV22" i="161"/>
  <c r="N69" i="110" s="1"/>
  <c r="AT52" i="161"/>
  <c r="J84" i="110" s="1"/>
  <c r="AV52" i="161"/>
  <c r="N84" i="110" s="1"/>
  <c r="AW44" i="161"/>
  <c r="P80" i="110" s="1"/>
  <c r="AV44" i="161"/>
  <c r="N80" i="110" s="1"/>
  <c r="AW36" i="161"/>
  <c r="P76" i="110" s="1"/>
  <c r="AV36" i="161"/>
  <c r="N76" i="110" s="1"/>
  <c r="AU28" i="161"/>
  <c r="AV28" i="161"/>
  <c r="N72" i="110" s="1"/>
  <c r="AV20" i="161"/>
  <c r="N68" i="110" s="1"/>
  <c r="AW18" i="161"/>
  <c r="AV18" i="161"/>
  <c r="AV50" i="161"/>
  <c r="N83" i="110" s="1"/>
  <c r="AV42" i="161"/>
  <c r="N79" i="110" s="1"/>
  <c r="AV34" i="161"/>
  <c r="N75" i="110" s="1"/>
  <c r="AW26" i="161"/>
  <c r="P71" i="110" s="1"/>
  <c r="AV26" i="161"/>
  <c r="N71" i="110" s="1"/>
  <c r="AV56" i="161"/>
  <c r="N86" i="110" s="1"/>
  <c r="AV48" i="161"/>
  <c r="N82" i="110" s="1"/>
  <c r="AV40" i="161"/>
  <c r="N78" i="110" s="1"/>
  <c r="AV32" i="161"/>
  <c r="N74" i="110" s="1"/>
  <c r="AT24" i="161"/>
  <c r="J70" i="110" s="1"/>
  <c r="AV24" i="161"/>
  <c r="N70" i="110" s="1"/>
  <c r="BF54" i="161"/>
  <c r="AU50" i="161"/>
  <c r="AU42" i="161"/>
  <c r="AU48" i="161"/>
  <c r="AT48" i="161"/>
  <c r="J82" i="110" s="1"/>
  <c r="AZ56" i="161"/>
  <c r="AU44" i="161"/>
  <c r="AZ36" i="161"/>
  <c r="AU34" i="161"/>
  <c r="AU56" i="161"/>
  <c r="AZ48" i="161"/>
  <c r="BF40" i="161"/>
  <c r="AW32" i="161"/>
  <c r="P74" i="110" s="1"/>
  <c r="AW24" i="161"/>
  <c r="P70" i="110" s="1"/>
  <c r="AT56" i="161"/>
  <c r="J86" i="110" s="1"/>
  <c r="BF48" i="161"/>
  <c r="AW48" i="161"/>
  <c r="P82" i="110" s="1"/>
  <c r="AW46" i="161"/>
  <c r="P81" i="110" s="1"/>
  <c r="AT40" i="161"/>
  <c r="J78" i="110" s="1"/>
  <c r="BF32" i="161"/>
  <c r="AW38" i="161"/>
  <c r="P77" i="110" s="1"/>
  <c r="AW22" i="161"/>
  <c r="P69" i="110" s="1"/>
  <c r="AW54" i="161"/>
  <c r="P85" i="110" s="1"/>
  <c r="BF38" i="161"/>
  <c r="BF46" i="161"/>
  <c r="AU54" i="161"/>
  <c r="AU46" i="161"/>
  <c r="AU38" i="161"/>
  <c r="AU22" i="161"/>
  <c r="AZ54" i="161"/>
  <c r="AT54" i="161"/>
  <c r="J85" i="110" s="1"/>
  <c r="AZ46" i="161"/>
  <c r="AT46" i="161"/>
  <c r="J81" i="110" s="1"/>
  <c r="AZ38" i="161"/>
  <c r="AZ52" i="161"/>
  <c r="AZ28" i="161"/>
  <c r="BF56" i="161"/>
  <c r="AW56" i="161"/>
  <c r="P86" i="110" s="1"/>
  <c r="BF52" i="161"/>
  <c r="AW52" i="161"/>
  <c r="P84" i="110" s="1"/>
  <c r="AU40" i="161"/>
  <c r="AU36" i="161"/>
  <c r="AZ32" i="161"/>
  <c r="AT32" i="161"/>
  <c r="J74" i="110" s="1"/>
  <c r="AW28" i="161"/>
  <c r="BF28" i="161" s="1"/>
  <c r="BF24" i="161"/>
  <c r="BF20" i="161"/>
  <c r="BF36" i="161"/>
  <c r="AU52" i="161"/>
  <c r="AZ44" i="161"/>
  <c r="AT44" i="161"/>
  <c r="J80" i="110" s="1"/>
  <c r="BF44" i="161"/>
  <c r="W82" i="173"/>
  <c r="W72" i="173"/>
  <c r="O69" i="110"/>
  <c r="AZ42" i="161"/>
  <c r="AZ34" i="161"/>
  <c r="AT34" i="161"/>
  <c r="J75" i="110" s="1"/>
  <c r="AT50" i="161"/>
  <c r="J83" i="110" s="1"/>
  <c r="BF42" i="161"/>
  <c r="BF34" i="161"/>
  <c r="AW34" i="161"/>
  <c r="P75" i="110" s="1"/>
  <c r="AZ50" i="161"/>
  <c r="AT42" i="161"/>
  <c r="J79" i="110" s="1"/>
  <c r="BF50" i="161"/>
  <c r="AW50" i="161"/>
  <c r="P83" i="110" s="1"/>
  <c r="AW42" i="161"/>
  <c r="P79" i="110" s="1"/>
  <c r="AU18" i="161"/>
  <c r="AU26" i="161"/>
  <c r="AZ18" i="161"/>
  <c r="AZ26" i="161"/>
  <c r="AU20" i="161"/>
  <c r="AZ20" i="161"/>
  <c r="AU24" i="161"/>
  <c r="AZ24" i="161"/>
  <c r="AZ30" i="161"/>
  <c r="AU30" i="161"/>
  <c r="BF30" i="161"/>
  <c r="AW30" i="161"/>
  <c r="P73" i="110" s="1"/>
  <c r="BF26" i="161"/>
  <c r="BF22" i="161"/>
  <c r="AM183" i="110"/>
  <c r="AM184" i="110"/>
  <c r="AM185" i="110"/>
  <c r="AM186" i="110"/>
  <c r="AM187" i="110"/>
  <c r="AM188" i="110"/>
  <c r="AM189" i="110"/>
  <c r="AM190" i="110"/>
  <c r="AM191" i="110"/>
  <c r="AM192" i="110"/>
  <c r="AM193" i="110"/>
  <c r="AM194" i="110"/>
  <c r="AM195" i="110"/>
  <c r="AM196" i="110"/>
  <c r="AM182" i="110"/>
  <c r="AK183" i="110"/>
  <c r="AK184" i="110"/>
  <c r="AK185" i="110"/>
  <c r="AK186" i="110"/>
  <c r="AK187" i="110"/>
  <c r="AK188" i="110"/>
  <c r="AK189" i="110"/>
  <c r="AK190" i="110"/>
  <c r="AK191" i="110"/>
  <c r="AK192" i="110"/>
  <c r="AK193" i="110"/>
  <c r="AK194" i="110"/>
  <c r="AK195" i="110"/>
  <c r="AK196" i="110"/>
  <c r="AK182" i="110"/>
  <c r="AH183" i="110"/>
  <c r="AH184" i="110"/>
  <c r="AH185" i="110"/>
  <c r="AH186" i="110"/>
  <c r="AH187" i="110"/>
  <c r="AH188" i="110"/>
  <c r="AH189" i="110"/>
  <c r="AH190" i="110"/>
  <c r="AH191" i="110"/>
  <c r="AH192" i="110"/>
  <c r="AH193" i="110"/>
  <c r="AH194" i="110"/>
  <c r="AH195" i="110"/>
  <c r="AH196" i="110"/>
  <c r="AH182" i="110"/>
  <c r="F183" i="110"/>
  <c r="F184" i="110"/>
  <c r="F185" i="110"/>
  <c r="F186" i="110"/>
  <c r="F187" i="110"/>
  <c r="F188" i="110"/>
  <c r="F189" i="110"/>
  <c r="F190" i="110"/>
  <c r="F191" i="110"/>
  <c r="F192" i="110"/>
  <c r="F193" i="110"/>
  <c r="F194" i="110"/>
  <c r="F195" i="110"/>
  <c r="F196" i="110"/>
  <c r="F182" i="110"/>
  <c r="G183" i="110"/>
  <c r="G184" i="110"/>
  <c r="G185" i="110"/>
  <c r="G186" i="110"/>
  <c r="G187" i="110"/>
  <c r="G188" i="110"/>
  <c r="G189" i="110"/>
  <c r="G190" i="110"/>
  <c r="G191" i="110"/>
  <c r="G192" i="110"/>
  <c r="G193" i="110"/>
  <c r="G194" i="110"/>
  <c r="G195" i="110"/>
  <c r="G196" i="110"/>
  <c r="G182" i="110"/>
  <c r="AL5" i="110"/>
  <c r="AL6" i="110"/>
  <c r="AL7" i="110"/>
  <c r="AL8" i="110"/>
  <c r="AL9" i="110"/>
  <c r="AL10" i="110"/>
  <c r="AL11" i="110"/>
  <c r="AL12" i="110"/>
  <c r="AL13" i="110"/>
  <c r="AL14" i="110"/>
  <c r="AL15" i="110"/>
  <c r="AL16" i="110"/>
  <c r="AL17" i="110"/>
  <c r="AL18" i="110"/>
  <c r="AL19" i="110"/>
  <c r="AL20" i="110"/>
  <c r="AL21" i="110"/>
  <c r="AL22" i="110"/>
  <c r="AL23" i="110"/>
  <c r="AL24" i="110"/>
  <c r="AL25" i="110"/>
  <c r="AL26" i="110"/>
  <c r="AL27" i="110"/>
  <c r="AL28" i="110"/>
  <c r="AL29" i="110"/>
  <c r="AL30" i="110"/>
  <c r="AL31" i="110"/>
  <c r="AL32" i="110"/>
  <c r="AL33" i="110"/>
  <c r="AL4" i="110"/>
  <c r="AM5" i="110"/>
  <c r="AM6" i="110"/>
  <c r="AM7" i="110"/>
  <c r="AM8" i="110"/>
  <c r="AM9" i="110"/>
  <c r="AM10" i="110"/>
  <c r="AM11" i="110"/>
  <c r="AM12" i="110"/>
  <c r="AM13" i="110"/>
  <c r="AM14" i="110"/>
  <c r="AM15" i="110"/>
  <c r="AM16" i="110"/>
  <c r="AM17" i="110"/>
  <c r="AM18" i="110"/>
  <c r="AM19" i="110"/>
  <c r="AM20" i="110"/>
  <c r="AM21" i="110"/>
  <c r="AM22" i="110"/>
  <c r="AM23" i="110"/>
  <c r="AM24" i="110"/>
  <c r="AM25" i="110"/>
  <c r="AM26" i="110"/>
  <c r="AM27" i="110"/>
  <c r="AM28" i="110"/>
  <c r="AM29" i="110"/>
  <c r="AM30" i="110"/>
  <c r="AM31" i="110"/>
  <c r="AM32" i="110"/>
  <c r="AM33" i="110"/>
  <c r="AM4" i="110"/>
  <c r="AK5" i="110"/>
  <c r="AK6" i="110"/>
  <c r="AK7" i="110"/>
  <c r="AK8" i="110"/>
  <c r="AK9" i="110"/>
  <c r="AK10" i="110"/>
  <c r="AK11" i="110"/>
  <c r="AK12" i="110"/>
  <c r="AK13" i="110"/>
  <c r="AK14" i="110"/>
  <c r="AK15" i="110"/>
  <c r="AK16" i="110"/>
  <c r="AK17" i="110"/>
  <c r="AK18" i="110"/>
  <c r="AK19" i="110"/>
  <c r="AK20" i="110"/>
  <c r="AK21" i="110"/>
  <c r="AK22" i="110"/>
  <c r="AK23" i="110"/>
  <c r="AK24" i="110"/>
  <c r="AK25" i="110"/>
  <c r="AK26" i="110"/>
  <c r="AK27" i="110"/>
  <c r="AK28" i="110"/>
  <c r="AK29" i="110"/>
  <c r="AK30" i="110"/>
  <c r="AK31" i="110"/>
  <c r="AK32" i="110"/>
  <c r="AK33" i="110"/>
  <c r="AK4" i="110"/>
  <c r="AG6" i="110"/>
  <c r="AG9" i="110"/>
  <c r="AG19" i="110"/>
  <c r="AG20" i="110"/>
  <c r="AG21" i="110"/>
  <c r="AG22" i="110"/>
  <c r="AG23" i="110"/>
  <c r="AG24" i="110"/>
  <c r="AG25" i="110"/>
  <c r="AG26" i="110"/>
  <c r="AG27" i="110"/>
  <c r="AG28" i="110"/>
  <c r="AG29" i="110"/>
  <c r="AG30" i="110"/>
  <c r="AG31" i="110"/>
  <c r="AG32" i="110"/>
  <c r="AG33" i="110"/>
  <c r="AF19" i="110"/>
  <c r="AF20" i="110"/>
  <c r="AF21" i="110"/>
  <c r="AF22" i="110"/>
  <c r="AF23" i="110"/>
  <c r="AF24" i="110"/>
  <c r="AF25" i="110"/>
  <c r="AF26" i="110"/>
  <c r="AF27" i="110"/>
  <c r="AF28" i="110"/>
  <c r="AF29" i="110"/>
  <c r="AF30" i="110"/>
  <c r="AF31" i="110"/>
  <c r="AF32" i="110"/>
  <c r="AF33" i="110"/>
  <c r="R85" i="110" l="1"/>
  <c r="R79" i="110"/>
  <c r="R80" i="110"/>
  <c r="R86" i="110"/>
  <c r="R84" i="110"/>
  <c r="R73" i="110"/>
  <c r="R75" i="110"/>
  <c r="R77" i="110"/>
  <c r="R70" i="110"/>
  <c r="R76" i="110"/>
  <c r="R74" i="110"/>
  <c r="R81" i="110"/>
  <c r="R82" i="110"/>
  <c r="R78" i="110"/>
  <c r="BC36" i="161"/>
  <c r="BC40" i="161"/>
  <c r="AK18" i="161"/>
  <c r="I13" i="3"/>
  <c r="J13" i="3"/>
  <c r="BC48" i="161"/>
  <c r="BC54" i="161"/>
  <c r="BC32" i="161"/>
  <c r="BC46" i="161"/>
  <c r="BC56" i="161"/>
  <c r="BC38" i="161"/>
  <c r="BC52" i="161"/>
  <c r="P72" i="110"/>
  <c r="BC44" i="161"/>
  <c r="BC42" i="161"/>
  <c r="BC34" i="161"/>
  <c r="BC30" i="161"/>
  <c r="BC24" i="161"/>
  <c r="BC50" i="161"/>
  <c r="R83" i="110"/>
  <c r="BE20" i="159"/>
  <c r="BE22" i="159"/>
  <c r="BE24" i="159"/>
  <c r="BE26" i="159"/>
  <c r="BE28" i="159"/>
  <c r="BE30" i="159"/>
  <c r="BE32" i="159"/>
  <c r="BE34" i="159"/>
  <c r="BE36" i="159"/>
  <c r="BE18" i="159"/>
  <c r="BE20" i="160"/>
  <c r="BE22" i="160"/>
  <c r="BE24" i="160"/>
  <c r="BE26" i="160"/>
  <c r="BE28" i="160"/>
  <c r="BE30" i="160"/>
  <c r="BE32" i="160"/>
  <c r="BE34" i="160"/>
  <c r="BE36" i="160"/>
  <c r="BE18" i="161"/>
  <c r="BE20" i="182"/>
  <c r="BE22" i="182"/>
  <c r="BE24" i="182"/>
  <c r="BE26" i="182"/>
  <c r="BE28" i="182"/>
  <c r="BE30" i="182"/>
  <c r="BE32" i="182"/>
  <c r="BE34" i="182"/>
  <c r="BE36" i="182"/>
  <c r="BE18" i="182"/>
  <c r="BE20" i="162"/>
  <c r="BE22" i="162"/>
  <c r="BE24" i="162"/>
  <c r="BE26" i="162"/>
  <c r="BE28" i="162"/>
  <c r="BE30" i="162"/>
  <c r="BE32" i="162"/>
  <c r="BE34" i="162"/>
  <c r="BE36" i="162"/>
  <c r="BE18" i="162"/>
  <c r="BE20" i="163"/>
  <c r="BE22" i="163"/>
  <c r="BE24" i="163"/>
  <c r="BE26" i="163"/>
  <c r="BE28" i="163"/>
  <c r="BE30" i="163"/>
  <c r="BE32" i="163"/>
  <c r="BE34" i="163"/>
  <c r="BE36" i="163"/>
  <c r="BE18" i="163"/>
  <c r="BE18" i="160"/>
  <c r="BF24" i="159"/>
  <c r="BF26" i="159"/>
  <c r="BF28" i="159"/>
  <c r="BF30" i="159"/>
  <c r="BF32" i="159"/>
  <c r="BF34" i="159"/>
  <c r="BF36" i="159"/>
  <c r="AG4" i="110"/>
  <c r="BE20" i="158"/>
  <c r="BE22" i="158"/>
  <c r="BE24" i="158"/>
  <c r="BE26" i="158"/>
  <c r="BE28" i="158"/>
  <c r="BE30" i="158"/>
  <c r="BE32" i="158"/>
  <c r="BE34" i="158"/>
  <c r="BE36" i="158"/>
  <c r="BE38" i="158"/>
  <c r="BE40" i="158"/>
  <c r="BE42" i="158"/>
  <c r="BE44" i="158"/>
  <c r="BE46" i="158"/>
  <c r="BE18" i="158"/>
  <c r="BK20" i="168"/>
  <c r="BK22" i="168"/>
  <c r="BK24" i="168"/>
  <c r="BK28" i="168"/>
  <c r="BK30" i="168"/>
  <c r="BK32" i="168"/>
  <c r="BK34" i="168"/>
  <c r="BK36" i="168"/>
  <c r="J123" i="202" l="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103" i="202"/>
  <c r="K103" i="202" s="1"/>
  <c r="J102" i="202"/>
  <c r="K102" i="202" s="1"/>
  <c r="J370" i="202"/>
  <c r="K370" i="202" s="1"/>
  <c r="J369" i="202"/>
  <c r="K369" i="202" s="1"/>
  <c r="J368" i="202"/>
  <c r="K368" i="202" s="1"/>
  <c r="J367" i="202"/>
  <c r="K367" i="202" s="1"/>
  <c r="J366" i="202"/>
  <c r="K366" i="202" s="1"/>
  <c r="J365" i="202"/>
  <c r="K365" i="202" s="1"/>
  <c r="J364" i="202"/>
  <c r="K364" i="202" s="1"/>
  <c r="J363" i="202"/>
  <c r="K363" i="202" s="1"/>
  <c r="J362" i="202"/>
  <c r="K362" i="202" s="1"/>
  <c r="J361" i="202"/>
  <c r="K361" i="202" s="1"/>
  <c r="J360" i="202"/>
  <c r="K360" i="202" s="1"/>
  <c r="J359" i="202"/>
  <c r="K359" i="202" s="1"/>
  <c r="J385" i="202"/>
  <c r="K385" i="202" s="1"/>
  <c r="J358" i="202"/>
  <c r="K358" i="202" s="1"/>
  <c r="J357" i="202"/>
  <c r="K357" i="202" s="1"/>
  <c r="J356" i="202"/>
  <c r="K356" i="202" s="1"/>
  <c r="J355" i="202"/>
  <c r="K355" i="202" s="1"/>
  <c r="J354" i="202"/>
  <c r="K354" i="202" s="1"/>
  <c r="J353" i="202"/>
  <c r="K353" i="202" s="1"/>
  <c r="J352" i="202"/>
  <c r="K352" i="202" s="1"/>
  <c r="J351" i="202"/>
  <c r="K351" i="202" s="1"/>
  <c r="J350" i="202"/>
  <c r="K350" i="202" s="1"/>
  <c r="J349" i="202"/>
  <c r="K349" i="202" s="1"/>
  <c r="J373" i="202"/>
  <c r="K373" i="202" s="1"/>
  <c r="J513" i="202"/>
  <c r="K513" i="202" s="1"/>
  <c r="J512" i="202"/>
  <c r="K512" i="202" s="1"/>
  <c r="J511" i="202"/>
  <c r="K511" i="202" s="1"/>
  <c r="J517" i="202"/>
  <c r="K517" i="202" s="1"/>
  <c r="J510" i="202"/>
  <c r="K510" i="202" s="1"/>
  <c r="J348" i="202"/>
  <c r="K348" i="202" s="1"/>
  <c r="J390" i="202"/>
  <c r="K390" i="202" s="1"/>
  <c r="J389" i="202"/>
  <c r="K389" i="202" s="1"/>
  <c r="J388" i="202"/>
  <c r="K388" i="202" s="1"/>
  <c r="J344" i="202"/>
  <c r="K344" i="202" s="1"/>
  <c r="J386" i="202"/>
  <c r="K386" i="202" s="1"/>
  <c r="J387" i="202"/>
  <c r="K387" i="202" s="1"/>
  <c r="J384" i="202"/>
  <c r="K384" i="202" s="1"/>
  <c r="J383" i="202"/>
  <c r="K383" i="202" s="1"/>
  <c r="J382" i="202"/>
  <c r="K382" i="202" s="1"/>
  <c r="J381" i="202"/>
  <c r="K381" i="202" s="1"/>
  <c r="J380" i="202"/>
  <c r="K380" i="202" s="1"/>
  <c r="J379" i="202"/>
  <c r="K379" i="202" s="1"/>
  <c r="J378" i="202"/>
  <c r="K378" i="202" s="1"/>
  <c r="J377" i="202"/>
  <c r="K377" i="202" s="1"/>
  <c r="J376" i="202"/>
  <c r="K376" i="202" s="1"/>
  <c r="J333" i="202"/>
  <c r="K333" i="202" s="1"/>
  <c r="J375" i="202"/>
  <c r="K375" i="202" s="1"/>
  <c r="J331" i="202"/>
  <c r="K331" i="202" s="1"/>
  <c r="J374" i="202"/>
  <c r="K374" i="202" s="1"/>
  <c r="J372" i="202"/>
  <c r="K372" i="202" s="1"/>
  <c r="J371" i="202"/>
  <c r="K371" i="202" s="1"/>
  <c r="J391" i="202"/>
  <c r="K391" i="202" s="1"/>
  <c r="J689" i="202"/>
  <c r="K689" i="202" s="1"/>
  <c r="J688" i="202"/>
  <c r="K688" i="202" s="1"/>
  <c r="J687" i="202"/>
  <c r="K687" i="202" s="1"/>
  <c r="J686" i="202"/>
  <c r="K686" i="202" s="1"/>
  <c r="J685" i="202"/>
  <c r="K685" i="202" s="1"/>
  <c r="J668" i="202"/>
  <c r="K668" i="202" s="1"/>
  <c r="J678" i="202"/>
  <c r="K678" i="202" s="1"/>
  <c r="J683" i="202"/>
  <c r="K683" i="202" s="1"/>
  <c r="J682" i="202"/>
  <c r="K682" i="202" s="1"/>
  <c r="J681" i="202"/>
  <c r="K681" i="202" s="1"/>
  <c r="J651" i="202"/>
  <c r="K651" i="202" s="1"/>
  <c r="J680" i="202"/>
  <c r="K680" i="202" s="1"/>
  <c r="J516" i="202"/>
  <c r="K516" i="202" s="1"/>
  <c r="J515" i="202"/>
  <c r="K515" i="202" s="1"/>
  <c r="J514" i="202"/>
  <c r="K514" i="202" s="1"/>
  <c r="J133" i="202"/>
  <c r="K133" i="202" s="1"/>
  <c r="J132" i="202"/>
  <c r="K132" i="202" s="1"/>
  <c r="J131" i="202"/>
  <c r="K131" i="202" s="1"/>
  <c r="J130" i="202"/>
  <c r="K130" i="202" s="1"/>
  <c r="J129" i="202"/>
  <c r="K129" i="202" s="1"/>
  <c r="J128" i="202"/>
  <c r="K128" i="202" s="1"/>
  <c r="J127" i="202"/>
  <c r="K127" i="202" s="1"/>
  <c r="J126" i="202"/>
  <c r="K126" i="202" s="1"/>
  <c r="J125" i="202"/>
  <c r="K125" i="202" s="1"/>
  <c r="J124" i="202"/>
  <c r="K124" i="202" s="1"/>
  <c r="J346" i="202"/>
  <c r="K346" i="202" s="1"/>
  <c r="J345" i="202"/>
  <c r="K345" i="202" s="1"/>
  <c r="J343" i="202"/>
  <c r="J342" i="202"/>
  <c r="J341" i="202"/>
  <c r="K341" i="202" s="1"/>
  <c r="J340" i="202"/>
  <c r="K340" i="202" s="1"/>
  <c r="J339" i="202"/>
  <c r="K339" i="202" s="1"/>
  <c r="J338" i="202"/>
  <c r="K338" i="202" s="1"/>
  <c r="J337" i="202"/>
  <c r="K337" i="202" s="1"/>
  <c r="J336" i="202"/>
  <c r="K336" i="202" s="1"/>
  <c r="J335" i="202"/>
  <c r="K335" i="202" s="1"/>
  <c r="J334" i="202"/>
  <c r="K334" i="202" s="1"/>
  <c r="J332" i="202"/>
  <c r="K332"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15" i="202"/>
  <c r="K315" i="202" s="1"/>
  <c r="J314" i="202"/>
  <c r="K314" i="202" s="1"/>
  <c r="J313" i="202"/>
  <c r="K313" i="202" s="1"/>
  <c r="J347" i="202"/>
  <c r="K347" i="202" s="1"/>
  <c r="J676" i="202"/>
  <c r="K676" i="202" s="1"/>
  <c r="J675" i="202"/>
  <c r="K675" i="202" s="1"/>
  <c r="J672" i="202"/>
  <c r="K672" i="202" s="1"/>
  <c r="J674" i="202"/>
  <c r="K674" i="202" s="1"/>
  <c r="J673" i="202"/>
  <c r="K673" i="202" s="1"/>
  <c r="J671" i="202"/>
  <c r="K671" i="202" s="1"/>
  <c r="J670" i="202"/>
  <c r="K670" i="202" s="1"/>
  <c r="J669" i="202"/>
  <c r="K669" i="202" s="1"/>
  <c r="J667" i="202"/>
  <c r="K667" i="202" s="1"/>
  <c r="J666" i="202"/>
  <c r="K666" i="202" s="1"/>
  <c r="J665" i="202"/>
  <c r="K665" i="202" s="1"/>
  <c r="J664" i="202"/>
  <c r="K664" i="202" s="1"/>
  <c r="J663" i="202"/>
  <c r="K663" i="202" s="1"/>
  <c r="J662" i="202"/>
  <c r="K662" i="202" s="1"/>
  <c r="J661" i="202"/>
  <c r="K661" i="202" s="1"/>
  <c r="J660" i="202"/>
  <c r="K660" i="202" s="1"/>
  <c r="J684" i="202"/>
  <c r="K684" i="202" s="1"/>
  <c r="J659" i="202"/>
  <c r="K659" i="202" s="1"/>
  <c r="J658" i="202"/>
  <c r="K658" i="202" s="1"/>
  <c r="J657" i="202"/>
  <c r="K657" i="202" s="1"/>
  <c r="J656" i="202"/>
  <c r="K656" i="202" s="1"/>
  <c r="J655" i="202"/>
  <c r="K655" i="202" s="1"/>
  <c r="J654" i="202"/>
  <c r="K654" i="202" s="1"/>
  <c r="J653" i="202"/>
  <c r="K653" i="202" s="1"/>
  <c r="J652" i="202"/>
  <c r="K652" i="202" s="1"/>
  <c r="J650" i="202"/>
  <c r="K650" i="202" s="1"/>
  <c r="J649" i="202"/>
  <c r="K649" i="202" s="1"/>
  <c r="J648" i="202"/>
  <c r="K648" i="202" s="1"/>
  <c r="J647" i="202"/>
  <c r="K647" i="202" s="1"/>
  <c r="J646" i="202"/>
  <c r="K646" i="202" s="1"/>
  <c r="J645" i="202"/>
  <c r="K645" i="202" s="1"/>
  <c r="J644" i="202"/>
  <c r="K644" i="202" s="1"/>
  <c r="J643" i="202"/>
  <c r="K643" i="202" s="1"/>
  <c r="J642" i="202"/>
  <c r="K64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85" i="202"/>
  <c r="K85" i="202" s="1"/>
  <c r="J84" i="202"/>
  <c r="K84" i="202" s="1"/>
  <c r="J509" i="202"/>
  <c r="J508" i="202"/>
  <c r="K508" i="202" s="1"/>
  <c r="J507" i="202"/>
  <c r="K507" i="202" s="1"/>
  <c r="J506" i="202"/>
  <c r="K506" i="202" s="1"/>
  <c r="J505" i="202"/>
  <c r="K505" i="202" s="1"/>
  <c r="J504" i="202"/>
  <c r="K504" i="202" s="1"/>
  <c r="J503" i="202"/>
  <c r="K503" i="202" s="1"/>
  <c r="J502" i="202"/>
  <c r="K502" i="202" s="1"/>
  <c r="J501" i="202"/>
  <c r="K501" i="202" s="1"/>
  <c r="J500" i="202"/>
  <c r="K500" i="202" s="1"/>
  <c r="J499" i="202"/>
  <c r="K499" i="202" s="1"/>
  <c r="J498" i="202"/>
  <c r="K498" i="202" s="1"/>
  <c r="J497" i="202"/>
  <c r="K497" i="202" s="1"/>
  <c r="J496" i="202"/>
  <c r="K496" i="202" s="1"/>
  <c r="J495" i="202"/>
  <c r="K495" i="202" s="1"/>
  <c r="J494" i="202"/>
  <c r="K494" i="202" s="1"/>
  <c r="J493" i="202"/>
  <c r="K493" i="202" s="1"/>
  <c r="J228" i="202"/>
  <c r="K228" i="202" s="1"/>
  <c r="J467" i="202"/>
  <c r="K467" i="202" s="1"/>
  <c r="J468" i="202"/>
  <c r="K468" i="202" s="1"/>
  <c r="J469" i="202"/>
  <c r="K469" i="202" s="1"/>
  <c r="J470" i="202"/>
  <c r="K470" i="202" s="1"/>
  <c r="J471" i="202"/>
  <c r="K471" i="202" s="1"/>
  <c r="J472" i="202"/>
  <c r="K472" i="202" s="1"/>
  <c r="J473" i="202"/>
  <c r="K473" i="202" s="1"/>
  <c r="J474" i="202"/>
  <c r="K474" i="202" s="1"/>
  <c r="J475" i="202"/>
  <c r="K475" i="202" s="1"/>
  <c r="J476" i="202"/>
  <c r="K476" i="202" s="1"/>
  <c r="J477" i="202"/>
  <c r="K477" i="202" s="1"/>
  <c r="J478" i="202"/>
  <c r="K478" i="202" s="1"/>
  <c r="J479" i="202"/>
  <c r="K479" i="202" s="1"/>
  <c r="J480" i="202"/>
  <c r="K480" i="202" s="1"/>
  <c r="J481" i="202"/>
  <c r="K481" i="202" s="1"/>
  <c r="J482" i="202"/>
  <c r="K482" i="202" s="1"/>
  <c r="J483" i="202"/>
  <c r="K483" i="202" s="1"/>
  <c r="J484" i="202"/>
  <c r="K484" i="202" s="1"/>
  <c r="J485" i="202"/>
  <c r="K485" i="202" s="1"/>
  <c r="J486" i="202"/>
  <c r="K486" i="202" s="1"/>
  <c r="J487" i="202"/>
  <c r="K487" i="202" s="1"/>
  <c r="J488" i="202"/>
  <c r="K488" i="202" s="1"/>
  <c r="J489" i="202"/>
  <c r="K489" i="202" s="1"/>
  <c r="J490" i="202"/>
  <c r="K490" i="202" s="1"/>
  <c r="J491" i="202"/>
  <c r="K491" i="202" s="1"/>
  <c r="J492" i="202"/>
  <c r="K492" i="202" s="1"/>
  <c r="J466" i="202"/>
  <c r="K466"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0" i="202"/>
  <c r="K630" i="202" s="1"/>
  <c r="J631" i="202"/>
  <c r="K631" i="202" s="1"/>
  <c r="J632" i="202"/>
  <c r="K632" i="202" s="1"/>
  <c r="J633" i="202"/>
  <c r="K633" i="202" s="1"/>
  <c r="J634" i="202"/>
  <c r="K634" i="202" s="1"/>
  <c r="J635" i="202"/>
  <c r="K635" i="202" s="1"/>
  <c r="J636" i="202"/>
  <c r="K636" i="202" s="1"/>
  <c r="J637" i="202"/>
  <c r="K637" i="202" s="1"/>
  <c r="J638" i="202"/>
  <c r="K638" i="202" s="1"/>
  <c r="J639" i="202"/>
  <c r="K639" i="202" s="1"/>
  <c r="J640" i="202"/>
  <c r="K640" i="202" s="1"/>
  <c r="J641" i="202"/>
  <c r="K641" i="202" s="1"/>
  <c r="J592" i="202"/>
  <c r="K592" i="202" s="1"/>
  <c r="J230" i="202"/>
  <c r="K230" i="202" s="1"/>
  <c r="J231" i="202"/>
  <c r="K231" i="202" s="1"/>
  <c r="J232" i="202"/>
  <c r="J233" i="202"/>
  <c r="J234" i="202"/>
  <c r="J235" i="202"/>
  <c r="J236" i="202"/>
  <c r="J237" i="202"/>
  <c r="K237" i="202" s="1"/>
  <c r="J238" i="202"/>
  <c r="J239" i="202"/>
  <c r="J240" i="202"/>
  <c r="J241" i="202"/>
  <c r="J242" i="202"/>
  <c r="J243" i="202"/>
  <c r="J244" i="202"/>
  <c r="J245" i="202"/>
  <c r="J246" i="202"/>
  <c r="J247" i="202"/>
  <c r="J248" i="202"/>
  <c r="J249" i="202"/>
  <c r="J250" i="202"/>
  <c r="J251" i="202"/>
  <c r="J252" i="202"/>
  <c r="J253" i="202"/>
  <c r="J254" i="202"/>
  <c r="K254" i="202" s="1"/>
  <c r="J255" i="202"/>
  <c r="J256" i="202"/>
  <c r="J257" i="202"/>
  <c r="J258" i="202"/>
  <c r="K258" i="202" s="1"/>
  <c r="J259" i="202"/>
  <c r="K259" i="202" s="1"/>
  <c r="J260" i="202"/>
  <c r="K260" i="202" s="1"/>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229" i="202"/>
  <c r="K229" i="202" s="1"/>
  <c r="J155" i="202"/>
  <c r="K155" i="202" s="1"/>
  <c r="J154" i="202"/>
  <c r="K154" i="202" s="1"/>
  <c r="J152" i="202"/>
  <c r="K152" i="202" s="1"/>
  <c r="J151" i="202"/>
  <c r="K151" i="202" s="1"/>
  <c r="J150" i="202"/>
  <c r="K150" i="202" s="1"/>
  <c r="J464" i="202"/>
  <c r="K464" i="202" s="1"/>
  <c r="J465" i="202"/>
  <c r="K465" i="202" s="1"/>
  <c r="J463" i="202"/>
  <c r="K463" i="202" s="1"/>
  <c r="J153" i="202"/>
  <c r="K153" i="202" s="1"/>
  <c r="J227" i="202"/>
  <c r="K227" i="202" s="1"/>
  <c r="J217" i="202"/>
  <c r="K217" i="202" s="1"/>
  <c r="J226" i="202"/>
  <c r="K226" i="202" s="1"/>
  <c r="J225" i="202"/>
  <c r="K225" i="202" s="1"/>
  <c r="J224" i="202"/>
  <c r="K224" i="202" s="1"/>
  <c r="J223" i="202"/>
  <c r="K223" i="202" s="1"/>
  <c r="J222" i="202"/>
  <c r="K222" i="202" s="1"/>
  <c r="J221" i="202"/>
  <c r="K221" i="202" s="1"/>
  <c r="J212" i="202"/>
  <c r="K212" i="202" s="1"/>
  <c r="J220" i="202"/>
  <c r="K220" i="202" s="1"/>
  <c r="J591" i="202"/>
  <c r="K591" i="202" s="1"/>
  <c r="J586" i="202"/>
  <c r="K586" i="202" s="1"/>
  <c r="J219" i="202"/>
  <c r="K219" i="202" s="1"/>
  <c r="J218" i="202"/>
  <c r="K218" i="202" s="1"/>
  <c r="J216" i="202"/>
  <c r="K216" i="202" s="1"/>
  <c r="J215" i="202"/>
  <c r="K215" i="202" s="1"/>
  <c r="J214" i="202"/>
  <c r="K214" i="202" s="1"/>
  <c r="J200" i="202"/>
  <c r="K200" i="202" s="1"/>
  <c r="J213" i="202"/>
  <c r="K213" i="202" s="1"/>
  <c r="J211" i="202"/>
  <c r="K211" i="202" s="1"/>
  <c r="J210" i="202"/>
  <c r="K210" i="202" s="1"/>
  <c r="J209" i="202"/>
  <c r="K209" i="202" s="1"/>
  <c r="J208" i="202"/>
  <c r="K208" i="202" s="1"/>
  <c r="J164" i="202"/>
  <c r="K164" i="202" s="1"/>
  <c r="J460" i="202"/>
  <c r="K460" i="202" s="1"/>
  <c r="J462" i="202"/>
  <c r="K462" i="202" s="1"/>
  <c r="J461" i="202"/>
  <c r="K461" i="202" s="1"/>
  <c r="J459" i="202"/>
  <c r="K459" i="202" s="1"/>
  <c r="J458" i="202"/>
  <c r="K458" i="202" s="1"/>
  <c r="J457" i="202"/>
  <c r="K457" i="202" s="1"/>
  <c r="J456" i="202"/>
  <c r="K456" i="202" s="1"/>
  <c r="J455" i="202"/>
  <c r="K455" i="202" s="1"/>
  <c r="J454" i="202"/>
  <c r="K454" i="202" s="1"/>
  <c r="J453" i="202"/>
  <c r="K453" i="202" s="1"/>
  <c r="J452" i="202"/>
  <c r="K452" i="202" s="1"/>
  <c r="J451" i="202"/>
  <c r="K451" i="202" s="1"/>
  <c r="J450" i="202"/>
  <c r="K450" i="202" s="1"/>
  <c r="J449" i="202"/>
  <c r="K449" i="202" s="1"/>
  <c r="J448" i="202"/>
  <c r="K448" i="202" s="1"/>
  <c r="J447" i="202"/>
  <c r="K447" i="202" s="1"/>
  <c r="J446" i="202"/>
  <c r="K446" i="202" s="1"/>
  <c r="J445" i="202"/>
  <c r="K445" i="202" s="1"/>
  <c r="J444" i="202"/>
  <c r="K444" i="202" s="1"/>
  <c r="J443" i="202"/>
  <c r="K443" i="202" s="1"/>
  <c r="J441" i="202"/>
  <c r="K441" i="202" s="1"/>
  <c r="J442" i="202"/>
  <c r="J580" i="202"/>
  <c r="K580" i="202" s="1"/>
  <c r="J579" i="202"/>
  <c r="K579" i="202" s="1"/>
  <c r="J578" i="202"/>
  <c r="K578" i="202" s="1"/>
  <c r="J577" i="202"/>
  <c r="K577" i="202" s="1"/>
  <c r="J576" i="202"/>
  <c r="K576" i="202" s="1"/>
  <c r="J575" i="202"/>
  <c r="K575" i="202" s="1"/>
  <c r="J574" i="202"/>
  <c r="K574" i="202" s="1"/>
  <c r="J573" i="202"/>
  <c r="K573" i="202" s="1"/>
  <c r="J572" i="202"/>
  <c r="K572" i="202" s="1"/>
  <c r="J587" i="202"/>
  <c r="K587"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2" i="202"/>
  <c r="K552" i="202" s="1"/>
  <c r="J551" i="202"/>
  <c r="K551" i="202" s="1"/>
  <c r="J550" i="202"/>
  <c r="K550" i="202" s="1"/>
  <c r="J549" i="202"/>
  <c r="K549" i="202" s="1"/>
  <c r="J548" i="202"/>
  <c r="K548" i="202" s="1"/>
  <c r="J547" i="202"/>
  <c r="K547" i="202" s="1"/>
  <c r="J545" i="202"/>
  <c r="K545" i="202" s="1"/>
  <c r="J546" i="202"/>
  <c r="K546" i="202" s="1"/>
  <c r="J589" i="202"/>
  <c r="K589" i="202" s="1"/>
  <c r="J585" i="202"/>
  <c r="K585" i="202" s="1"/>
  <c r="J584" i="202"/>
  <c r="K584" i="202" s="1"/>
  <c r="J583" i="202"/>
  <c r="K583" i="202" s="1"/>
  <c r="J582" i="202"/>
  <c r="K582" i="202" s="1"/>
  <c r="J581" i="202"/>
  <c r="K581" i="202" s="1"/>
  <c r="J207" i="202"/>
  <c r="K207" i="202" s="1"/>
  <c r="J206" i="202"/>
  <c r="K206" i="202" s="1"/>
  <c r="J205" i="202"/>
  <c r="K205" i="202" s="1"/>
  <c r="J204" i="202"/>
  <c r="K204" i="202" s="1"/>
  <c r="J203" i="202"/>
  <c r="K203" i="202" s="1"/>
  <c r="J202" i="202"/>
  <c r="K202" i="202" s="1"/>
  <c r="J201" i="202"/>
  <c r="K201" i="202" s="1"/>
  <c r="J199" i="202"/>
  <c r="K199" i="202" s="1"/>
  <c r="J198" i="202"/>
  <c r="K198" i="202" s="1"/>
  <c r="J197" i="202"/>
  <c r="K197" i="202" s="1"/>
  <c r="J196" i="202"/>
  <c r="K196" i="202" s="1"/>
  <c r="J195" i="202"/>
  <c r="K195"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K171" i="202" s="1"/>
  <c r="J170" i="202"/>
  <c r="J169" i="202"/>
  <c r="J168" i="202"/>
  <c r="J167" i="202"/>
  <c r="J166" i="202"/>
  <c r="J165" i="202"/>
  <c r="J163" i="202"/>
  <c r="J162" i="202"/>
  <c r="J161" i="202"/>
  <c r="J160" i="202"/>
  <c r="K160" i="202" s="1"/>
  <c r="J159" i="202"/>
  <c r="K159" i="202" s="1"/>
  <c r="J158" i="202"/>
  <c r="K158" i="202" s="1"/>
  <c r="J156" i="202"/>
  <c r="K156" i="202" s="1"/>
  <c r="J157" i="202"/>
  <c r="K157" i="202" s="1"/>
  <c r="K123" i="202"/>
  <c r="K162" i="202" l="1"/>
  <c r="K167" i="202"/>
  <c r="K163" i="202"/>
  <c r="K168" i="202"/>
  <c r="K165" i="202"/>
  <c r="K169" i="202"/>
  <c r="K161" i="202"/>
  <c r="K166" i="202"/>
  <c r="K170" i="202"/>
  <c r="K342" i="202"/>
  <c r="K343" i="202"/>
  <c r="K509" i="202"/>
  <c r="K442" i="202"/>
  <c r="T24" i="158"/>
  <c r="AG7" i="110" s="1"/>
  <c r="AI20" i="158"/>
  <c r="AI22" i="158"/>
  <c r="AI24" i="158"/>
  <c r="AI26" i="158"/>
  <c r="AI28" i="158"/>
  <c r="AI30" i="158"/>
  <c r="AI32" i="158"/>
  <c r="AI34" i="158"/>
  <c r="AI36" i="158"/>
  <c r="AI38" i="158"/>
  <c r="AI40" i="158"/>
  <c r="AI42" i="158"/>
  <c r="AI44" i="158"/>
  <c r="AI46" i="158"/>
  <c r="T38" i="158"/>
  <c r="AG14" i="110" s="1"/>
  <c r="R32" i="158"/>
  <c r="R34" i="158"/>
  <c r="R36" i="158"/>
  <c r="R38" i="158"/>
  <c r="R40" i="158"/>
  <c r="R42" i="158"/>
  <c r="R44" i="158"/>
  <c r="K4" i="202"/>
  <c r="J135" i="202"/>
  <c r="K135" i="202" s="1"/>
  <c r="J136" i="202"/>
  <c r="K136" i="202" s="1"/>
  <c r="J134" i="202"/>
  <c r="K134" i="202" s="1"/>
  <c r="J3" i="202"/>
  <c r="K3" i="202" s="1"/>
  <c r="K245" i="202"/>
  <c r="K246" i="202"/>
  <c r="K249" i="202"/>
  <c r="K250" i="202"/>
  <c r="K253" i="202"/>
  <c r="K255" i="202"/>
  <c r="K243" i="202"/>
  <c r="K244" i="202"/>
  <c r="K247" i="202"/>
  <c r="K248" i="202"/>
  <c r="K251" i="202"/>
  <c r="K252" i="202"/>
  <c r="K256" i="202"/>
  <c r="K257" i="202"/>
  <c r="K240" i="202"/>
  <c r="K241" i="202"/>
  <c r="K242" i="202"/>
  <c r="J46" i="202"/>
  <c r="K46" i="202" s="1"/>
  <c r="J83" i="202"/>
  <c r="K83" i="202" s="1"/>
  <c r="J82" i="202"/>
  <c r="K82" i="202" s="1"/>
  <c r="J81" i="202"/>
  <c r="K81" i="202" s="1"/>
  <c r="J80" i="202"/>
  <c r="K80" i="202" s="1"/>
  <c r="J79" i="202"/>
  <c r="K79" i="202" s="1"/>
  <c r="J78" i="202"/>
  <c r="K78" i="202" s="1"/>
  <c r="J77" i="202"/>
  <c r="K77" i="202" s="1"/>
  <c r="J47" i="202"/>
  <c r="K47" i="202" s="1"/>
  <c r="J48" i="202"/>
  <c r="K48" i="202" s="1"/>
  <c r="J49" i="202"/>
  <c r="K49" i="202" s="1"/>
  <c r="J50" i="202"/>
  <c r="K50" i="202" s="1"/>
  <c r="J51" i="202"/>
  <c r="K51" i="202" s="1"/>
  <c r="J52" i="202"/>
  <c r="K52" i="202" s="1"/>
  <c r="J76" i="202"/>
  <c r="K76" i="202" s="1"/>
  <c r="J75" i="202"/>
  <c r="K75" i="202" s="1"/>
  <c r="J74" i="202"/>
  <c r="K74" i="202" s="1"/>
  <c r="J73" i="202"/>
  <c r="K73" i="202" s="1"/>
  <c r="J72" i="202"/>
  <c r="K72" i="202" s="1"/>
  <c r="J71" i="202"/>
  <c r="K71" i="202" s="1"/>
  <c r="J70" i="202"/>
  <c r="K70" i="202" s="1"/>
  <c r="J69" i="202"/>
  <c r="K69" i="202" s="1"/>
  <c r="J68" i="202"/>
  <c r="K68" i="202" s="1"/>
  <c r="J54" i="202"/>
  <c r="K54" i="202" s="1"/>
  <c r="J55" i="202"/>
  <c r="K55"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53" i="202"/>
  <c r="K53" i="202" s="1"/>
  <c r="K236" i="202"/>
  <c r="K238" i="202"/>
  <c r="K239" i="202"/>
  <c r="K149" i="202"/>
  <c r="K542" i="202"/>
  <c r="K543" i="202"/>
  <c r="K544" i="202"/>
  <c r="K235" i="202"/>
  <c r="K232" i="202"/>
  <c r="K137" i="202"/>
  <c r="K138" i="202"/>
  <c r="K535" i="202"/>
  <c r="K436" i="202"/>
  <c r="K437" i="202"/>
  <c r="K438" i="202"/>
  <c r="K233" i="202"/>
  <c r="K139" i="202"/>
  <c r="K140" i="202"/>
  <c r="K141" i="202"/>
  <c r="K142" i="202"/>
  <c r="K143" i="202"/>
  <c r="K536" i="202"/>
  <c r="K537" i="202"/>
  <c r="K538" i="202"/>
  <c r="K539" i="202"/>
  <c r="K540" i="202"/>
  <c r="K541" i="202"/>
  <c r="K439" i="202"/>
  <c r="K440" i="202"/>
  <c r="K234" i="202"/>
  <c r="K144" i="202"/>
  <c r="K145" i="202"/>
  <c r="K146" i="202"/>
  <c r="K147" i="202"/>
  <c r="K148" i="202"/>
  <c r="J5" i="202"/>
  <c r="K5" i="202" s="1"/>
  <c r="J6" i="202"/>
  <c r="K6" i="202" s="1"/>
  <c r="J7" i="202"/>
  <c r="K7" i="202" s="1"/>
  <c r="J8" i="202"/>
  <c r="K8" i="202" s="1"/>
  <c r="J9" i="202"/>
  <c r="K9" i="202" s="1"/>
  <c r="J10" i="202"/>
  <c r="K10" i="202" s="1"/>
  <c r="J11" i="202"/>
  <c r="K11" i="202" s="1"/>
  <c r="J37" i="202"/>
  <c r="K37" i="202" s="1"/>
  <c r="J38" i="202"/>
  <c r="K38" i="202" s="1"/>
  <c r="J39" i="202"/>
  <c r="K39" i="202" s="1"/>
  <c r="J40" i="202"/>
  <c r="K40" i="202" s="1"/>
  <c r="J41" i="202"/>
  <c r="K41" i="202" s="1"/>
  <c r="J42" i="202"/>
  <c r="K42" i="202" s="1"/>
  <c r="J43" i="202"/>
  <c r="K43" i="202" s="1"/>
  <c r="J44" i="202"/>
  <c r="K44" i="202" s="1"/>
  <c r="J45" i="202"/>
  <c r="K45" i="202" s="1"/>
  <c r="J29" i="202"/>
  <c r="K29" i="202" s="1"/>
  <c r="J18" i="202"/>
  <c r="K18" i="202" s="1"/>
  <c r="J30" i="202"/>
  <c r="K30" i="202" s="1"/>
  <c r="J31" i="202"/>
  <c r="K31" i="202" s="1"/>
  <c r="J32" i="202"/>
  <c r="K32" i="202" s="1"/>
  <c r="J23" i="202"/>
  <c r="K23" i="202" s="1"/>
  <c r="J33" i="202"/>
  <c r="K33" i="202" s="1"/>
  <c r="J34" i="202"/>
  <c r="K34" i="202" s="1"/>
  <c r="J35" i="202"/>
  <c r="K35" i="202" s="1"/>
  <c r="J36" i="202"/>
  <c r="K36" i="202" s="1"/>
  <c r="J12" i="202"/>
  <c r="K12" i="202" s="1"/>
  <c r="J13" i="202"/>
  <c r="K13" i="202" s="1"/>
  <c r="J14" i="202"/>
  <c r="K14" i="202" s="1"/>
  <c r="J15" i="202"/>
  <c r="K15" i="202" s="1"/>
  <c r="J16" i="202"/>
  <c r="K16" i="202" s="1"/>
  <c r="J17" i="202"/>
  <c r="K17" i="202" s="1"/>
  <c r="J19" i="202"/>
  <c r="K19" i="202" s="1"/>
  <c r="J20" i="202"/>
  <c r="K20" i="202" s="1"/>
  <c r="J21" i="202"/>
  <c r="K21" i="202" s="1"/>
  <c r="J22" i="202"/>
  <c r="K22" i="202" s="1"/>
  <c r="J24" i="202"/>
  <c r="K24" i="202" s="1"/>
  <c r="J25" i="202"/>
  <c r="K25" i="202" s="1"/>
  <c r="J26" i="202"/>
  <c r="K26" i="202" s="1"/>
  <c r="J27" i="202"/>
  <c r="K27" i="202" s="1"/>
  <c r="J28" i="202"/>
  <c r="K28" i="202" s="1"/>
  <c r="BD38" i="158" l="1"/>
  <c r="AN38" i="158"/>
  <c r="AT14" i="110" s="1"/>
  <c r="R24" i="158"/>
  <c r="R20" i="158"/>
  <c r="BD20" i="158" s="1"/>
  <c r="BH38" i="158"/>
  <c r="AK38" i="158"/>
  <c r="AF17" i="110"/>
  <c r="AF13" i="110"/>
  <c r="AF16" i="110"/>
  <c r="AF12" i="110"/>
  <c r="AF15" i="110"/>
  <c r="AF11" i="110"/>
  <c r="AF14" i="110"/>
  <c r="AY38" i="158"/>
  <c r="BA38" i="158"/>
  <c r="AX38" i="158"/>
  <c r="AV38" i="158"/>
  <c r="R18" i="158"/>
  <c r="BF38" i="158"/>
  <c r="AF9" i="110"/>
  <c r="R30" i="158"/>
  <c r="BB38" i="158"/>
  <c r="AU38" i="158"/>
  <c r="R26" i="158"/>
  <c r="R22" i="158"/>
  <c r="AZ38" i="158"/>
  <c r="AT38" i="158"/>
  <c r="AW38" i="158"/>
  <c r="BB24" i="159"/>
  <c r="BB26" i="159"/>
  <c r="BB28" i="159"/>
  <c r="BB30" i="159"/>
  <c r="BB32" i="159"/>
  <c r="BB34" i="159"/>
  <c r="BB36" i="159"/>
  <c r="BG20" i="159"/>
  <c r="BG22" i="159"/>
  <c r="BG24" i="159"/>
  <c r="BG26" i="159"/>
  <c r="BG28" i="159"/>
  <c r="BG30" i="159"/>
  <c r="BG32" i="159"/>
  <c r="BG34" i="159"/>
  <c r="BG36" i="159"/>
  <c r="BG18" i="159"/>
  <c r="AF18" i="110" l="1"/>
  <c r="AN22" i="158"/>
  <c r="BD22" i="158"/>
  <c r="AN24" i="158"/>
  <c r="BD24" i="158"/>
  <c r="AX18" i="158"/>
  <c r="AW20" i="158"/>
  <c r="AN20" i="158"/>
  <c r="BH24" i="158"/>
  <c r="AK24" i="158"/>
  <c r="BH22" i="158"/>
  <c r="AK22" i="158"/>
  <c r="BH18" i="158"/>
  <c r="BH20" i="158"/>
  <c r="BC38" i="158"/>
  <c r="AF7" i="110"/>
  <c r="BA24" i="158"/>
  <c r="AX24" i="158"/>
  <c r="AY24" i="158"/>
  <c r="AV24" i="158"/>
  <c r="AF6" i="110"/>
  <c r="AV22" i="158"/>
  <c r="AY22" i="158"/>
  <c r="BA22" i="158"/>
  <c r="AX22" i="158"/>
  <c r="AF4" i="110"/>
  <c r="AY18" i="158"/>
  <c r="BD18" i="158" s="1"/>
  <c r="AF10" i="110"/>
  <c r="AF5" i="110"/>
  <c r="AF8" i="110"/>
  <c r="BF24" i="158"/>
  <c r="BB28" i="158"/>
  <c r="BF28" i="158"/>
  <c r="AT28" i="158"/>
  <c r="AU28" i="158"/>
  <c r="AW28" i="158"/>
  <c r="AT9" i="110"/>
  <c r="AZ28" i="158"/>
  <c r="AW24" i="158"/>
  <c r="AZ24" i="158"/>
  <c r="AT24" i="158"/>
  <c r="AU24" i="158"/>
  <c r="BB24" i="158"/>
  <c r="AT20" i="168"/>
  <c r="AV20" i="168"/>
  <c r="AY20" i="168"/>
  <c r="AZ20" i="168"/>
  <c r="BD20" i="168" s="1"/>
  <c r="BA20" i="168"/>
  <c r="BH20" i="168"/>
  <c r="AT22" i="168"/>
  <c r="AV22" i="168"/>
  <c r="AY22" i="168"/>
  <c r="AZ22" i="168"/>
  <c r="BA22" i="168"/>
  <c r="BH22" i="168"/>
  <c r="AT24" i="168"/>
  <c r="AV24" i="168"/>
  <c r="AY24" i="168"/>
  <c r="AZ24" i="168"/>
  <c r="BA24" i="168"/>
  <c r="BH24" i="168"/>
  <c r="AV26" i="168"/>
  <c r="AY26" i="168"/>
  <c r="AZ26" i="168"/>
  <c r="AT28" i="168"/>
  <c r="AV28" i="168"/>
  <c r="AY28" i="168"/>
  <c r="AZ28" i="168"/>
  <c r="BA28" i="168"/>
  <c r="BH28" i="168"/>
  <c r="AT30" i="168"/>
  <c r="AV30" i="168"/>
  <c r="AY30" i="168"/>
  <c r="AZ30" i="168"/>
  <c r="BA30" i="168"/>
  <c r="BH30" i="168"/>
  <c r="AT32" i="168"/>
  <c r="AV32" i="168"/>
  <c r="AY32" i="168"/>
  <c r="AZ32" i="168"/>
  <c r="BA32" i="168"/>
  <c r="BH32" i="168"/>
  <c r="AT34" i="168"/>
  <c r="AV34" i="168"/>
  <c r="AY34" i="168"/>
  <c r="AZ34" i="168"/>
  <c r="BA34" i="168"/>
  <c r="BH34" i="168"/>
  <c r="AT36" i="168"/>
  <c r="AV36" i="168"/>
  <c r="AY36" i="168"/>
  <c r="AZ36" i="168"/>
  <c r="BA36" i="168"/>
  <c r="BH36" i="168"/>
  <c r="AH20" i="168"/>
  <c r="BF20" i="168"/>
  <c r="AH22" i="168"/>
  <c r="AH24" i="168"/>
  <c r="AH26" i="168"/>
  <c r="AH28" i="168"/>
  <c r="AH30" i="168"/>
  <c r="AH32" i="168"/>
  <c r="BE32" i="168"/>
  <c r="AH34" i="168"/>
  <c r="AH36" i="168"/>
  <c r="BE36" i="168"/>
  <c r="AZ18" i="168"/>
  <c r="BD18" i="168" s="1"/>
  <c r="AV18" i="168"/>
  <c r="BA18" i="158" l="1"/>
  <c r="AV18" i="158"/>
  <c r="AK18" i="158" s="1"/>
  <c r="BC28" i="158"/>
  <c r="BI24" i="168"/>
  <c r="BI28" i="168"/>
  <c r="BI34" i="168"/>
  <c r="BI32" i="168"/>
  <c r="BI22" i="168"/>
  <c r="BI30" i="168"/>
  <c r="BI20" i="168"/>
  <c r="BI36" i="168"/>
  <c r="H11" i="3"/>
  <c r="BC20" i="168"/>
  <c r="BG36" i="168"/>
  <c r="BD36" i="168"/>
  <c r="BC36" i="168" s="1"/>
  <c r="BG34" i="168"/>
  <c r="BD34" i="168"/>
  <c r="BC34" i="168" s="1"/>
  <c r="BG32" i="168"/>
  <c r="BD32" i="168"/>
  <c r="BC32" i="168" s="1"/>
  <c r="BG26" i="168"/>
  <c r="BD26" i="168"/>
  <c r="BG30" i="168"/>
  <c r="BD30" i="168"/>
  <c r="BC30" i="168" s="1"/>
  <c r="BG28" i="168"/>
  <c r="BD28" i="168"/>
  <c r="BC28" i="168" s="1"/>
  <c r="BG24" i="168"/>
  <c r="BD24" i="168"/>
  <c r="BC24" i="168" s="1"/>
  <c r="BG22" i="168"/>
  <c r="BD22" i="168"/>
  <c r="BC22" i="168" s="1"/>
  <c r="BE28" i="168"/>
  <c r="BE24" i="168"/>
  <c r="BG20" i="168"/>
  <c r="BF36" i="168"/>
  <c r="BF24" i="168"/>
  <c r="BF32" i="168"/>
  <c r="BF28" i="168"/>
  <c r="AH18" i="168"/>
  <c r="BF30" i="168"/>
  <c r="BF22" i="168"/>
  <c r="BE34" i="168"/>
  <c r="BE30" i="168"/>
  <c r="BE22" i="168"/>
  <c r="BE20" i="168"/>
  <c r="BF34" i="168"/>
  <c r="BA26" i="168" l="1"/>
  <c r="BK26" i="168" s="1"/>
  <c r="BF26" i="168"/>
  <c r="BE26" i="168"/>
  <c r="BC26" i="168"/>
  <c r="BA18" i="168"/>
  <c r="Y72" i="173"/>
  <c r="X73" i="173"/>
  <c r="Y73" i="173"/>
  <c r="X74" i="173"/>
  <c r="Y74" i="173"/>
  <c r="X75" i="173"/>
  <c r="Y75" i="173"/>
  <c r="X76" i="173"/>
  <c r="Y77" i="173"/>
  <c r="X78" i="173"/>
  <c r="Y78" i="173"/>
  <c r="X79" i="173"/>
  <c r="Y79" i="173"/>
  <c r="X80" i="173"/>
  <c r="BK18" i="168" l="1"/>
  <c r="AT26" i="168"/>
  <c r="CD2" i="110"/>
  <c r="D82" i="3"/>
  <c r="D93" i="3"/>
  <c r="P19" i="3" l="1"/>
  <c r="B81" i="3"/>
  <c r="B86" i="3"/>
  <c r="D92" i="3"/>
  <c r="D91" i="3"/>
  <c r="D87" i="3"/>
  <c r="B91" i="3"/>
  <c r="B89" i="3"/>
  <c r="C84" i="3"/>
  <c r="D89" i="3"/>
  <c r="C86" i="3"/>
  <c r="B88" i="3"/>
  <c r="D84" i="3"/>
  <c r="D85" i="3"/>
  <c r="C89" i="3"/>
  <c r="B85" i="3"/>
  <c r="B84" i="3"/>
  <c r="C93" i="3"/>
  <c r="C82" i="3"/>
  <c r="B90" i="3"/>
  <c r="B92" i="3"/>
  <c r="C92" i="3"/>
  <c r="C83" i="3"/>
  <c r="C90" i="3"/>
  <c r="D88" i="3"/>
  <c r="C87" i="3"/>
  <c r="B83" i="3"/>
  <c r="D86" i="3"/>
  <c r="C85" i="3"/>
  <c r="D83" i="3"/>
  <c r="C91" i="3"/>
  <c r="B87" i="3"/>
  <c r="B82" i="3"/>
  <c r="C88" i="3"/>
  <c r="B93" i="3"/>
  <c r="D90" i="3"/>
  <c r="C81" i="3" l="1"/>
  <c r="A81" i="3"/>
  <c r="D81" i="3"/>
  <c r="E81" i="3" l="1"/>
  <c r="AH29" i="151"/>
  <c r="Y29" i="151"/>
  <c r="P29" i="151"/>
  <c r="G29" i="151"/>
  <c r="A9" i="151"/>
  <c r="G9" i="3"/>
  <c r="J1" i="172" l="1"/>
  <c r="ES2" i="110" l="1"/>
  <c r="ER2" i="110"/>
  <c r="AH19" i="153" l="1"/>
  <c r="C161" i="3"/>
  <c r="B161" i="3"/>
  <c r="D161" i="3"/>
  <c r="S40" i="154" l="1"/>
  <c r="U43" i="81"/>
  <c r="P32" i="154"/>
  <c r="A68" i="110" l="1"/>
  <c r="A69" i="110"/>
  <c r="A70" i="110"/>
  <c r="A71" i="110"/>
  <c r="A72" i="110"/>
  <c r="A73" i="110"/>
  <c r="A74" i="110"/>
  <c r="A75" i="110"/>
  <c r="A76" i="110"/>
  <c r="A77" i="110"/>
  <c r="A78" i="110"/>
  <c r="A79" i="110"/>
  <c r="A80" i="110"/>
  <c r="A81" i="110"/>
  <c r="A82" i="110"/>
  <c r="A83" i="110"/>
  <c r="A84" i="110"/>
  <c r="A85" i="110"/>
  <c r="A86" i="110"/>
  <c r="A87" i="110"/>
  <c r="E87" i="110"/>
  <c r="C87" i="110"/>
  <c r="AS87" i="110" s="1"/>
  <c r="AP87" i="110"/>
  <c r="A88" i="110"/>
  <c r="E88" i="110"/>
  <c r="C88" i="110"/>
  <c r="AS88" i="110" s="1"/>
  <c r="AP88" i="110"/>
  <c r="A89" i="110"/>
  <c r="E89" i="110"/>
  <c r="C89" i="110"/>
  <c r="AS89" i="110" s="1"/>
  <c r="AP89" i="110"/>
  <c r="A90" i="110"/>
  <c r="E90" i="110"/>
  <c r="C90" i="110"/>
  <c r="AS90" i="110" s="1"/>
  <c r="AP90" i="110"/>
  <c r="A91" i="110"/>
  <c r="E91" i="110"/>
  <c r="C91" i="110"/>
  <c r="AS91" i="110" s="1"/>
  <c r="AP91" i="110"/>
  <c r="I67" i="110"/>
  <c r="H67" i="110"/>
  <c r="J38" i="161"/>
  <c r="L38" i="161"/>
  <c r="AE38" i="161"/>
  <c r="AI38" i="161"/>
  <c r="AP77" i="110"/>
  <c r="J40" i="161"/>
  <c r="L40" i="161"/>
  <c r="AE40" i="161"/>
  <c r="AI40" i="161"/>
  <c r="AP78" i="110"/>
  <c r="J42" i="161"/>
  <c r="L42" i="161"/>
  <c r="AE42" i="161"/>
  <c r="AI42" i="161"/>
  <c r="AP79" i="110"/>
  <c r="J44" i="161"/>
  <c r="L44" i="161"/>
  <c r="AE44" i="161"/>
  <c r="AI44" i="161"/>
  <c r="AP80" i="110"/>
  <c r="J46" i="161"/>
  <c r="L46" i="161"/>
  <c r="AE46" i="161"/>
  <c r="AI46" i="161"/>
  <c r="AP81" i="110"/>
  <c r="J48" i="161"/>
  <c r="L48" i="161"/>
  <c r="AE48" i="161"/>
  <c r="AI48" i="161"/>
  <c r="AP82" i="110"/>
  <c r="J50" i="161"/>
  <c r="L50" i="161"/>
  <c r="AE50" i="161"/>
  <c r="AI50" i="161"/>
  <c r="AP83" i="110"/>
  <c r="J52" i="161"/>
  <c r="L52" i="161"/>
  <c r="AE52" i="161"/>
  <c r="AI52" i="161"/>
  <c r="AP84" i="110"/>
  <c r="J54" i="161"/>
  <c r="L54" i="161"/>
  <c r="AE54" i="161"/>
  <c r="AI54" i="161"/>
  <c r="AP85" i="110"/>
  <c r="J56" i="161"/>
  <c r="L56" i="161"/>
  <c r="AE56" i="161"/>
  <c r="AI56" i="161"/>
  <c r="AP86" i="110"/>
  <c r="BB38" i="161" l="1"/>
  <c r="Q77" i="110" s="1"/>
  <c r="AT77" i="110"/>
  <c r="BB42" i="161"/>
  <c r="Q79" i="110" s="1"/>
  <c r="AT79" i="110"/>
  <c r="BB46" i="161"/>
  <c r="Q81" i="110" s="1"/>
  <c r="AT81" i="110"/>
  <c r="BB52" i="161"/>
  <c r="Q84" i="110" s="1"/>
  <c r="AT84" i="110"/>
  <c r="BB50" i="161"/>
  <c r="Q83" i="110" s="1"/>
  <c r="AT83" i="110"/>
  <c r="BB40" i="161"/>
  <c r="Q78" i="110" s="1"/>
  <c r="AT78" i="110"/>
  <c r="BB48" i="161"/>
  <c r="Q82" i="110" s="1"/>
  <c r="AT82" i="110"/>
  <c r="BB56" i="161"/>
  <c r="Q86" i="110" s="1"/>
  <c r="AT86" i="110"/>
  <c r="BB54" i="161"/>
  <c r="Q85" i="110" s="1"/>
  <c r="AT85" i="110"/>
  <c r="BB44" i="161"/>
  <c r="Q80" i="110" s="1"/>
  <c r="AT80" i="110"/>
  <c r="B91" i="110"/>
  <c r="AR91" i="110"/>
  <c r="B89" i="110"/>
  <c r="AR89" i="110"/>
  <c r="B88" i="110"/>
  <c r="AR88" i="110"/>
  <c r="B87" i="110"/>
  <c r="AR87" i="110"/>
  <c r="B90" i="110"/>
  <c r="AR90" i="110"/>
  <c r="AL83" i="110"/>
  <c r="AM83" i="110"/>
  <c r="AL79" i="110"/>
  <c r="AM79" i="110"/>
  <c r="AL84" i="110"/>
  <c r="AM84" i="110"/>
  <c r="AL82" i="110"/>
  <c r="AM82" i="110"/>
  <c r="AL78" i="110"/>
  <c r="AM78" i="110"/>
  <c r="AM80" i="110"/>
  <c r="AL80" i="110"/>
  <c r="AL86" i="110"/>
  <c r="AM86" i="110"/>
  <c r="AL85" i="110"/>
  <c r="AM85" i="110"/>
  <c r="AL81" i="110"/>
  <c r="AM81" i="110"/>
  <c r="AL77" i="110"/>
  <c r="AM77" i="110"/>
  <c r="E81" i="110"/>
  <c r="E77" i="110"/>
  <c r="E84" i="110"/>
  <c r="E80" i="110"/>
  <c r="E83" i="110"/>
  <c r="E79" i="110"/>
  <c r="E86" i="110"/>
  <c r="E82" i="110"/>
  <c r="E78" i="110"/>
  <c r="E85" i="110"/>
  <c r="C82" i="110"/>
  <c r="AS82" i="110" s="1"/>
  <c r="C81" i="110"/>
  <c r="AS81" i="110" s="1"/>
  <c r="C86" i="110"/>
  <c r="AS86" i="110" s="1"/>
  <c r="C78" i="110"/>
  <c r="AS78" i="110" s="1"/>
  <c r="C85" i="110"/>
  <c r="AS85" i="110" s="1"/>
  <c r="C77" i="110"/>
  <c r="AS77" i="110" s="1"/>
  <c r="C84" i="110"/>
  <c r="AS84" i="110" s="1"/>
  <c r="C83" i="110"/>
  <c r="AS83" i="110" s="1"/>
  <c r="C80" i="110"/>
  <c r="AS80" i="110" s="1"/>
  <c r="C79" i="110"/>
  <c r="AS79" i="110" s="1"/>
  <c r="AB18" i="171"/>
  <c r="AB18" i="175"/>
  <c r="EH2" i="110"/>
  <c r="EJ2" i="110"/>
  <c r="EI2" i="110"/>
  <c r="DD2" i="110"/>
  <c r="DC2" i="110"/>
  <c r="DB2" i="110"/>
  <c r="DA2" i="110"/>
  <c r="CZ2" i="110"/>
  <c r="CX2" i="110"/>
  <c r="CW2" i="110"/>
  <c r="CV2" i="110"/>
  <c r="CU2" i="110"/>
  <c r="CP2" i="110"/>
  <c r="CO2" i="110"/>
  <c r="CN2" i="110"/>
  <c r="CM2" i="110"/>
  <c r="CL2" i="110"/>
  <c r="CK2" i="110"/>
  <c r="CJ2" i="110"/>
  <c r="CI2" i="110"/>
  <c r="CH2" i="110"/>
  <c r="CG2" i="110"/>
  <c r="AF18" i="175" l="1"/>
  <c r="AW18" i="175" s="1"/>
  <c r="B78" i="110"/>
  <c r="AR78" i="110"/>
  <c r="B84" i="110"/>
  <c r="AR84" i="110"/>
  <c r="B86" i="110"/>
  <c r="AR86" i="110"/>
  <c r="B83" i="110"/>
  <c r="AR83" i="110"/>
  <c r="B79" i="110"/>
  <c r="AR79" i="110"/>
  <c r="B77" i="110"/>
  <c r="AR77" i="110"/>
  <c r="B81" i="110"/>
  <c r="AR81" i="110"/>
  <c r="B80" i="110"/>
  <c r="AR80" i="110"/>
  <c r="B85" i="110"/>
  <c r="AR85" i="110"/>
  <c r="B82" i="110"/>
  <c r="AR82" i="110"/>
  <c r="AF18" i="171"/>
  <c r="AW18" i="171" s="1"/>
  <c r="AZ18" i="158"/>
  <c r="AU18" i="158"/>
  <c r="H4" i="110"/>
  <c r="AN18" i="175" l="1"/>
  <c r="AN18" i="171"/>
  <c r="AX18" i="175"/>
  <c r="BJ18" i="175" s="1"/>
  <c r="AK18" i="175"/>
  <c r="AX18" i="171"/>
  <c r="BJ18" i="171" s="1"/>
  <c r="AK18" i="171"/>
  <c r="AW18" i="158"/>
  <c r="BB18" i="158" l="1"/>
  <c r="O1" i="81"/>
  <c r="O1" i="156"/>
  <c r="O1" i="155"/>
  <c r="O1" i="14"/>
  <c r="O1" i="180"/>
  <c r="O1" i="154"/>
  <c r="O1" i="153"/>
  <c r="O1" i="176"/>
  <c r="O1" i="13"/>
  <c r="O1" i="171"/>
  <c r="O1" i="175"/>
  <c r="O1" i="170"/>
  <c r="O1" i="169"/>
  <c r="O1" i="168"/>
  <c r="O1" i="167"/>
  <c r="O1" i="163"/>
  <c r="O1" i="162"/>
  <c r="O1" i="182"/>
  <c r="O1" i="161"/>
  <c r="O1" i="160"/>
  <c r="O1" i="159"/>
  <c r="O1" i="158"/>
  <c r="O1" i="151"/>
  <c r="O1" i="148"/>
  <c r="O1" i="147"/>
  <c r="O1" i="166"/>
  <c r="O1" i="144"/>
  <c r="O1" i="152"/>
  <c r="O1" i="172"/>
  <c r="O1" i="8"/>
  <c r="AT18" i="158" l="1"/>
  <c r="AT7" i="110" l="1"/>
  <c r="AE18" i="161"/>
  <c r="AE20" i="161"/>
  <c r="AE22" i="161"/>
  <c r="AE24" i="161"/>
  <c r="AE26" i="161"/>
  <c r="AE28" i="161"/>
  <c r="AE30" i="161"/>
  <c r="AE32" i="161"/>
  <c r="AE34" i="161"/>
  <c r="AE36" i="161"/>
  <c r="BC24" i="158" l="1"/>
  <c r="E69" i="110"/>
  <c r="AP68" i="110"/>
  <c r="AP69" i="110"/>
  <c r="AP70" i="110"/>
  <c r="AP71" i="110"/>
  <c r="AP72" i="110"/>
  <c r="AP73" i="110"/>
  <c r="AP74" i="110"/>
  <c r="AP75" i="110"/>
  <c r="AP76" i="110"/>
  <c r="L20" i="161"/>
  <c r="L22" i="161"/>
  <c r="L24" i="161"/>
  <c r="L26" i="161"/>
  <c r="BB26" i="161" s="1"/>
  <c r="Q71" i="110" s="1"/>
  <c r="L28" i="161"/>
  <c r="BB28" i="161" s="1"/>
  <c r="Q72" i="110" s="1"/>
  <c r="L30" i="161"/>
  <c r="L32" i="161"/>
  <c r="L34" i="161"/>
  <c r="L36" i="161"/>
  <c r="L18" i="161"/>
  <c r="J20" i="161"/>
  <c r="J22" i="161"/>
  <c r="J24" i="161"/>
  <c r="J26" i="161"/>
  <c r="J28" i="161"/>
  <c r="J30" i="161"/>
  <c r="J32" i="161"/>
  <c r="J34" i="161"/>
  <c r="J36" i="161"/>
  <c r="J18" i="161"/>
  <c r="AM67" i="110" s="1"/>
  <c r="BA18" i="161" l="1"/>
  <c r="BD18" i="161"/>
  <c r="BB36" i="161"/>
  <c r="Q76" i="110" s="1"/>
  <c r="AT76" i="110"/>
  <c r="BB24" i="161"/>
  <c r="Q70" i="110" s="1"/>
  <c r="AT70" i="110"/>
  <c r="BB34" i="161"/>
  <c r="Q75" i="110" s="1"/>
  <c r="AT75" i="110"/>
  <c r="BB32" i="161"/>
  <c r="Q74" i="110" s="1"/>
  <c r="AT74" i="110"/>
  <c r="BB30" i="161"/>
  <c r="Q73" i="110" s="1"/>
  <c r="AT73" i="110"/>
  <c r="AL69" i="110"/>
  <c r="AM69" i="110"/>
  <c r="AM76" i="110"/>
  <c r="AL76" i="110"/>
  <c r="AL72" i="110"/>
  <c r="AM72" i="110"/>
  <c r="AL68" i="110"/>
  <c r="AM68" i="110"/>
  <c r="AL75" i="110"/>
  <c r="AM75" i="110"/>
  <c r="AL71" i="110"/>
  <c r="AM71" i="110"/>
  <c r="AL73" i="110"/>
  <c r="AM73" i="110"/>
  <c r="AL74" i="110"/>
  <c r="AM74" i="110"/>
  <c r="AL70" i="110"/>
  <c r="AM70" i="110"/>
  <c r="AL67" i="110"/>
  <c r="BB20" i="161"/>
  <c r="Q68" i="110" s="1"/>
  <c r="BB22" i="161"/>
  <c r="Q69" i="110" s="1"/>
  <c r="BB18" i="161"/>
  <c r="AT20" i="161"/>
  <c r="AT28" i="161"/>
  <c r="J72" i="110" s="1"/>
  <c r="E73" i="110"/>
  <c r="E76" i="110"/>
  <c r="E72" i="110"/>
  <c r="E68" i="110"/>
  <c r="E75" i="110"/>
  <c r="E71" i="110"/>
  <c r="E74" i="110"/>
  <c r="E70" i="110"/>
  <c r="AT22" i="161"/>
  <c r="J69" i="110" s="1"/>
  <c r="AT18" i="161"/>
  <c r="CC2" i="110"/>
  <c r="J68" i="110" l="1"/>
  <c r="AT26" i="161"/>
  <c r="J71" i="110" s="1"/>
  <c r="C73" i="110"/>
  <c r="AS73" i="110" s="1"/>
  <c r="C74" i="110"/>
  <c r="AS74" i="110" s="1"/>
  <c r="C75" i="110"/>
  <c r="AS75" i="110" s="1"/>
  <c r="C76" i="110"/>
  <c r="AS76" i="110" s="1"/>
  <c r="CB2" i="110"/>
  <c r="CA2" i="110"/>
  <c r="BZ2" i="110"/>
  <c r="BY2" i="110"/>
  <c r="BX2" i="110"/>
  <c r="BW2" i="110"/>
  <c r="BV2" i="110"/>
  <c r="BU2" i="110"/>
  <c r="BT2" i="110"/>
  <c r="BS2" i="110"/>
  <c r="BO2" i="110"/>
  <c r="BN2" i="110"/>
  <c r="BM2" i="110"/>
  <c r="EQ2" i="110"/>
  <c r="EP2" i="110"/>
  <c r="EN2" i="110"/>
  <c r="EM2" i="110"/>
  <c r="EL2" i="110"/>
  <c r="EO2" i="110"/>
  <c r="EK2" i="110"/>
  <c r="AI26" i="81"/>
  <c r="U26" i="81"/>
  <c r="G26" i="81"/>
  <c r="AB48" i="156"/>
  <c r="R68" i="110" l="1"/>
  <c r="AT68" i="110"/>
  <c r="B75" i="110"/>
  <c r="AR75" i="110"/>
  <c r="B76" i="110"/>
  <c r="AR76" i="110"/>
  <c r="B74" i="110"/>
  <c r="AR74" i="110"/>
  <c r="B73" i="110"/>
  <c r="AR73" i="110"/>
  <c r="BC20" i="161"/>
  <c r="AL1" i="81" l="1"/>
  <c r="AH1" i="81"/>
  <c r="J1" i="81"/>
  <c r="F1" i="81"/>
  <c r="AL1" i="156"/>
  <c r="AH1" i="156"/>
  <c r="J1" i="156"/>
  <c r="F1" i="156"/>
  <c r="AL1" i="155"/>
  <c r="AH1" i="155"/>
  <c r="J1" i="155"/>
  <c r="F1" i="155"/>
  <c r="AL1" i="14"/>
  <c r="AH1" i="14"/>
  <c r="J1" i="14"/>
  <c r="F1" i="14"/>
  <c r="AL1" i="180"/>
  <c r="AH1" i="180"/>
  <c r="J1" i="180"/>
  <c r="F1" i="180"/>
  <c r="AL1" i="154"/>
  <c r="AH1" i="154"/>
  <c r="J1" i="154"/>
  <c r="F1" i="154"/>
  <c r="AL1" i="153"/>
  <c r="AH1" i="153"/>
  <c r="J1" i="153"/>
  <c r="F1" i="153"/>
  <c r="AL1" i="176"/>
  <c r="AH1" i="176"/>
  <c r="J1" i="176"/>
  <c r="F1" i="176"/>
  <c r="AL1" i="171"/>
  <c r="AH1" i="171"/>
  <c r="J1" i="171"/>
  <c r="F1" i="171"/>
  <c r="AL1" i="13"/>
  <c r="AH1" i="13"/>
  <c r="J1" i="13"/>
  <c r="F1" i="13"/>
  <c r="AL1" i="175"/>
  <c r="AH1" i="175"/>
  <c r="J1" i="175"/>
  <c r="F1" i="175"/>
  <c r="AL1" i="170"/>
  <c r="AH1" i="170"/>
  <c r="J1" i="170"/>
  <c r="F1" i="170"/>
  <c r="AL1" i="169"/>
  <c r="AH1" i="169"/>
  <c r="J1" i="169"/>
  <c r="F1" i="169"/>
  <c r="AL1" i="168"/>
  <c r="AH1" i="168"/>
  <c r="J1" i="168"/>
  <c r="F1" i="168"/>
  <c r="AL1" i="167"/>
  <c r="AH1" i="167"/>
  <c r="J1" i="167"/>
  <c r="F1" i="167"/>
  <c r="AL1" i="163"/>
  <c r="AH1" i="163"/>
  <c r="J1" i="163"/>
  <c r="F1" i="163"/>
  <c r="AL1" i="162"/>
  <c r="AH1" i="162"/>
  <c r="J1" i="162"/>
  <c r="F1" i="162"/>
  <c r="AL1" i="182"/>
  <c r="AH1" i="182"/>
  <c r="J1" i="182"/>
  <c r="F1" i="182"/>
  <c r="AL1" i="161"/>
  <c r="AH1" i="161"/>
  <c r="J1" i="161"/>
  <c r="F1" i="161"/>
  <c r="AL1" i="160"/>
  <c r="AH1" i="160"/>
  <c r="J1" i="160"/>
  <c r="F1" i="160"/>
  <c r="AL1" i="159"/>
  <c r="AH1" i="159"/>
  <c r="J1" i="159"/>
  <c r="F1" i="159"/>
  <c r="AL1" i="158"/>
  <c r="AH1" i="158"/>
  <c r="J1" i="158"/>
  <c r="F1" i="158"/>
  <c r="AL1" i="151"/>
  <c r="AH1" i="151"/>
  <c r="J1" i="151"/>
  <c r="F1" i="151"/>
  <c r="AL1" i="148"/>
  <c r="AH1" i="148"/>
  <c r="J1" i="148"/>
  <c r="F1" i="148"/>
  <c r="AL1" i="147"/>
  <c r="AH1" i="147"/>
  <c r="J1" i="147"/>
  <c r="F1" i="147"/>
  <c r="AL1" i="166"/>
  <c r="AH1" i="166"/>
  <c r="J1" i="166"/>
  <c r="F1" i="166"/>
  <c r="AL1" i="144"/>
  <c r="AH1" i="144"/>
  <c r="J1" i="144"/>
  <c r="F1" i="144"/>
  <c r="AL1" i="152"/>
  <c r="AH1" i="152"/>
  <c r="J1" i="152"/>
  <c r="F1" i="152"/>
  <c r="AL1" i="172"/>
  <c r="AH1" i="172"/>
  <c r="F1" i="172"/>
  <c r="AP4" i="110"/>
  <c r="R20" i="163"/>
  <c r="AN20" i="163" s="1"/>
  <c r="R22" i="163"/>
  <c r="R24" i="163"/>
  <c r="AN24" i="163" s="1"/>
  <c r="R26" i="163"/>
  <c r="AN26" i="163" s="1"/>
  <c r="R28" i="163"/>
  <c r="AN28" i="163" s="1"/>
  <c r="R30" i="163"/>
  <c r="AN30" i="163" s="1"/>
  <c r="R32" i="163"/>
  <c r="AN32" i="163" s="1"/>
  <c r="R34" i="163"/>
  <c r="AN34" i="163" s="1"/>
  <c r="R36" i="163"/>
  <c r="AN36" i="163" s="1"/>
  <c r="AP183" i="110"/>
  <c r="AQ183" i="110"/>
  <c r="AP184" i="110"/>
  <c r="AQ184" i="110"/>
  <c r="AP185" i="110"/>
  <c r="AQ185" i="110"/>
  <c r="AP186" i="110"/>
  <c r="AQ186" i="110"/>
  <c r="AP187" i="110"/>
  <c r="AQ187" i="110"/>
  <c r="AP188" i="110"/>
  <c r="AQ188" i="110"/>
  <c r="AP189" i="110"/>
  <c r="AQ189" i="110"/>
  <c r="AP190" i="110"/>
  <c r="AQ190" i="110"/>
  <c r="AP191" i="110"/>
  <c r="AQ191" i="110"/>
  <c r="AU20" i="159"/>
  <c r="AP36" i="110" s="1"/>
  <c r="N36" i="110"/>
  <c r="AW20" i="159"/>
  <c r="P36" i="110" s="1"/>
  <c r="AZ20" i="159"/>
  <c r="AU22" i="159"/>
  <c r="AP37" i="110" s="1"/>
  <c r="AW22" i="159"/>
  <c r="P37" i="110" s="1"/>
  <c r="AZ22" i="159"/>
  <c r="AT24" i="159"/>
  <c r="J38" i="110" s="1"/>
  <c r="AU24" i="159"/>
  <c r="AP38" i="110" s="1"/>
  <c r="N38" i="110"/>
  <c r="AW24" i="159"/>
  <c r="P38" i="110" s="1"/>
  <c r="AZ24" i="159"/>
  <c r="E38" i="110" s="1"/>
  <c r="AT26" i="159"/>
  <c r="J39" i="110" s="1"/>
  <c r="AU26" i="159"/>
  <c r="AP39" i="110" s="1"/>
  <c r="N39" i="110"/>
  <c r="AW26" i="159"/>
  <c r="P39" i="110" s="1"/>
  <c r="AZ26" i="159"/>
  <c r="E39" i="110" s="1"/>
  <c r="AT28" i="159"/>
  <c r="J40" i="110" s="1"/>
  <c r="AU28" i="159"/>
  <c r="AP40" i="110" s="1"/>
  <c r="N40" i="110"/>
  <c r="AW28" i="159"/>
  <c r="P40" i="110" s="1"/>
  <c r="AZ28" i="159"/>
  <c r="E40" i="110" s="1"/>
  <c r="AT30" i="159"/>
  <c r="J41" i="110" s="1"/>
  <c r="AU30" i="159"/>
  <c r="AP41" i="110" s="1"/>
  <c r="N41" i="110"/>
  <c r="AW30" i="159"/>
  <c r="P41" i="110" s="1"/>
  <c r="AZ30" i="159"/>
  <c r="E41" i="110" s="1"/>
  <c r="AT32" i="159"/>
  <c r="J42" i="110" s="1"/>
  <c r="AU32" i="159"/>
  <c r="AP42" i="110" s="1"/>
  <c r="N42" i="110"/>
  <c r="AW32" i="159"/>
  <c r="P42" i="110" s="1"/>
  <c r="AZ32" i="159"/>
  <c r="E42" i="110" s="1"/>
  <c r="AT34" i="159"/>
  <c r="J43" i="110" s="1"/>
  <c r="AU34" i="159"/>
  <c r="AP43" i="110" s="1"/>
  <c r="N43" i="110"/>
  <c r="AW34" i="159"/>
  <c r="P43" i="110" s="1"/>
  <c r="AZ34" i="159"/>
  <c r="E43" i="110" s="1"/>
  <c r="AT36" i="159"/>
  <c r="J44" i="110" s="1"/>
  <c r="AU36" i="159"/>
  <c r="AP44" i="110" s="1"/>
  <c r="N44" i="110"/>
  <c r="AW36" i="159"/>
  <c r="P44" i="110" s="1"/>
  <c r="AZ36" i="159"/>
  <c r="E44" i="110" s="1"/>
  <c r="AI20" i="159"/>
  <c r="AI22" i="159"/>
  <c r="AI24" i="159"/>
  <c r="AI26" i="159"/>
  <c r="AI28" i="159"/>
  <c r="AI30" i="159"/>
  <c r="AI32" i="159"/>
  <c r="AI34" i="159"/>
  <c r="AI36" i="159"/>
  <c r="AV20" i="167"/>
  <c r="AP152" i="110" s="1"/>
  <c r="AY20" i="167"/>
  <c r="AQ152" i="110" s="1"/>
  <c r="AV22" i="167"/>
  <c r="AP153" i="110" s="1"/>
  <c r="AY22" i="167"/>
  <c r="AQ153" i="110" s="1"/>
  <c r="AV24" i="167"/>
  <c r="AY24" i="167"/>
  <c r="AQ154" i="110" s="1"/>
  <c r="AV26" i="167"/>
  <c r="AP155" i="110" s="1"/>
  <c r="AY26" i="167"/>
  <c r="AQ155" i="110" s="1"/>
  <c r="AV28" i="167"/>
  <c r="AP156" i="110" s="1"/>
  <c r="AY28" i="167"/>
  <c r="AQ156" i="110" s="1"/>
  <c r="AV30" i="167"/>
  <c r="AP157" i="110" s="1"/>
  <c r="AY30" i="167"/>
  <c r="AQ157" i="110" s="1"/>
  <c r="E157" i="110"/>
  <c r="AV32" i="167"/>
  <c r="AP158" i="110" s="1"/>
  <c r="AY32" i="167"/>
  <c r="AQ158" i="110" s="1"/>
  <c r="AV34" i="167"/>
  <c r="AP159" i="110" s="1"/>
  <c r="AY34" i="167"/>
  <c r="AQ159" i="110" s="1"/>
  <c r="AV36" i="167"/>
  <c r="AP160" i="110" s="1"/>
  <c r="AY36" i="167"/>
  <c r="AQ160" i="110" s="1"/>
  <c r="AV38" i="167"/>
  <c r="AP161" i="110" s="1"/>
  <c r="AY38" i="167"/>
  <c r="AQ161" i="110" s="1"/>
  <c r="AV40" i="167"/>
  <c r="AP162" i="110" s="1"/>
  <c r="AY40" i="167"/>
  <c r="AQ162" i="110" s="1"/>
  <c r="AV42" i="167"/>
  <c r="AP163" i="110" s="1"/>
  <c r="AY42" i="167"/>
  <c r="AQ163" i="110" s="1"/>
  <c r="AV44" i="167"/>
  <c r="AP164" i="110" s="1"/>
  <c r="AY44" i="167"/>
  <c r="AQ164" i="110" s="1"/>
  <c r="AV46" i="167"/>
  <c r="AP165" i="110" s="1"/>
  <c r="AY46" i="167"/>
  <c r="AQ165" i="110" s="1"/>
  <c r="E165" i="110"/>
  <c r="AV48" i="167"/>
  <c r="AP166" i="110" s="1"/>
  <c r="AY48" i="167"/>
  <c r="AQ166" i="110" s="1"/>
  <c r="AV50" i="167"/>
  <c r="AP167" i="110" s="1"/>
  <c r="AY50" i="167"/>
  <c r="AQ167" i="110" s="1"/>
  <c r="AV52" i="167"/>
  <c r="AP168" i="110" s="1"/>
  <c r="AY52" i="167"/>
  <c r="AQ168" i="110" s="1"/>
  <c r="AV54" i="167"/>
  <c r="AP169" i="110" s="1"/>
  <c r="AY54" i="167"/>
  <c r="AQ169" i="110" s="1"/>
  <c r="AV56" i="167"/>
  <c r="AP170" i="110" s="1"/>
  <c r="AY56" i="167"/>
  <c r="AQ170" i="110" s="1"/>
  <c r="AV58" i="167"/>
  <c r="AP171" i="110" s="1"/>
  <c r="AY58" i="167"/>
  <c r="AQ171" i="110" s="1"/>
  <c r="AV60" i="167"/>
  <c r="AP172" i="110" s="1"/>
  <c r="AY60" i="167"/>
  <c r="AQ172" i="110" s="1"/>
  <c r="AV62" i="167"/>
  <c r="AP173" i="110" s="1"/>
  <c r="AY62" i="167"/>
  <c r="AQ173" i="110" s="1"/>
  <c r="AV64" i="167"/>
  <c r="AP174" i="110" s="1"/>
  <c r="AY64" i="167"/>
  <c r="AQ174" i="110" s="1"/>
  <c r="AV66" i="167"/>
  <c r="AP175" i="110" s="1"/>
  <c r="AY66" i="167"/>
  <c r="AQ175" i="110" s="1"/>
  <c r="AV68" i="167"/>
  <c r="AP176" i="110" s="1"/>
  <c r="AY68" i="167"/>
  <c r="AQ176" i="110" s="1"/>
  <c r="AV70" i="167"/>
  <c r="AP177" i="110" s="1"/>
  <c r="AY70" i="167"/>
  <c r="AQ177" i="110" s="1"/>
  <c r="E177" i="110"/>
  <c r="AV72" i="167"/>
  <c r="AP178" i="110" s="1"/>
  <c r="AY72" i="167"/>
  <c r="AQ178" i="110" s="1"/>
  <c r="AV74" i="167"/>
  <c r="AP179" i="110" s="1"/>
  <c r="AY74" i="167"/>
  <c r="AQ179" i="110" s="1"/>
  <c r="AV76" i="167"/>
  <c r="AP180" i="110" s="1"/>
  <c r="AY76" i="167"/>
  <c r="AQ180" i="110" s="1"/>
  <c r="BD18" i="167"/>
  <c r="O20" i="167"/>
  <c r="AN20" i="167" s="1"/>
  <c r="O24" i="167"/>
  <c r="AN24" i="167" s="1"/>
  <c r="O26" i="167"/>
  <c r="AN26" i="167" s="1"/>
  <c r="O28" i="167"/>
  <c r="AN28" i="167" s="1"/>
  <c r="O30" i="167"/>
  <c r="AN30" i="167" s="1"/>
  <c r="O32" i="167"/>
  <c r="AN32" i="167" s="1"/>
  <c r="O34" i="167"/>
  <c r="AN34" i="167" s="1"/>
  <c r="O36" i="167"/>
  <c r="AN36" i="167" s="1"/>
  <c r="O38" i="167"/>
  <c r="AN38" i="167" s="1"/>
  <c r="O40" i="167"/>
  <c r="AN40" i="167" s="1"/>
  <c r="O42" i="167"/>
  <c r="AN42" i="167" s="1"/>
  <c r="O44" i="167"/>
  <c r="AN44" i="167" s="1"/>
  <c r="O46" i="167"/>
  <c r="AN46" i="167" s="1"/>
  <c r="O48" i="167"/>
  <c r="AN48" i="167" s="1"/>
  <c r="O50" i="167"/>
  <c r="AN50" i="167" s="1"/>
  <c r="O52" i="167"/>
  <c r="AN52" i="167" s="1"/>
  <c r="O54" i="167"/>
  <c r="AN54" i="167" s="1"/>
  <c r="O56" i="167"/>
  <c r="AN56" i="167" s="1"/>
  <c r="O58" i="167"/>
  <c r="AN58" i="167" s="1"/>
  <c r="O60" i="167"/>
  <c r="AN60" i="167" s="1"/>
  <c r="O62" i="167"/>
  <c r="AN62" i="167" s="1"/>
  <c r="O64" i="167"/>
  <c r="AN64" i="167" s="1"/>
  <c r="O66" i="167"/>
  <c r="AN66" i="167" s="1"/>
  <c r="O68" i="167"/>
  <c r="AN68" i="167" s="1"/>
  <c r="O70" i="167"/>
  <c r="AN70" i="167" s="1"/>
  <c r="O72" i="167"/>
  <c r="AN72" i="167" s="1"/>
  <c r="O74" i="167"/>
  <c r="AN74" i="167" s="1"/>
  <c r="O76" i="167"/>
  <c r="AN76" i="167" s="1"/>
  <c r="AI20" i="161"/>
  <c r="AI22" i="161"/>
  <c r="AI24" i="161"/>
  <c r="AI26" i="161"/>
  <c r="AI28" i="161"/>
  <c r="AI30" i="161"/>
  <c r="AI32" i="161"/>
  <c r="AI34" i="161"/>
  <c r="AI36" i="161"/>
  <c r="AI18" i="161"/>
  <c r="AN18" i="161" s="1"/>
  <c r="T26" i="158"/>
  <c r="T30" i="158"/>
  <c r="T32" i="158"/>
  <c r="T34" i="158"/>
  <c r="T36" i="158"/>
  <c r="T40" i="158"/>
  <c r="T42" i="158"/>
  <c r="T44" i="158"/>
  <c r="A136" i="110"/>
  <c r="G136" i="110"/>
  <c r="H136" i="110"/>
  <c r="I136" i="110"/>
  <c r="L136" i="110"/>
  <c r="M136" i="110"/>
  <c r="O136" i="110"/>
  <c r="Q136" i="110"/>
  <c r="AD136" i="110"/>
  <c r="AE136" i="110"/>
  <c r="AI136" i="110"/>
  <c r="AK136" i="110"/>
  <c r="AM136" i="110"/>
  <c r="A137" i="110"/>
  <c r="G137" i="110"/>
  <c r="H137" i="110"/>
  <c r="I137" i="110"/>
  <c r="L137" i="110"/>
  <c r="M137" i="110"/>
  <c r="O137" i="110"/>
  <c r="Q137" i="110"/>
  <c r="AD137" i="110"/>
  <c r="AE137" i="110"/>
  <c r="AI137" i="110"/>
  <c r="AK137" i="110"/>
  <c r="AM137" i="110"/>
  <c r="A138" i="110"/>
  <c r="G138" i="110"/>
  <c r="H138" i="110"/>
  <c r="I138" i="110"/>
  <c r="L138" i="110"/>
  <c r="M138" i="110"/>
  <c r="O138" i="110"/>
  <c r="Q138" i="110"/>
  <c r="AD138" i="110"/>
  <c r="AE138" i="110"/>
  <c r="AI138" i="110"/>
  <c r="AK138" i="110"/>
  <c r="AM138" i="110"/>
  <c r="A139" i="110"/>
  <c r="G139" i="110"/>
  <c r="H139" i="110"/>
  <c r="I139" i="110"/>
  <c r="L139" i="110"/>
  <c r="M139" i="110"/>
  <c r="O139" i="110"/>
  <c r="Q139" i="110"/>
  <c r="AD139" i="110"/>
  <c r="AE139" i="110"/>
  <c r="AI139" i="110"/>
  <c r="AK139" i="110"/>
  <c r="AM139" i="110"/>
  <c r="A140" i="110"/>
  <c r="G140" i="110"/>
  <c r="H140" i="110"/>
  <c r="I140" i="110"/>
  <c r="L140" i="110"/>
  <c r="M140" i="110"/>
  <c r="O140" i="110"/>
  <c r="Q140" i="110"/>
  <c r="AD140" i="110"/>
  <c r="AE140" i="110"/>
  <c r="AI140" i="110"/>
  <c r="AK140" i="110"/>
  <c r="AM140" i="110"/>
  <c r="A141" i="110"/>
  <c r="G141" i="110"/>
  <c r="H141" i="110"/>
  <c r="I141" i="110"/>
  <c r="L141" i="110"/>
  <c r="M141" i="110"/>
  <c r="O141" i="110"/>
  <c r="Q141" i="110"/>
  <c r="AD141" i="110"/>
  <c r="AE141" i="110"/>
  <c r="AI141" i="110"/>
  <c r="AK141" i="110"/>
  <c r="AM141" i="110"/>
  <c r="A142" i="110"/>
  <c r="G142" i="110"/>
  <c r="H142" i="110"/>
  <c r="I142" i="110"/>
  <c r="L142" i="110"/>
  <c r="M142" i="110"/>
  <c r="O142" i="110"/>
  <c r="Q142" i="110"/>
  <c r="AD142" i="110"/>
  <c r="AE142" i="110"/>
  <c r="AI142" i="110"/>
  <c r="AK142" i="110"/>
  <c r="AM142" i="110"/>
  <c r="A143" i="110"/>
  <c r="G143" i="110"/>
  <c r="H143" i="110"/>
  <c r="I143" i="110"/>
  <c r="L143" i="110"/>
  <c r="M143" i="110"/>
  <c r="O143" i="110"/>
  <c r="Q143" i="110"/>
  <c r="AD143" i="110"/>
  <c r="AE143" i="110"/>
  <c r="AI143" i="110"/>
  <c r="AK143" i="110"/>
  <c r="AM143" i="110"/>
  <c r="A144" i="110"/>
  <c r="G144" i="110"/>
  <c r="H144" i="110"/>
  <c r="I144" i="110"/>
  <c r="L144" i="110"/>
  <c r="M144" i="110"/>
  <c r="O144" i="110"/>
  <c r="Q144" i="110"/>
  <c r="AD144" i="110"/>
  <c r="AE144" i="110"/>
  <c r="AI144" i="110"/>
  <c r="AK144" i="110"/>
  <c r="AM144" i="110"/>
  <c r="A145" i="110"/>
  <c r="G145" i="110"/>
  <c r="H145" i="110"/>
  <c r="I145" i="110"/>
  <c r="L145" i="110"/>
  <c r="M145" i="110"/>
  <c r="O145" i="110"/>
  <c r="Q145" i="110"/>
  <c r="AD145" i="110"/>
  <c r="AE145" i="110"/>
  <c r="AI145" i="110"/>
  <c r="AK145" i="110"/>
  <c r="AM145" i="110"/>
  <c r="A146" i="110"/>
  <c r="G146" i="110"/>
  <c r="H146" i="110"/>
  <c r="I146" i="110"/>
  <c r="L146" i="110"/>
  <c r="M146" i="110"/>
  <c r="O146" i="110"/>
  <c r="Q146" i="110"/>
  <c r="AD146" i="110"/>
  <c r="AE146" i="110"/>
  <c r="AI146" i="110"/>
  <c r="AK146" i="110"/>
  <c r="AM146" i="110"/>
  <c r="A147" i="110"/>
  <c r="G147" i="110"/>
  <c r="H147" i="110"/>
  <c r="I147" i="110"/>
  <c r="L147" i="110"/>
  <c r="M147" i="110"/>
  <c r="O147" i="110"/>
  <c r="Q147" i="110"/>
  <c r="AD147" i="110"/>
  <c r="AE147" i="110"/>
  <c r="AI147" i="110"/>
  <c r="AK147" i="110"/>
  <c r="AM147" i="110"/>
  <c r="A148" i="110"/>
  <c r="G148" i="110"/>
  <c r="H148" i="110"/>
  <c r="I148" i="110"/>
  <c r="L148" i="110"/>
  <c r="M148" i="110"/>
  <c r="O148" i="110"/>
  <c r="Q148" i="110"/>
  <c r="AD148" i="110"/>
  <c r="AE148" i="110"/>
  <c r="AI148" i="110"/>
  <c r="AK148" i="110"/>
  <c r="AM148" i="110"/>
  <c r="A149" i="110"/>
  <c r="G149" i="110"/>
  <c r="H149" i="110"/>
  <c r="I149" i="110"/>
  <c r="L149" i="110"/>
  <c r="M149" i="110"/>
  <c r="O149" i="110"/>
  <c r="Q149" i="110"/>
  <c r="AD149" i="110"/>
  <c r="AE149" i="110"/>
  <c r="AI149" i="110"/>
  <c r="AK149" i="110"/>
  <c r="AM149" i="110"/>
  <c r="AM135" i="110"/>
  <c r="AK135" i="110"/>
  <c r="AI135" i="110"/>
  <c r="AE135" i="110"/>
  <c r="AD135" i="110"/>
  <c r="Q135" i="110"/>
  <c r="O135" i="110"/>
  <c r="M135" i="110"/>
  <c r="L135" i="110"/>
  <c r="I135" i="110"/>
  <c r="H135" i="110"/>
  <c r="G135" i="110"/>
  <c r="A135" i="110"/>
  <c r="A134" i="110"/>
  <c r="AR202" i="182"/>
  <c r="B201" i="182"/>
  <c r="B200" i="182"/>
  <c r="P148" i="110"/>
  <c r="P146" i="110"/>
  <c r="AI36" i="182"/>
  <c r="R36" i="182"/>
  <c r="AI34" i="182"/>
  <c r="R34" i="182"/>
  <c r="AN34" i="182" s="1"/>
  <c r="AI32" i="182"/>
  <c r="R32" i="182"/>
  <c r="AN32" i="182" s="1"/>
  <c r="AI30" i="182"/>
  <c r="R30" i="182"/>
  <c r="AN30" i="182" s="1"/>
  <c r="AI28" i="182"/>
  <c r="R28" i="182"/>
  <c r="AN28" i="182" s="1"/>
  <c r="AI26" i="182"/>
  <c r="R26" i="182"/>
  <c r="AN26" i="182" s="1"/>
  <c r="AI24" i="182"/>
  <c r="R24" i="182"/>
  <c r="AN24" i="182" s="1"/>
  <c r="AI22" i="182"/>
  <c r="R22" i="182"/>
  <c r="AN22" i="182" s="1"/>
  <c r="AI20" i="182"/>
  <c r="R20" i="182"/>
  <c r="AI18" i="182"/>
  <c r="R18" i="182"/>
  <c r="AJ9" i="182"/>
  <c r="AF9" i="182"/>
  <c r="AB9" i="182"/>
  <c r="X9" i="182"/>
  <c r="T9" i="182"/>
  <c r="P9" i="182"/>
  <c r="L9" i="182"/>
  <c r="H9" i="182"/>
  <c r="N147" i="110"/>
  <c r="N145" i="110"/>
  <c r="N149" i="110"/>
  <c r="J146" i="110"/>
  <c r="E146" i="110"/>
  <c r="R145" i="110"/>
  <c r="C145" i="110" s="1"/>
  <c r="AS145" i="110" s="1"/>
  <c r="P145" i="110"/>
  <c r="AP146" i="110"/>
  <c r="R147" i="110"/>
  <c r="C147" i="110" s="1"/>
  <c r="AS147" i="110" s="1"/>
  <c r="P147" i="110"/>
  <c r="AP148" i="110"/>
  <c r="R149" i="110"/>
  <c r="C149" i="110" s="1"/>
  <c r="AS149" i="110" s="1"/>
  <c r="P149" i="110"/>
  <c r="J148" i="110"/>
  <c r="E148" i="110"/>
  <c r="J145" i="110"/>
  <c r="E145" i="110"/>
  <c r="N146" i="110"/>
  <c r="J147" i="110"/>
  <c r="E147" i="110"/>
  <c r="N148" i="110"/>
  <c r="J149" i="110"/>
  <c r="E149" i="110"/>
  <c r="AP145" i="110"/>
  <c r="R146" i="110"/>
  <c r="C146" i="110" s="1"/>
  <c r="AS146" i="110" s="1"/>
  <c r="AP147" i="110"/>
  <c r="R148" i="110"/>
  <c r="C148" i="110" s="1"/>
  <c r="AS148" i="110" s="1"/>
  <c r="AP149" i="110"/>
  <c r="AR202" i="148"/>
  <c r="B201" i="148"/>
  <c r="B200" i="148"/>
  <c r="AJ9" i="176"/>
  <c r="AF9" i="176"/>
  <c r="AB9" i="176"/>
  <c r="X9" i="176"/>
  <c r="T9" i="176"/>
  <c r="P9" i="176"/>
  <c r="L9" i="176"/>
  <c r="H9" i="176"/>
  <c r="AJ9" i="13"/>
  <c r="AF9" i="13"/>
  <c r="AB9" i="13"/>
  <c r="X9" i="13"/>
  <c r="T9" i="13"/>
  <c r="P9" i="13"/>
  <c r="L9" i="13"/>
  <c r="H9" i="13"/>
  <c r="AJ9" i="163"/>
  <c r="AF9" i="163"/>
  <c r="AB9" i="163"/>
  <c r="X9" i="163"/>
  <c r="T9" i="163"/>
  <c r="P9" i="163"/>
  <c r="L9" i="163"/>
  <c r="H9" i="163"/>
  <c r="AJ9" i="171"/>
  <c r="AF9" i="171"/>
  <c r="AB9" i="171"/>
  <c r="X9" i="171"/>
  <c r="T9" i="171"/>
  <c r="P9" i="171"/>
  <c r="L9" i="171"/>
  <c r="H9" i="171"/>
  <c r="AJ9" i="175"/>
  <c r="AF9" i="175"/>
  <c r="AB9" i="175"/>
  <c r="X9" i="175"/>
  <c r="T9" i="175"/>
  <c r="P9" i="175"/>
  <c r="L9" i="175"/>
  <c r="H9" i="175"/>
  <c r="AJ9" i="162"/>
  <c r="AF9" i="162"/>
  <c r="AB9" i="162"/>
  <c r="X9" i="162"/>
  <c r="T9" i="162"/>
  <c r="P9" i="162"/>
  <c r="L9" i="162"/>
  <c r="H9" i="162"/>
  <c r="AJ9" i="170"/>
  <c r="AF9" i="170"/>
  <c r="AB9" i="170"/>
  <c r="X9" i="170"/>
  <c r="T9" i="170"/>
  <c r="P9" i="170"/>
  <c r="L9" i="170"/>
  <c r="H9" i="170"/>
  <c r="AJ9" i="161"/>
  <c r="AF9" i="161"/>
  <c r="AB9" i="161"/>
  <c r="X9" i="161"/>
  <c r="T9" i="161"/>
  <c r="P9" i="161"/>
  <c r="L9" i="161"/>
  <c r="H9" i="161"/>
  <c r="AJ9" i="169"/>
  <c r="AF9" i="169"/>
  <c r="AB9" i="169"/>
  <c r="X9" i="169"/>
  <c r="T9" i="169"/>
  <c r="P9" i="169"/>
  <c r="L9" i="169"/>
  <c r="H9" i="169"/>
  <c r="AJ9" i="160"/>
  <c r="AF9" i="160"/>
  <c r="AB9" i="160"/>
  <c r="X9" i="160"/>
  <c r="T9" i="160"/>
  <c r="P9" i="160"/>
  <c r="L9" i="160"/>
  <c r="H9" i="160"/>
  <c r="AJ9" i="168"/>
  <c r="AF9" i="168"/>
  <c r="AB9" i="168"/>
  <c r="X9" i="168"/>
  <c r="T9" i="168"/>
  <c r="P9" i="168"/>
  <c r="L9" i="168"/>
  <c r="H9" i="168"/>
  <c r="AJ9" i="159"/>
  <c r="AF9" i="159"/>
  <c r="AB9" i="159"/>
  <c r="X9" i="159"/>
  <c r="T9" i="159"/>
  <c r="P9" i="159"/>
  <c r="L9" i="159"/>
  <c r="H9" i="159"/>
  <c r="AJ9" i="167"/>
  <c r="AF9" i="167"/>
  <c r="AB9" i="167"/>
  <c r="X9" i="167"/>
  <c r="T9" i="167"/>
  <c r="P9" i="167"/>
  <c r="L9" i="167"/>
  <c r="H9" i="167"/>
  <c r="EG2" i="110"/>
  <c r="EF2" i="110"/>
  <c r="DV2" i="110"/>
  <c r="DR2" i="110"/>
  <c r="DQ2" i="110"/>
  <c r="DP2" i="110"/>
  <c r="DO2" i="110"/>
  <c r="DN2" i="110"/>
  <c r="DM2" i="110"/>
  <c r="DL2" i="110"/>
  <c r="DK2" i="110"/>
  <c r="C192" i="110"/>
  <c r="B192" i="110" s="1"/>
  <c r="C193" i="110"/>
  <c r="B193" i="110" s="1"/>
  <c r="C194" i="110"/>
  <c r="B194" i="110" s="1"/>
  <c r="C195" i="110"/>
  <c r="B195" i="110" s="1"/>
  <c r="C196" i="110"/>
  <c r="B196" i="110" s="1"/>
  <c r="C208" i="110"/>
  <c r="B208" i="110" s="1"/>
  <c r="C209" i="110"/>
  <c r="B209" i="110" s="1"/>
  <c r="C210" i="110"/>
  <c r="B210" i="110" s="1"/>
  <c r="C211" i="110"/>
  <c r="B211" i="110" s="1"/>
  <c r="C212" i="110"/>
  <c r="B212" i="110" s="1"/>
  <c r="C224" i="110"/>
  <c r="B224" i="110" s="1"/>
  <c r="C225" i="110"/>
  <c r="B225" i="110" s="1"/>
  <c r="C226" i="110"/>
  <c r="B226" i="110" s="1"/>
  <c r="C227" i="110"/>
  <c r="B227" i="110" s="1"/>
  <c r="C228" i="110"/>
  <c r="B228" i="110" s="1"/>
  <c r="C240" i="110"/>
  <c r="B240" i="110" s="1"/>
  <c r="C241" i="110"/>
  <c r="B241" i="110" s="1"/>
  <c r="C242" i="110"/>
  <c r="B242" i="110" s="1"/>
  <c r="C243" i="110"/>
  <c r="B243" i="110" s="1"/>
  <c r="C244" i="110"/>
  <c r="B244" i="110" s="1"/>
  <c r="C256" i="110"/>
  <c r="B256" i="110" s="1"/>
  <c r="C257" i="110"/>
  <c r="B257" i="110" s="1"/>
  <c r="C258" i="110"/>
  <c r="B258" i="110" s="1"/>
  <c r="C259" i="110"/>
  <c r="B259" i="110" s="1"/>
  <c r="C260" i="110"/>
  <c r="B260" i="110" s="1"/>
  <c r="C273" i="110"/>
  <c r="B273" i="110" s="1"/>
  <c r="C274" i="110"/>
  <c r="B274" i="110" s="1"/>
  <c r="C275" i="110"/>
  <c r="B275" i="110" s="1"/>
  <c r="C276" i="110"/>
  <c r="B276" i="110" s="1"/>
  <c r="A279" i="110"/>
  <c r="AI279" i="110"/>
  <c r="AK279" i="110"/>
  <c r="AL279" i="110"/>
  <c r="AM279" i="110"/>
  <c r="A280" i="110"/>
  <c r="AI280" i="110"/>
  <c r="AK280" i="110"/>
  <c r="AL280" i="110"/>
  <c r="AM280" i="110"/>
  <c r="A281" i="110"/>
  <c r="AI281" i="110"/>
  <c r="AK281" i="110"/>
  <c r="AL281" i="110"/>
  <c r="AM281" i="110"/>
  <c r="A284" i="110"/>
  <c r="AI284" i="110"/>
  <c r="AK284" i="110"/>
  <c r="AL284" i="110"/>
  <c r="AM284" i="110"/>
  <c r="AM278" i="110"/>
  <c r="AL278" i="110"/>
  <c r="AK278" i="110"/>
  <c r="AI278" i="110"/>
  <c r="A278" i="110"/>
  <c r="A263" i="110"/>
  <c r="AI263" i="110"/>
  <c r="AK263" i="110"/>
  <c r="AL263" i="110"/>
  <c r="AM263" i="110"/>
  <c r="A264" i="110"/>
  <c r="AI264" i="110"/>
  <c r="AK264" i="110"/>
  <c r="AL264" i="110"/>
  <c r="AM264" i="110"/>
  <c r="A265" i="110"/>
  <c r="AI265" i="110"/>
  <c r="AK265" i="110"/>
  <c r="AL265" i="110"/>
  <c r="AM265" i="110"/>
  <c r="A266" i="110"/>
  <c r="AI266" i="110"/>
  <c r="AK266" i="110"/>
  <c r="AL266" i="110"/>
  <c r="AM266" i="110"/>
  <c r="A267" i="110"/>
  <c r="AI267" i="110"/>
  <c r="AK267" i="110"/>
  <c r="AL267" i="110"/>
  <c r="AM267" i="110"/>
  <c r="A268" i="110"/>
  <c r="AI268" i="110"/>
  <c r="AK268" i="110"/>
  <c r="AL268" i="110"/>
  <c r="AM268" i="110"/>
  <c r="A269" i="110"/>
  <c r="AI269" i="110"/>
  <c r="AK269" i="110"/>
  <c r="AL269" i="110"/>
  <c r="AM269" i="110"/>
  <c r="A270" i="110"/>
  <c r="AI270" i="110"/>
  <c r="AK270" i="110"/>
  <c r="AL270" i="110"/>
  <c r="AM270" i="110"/>
  <c r="A271" i="110"/>
  <c r="AI271" i="110"/>
  <c r="AK271" i="110"/>
  <c r="AL271" i="110"/>
  <c r="AM271" i="110"/>
  <c r="A272" i="110"/>
  <c r="AI272" i="110"/>
  <c r="AK272" i="110"/>
  <c r="AL272" i="110"/>
  <c r="AM272" i="110"/>
  <c r="A273" i="110"/>
  <c r="E273" i="110"/>
  <c r="AC273" i="110"/>
  <c r="AD273" i="110"/>
  <c r="AE273" i="110"/>
  <c r="AI273" i="110"/>
  <c r="AK273" i="110"/>
  <c r="AL273" i="110"/>
  <c r="AM273" i="110"/>
  <c r="AN273" i="110"/>
  <c r="AO273" i="110"/>
  <c r="AP273" i="110"/>
  <c r="AQ273" i="110"/>
  <c r="A274" i="110"/>
  <c r="E274" i="110"/>
  <c r="AC274" i="110"/>
  <c r="AD274" i="110"/>
  <c r="AE274" i="110"/>
  <c r="AI274" i="110"/>
  <c r="AK274" i="110"/>
  <c r="AL274" i="110"/>
  <c r="AM274" i="110"/>
  <c r="AN274" i="110"/>
  <c r="AO274" i="110"/>
  <c r="AP274" i="110"/>
  <c r="AQ274" i="110"/>
  <c r="A275" i="110"/>
  <c r="E275" i="110"/>
  <c r="AC275" i="110"/>
  <c r="AD275" i="110"/>
  <c r="AE275" i="110"/>
  <c r="AI275" i="110"/>
  <c r="AK275" i="110"/>
  <c r="AL275" i="110"/>
  <c r="AM275" i="110"/>
  <c r="AN275" i="110"/>
  <c r="AO275" i="110"/>
  <c r="AP275" i="110"/>
  <c r="AQ275" i="110"/>
  <c r="A276" i="110"/>
  <c r="E276" i="110"/>
  <c r="AC276" i="110"/>
  <c r="AD276" i="110"/>
  <c r="AE276" i="110"/>
  <c r="AI276" i="110"/>
  <c r="AK276" i="110"/>
  <c r="AL276" i="110"/>
  <c r="AM276" i="110"/>
  <c r="AN276" i="110"/>
  <c r="AO276" i="110"/>
  <c r="AP276" i="110"/>
  <c r="AQ276" i="110"/>
  <c r="A247" i="110"/>
  <c r="AI247" i="110"/>
  <c r="AK247" i="110"/>
  <c r="AL247" i="110"/>
  <c r="AM247" i="110"/>
  <c r="A248" i="110"/>
  <c r="AI248" i="110"/>
  <c r="AK248" i="110"/>
  <c r="AL248" i="110"/>
  <c r="AM248" i="110"/>
  <c r="A249" i="110"/>
  <c r="AI249" i="110"/>
  <c r="AK249" i="110"/>
  <c r="AL249" i="110"/>
  <c r="AM249" i="110"/>
  <c r="A250" i="110"/>
  <c r="AI250" i="110"/>
  <c r="AK250" i="110"/>
  <c r="AL250" i="110"/>
  <c r="AM250" i="110"/>
  <c r="A251" i="110"/>
  <c r="AI251" i="110"/>
  <c r="AK251" i="110"/>
  <c r="AL251" i="110"/>
  <c r="AM251" i="110"/>
  <c r="A252" i="110"/>
  <c r="AI252" i="110"/>
  <c r="AK252" i="110"/>
  <c r="AL252" i="110"/>
  <c r="AM252" i="110"/>
  <c r="A253" i="110"/>
  <c r="AI253" i="110"/>
  <c r="AK253" i="110"/>
  <c r="AL253" i="110"/>
  <c r="AM253" i="110"/>
  <c r="A254" i="110"/>
  <c r="AI254" i="110"/>
  <c r="AK254" i="110"/>
  <c r="AL254" i="110"/>
  <c r="AM254" i="110"/>
  <c r="A255" i="110"/>
  <c r="AI255" i="110"/>
  <c r="AK255" i="110"/>
  <c r="AL255" i="110"/>
  <c r="AM255" i="110"/>
  <c r="A256" i="110"/>
  <c r="E256" i="110"/>
  <c r="AC256" i="110"/>
  <c r="AD256" i="110"/>
  <c r="AE256" i="110"/>
  <c r="AI256" i="110"/>
  <c r="AK256" i="110"/>
  <c r="AL256" i="110"/>
  <c r="AM256" i="110"/>
  <c r="AN256" i="110"/>
  <c r="AO256" i="110"/>
  <c r="AP256" i="110"/>
  <c r="AQ256" i="110"/>
  <c r="A257" i="110"/>
  <c r="E257" i="110"/>
  <c r="AC257" i="110"/>
  <c r="AD257" i="110"/>
  <c r="AE257" i="110"/>
  <c r="AI257" i="110"/>
  <c r="AK257" i="110"/>
  <c r="AL257" i="110"/>
  <c r="AM257" i="110"/>
  <c r="AN257" i="110"/>
  <c r="AO257" i="110"/>
  <c r="AP257" i="110"/>
  <c r="AQ257" i="110"/>
  <c r="A258" i="110"/>
  <c r="E258" i="110"/>
  <c r="AC258" i="110"/>
  <c r="AD258" i="110"/>
  <c r="AE258" i="110"/>
  <c r="AI258" i="110"/>
  <c r="AK258" i="110"/>
  <c r="AL258" i="110"/>
  <c r="AM258" i="110"/>
  <c r="AN258" i="110"/>
  <c r="AO258" i="110"/>
  <c r="AP258" i="110"/>
  <c r="AQ258" i="110"/>
  <c r="A259" i="110"/>
  <c r="E259" i="110"/>
  <c r="AC259" i="110"/>
  <c r="AD259" i="110"/>
  <c r="AE259" i="110"/>
  <c r="AI259" i="110"/>
  <c r="AK259" i="110"/>
  <c r="AL259" i="110"/>
  <c r="AM259" i="110"/>
  <c r="AN259" i="110"/>
  <c r="AO259" i="110"/>
  <c r="AP259" i="110"/>
  <c r="AQ259" i="110"/>
  <c r="A260" i="110"/>
  <c r="E260" i="110"/>
  <c r="AC260" i="110"/>
  <c r="AD260" i="110"/>
  <c r="AE260" i="110"/>
  <c r="AI260" i="110"/>
  <c r="AK260" i="110"/>
  <c r="AL260" i="110"/>
  <c r="AM260" i="110"/>
  <c r="AN260" i="110"/>
  <c r="AO260" i="110"/>
  <c r="AP260" i="110"/>
  <c r="AQ260" i="110"/>
  <c r="AM246" i="110"/>
  <c r="AL246" i="110"/>
  <c r="AK246" i="110"/>
  <c r="AI246" i="110"/>
  <c r="A246" i="110"/>
  <c r="A231" i="110"/>
  <c r="AI231" i="110"/>
  <c r="AK231" i="110"/>
  <c r="AL231" i="110"/>
  <c r="AM231" i="110"/>
  <c r="A232" i="110"/>
  <c r="AI232" i="110"/>
  <c r="AK232" i="110"/>
  <c r="AL232" i="110"/>
  <c r="AM232" i="110"/>
  <c r="A233" i="110"/>
  <c r="AI233" i="110"/>
  <c r="AK233" i="110"/>
  <c r="AL233" i="110"/>
  <c r="AM233" i="110"/>
  <c r="A234" i="110"/>
  <c r="AI234" i="110"/>
  <c r="AK234" i="110"/>
  <c r="AL234" i="110"/>
  <c r="AM234" i="110"/>
  <c r="A235" i="110"/>
  <c r="AI235" i="110"/>
  <c r="AK235" i="110"/>
  <c r="AL235" i="110"/>
  <c r="AM235" i="110"/>
  <c r="A236" i="110"/>
  <c r="AI236" i="110"/>
  <c r="AK236" i="110"/>
  <c r="AL236" i="110"/>
  <c r="AM236" i="110"/>
  <c r="A237" i="110"/>
  <c r="AI237" i="110"/>
  <c r="AK237" i="110"/>
  <c r="AL237" i="110"/>
  <c r="AM237" i="110"/>
  <c r="A238" i="110"/>
  <c r="AI238" i="110"/>
  <c r="AK238" i="110"/>
  <c r="AL238" i="110"/>
  <c r="AM238" i="110"/>
  <c r="A239" i="110"/>
  <c r="AI239" i="110"/>
  <c r="AK239" i="110"/>
  <c r="AL239" i="110"/>
  <c r="AM239" i="110"/>
  <c r="A240" i="110"/>
  <c r="E240" i="110"/>
  <c r="AC240" i="110"/>
  <c r="AD240" i="110"/>
  <c r="AE240" i="110"/>
  <c r="AI240" i="110"/>
  <c r="AK240" i="110"/>
  <c r="AL240" i="110"/>
  <c r="AM240" i="110"/>
  <c r="AN240" i="110"/>
  <c r="AO240" i="110"/>
  <c r="AP240" i="110"/>
  <c r="AQ240" i="110"/>
  <c r="A241" i="110"/>
  <c r="E241" i="110"/>
  <c r="AC241" i="110"/>
  <c r="AD241" i="110"/>
  <c r="AE241" i="110"/>
  <c r="AI241" i="110"/>
  <c r="AK241" i="110"/>
  <c r="AL241" i="110"/>
  <c r="AM241" i="110"/>
  <c r="AN241" i="110"/>
  <c r="AO241" i="110"/>
  <c r="AP241" i="110"/>
  <c r="AQ241" i="110"/>
  <c r="A242" i="110"/>
  <c r="E242" i="110"/>
  <c r="AC242" i="110"/>
  <c r="AD242" i="110"/>
  <c r="AE242" i="110"/>
  <c r="AI242" i="110"/>
  <c r="AK242" i="110"/>
  <c r="AL242" i="110"/>
  <c r="AM242" i="110"/>
  <c r="AN242" i="110"/>
  <c r="AO242" i="110"/>
  <c r="AP242" i="110"/>
  <c r="AQ242" i="110"/>
  <c r="A243" i="110"/>
  <c r="E243" i="110"/>
  <c r="AC243" i="110"/>
  <c r="AD243" i="110"/>
  <c r="AE243" i="110"/>
  <c r="AI243" i="110"/>
  <c r="AK243" i="110"/>
  <c r="AL243" i="110"/>
  <c r="AM243" i="110"/>
  <c r="AN243" i="110"/>
  <c r="AO243" i="110"/>
  <c r="AP243" i="110"/>
  <c r="AQ243" i="110"/>
  <c r="A244" i="110"/>
  <c r="E244" i="110"/>
  <c r="AC244" i="110"/>
  <c r="AD244" i="110"/>
  <c r="AE244" i="110"/>
  <c r="AI244" i="110"/>
  <c r="AK244" i="110"/>
  <c r="AL244" i="110"/>
  <c r="AM244" i="110"/>
  <c r="AN244" i="110"/>
  <c r="AO244" i="110"/>
  <c r="AP244" i="110"/>
  <c r="AQ244" i="110"/>
  <c r="AM230" i="110"/>
  <c r="AL230" i="110"/>
  <c r="AK230" i="110"/>
  <c r="AI230" i="110"/>
  <c r="A230" i="110"/>
  <c r="A215" i="110"/>
  <c r="AI215" i="110"/>
  <c r="AK215" i="110"/>
  <c r="AL215" i="110"/>
  <c r="AM215" i="110"/>
  <c r="A216" i="110"/>
  <c r="AI216" i="110"/>
  <c r="AK216" i="110"/>
  <c r="AL216" i="110"/>
  <c r="AM216" i="110"/>
  <c r="A217" i="110"/>
  <c r="AI217" i="110"/>
  <c r="AK217" i="110"/>
  <c r="AL217" i="110"/>
  <c r="AM217" i="110"/>
  <c r="A218" i="110"/>
  <c r="AI218" i="110"/>
  <c r="AK218" i="110"/>
  <c r="AL218" i="110"/>
  <c r="AM218" i="110"/>
  <c r="A219" i="110"/>
  <c r="AI219" i="110"/>
  <c r="AK219" i="110"/>
  <c r="AL219" i="110"/>
  <c r="AM219" i="110"/>
  <c r="A220" i="110"/>
  <c r="AI220" i="110"/>
  <c r="AK220" i="110"/>
  <c r="AL220" i="110"/>
  <c r="AM220" i="110"/>
  <c r="A221" i="110"/>
  <c r="AI221" i="110"/>
  <c r="AK221" i="110"/>
  <c r="AL221" i="110"/>
  <c r="AM221" i="110"/>
  <c r="A222" i="110"/>
  <c r="AI222" i="110"/>
  <c r="AK222" i="110"/>
  <c r="AL222" i="110"/>
  <c r="AM222" i="110"/>
  <c r="A223" i="110"/>
  <c r="AI223" i="110"/>
  <c r="AK223" i="110"/>
  <c r="AL223" i="110"/>
  <c r="AM223" i="110"/>
  <c r="A224" i="110"/>
  <c r="E224" i="110"/>
  <c r="AC224" i="110"/>
  <c r="AD224" i="110"/>
  <c r="AE224" i="110"/>
  <c r="AI224" i="110"/>
  <c r="AK224" i="110"/>
  <c r="AL224" i="110"/>
  <c r="AM224" i="110"/>
  <c r="AN224" i="110"/>
  <c r="AO224" i="110"/>
  <c r="AP224" i="110"/>
  <c r="AQ224" i="110"/>
  <c r="A225" i="110"/>
  <c r="E225" i="110"/>
  <c r="AC225" i="110"/>
  <c r="AD225" i="110"/>
  <c r="AE225" i="110"/>
  <c r="AI225" i="110"/>
  <c r="AK225" i="110"/>
  <c r="AL225" i="110"/>
  <c r="AM225" i="110"/>
  <c r="AN225" i="110"/>
  <c r="AO225" i="110"/>
  <c r="AP225" i="110"/>
  <c r="AQ225" i="110"/>
  <c r="A226" i="110"/>
  <c r="E226" i="110"/>
  <c r="AC226" i="110"/>
  <c r="AD226" i="110"/>
  <c r="AE226" i="110"/>
  <c r="AI226" i="110"/>
  <c r="AK226" i="110"/>
  <c r="AL226" i="110"/>
  <c r="AM226" i="110"/>
  <c r="AN226" i="110"/>
  <c r="AO226" i="110"/>
  <c r="AP226" i="110"/>
  <c r="AQ226" i="110"/>
  <c r="A227" i="110"/>
  <c r="E227" i="110"/>
  <c r="AC227" i="110"/>
  <c r="AD227" i="110"/>
  <c r="AE227" i="110"/>
  <c r="AI227" i="110"/>
  <c r="AK227" i="110"/>
  <c r="AL227" i="110"/>
  <c r="AM227" i="110"/>
  <c r="AN227" i="110"/>
  <c r="AO227" i="110"/>
  <c r="AP227" i="110"/>
  <c r="AQ227" i="110"/>
  <c r="A228" i="110"/>
  <c r="E228" i="110"/>
  <c r="AC228" i="110"/>
  <c r="AD228" i="110"/>
  <c r="AE228" i="110"/>
  <c r="AI228" i="110"/>
  <c r="AK228" i="110"/>
  <c r="AL228" i="110"/>
  <c r="AM228" i="110"/>
  <c r="AN228" i="110"/>
  <c r="AO228" i="110"/>
  <c r="AP228" i="110"/>
  <c r="AQ228" i="110"/>
  <c r="AM214" i="110"/>
  <c r="AL214" i="110"/>
  <c r="AK214" i="110"/>
  <c r="AI214" i="110"/>
  <c r="A214" i="110"/>
  <c r="A199" i="110"/>
  <c r="AI199" i="110"/>
  <c r="AK199" i="110"/>
  <c r="AL199" i="110"/>
  <c r="AM199" i="110"/>
  <c r="A200" i="110"/>
  <c r="AI200" i="110"/>
  <c r="AK200" i="110"/>
  <c r="AL200" i="110"/>
  <c r="AM200" i="110"/>
  <c r="A201" i="110"/>
  <c r="AI201" i="110"/>
  <c r="AK201" i="110"/>
  <c r="AL201" i="110"/>
  <c r="AM201" i="110"/>
  <c r="A202" i="110"/>
  <c r="AI202" i="110"/>
  <c r="AK202" i="110"/>
  <c r="AL202" i="110"/>
  <c r="AM202" i="110"/>
  <c r="A203" i="110"/>
  <c r="AI203" i="110"/>
  <c r="AK203" i="110"/>
  <c r="AL203" i="110"/>
  <c r="AM203" i="110"/>
  <c r="A204" i="110"/>
  <c r="AI204" i="110"/>
  <c r="AK204" i="110"/>
  <c r="AL204" i="110"/>
  <c r="AM204" i="110"/>
  <c r="A205" i="110"/>
  <c r="AI205" i="110"/>
  <c r="AK205" i="110"/>
  <c r="AL205" i="110"/>
  <c r="AM205" i="110"/>
  <c r="A206" i="110"/>
  <c r="AI206" i="110"/>
  <c r="AK206" i="110"/>
  <c r="AL206" i="110"/>
  <c r="AM206" i="110"/>
  <c r="A207" i="110"/>
  <c r="AI207" i="110"/>
  <c r="AK207" i="110"/>
  <c r="AL207" i="110"/>
  <c r="AM207" i="110"/>
  <c r="A208" i="110"/>
  <c r="E208" i="110"/>
  <c r="AC208" i="110"/>
  <c r="AD208" i="110"/>
  <c r="AE208" i="110"/>
  <c r="AI208" i="110"/>
  <c r="AK208" i="110"/>
  <c r="AL208" i="110"/>
  <c r="AM208" i="110"/>
  <c r="AN208" i="110"/>
  <c r="AO208" i="110"/>
  <c r="AP208" i="110"/>
  <c r="AQ208" i="110"/>
  <c r="A209" i="110"/>
  <c r="E209" i="110"/>
  <c r="AC209" i="110"/>
  <c r="AD209" i="110"/>
  <c r="AE209" i="110"/>
  <c r="AI209" i="110"/>
  <c r="AK209" i="110"/>
  <c r="AL209" i="110"/>
  <c r="AM209" i="110"/>
  <c r="AN209" i="110"/>
  <c r="AO209" i="110"/>
  <c r="AP209" i="110"/>
  <c r="AQ209" i="110"/>
  <c r="A210" i="110"/>
  <c r="E210" i="110"/>
  <c r="AC210" i="110"/>
  <c r="AD210" i="110"/>
  <c r="AE210" i="110"/>
  <c r="AI210" i="110"/>
  <c r="AK210" i="110"/>
  <c r="AL210" i="110"/>
  <c r="AM210" i="110"/>
  <c r="AN210" i="110"/>
  <c r="AO210" i="110"/>
  <c r="AP210" i="110"/>
  <c r="AQ210" i="110"/>
  <c r="A211" i="110"/>
  <c r="E211" i="110"/>
  <c r="AC211" i="110"/>
  <c r="AD211" i="110"/>
  <c r="AE211" i="110"/>
  <c r="AI211" i="110"/>
  <c r="AK211" i="110"/>
  <c r="AL211" i="110"/>
  <c r="AM211" i="110"/>
  <c r="AN211" i="110"/>
  <c r="AO211" i="110"/>
  <c r="AP211" i="110"/>
  <c r="AQ211" i="110"/>
  <c r="A212" i="110"/>
  <c r="E212" i="110"/>
  <c r="AC212" i="110"/>
  <c r="AD212" i="110"/>
  <c r="AE212" i="110"/>
  <c r="AI212" i="110"/>
  <c r="AK212" i="110"/>
  <c r="AL212" i="110"/>
  <c r="AM212" i="110"/>
  <c r="AN212" i="110"/>
  <c r="AO212" i="110"/>
  <c r="AP212" i="110"/>
  <c r="AQ212" i="110"/>
  <c r="AM198" i="110"/>
  <c r="AL198" i="110"/>
  <c r="AK198" i="110"/>
  <c r="AI198" i="110"/>
  <c r="A198" i="110"/>
  <c r="A183" i="110"/>
  <c r="AI183" i="110"/>
  <c r="A184" i="110"/>
  <c r="AI184" i="110"/>
  <c r="A185" i="110"/>
  <c r="AI185" i="110"/>
  <c r="A186" i="110"/>
  <c r="AI186" i="110"/>
  <c r="A187" i="110"/>
  <c r="AI187" i="110"/>
  <c r="A188" i="110"/>
  <c r="AI188" i="110"/>
  <c r="A189" i="110"/>
  <c r="AI189" i="110"/>
  <c r="A190" i="110"/>
  <c r="AI190" i="110"/>
  <c r="A191" i="110"/>
  <c r="AI191" i="110"/>
  <c r="A192" i="110"/>
  <c r="E192" i="110"/>
  <c r="AC192" i="110"/>
  <c r="AD192" i="110"/>
  <c r="AE192" i="110"/>
  <c r="AI192" i="110"/>
  <c r="AN192" i="110"/>
  <c r="AO192" i="110"/>
  <c r="AP192" i="110"/>
  <c r="AQ192" i="110"/>
  <c r="A193" i="110"/>
  <c r="E193" i="110"/>
  <c r="AC193" i="110"/>
  <c r="AD193" i="110"/>
  <c r="AE193" i="110"/>
  <c r="AI193" i="110"/>
  <c r="AN193" i="110"/>
  <c r="AO193" i="110"/>
  <c r="AP193" i="110"/>
  <c r="AQ193" i="110"/>
  <c r="A194" i="110"/>
  <c r="E194" i="110"/>
  <c r="AC194" i="110"/>
  <c r="AD194" i="110"/>
  <c r="AE194" i="110"/>
  <c r="AI194" i="110"/>
  <c r="AN194" i="110"/>
  <c r="AO194" i="110"/>
  <c r="AP194" i="110"/>
  <c r="AQ194" i="110"/>
  <c r="A195" i="110"/>
  <c r="E195" i="110"/>
  <c r="AC195" i="110"/>
  <c r="AD195" i="110"/>
  <c r="AE195" i="110"/>
  <c r="AI195" i="110"/>
  <c r="AN195" i="110"/>
  <c r="AO195" i="110"/>
  <c r="AP195" i="110"/>
  <c r="AQ195" i="110"/>
  <c r="A196" i="110"/>
  <c r="E196" i="110"/>
  <c r="AC196" i="110"/>
  <c r="AD196" i="110"/>
  <c r="AE196" i="110"/>
  <c r="AI196" i="110"/>
  <c r="AN196" i="110"/>
  <c r="AO196" i="110"/>
  <c r="AP196" i="110"/>
  <c r="AQ196" i="110"/>
  <c r="AI182" i="110"/>
  <c r="A182" i="110"/>
  <c r="A152" i="110"/>
  <c r="E152" i="110"/>
  <c r="F152" i="110"/>
  <c r="G152" i="110"/>
  <c r="AG152" i="110"/>
  <c r="AI152" i="110"/>
  <c r="AJ152" i="110"/>
  <c r="AK152" i="110"/>
  <c r="AL152" i="110"/>
  <c r="AM152" i="110"/>
  <c r="A153" i="110"/>
  <c r="F153" i="110"/>
  <c r="G153" i="110"/>
  <c r="AG153" i="110"/>
  <c r="AI153" i="110"/>
  <c r="AJ153" i="110"/>
  <c r="AK153" i="110"/>
  <c r="AL153" i="110"/>
  <c r="AM153" i="110"/>
  <c r="A154" i="110"/>
  <c r="E154" i="110"/>
  <c r="F154" i="110"/>
  <c r="G154" i="110"/>
  <c r="AG154" i="110"/>
  <c r="AI154" i="110"/>
  <c r="AJ154" i="110"/>
  <c r="AK154" i="110"/>
  <c r="AL154" i="110"/>
  <c r="AM154" i="110"/>
  <c r="A155" i="110"/>
  <c r="E155" i="110"/>
  <c r="F155" i="110"/>
  <c r="G155" i="110"/>
  <c r="AG155" i="110"/>
  <c r="AI155" i="110"/>
  <c r="AJ155" i="110"/>
  <c r="AK155" i="110"/>
  <c r="AL155" i="110"/>
  <c r="AM155" i="110"/>
  <c r="A156" i="110"/>
  <c r="E156" i="110"/>
  <c r="F156" i="110"/>
  <c r="G156" i="110"/>
  <c r="AG156" i="110"/>
  <c r="AI156" i="110"/>
  <c r="AJ156" i="110"/>
  <c r="AK156" i="110"/>
  <c r="AL156" i="110"/>
  <c r="AM156" i="110"/>
  <c r="A157" i="110"/>
  <c r="F157" i="110"/>
  <c r="G157" i="110"/>
  <c r="AG157" i="110"/>
  <c r="AI157" i="110"/>
  <c r="AJ157" i="110"/>
  <c r="AK157" i="110"/>
  <c r="AL157" i="110"/>
  <c r="AM157" i="110"/>
  <c r="A158" i="110"/>
  <c r="E158" i="110"/>
  <c r="F158" i="110"/>
  <c r="G158" i="110"/>
  <c r="AG158" i="110"/>
  <c r="AI158" i="110"/>
  <c r="AJ158" i="110"/>
  <c r="AK158" i="110"/>
  <c r="AL158" i="110"/>
  <c r="AM158" i="110"/>
  <c r="A159" i="110"/>
  <c r="E159" i="110"/>
  <c r="F159" i="110"/>
  <c r="G159" i="110"/>
  <c r="AG159" i="110"/>
  <c r="AI159" i="110"/>
  <c r="AJ159" i="110"/>
  <c r="AK159" i="110"/>
  <c r="AL159" i="110"/>
  <c r="AM159" i="110"/>
  <c r="A160" i="110"/>
  <c r="E160" i="110"/>
  <c r="F160" i="110"/>
  <c r="G160" i="110"/>
  <c r="AG160" i="110"/>
  <c r="AI160" i="110"/>
  <c r="AJ160" i="110"/>
  <c r="AK160" i="110"/>
  <c r="AL160" i="110"/>
  <c r="AM160" i="110"/>
  <c r="A161" i="110"/>
  <c r="F161" i="110"/>
  <c r="G161" i="110"/>
  <c r="AG161" i="110"/>
  <c r="AI161" i="110"/>
  <c r="AJ161" i="110"/>
  <c r="AK161" i="110"/>
  <c r="AL161" i="110"/>
  <c r="AM161" i="110"/>
  <c r="A162" i="110"/>
  <c r="E162" i="110"/>
  <c r="F162" i="110"/>
  <c r="G162" i="110"/>
  <c r="AG162" i="110"/>
  <c r="AI162" i="110"/>
  <c r="AJ162" i="110"/>
  <c r="AK162" i="110"/>
  <c r="AL162" i="110"/>
  <c r="AM162" i="110"/>
  <c r="A163" i="110"/>
  <c r="E163" i="110"/>
  <c r="F163" i="110"/>
  <c r="G163" i="110"/>
  <c r="AG163" i="110"/>
  <c r="AI163" i="110"/>
  <c r="AJ163" i="110"/>
  <c r="AK163" i="110"/>
  <c r="AL163" i="110"/>
  <c r="AM163" i="110"/>
  <c r="A164" i="110"/>
  <c r="E164" i="110"/>
  <c r="F164" i="110"/>
  <c r="G164" i="110"/>
  <c r="AG164" i="110"/>
  <c r="AI164" i="110"/>
  <c r="AJ164" i="110"/>
  <c r="AK164" i="110"/>
  <c r="AL164" i="110"/>
  <c r="AM164" i="110"/>
  <c r="A165" i="110"/>
  <c r="F165" i="110"/>
  <c r="G165" i="110"/>
  <c r="AG165" i="110"/>
  <c r="AI165" i="110"/>
  <c r="AJ165" i="110"/>
  <c r="AK165" i="110"/>
  <c r="AL165" i="110"/>
  <c r="AM165" i="110"/>
  <c r="A166" i="110"/>
  <c r="E166" i="110"/>
  <c r="F166" i="110"/>
  <c r="G166" i="110"/>
  <c r="AG166" i="110"/>
  <c r="AI166" i="110"/>
  <c r="AJ166" i="110"/>
  <c r="AK166" i="110"/>
  <c r="AL166" i="110"/>
  <c r="AM166" i="110"/>
  <c r="A167" i="110"/>
  <c r="E167" i="110"/>
  <c r="F167" i="110"/>
  <c r="G167" i="110"/>
  <c r="AG167" i="110"/>
  <c r="AI167" i="110"/>
  <c r="AJ167" i="110"/>
  <c r="AK167" i="110"/>
  <c r="AL167" i="110"/>
  <c r="AM167" i="110"/>
  <c r="A168" i="110"/>
  <c r="E168" i="110"/>
  <c r="F168" i="110"/>
  <c r="G168" i="110"/>
  <c r="AG168" i="110"/>
  <c r="AI168" i="110"/>
  <c r="AJ168" i="110"/>
  <c r="AK168" i="110"/>
  <c r="AL168" i="110"/>
  <c r="AM168" i="110"/>
  <c r="A169" i="110"/>
  <c r="F169" i="110"/>
  <c r="G169" i="110"/>
  <c r="AG169" i="110"/>
  <c r="AI169" i="110"/>
  <c r="AJ169" i="110"/>
  <c r="AK169" i="110"/>
  <c r="AL169" i="110"/>
  <c r="AM169" i="110"/>
  <c r="A170" i="110"/>
  <c r="E170" i="110"/>
  <c r="F170" i="110"/>
  <c r="G170" i="110"/>
  <c r="AG170" i="110"/>
  <c r="AI170" i="110"/>
  <c r="AJ170" i="110"/>
  <c r="AK170" i="110"/>
  <c r="AL170" i="110"/>
  <c r="AM170" i="110"/>
  <c r="A171" i="110"/>
  <c r="E171" i="110"/>
  <c r="F171" i="110"/>
  <c r="G171" i="110"/>
  <c r="AG171" i="110"/>
  <c r="AI171" i="110"/>
  <c r="AJ171" i="110"/>
  <c r="AK171" i="110"/>
  <c r="AL171" i="110"/>
  <c r="AM171" i="110"/>
  <c r="A172" i="110"/>
  <c r="E172" i="110"/>
  <c r="F172" i="110"/>
  <c r="G172" i="110"/>
  <c r="AG172" i="110"/>
  <c r="AI172" i="110"/>
  <c r="AJ172" i="110"/>
  <c r="AK172" i="110"/>
  <c r="AL172" i="110"/>
  <c r="AM172" i="110"/>
  <c r="A173" i="110"/>
  <c r="F173" i="110"/>
  <c r="G173" i="110"/>
  <c r="AG173" i="110"/>
  <c r="AI173" i="110"/>
  <c r="AJ173" i="110"/>
  <c r="AK173" i="110"/>
  <c r="AL173" i="110"/>
  <c r="AM173" i="110"/>
  <c r="A174" i="110"/>
  <c r="E174" i="110"/>
  <c r="F174" i="110"/>
  <c r="G174" i="110"/>
  <c r="AG174" i="110"/>
  <c r="AI174" i="110"/>
  <c r="AJ174" i="110"/>
  <c r="AK174" i="110"/>
  <c r="AL174" i="110"/>
  <c r="AM174" i="110"/>
  <c r="A175" i="110"/>
  <c r="E175" i="110"/>
  <c r="F175" i="110"/>
  <c r="G175" i="110"/>
  <c r="AG175" i="110"/>
  <c r="AI175" i="110"/>
  <c r="AJ175" i="110"/>
  <c r="AK175" i="110"/>
  <c r="AL175" i="110"/>
  <c r="AM175" i="110"/>
  <c r="A176" i="110"/>
  <c r="E176" i="110"/>
  <c r="F176" i="110"/>
  <c r="G176" i="110"/>
  <c r="AG176" i="110"/>
  <c r="AI176" i="110"/>
  <c r="AJ176" i="110"/>
  <c r="AK176" i="110"/>
  <c r="AL176" i="110"/>
  <c r="AM176" i="110"/>
  <c r="A177" i="110"/>
  <c r="F177" i="110"/>
  <c r="G177" i="110"/>
  <c r="AG177" i="110"/>
  <c r="AI177" i="110"/>
  <c r="AJ177" i="110"/>
  <c r="AK177" i="110"/>
  <c r="AL177" i="110"/>
  <c r="AM177" i="110"/>
  <c r="A178" i="110"/>
  <c r="E178" i="110"/>
  <c r="F178" i="110"/>
  <c r="G178" i="110"/>
  <c r="AG178" i="110"/>
  <c r="AI178" i="110"/>
  <c r="AJ178" i="110"/>
  <c r="AK178" i="110"/>
  <c r="AL178" i="110"/>
  <c r="AM178" i="110"/>
  <c r="A179" i="110"/>
  <c r="E179" i="110"/>
  <c r="F179" i="110"/>
  <c r="G179" i="110"/>
  <c r="AG179" i="110"/>
  <c r="AI179" i="110"/>
  <c r="AJ179" i="110"/>
  <c r="AK179" i="110"/>
  <c r="AL179" i="110"/>
  <c r="AM179" i="110"/>
  <c r="A180" i="110"/>
  <c r="E180" i="110"/>
  <c r="F180" i="110"/>
  <c r="G180" i="110"/>
  <c r="AG180" i="110"/>
  <c r="AI180" i="110"/>
  <c r="AJ180" i="110"/>
  <c r="AK180" i="110"/>
  <c r="AL180" i="110"/>
  <c r="AM180" i="110"/>
  <c r="AG151" i="110"/>
  <c r="AM151" i="110"/>
  <c r="AL151" i="110"/>
  <c r="AK151" i="110"/>
  <c r="AJ151" i="110"/>
  <c r="G151" i="110"/>
  <c r="F151" i="110"/>
  <c r="AI151" i="110"/>
  <c r="A151" i="110"/>
  <c r="A120" i="110"/>
  <c r="G120" i="110"/>
  <c r="H120" i="110"/>
  <c r="I120" i="110"/>
  <c r="L120" i="110"/>
  <c r="M120" i="110"/>
  <c r="O120" i="110"/>
  <c r="Q120" i="110"/>
  <c r="AD120" i="110"/>
  <c r="AE120" i="110"/>
  <c r="AI120" i="110"/>
  <c r="AK120" i="110"/>
  <c r="AM120" i="110"/>
  <c r="A121" i="110"/>
  <c r="G121" i="110"/>
  <c r="H121" i="110"/>
  <c r="I121" i="110"/>
  <c r="L121" i="110"/>
  <c r="M121" i="110"/>
  <c r="O121" i="110"/>
  <c r="Q121" i="110"/>
  <c r="AD121" i="110"/>
  <c r="AE121" i="110"/>
  <c r="AI121" i="110"/>
  <c r="AK121" i="110"/>
  <c r="AM121" i="110"/>
  <c r="A122" i="110"/>
  <c r="G122" i="110"/>
  <c r="H122" i="110"/>
  <c r="I122" i="110"/>
  <c r="L122" i="110"/>
  <c r="M122" i="110"/>
  <c r="O122" i="110"/>
  <c r="Q122" i="110"/>
  <c r="AD122" i="110"/>
  <c r="AE122" i="110"/>
  <c r="AI122" i="110"/>
  <c r="AK122" i="110"/>
  <c r="AM122" i="110"/>
  <c r="A123" i="110"/>
  <c r="G123" i="110"/>
  <c r="H123" i="110"/>
  <c r="I123" i="110"/>
  <c r="L123" i="110"/>
  <c r="M123" i="110"/>
  <c r="O123" i="110"/>
  <c r="Q123" i="110"/>
  <c r="AD123" i="110"/>
  <c r="AE123" i="110"/>
  <c r="AI123" i="110"/>
  <c r="AK123" i="110"/>
  <c r="AM123" i="110"/>
  <c r="A124" i="110"/>
  <c r="G124" i="110"/>
  <c r="H124" i="110"/>
  <c r="I124" i="110"/>
  <c r="L124" i="110"/>
  <c r="M124" i="110"/>
  <c r="O124" i="110"/>
  <c r="Q124" i="110"/>
  <c r="AD124" i="110"/>
  <c r="AE124" i="110"/>
  <c r="AI124" i="110"/>
  <c r="AK124" i="110"/>
  <c r="AM124" i="110"/>
  <c r="A125" i="110"/>
  <c r="G125" i="110"/>
  <c r="H125" i="110"/>
  <c r="I125" i="110"/>
  <c r="L125" i="110"/>
  <c r="M125" i="110"/>
  <c r="O125" i="110"/>
  <c r="Q125" i="110"/>
  <c r="AD125" i="110"/>
  <c r="AE125" i="110"/>
  <c r="AI125" i="110"/>
  <c r="AK125" i="110"/>
  <c r="AM125" i="110"/>
  <c r="A126" i="110"/>
  <c r="G126" i="110"/>
  <c r="H126" i="110"/>
  <c r="I126" i="110"/>
  <c r="L126" i="110"/>
  <c r="M126" i="110"/>
  <c r="O126" i="110"/>
  <c r="Q126" i="110"/>
  <c r="AD126" i="110"/>
  <c r="AE126" i="110"/>
  <c r="AI126" i="110"/>
  <c r="AK126" i="110"/>
  <c r="AM126" i="110"/>
  <c r="A127" i="110"/>
  <c r="G127" i="110"/>
  <c r="H127" i="110"/>
  <c r="I127" i="110"/>
  <c r="L127" i="110"/>
  <c r="M127" i="110"/>
  <c r="O127" i="110"/>
  <c r="Q127" i="110"/>
  <c r="AD127" i="110"/>
  <c r="AE127" i="110"/>
  <c r="AI127" i="110"/>
  <c r="AK127" i="110"/>
  <c r="AM127" i="110"/>
  <c r="A128" i="110"/>
  <c r="G128" i="110"/>
  <c r="H128" i="110"/>
  <c r="I128" i="110"/>
  <c r="L128" i="110"/>
  <c r="M128" i="110"/>
  <c r="O128" i="110"/>
  <c r="Q128" i="110"/>
  <c r="AD128" i="110"/>
  <c r="AE128" i="110"/>
  <c r="AI128" i="110"/>
  <c r="AK128" i="110"/>
  <c r="AM128" i="110"/>
  <c r="A129" i="110"/>
  <c r="G129" i="110"/>
  <c r="H129" i="110"/>
  <c r="I129" i="110"/>
  <c r="L129" i="110"/>
  <c r="M129" i="110"/>
  <c r="O129" i="110"/>
  <c r="Q129" i="110"/>
  <c r="AD129" i="110"/>
  <c r="AE129" i="110"/>
  <c r="AI129" i="110"/>
  <c r="AK129" i="110"/>
  <c r="AM129" i="110"/>
  <c r="A130" i="110"/>
  <c r="G130" i="110"/>
  <c r="H130" i="110"/>
  <c r="I130" i="110"/>
  <c r="L130" i="110"/>
  <c r="M130" i="110"/>
  <c r="O130" i="110"/>
  <c r="Q130" i="110"/>
  <c r="AD130" i="110"/>
  <c r="AE130" i="110"/>
  <c r="AI130" i="110"/>
  <c r="AK130" i="110"/>
  <c r="AM130" i="110"/>
  <c r="A131" i="110"/>
  <c r="G131" i="110"/>
  <c r="H131" i="110"/>
  <c r="I131" i="110"/>
  <c r="L131" i="110"/>
  <c r="M131" i="110"/>
  <c r="O131" i="110"/>
  <c r="Q131" i="110"/>
  <c r="AD131" i="110"/>
  <c r="AE131" i="110"/>
  <c r="AI131" i="110"/>
  <c r="AK131" i="110"/>
  <c r="AM131" i="110"/>
  <c r="A132" i="110"/>
  <c r="G132" i="110"/>
  <c r="H132" i="110"/>
  <c r="I132" i="110"/>
  <c r="L132" i="110"/>
  <c r="M132" i="110"/>
  <c r="O132" i="110"/>
  <c r="Q132" i="110"/>
  <c r="AD132" i="110"/>
  <c r="AE132" i="110"/>
  <c r="AI132" i="110"/>
  <c r="AK132" i="110"/>
  <c r="AM132" i="110"/>
  <c r="A133" i="110"/>
  <c r="G133" i="110"/>
  <c r="H133" i="110"/>
  <c r="I133" i="110"/>
  <c r="L133" i="110"/>
  <c r="M133" i="110"/>
  <c r="O133" i="110"/>
  <c r="Q133" i="110"/>
  <c r="AD133" i="110"/>
  <c r="AE133" i="110"/>
  <c r="AI133" i="110"/>
  <c r="AK133" i="110"/>
  <c r="AM133" i="110"/>
  <c r="AM119" i="110"/>
  <c r="AK119" i="110"/>
  <c r="AI119" i="110"/>
  <c r="AE119" i="110"/>
  <c r="AD119" i="110"/>
  <c r="Q119" i="110"/>
  <c r="O119" i="110"/>
  <c r="M119" i="110"/>
  <c r="L119" i="110"/>
  <c r="I119" i="110"/>
  <c r="H119" i="110"/>
  <c r="G119" i="110"/>
  <c r="A119" i="110"/>
  <c r="A104" i="110"/>
  <c r="G104" i="110"/>
  <c r="H104" i="110"/>
  <c r="I104" i="110"/>
  <c r="L104" i="110"/>
  <c r="M104" i="110"/>
  <c r="O104" i="110"/>
  <c r="Q104" i="110"/>
  <c r="AD104" i="110"/>
  <c r="AE104" i="110"/>
  <c r="AI104" i="110"/>
  <c r="AK104" i="110"/>
  <c r="AM104" i="110"/>
  <c r="A105" i="110"/>
  <c r="G105" i="110"/>
  <c r="H105" i="110"/>
  <c r="I105" i="110"/>
  <c r="L105" i="110"/>
  <c r="M105" i="110"/>
  <c r="O105" i="110"/>
  <c r="Q105" i="110"/>
  <c r="AD105" i="110"/>
  <c r="AE105" i="110"/>
  <c r="AI105" i="110"/>
  <c r="AK105" i="110"/>
  <c r="AM105" i="110"/>
  <c r="A106" i="110"/>
  <c r="G106" i="110"/>
  <c r="H106" i="110"/>
  <c r="I106" i="110"/>
  <c r="L106" i="110"/>
  <c r="M106" i="110"/>
  <c r="O106" i="110"/>
  <c r="Q106" i="110"/>
  <c r="AD106" i="110"/>
  <c r="AE106" i="110"/>
  <c r="AI106" i="110"/>
  <c r="AK106" i="110"/>
  <c r="AM106" i="110"/>
  <c r="A107" i="110"/>
  <c r="G107" i="110"/>
  <c r="H107" i="110"/>
  <c r="I107" i="110"/>
  <c r="L107" i="110"/>
  <c r="M107" i="110"/>
  <c r="O107" i="110"/>
  <c r="Q107" i="110"/>
  <c r="AD107" i="110"/>
  <c r="AE107" i="110"/>
  <c r="AI107" i="110"/>
  <c r="AK107" i="110"/>
  <c r="AM107" i="110"/>
  <c r="A108" i="110"/>
  <c r="G108" i="110"/>
  <c r="H108" i="110"/>
  <c r="I108" i="110"/>
  <c r="L108" i="110"/>
  <c r="M108" i="110"/>
  <c r="O108" i="110"/>
  <c r="Q108" i="110"/>
  <c r="AD108" i="110"/>
  <c r="AE108" i="110"/>
  <c r="AI108" i="110"/>
  <c r="AK108" i="110"/>
  <c r="AM108" i="110"/>
  <c r="A109" i="110"/>
  <c r="G109" i="110"/>
  <c r="H109" i="110"/>
  <c r="I109" i="110"/>
  <c r="L109" i="110"/>
  <c r="M109" i="110"/>
  <c r="O109" i="110"/>
  <c r="Q109" i="110"/>
  <c r="AD109" i="110"/>
  <c r="AE109" i="110"/>
  <c r="AI109" i="110"/>
  <c r="AK109" i="110"/>
  <c r="AM109" i="110"/>
  <c r="A110" i="110"/>
  <c r="G110" i="110"/>
  <c r="H110" i="110"/>
  <c r="I110" i="110"/>
  <c r="L110" i="110"/>
  <c r="M110" i="110"/>
  <c r="O110" i="110"/>
  <c r="Q110" i="110"/>
  <c r="AD110" i="110"/>
  <c r="AE110" i="110"/>
  <c r="AI110" i="110"/>
  <c r="AK110" i="110"/>
  <c r="AM110" i="110"/>
  <c r="A111" i="110"/>
  <c r="G111" i="110"/>
  <c r="H111" i="110"/>
  <c r="I111" i="110"/>
  <c r="L111" i="110"/>
  <c r="M111" i="110"/>
  <c r="O111" i="110"/>
  <c r="Q111" i="110"/>
  <c r="AD111" i="110"/>
  <c r="AE111" i="110"/>
  <c r="AI111" i="110"/>
  <c r="AK111" i="110"/>
  <c r="AM111" i="110"/>
  <c r="A112" i="110"/>
  <c r="G112" i="110"/>
  <c r="H112" i="110"/>
  <c r="I112" i="110"/>
  <c r="L112" i="110"/>
  <c r="M112" i="110"/>
  <c r="O112" i="110"/>
  <c r="Q112" i="110"/>
  <c r="AD112" i="110"/>
  <c r="AE112" i="110"/>
  <c r="AI112" i="110"/>
  <c r="AK112" i="110"/>
  <c r="AM112" i="110"/>
  <c r="A113" i="110"/>
  <c r="G113" i="110"/>
  <c r="H113" i="110"/>
  <c r="I113" i="110"/>
  <c r="L113" i="110"/>
  <c r="M113" i="110"/>
  <c r="O113" i="110"/>
  <c r="Q113" i="110"/>
  <c r="AD113" i="110"/>
  <c r="AE113" i="110"/>
  <c r="AI113" i="110"/>
  <c r="AK113" i="110"/>
  <c r="AM113" i="110"/>
  <c r="A114" i="110"/>
  <c r="G114" i="110"/>
  <c r="H114" i="110"/>
  <c r="I114" i="110"/>
  <c r="L114" i="110"/>
  <c r="M114" i="110"/>
  <c r="O114" i="110"/>
  <c r="Q114" i="110"/>
  <c r="AD114" i="110"/>
  <c r="AE114" i="110"/>
  <c r="AI114" i="110"/>
  <c r="AK114" i="110"/>
  <c r="AM114" i="110"/>
  <c r="A115" i="110"/>
  <c r="G115" i="110"/>
  <c r="H115" i="110"/>
  <c r="I115" i="110"/>
  <c r="L115" i="110"/>
  <c r="M115" i="110"/>
  <c r="O115" i="110"/>
  <c r="Q115" i="110"/>
  <c r="AD115" i="110"/>
  <c r="AE115" i="110"/>
  <c r="AI115" i="110"/>
  <c r="AK115" i="110"/>
  <c r="AM115" i="110"/>
  <c r="A116" i="110"/>
  <c r="G116" i="110"/>
  <c r="H116" i="110"/>
  <c r="I116" i="110"/>
  <c r="L116" i="110"/>
  <c r="M116" i="110"/>
  <c r="O116" i="110"/>
  <c r="Q116" i="110"/>
  <c r="AD116" i="110"/>
  <c r="AE116" i="110"/>
  <c r="AI116" i="110"/>
  <c r="AK116" i="110"/>
  <c r="AM116" i="110"/>
  <c r="A117" i="110"/>
  <c r="G117" i="110"/>
  <c r="H117" i="110"/>
  <c r="I117" i="110"/>
  <c r="L117" i="110"/>
  <c r="M117" i="110"/>
  <c r="O117" i="110"/>
  <c r="Q117" i="110"/>
  <c r="AD117" i="110"/>
  <c r="AE117" i="110"/>
  <c r="AI117" i="110"/>
  <c r="AK117" i="110"/>
  <c r="AM117" i="110"/>
  <c r="AM103" i="110"/>
  <c r="AK103" i="110"/>
  <c r="AI103" i="110"/>
  <c r="AE103" i="110"/>
  <c r="AD103" i="110"/>
  <c r="Q103" i="110"/>
  <c r="O103" i="110"/>
  <c r="M103" i="110"/>
  <c r="L103" i="110"/>
  <c r="I103" i="110"/>
  <c r="H103" i="110"/>
  <c r="G103" i="110"/>
  <c r="A103" i="110"/>
  <c r="AK67" i="110"/>
  <c r="AI67" i="110"/>
  <c r="AE67" i="110"/>
  <c r="AD67" i="110"/>
  <c r="Q67" i="110"/>
  <c r="O67" i="110"/>
  <c r="A67" i="110"/>
  <c r="A52" i="110"/>
  <c r="G52" i="110"/>
  <c r="H52" i="110"/>
  <c r="I52" i="110"/>
  <c r="L52" i="110"/>
  <c r="M52" i="110"/>
  <c r="O52" i="110"/>
  <c r="Q52" i="110"/>
  <c r="AD52" i="110"/>
  <c r="AE52" i="110"/>
  <c r="AI52" i="110"/>
  <c r="AK52" i="110"/>
  <c r="AM52" i="110"/>
  <c r="A53" i="110"/>
  <c r="G53" i="110"/>
  <c r="H53" i="110"/>
  <c r="I53" i="110"/>
  <c r="L53" i="110"/>
  <c r="M53" i="110"/>
  <c r="O53" i="110"/>
  <c r="Q53" i="110"/>
  <c r="AD53" i="110"/>
  <c r="AE53" i="110"/>
  <c r="AI53" i="110"/>
  <c r="AK53" i="110"/>
  <c r="AM53" i="110"/>
  <c r="A54" i="110"/>
  <c r="G54" i="110"/>
  <c r="H54" i="110"/>
  <c r="I54" i="110"/>
  <c r="L54" i="110"/>
  <c r="M54" i="110"/>
  <c r="O54" i="110"/>
  <c r="Q54" i="110"/>
  <c r="AD54" i="110"/>
  <c r="AE54" i="110"/>
  <c r="AI54" i="110"/>
  <c r="AK54" i="110"/>
  <c r="AM54" i="110"/>
  <c r="A55" i="110"/>
  <c r="G55" i="110"/>
  <c r="H55" i="110"/>
  <c r="I55" i="110"/>
  <c r="L55" i="110"/>
  <c r="M55" i="110"/>
  <c r="O55" i="110"/>
  <c r="Q55" i="110"/>
  <c r="AD55" i="110"/>
  <c r="AE55" i="110"/>
  <c r="AI55" i="110"/>
  <c r="AK55" i="110"/>
  <c r="AM55" i="110"/>
  <c r="A56" i="110"/>
  <c r="G56" i="110"/>
  <c r="H56" i="110"/>
  <c r="I56" i="110"/>
  <c r="L56" i="110"/>
  <c r="M56" i="110"/>
  <c r="O56" i="110"/>
  <c r="Q56" i="110"/>
  <c r="AD56" i="110"/>
  <c r="AE56" i="110"/>
  <c r="AI56" i="110"/>
  <c r="AK56" i="110"/>
  <c r="AM56" i="110"/>
  <c r="A57" i="110"/>
  <c r="G57" i="110"/>
  <c r="H57" i="110"/>
  <c r="I57" i="110"/>
  <c r="L57" i="110"/>
  <c r="M57" i="110"/>
  <c r="O57" i="110"/>
  <c r="Q57" i="110"/>
  <c r="AD57" i="110"/>
  <c r="AE57" i="110"/>
  <c r="AI57" i="110"/>
  <c r="AK57" i="110"/>
  <c r="AM57" i="110"/>
  <c r="A58" i="110"/>
  <c r="G58" i="110"/>
  <c r="H58" i="110"/>
  <c r="I58" i="110"/>
  <c r="L58" i="110"/>
  <c r="M58" i="110"/>
  <c r="O58" i="110"/>
  <c r="Q58" i="110"/>
  <c r="AD58" i="110"/>
  <c r="AE58" i="110"/>
  <c r="AI58" i="110"/>
  <c r="AK58" i="110"/>
  <c r="AM58" i="110"/>
  <c r="A59" i="110"/>
  <c r="G59" i="110"/>
  <c r="H59" i="110"/>
  <c r="I59" i="110"/>
  <c r="L59" i="110"/>
  <c r="M59" i="110"/>
  <c r="O59" i="110"/>
  <c r="Q59" i="110"/>
  <c r="AD59" i="110"/>
  <c r="AE59" i="110"/>
  <c r="AI59" i="110"/>
  <c r="AK59" i="110"/>
  <c r="AM59" i="110"/>
  <c r="A60" i="110"/>
  <c r="G60" i="110"/>
  <c r="H60" i="110"/>
  <c r="I60" i="110"/>
  <c r="L60" i="110"/>
  <c r="M60" i="110"/>
  <c r="O60" i="110"/>
  <c r="Q60" i="110"/>
  <c r="AD60" i="110"/>
  <c r="AE60" i="110"/>
  <c r="AI60" i="110"/>
  <c r="AK60" i="110"/>
  <c r="AM60" i="110"/>
  <c r="A61" i="110"/>
  <c r="G61" i="110"/>
  <c r="H61" i="110"/>
  <c r="I61" i="110"/>
  <c r="L61" i="110"/>
  <c r="M61" i="110"/>
  <c r="O61" i="110"/>
  <c r="Q61" i="110"/>
  <c r="AD61" i="110"/>
  <c r="AE61" i="110"/>
  <c r="AI61" i="110"/>
  <c r="AK61" i="110"/>
  <c r="AM61" i="110"/>
  <c r="A62" i="110"/>
  <c r="G62" i="110"/>
  <c r="H62" i="110"/>
  <c r="I62" i="110"/>
  <c r="L62" i="110"/>
  <c r="M62" i="110"/>
  <c r="O62" i="110"/>
  <c r="Q62" i="110"/>
  <c r="AD62" i="110"/>
  <c r="AE62" i="110"/>
  <c r="AI62" i="110"/>
  <c r="AK62" i="110"/>
  <c r="AM62" i="110"/>
  <c r="A63" i="110"/>
  <c r="G63" i="110"/>
  <c r="H63" i="110"/>
  <c r="I63" i="110"/>
  <c r="L63" i="110"/>
  <c r="M63" i="110"/>
  <c r="O63" i="110"/>
  <c r="Q63" i="110"/>
  <c r="AD63" i="110"/>
  <c r="AE63" i="110"/>
  <c r="AI63" i="110"/>
  <c r="AK63" i="110"/>
  <c r="AM63" i="110"/>
  <c r="A64" i="110"/>
  <c r="G64" i="110"/>
  <c r="H64" i="110"/>
  <c r="I64" i="110"/>
  <c r="L64" i="110"/>
  <c r="M64" i="110"/>
  <c r="O64" i="110"/>
  <c r="Q64" i="110"/>
  <c r="AD64" i="110"/>
  <c r="AE64" i="110"/>
  <c r="AI64" i="110"/>
  <c r="AK64" i="110"/>
  <c r="AM64" i="110"/>
  <c r="A65" i="110"/>
  <c r="G65" i="110"/>
  <c r="H65" i="110"/>
  <c r="I65" i="110"/>
  <c r="L65" i="110"/>
  <c r="M65" i="110"/>
  <c r="O65" i="110"/>
  <c r="Q65" i="110"/>
  <c r="AD65" i="110"/>
  <c r="AE65" i="110"/>
  <c r="AI65" i="110"/>
  <c r="AK65" i="110"/>
  <c r="AM65" i="110"/>
  <c r="AM51" i="110"/>
  <c r="M51" i="110"/>
  <c r="L51" i="110"/>
  <c r="G51" i="110"/>
  <c r="AK51" i="110"/>
  <c r="AI51" i="110"/>
  <c r="AE51" i="110"/>
  <c r="AD51" i="110"/>
  <c r="Q51" i="110"/>
  <c r="O51" i="110"/>
  <c r="I51" i="110"/>
  <c r="H51" i="110"/>
  <c r="A51" i="110"/>
  <c r="F36" i="110"/>
  <c r="F37" i="110"/>
  <c r="F38" i="110"/>
  <c r="F39" i="110"/>
  <c r="F40" i="110"/>
  <c r="F41" i="110"/>
  <c r="F42" i="110"/>
  <c r="F43" i="110"/>
  <c r="F44" i="110"/>
  <c r="F45" i="110"/>
  <c r="F46" i="110"/>
  <c r="F47" i="110"/>
  <c r="F48" i="110"/>
  <c r="F49" i="110"/>
  <c r="F35" i="110"/>
  <c r="G36" i="110"/>
  <c r="G37" i="110"/>
  <c r="G38" i="110"/>
  <c r="G39" i="110"/>
  <c r="G40" i="110"/>
  <c r="G41" i="110"/>
  <c r="G42" i="110"/>
  <c r="G43" i="110"/>
  <c r="G44" i="110"/>
  <c r="G45" i="110"/>
  <c r="G46" i="110"/>
  <c r="G47" i="110"/>
  <c r="G48" i="110"/>
  <c r="G49" i="110"/>
  <c r="G35" i="110"/>
  <c r="L36" i="110"/>
  <c r="M36" i="110"/>
  <c r="L37" i="110"/>
  <c r="M37" i="110"/>
  <c r="L38" i="110"/>
  <c r="M38" i="110"/>
  <c r="L39" i="110"/>
  <c r="M39" i="110"/>
  <c r="L40" i="110"/>
  <c r="M40" i="110"/>
  <c r="L41" i="110"/>
  <c r="M41" i="110"/>
  <c r="L42" i="110"/>
  <c r="M42" i="110"/>
  <c r="L43" i="110"/>
  <c r="M43" i="110"/>
  <c r="L44" i="110"/>
  <c r="M44" i="110"/>
  <c r="L45" i="110"/>
  <c r="M45" i="110"/>
  <c r="L46" i="110"/>
  <c r="M46" i="110"/>
  <c r="L47" i="110"/>
  <c r="M47" i="110"/>
  <c r="L48" i="110"/>
  <c r="M48" i="110"/>
  <c r="L49" i="110"/>
  <c r="M49" i="110"/>
  <c r="M35" i="110"/>
  <c r="L35" i="110"/>
  <c r="AD35" i="110"/>
  <c r="AE35" i="110"/>
  <c r="AD36" i="110"/>
  <c r="AE36" i="110"/>
  <c r="AD37" i="110"/>
  <c r="AE37" i="110"/>
  <c r="AD38" i="110"/>
  <c r="AE38" i="110"/>
  <c r="AD39" i="110"/>
  <c r="AE39" i="110"/>
  <c r="AD40" i="110"/>
  <c r="AE40" i="110"/>
  <c r="AD41" i="110"/>
  <c r="AE41" i="110"/>
  <c r="AD42" i="110"/>
  <c r="AE42" i="110"/>
  <c r="AD43" i="110"/>
  <c r="AE43" i="110"/>
  <c r="AD44" i="110"/>
  <c r="AE44" i="110"/>
  <c r="AD45" i="110"/>
  <c r="AE45" i="110"/>
  <c r="AD46" i="110"/>
  <c r="AE46" i="110"/>
  <c r="AD47" i="110"/>
  <c r="AE47" i="110"/>
  <c r="AD48" i="110"/>
  <c r="AE48" i="110"/>
  <c r="AD49" i="110"/>
  <c r="AE49" i="110"/>
  <c r="AM36" i="110"/>
  <c r="AM37" i="110"/>
  <c r="AM38" i="110"/>
  <c r="AM39" i="110"/>
  <c r="AM40" i="110"/>
  <c r="AM41" i="110"/>
  <c r="AM42" i="110"/>
  <c r="AM43" i="110"/>
  <c r="AM44" i="110"/>
  <c r="AM45" i="110"/>
  <c r="AM46" i="110"/>
  <c r="AM47" i="110"/>
  <c r="AM48" i="110"/>
  <c r="AM49" i="110"/>
  <c r="AM35" i="110"/>
  <c r="AK36" i="110"/>
  <c r="AK37" i="110"/>
  <c r="AK38" i="110"/>
  <c r="AK39" i="110"/>
  <c r="AK40" i="110"/>
  <c r="AK41" i="110"/>
  <c r="AK42" i="110"/>
  <c r="AK43" i="110"/>
  <c r="AK44" i="110"/>
  <c r="AK45" i="110"/>
  <c r="AK46" i="110"/>
  <c r="AK47" i="110"/>
  <c r="AK48" i="110"/>
  <c r="AK49" i="110"/>
  <c r="AK35" i="110"/>
  <c r="AH36" i="110"/>
  <c r="AH37" i="110"/>
  <c r="AH38" i="110"/>
  <c r="AH39" i="110"/>
  <c r="AH40" i="110"/>
  <c r="AH41" i="110"/>
  <c r="AH42" i="110"/>
  <c r="AH43" i="110"/>
  <c r="AH44" i="110"/>
  <c r="AH45" i="110"/>
  <c r="AH46" i="110"/>
  <c r="AH47" i="110"/>
  <c r="AH48" i="110"/>
  <c r="AH49" i="110"/>
  <c r="AH35" i="110"/>
  <c r="A36" i="110"/>
  <c r="H36" i="110"/>
  <c r="I36" i="110"/>
  <c r="O36" i="110"/>
  <c r="AI36" i="110"/>
  <c r="A37" i="110"/>
  <c r="H37" i="110"/>
  <c r="I37" i="110"/>
  <c r="O37" i="110"/>
  <c r="AI37" i="110"/>
  <c r="A38" i="110"/>
  <c r="H38" i="110"/>
  <c r="I38" i="110"/>
  <c r="O38" i="110"/>
  <c r="Q38" i="110"/>
  <c r="AI38" i="110"/>
  <c r="A39" i="110"/>
  <c r="H39" i="110"/>
  <c r="I39" i="110"/>
  <c r="O39" i="110"/>
  <c r="Q39" i="110"/>
  <c r="AI39" i="110"/>
  <c r="A40" i="110"/>
  <c r="H40" i="110"/>
  <c r="I40" i="110"/>
  <c r="O40" i="110"/>
  <c r="Q40" i="110"/>
  <c r="AI40" i="110"/>
  <c r="A41" i="110"/>
  <c r="H41" i="110"/>
  <c r="I41" i="110"/>
  <c r="O41" i="110"/>
  <c r="Q41" i="110"/>
  <c r="AI41" i="110"/>
  <c r="A42" i="110"/>
  <c r="H42" i="110"/>
  <c r="I42" i="110"/>
  <c r="O42" i="110"/>
  <c r="Q42" i="110"/>
  <c r="AI42" i="110"/>
  <c r="A43" i="110"/>
  <c r="H43" i="110"/>
  <c r="I43" i="110"/>
  <c r="O43" i="110"/>
  <c r="Q43" i="110"/>
  <c r="AI43" i="110"/>
  <c r="A44" i="110"/>
  <c r="H44" i="110"/>
  <c r="I44" i="110"/>
  <c r="O44" i="110"/>
  <c r="Q44" i="110"/>
  <c r="AI44" i="110"/>
  <c r="A45" i="110"/>
  <c r="H45" i="110"/>
  <c r="I45" i="110"/>
  <c r="O45" i="110"/>
  <c r="Q45" i="110"/>
  <c r="AI45" i="110"/>
  <c r="A46" i="110"/>
  <c r="H46" i="110"/>
  <c r="I46" i="110"/>
  <c r="O46" i="110"/>
  <c r="Q46" i="110"/>
  <c r="AI46" i="110"/>
  <c r="A47" i="110"/>
  <c r="H47" i="110"/>
  <c r="I47" i="110"/>
  <c r="O47" i="110"/>
  <c r="Q47" i="110"/>
  <c r="AI47" i="110"/>
  <c r="A48" i="110"/>
  <c r="H48" i="110"/>
  <c r="I48" i="110"/>
  <c r="O48" i="110"/>
  <c r="Q48" i="110"/>
  <c r="AI48" i="110"/>
  <c r="A49" i="110"/>
  <c r="H49" i="110"/>
  <c r="I49" i="110"/>
  <c r="O49" i="110"/>
  <c r="Q49" i="110"/>
  <c r="AI49" i="110"/>
  <c r="AI35" i="110"/>
  <c r="O35" i="110"/>
  <c r="I35" i="110"/>
  <c r="H35" i="110"/>
  <c r="A35" i="110"/>
  <c r="AP19" i="110"/>
  <c r="AP20" i="110"/>
  <c r="AP21" i="110"/>
  <c r="AP22" i="110"/>
  <c r="AP23" i="110"/>
  <c r="AP24" i="110"/>
  <c r="AP25" i="110"/>
  <c r="AP26" i="110"/>
  <c r="AP27" i="110"/>
  <c r="AP28" i="110"/>
  <c r="AP29" i="110"/>
  <c r="AP30" i="110"/>
  <c r="AP31" i="110"/>
  <c r="AP32" i="110"/>
  <c r="AP33" i="110"/>
  <c r="AP45" i="110"/>
  <c r="AP46" i="110"/>
  <c r="AP47" i="110"/>
  <c r="AP48" i="110"/>
  <c r="AP49" i="110"/>
  <c r="AU18" i="159"/>
  <c r="AP35" i="110" s="1"/>
  <c r="AI5" i="110"/>
  <c r="AI6" i="110"/>
  <c r="AI7" i="110"/>
  <c r="AI8" i="110"/>
  <c r="AI9" i="110"/>
  <c r="AI10" i="110"/>
  <c r="AI11" i="110"/>
  <c r="AI12" i="110"/>
  <c r="AI13" i="110"/>
  <c r="AI14" i="110"/>
  <c r="AI15" i="110"/>
  <c r="AI16" i="110"/>
  <c r="AI17" i="110"/>
  <c r="AI18" i="110"/>
  <c r="AI19" i="110"/>
  <c r="AI20" i="110"/>
  <c r="AI21" i="110"/>
  <c r="AI22" i="110"/>
  <c r="AI23" i="110"/>
  <c r="AI24" i="110"/>
  <c r="AI25" i="110"/>
  <c r="AI26" i="110"/>
  <c r="AI27" i="110"/>
  <c r="AI28" i="110"/>
  <c r="AI29" i="110"/>
  <c r="AI30" i="110"/>
  <c r="AI31" i="110"/>
  <c r="AI32" i="110"/>
  <c r="AI33" i="110"/>
  <c r="AI4" i="110"/>
  <c r="AE19" i="110"/>
  <c r="AE20" i="110"/>
  <c r="AE21" i="110"/>
  <c r="AE22" i="110"/>
  <c r="AE23" i="110"/>
  <c r="AE24" i="110"/>
  <c r="AE25" i="110"/>
  <c r="AE26" i="110"/>
  <c r="AE27" i="110"/>
  <c r="AE28" i="110"/>
  <c r="AE29" i="110"/>
  <c r="AE30" i="110"/>
  <c r="AE31" i="110"/>
  <c r="AE32" i="110"/>
  <c r="AE33" i="110"/>
  <c r="AD19" i="110"/>
  <c r="AD20" i="110"/>
  <c r="AD21" i="110"/>
  <c r="AD22" i="110"/>
  <c r="AD23" i="110"/>
  <c r="AD24" i="110"/>
  <c r="AD25" i="110"/>
  <c r="AD26" i="110"/>
  <c r="AD27" i="110"/>
  <c r="AD28" i="110"/>
  <c r="AD29" i="110"/>
  <c r="AD30" i="110"/>
  <c r="AD31" i="110"/>
  <c r="AD32" i="110"/>
  <c r="AD33" i="110"/>
  <c r="R19" i="110"/>
  <c r="C19" i="110" s="1"/>
  <c r="AS19" i="110" s="1"/>
  <c r="R20" i="110"/>
  <c r="C20" i="110" s="1"/>
  <c r="AS20" i="110" s="1"/>
  <c r="R21" i="110"/>
  <c r="C21" i="110" s="1"/>
  <c r="AS21" i="110" s="1"/>
  <c r="R22" i="110"/>
  <c r="C22" i="110" s="1"/>
  <c r="AS22" i="110" s="1"/>
  <c r="R23" i="110"/>
  <c r="C23" i="110" s="1"/>
  <c r="AS23" i="110" s="1"/>
  <c r="R24" i="110"/>
  <c r="C24" i="110" s="1"/>
  <c r="AS24" i="110" s="1"/>
  <c r="R25" i="110"/>
  <c r="C25" i="110" s="1"/>
  <c r="AS25" i="110" s="1"/>
  <c r="R26" i="110"/>
  <c r="C26" i="110" s="1"/>
  <c r="AS26" i="110" s="1"/>
  <c r="R27" i="110"/>
  <c r="C27" i="110" s="1"/>
  <c r="AS27" i="110" s="1"/>
  <c r="R28" i="110"/>
  <c r="C28" i="110" s="1"/>
  <c r="AS28" i="110" s="1"/>
  <c r="R29" i="110"/>
  <c r="C29" i="110" s="1"/>
  <c r="AS29" i="110" s="1"/>
  <c r="R30" i="110"/>
  <c r="C30" i="110" s="1"/>
  <c r="AS30" i="110" s="1"/>
  <c r="R31" i="110"/>
  <c r="C31" i="110" s="1"/>
  <c r="AS31" i="110" s="1"/>
  <c r="R32" i="110"/>
  <c r="C32" i="110" s="1"/>
  <c r="AS32" i="110" s="1"/>
  <c r="R33" i="110"/>
  <c r="C33" i="110" s="1"/>
  <c r="AS33" i="110" s="1"/>
  <c r="P19" i="110"/>
  <c r="Q19" i="110"/>
  <c r="P20" i="110"/>
  <c r="Q20" i="110"/>
  <c r="P21" i="110"/>
  <c r="Q21" i="110"/>
  <c r="P22" i="110"/>
  <c r="Q22" i="110"/>
  <c r="P23" i="110"/>
  <c r="Q23" i="110"/>
  <c r="P24" i="110"/>
  <c r="Q24" i="110"/>
  <c r="P25" i="110"/>
  <c r="Q25" i="110"/>
  <c r="P26" i="110"/>
  <c r="Q26" i="110"/>
  <c r="P27" i="110"/>
  <c r="Q27" i="110"/>
  <c r="P28" i="110"/>
  <c r="Q28" i="110"/>
  <c r="P29" i="110"/>
  <c r="Q29" i="110"/>
  <c r="P30" i="110"/>
  <c r="Q30" i="110"/>
  <c r="P31" i="110"/>
  <c r="Q31" i="110"/>
  <c r="P32" i="110"/>
  <c r="Q32" i="110"/>
  <c r="P33" i="110"/>
  <c r="Q33" i="110"/>
  <c r="O19" i="110"/>
  <c r="O20" i="110"/>
  <c r="O21" i="110"/>
  <c r="O22" i="110"/>
  <c r="O23" i="110"/>
  <c r="O24" i="110"/>
  <c r="O25" i="110"/>
  <c r="O26" i="110"/>
  <c r="O27" i="110"/>
  <c r="O28" i="110"/>
  <c r="O29" i="110"/>
  <c r="O30" i="110"/>
  <c r="O31" i="110"/>
  <c r="O32" i="110"/>
  <c r="O33" i="110"/>
  <c r="N19" i="110"/>
  <c r="N20" i="110"/>
  <c r="N21" i="110"/>
  <c r="N22" i="110"/>
  <c r="N23" i="110"/>
  <c r="N24" i="110"/>
  <c r="N25" i="110"/>
  <c r="N26" i="110"/>
  <c r="N27" i="110"/>
  <c r="N28" i="110"/>
  <c r="N29" i="110"/>
  <c r="N30" i="110"/>
  <c r="N31" i="110"/>
  <c r="N32" i="110"/>
  <c r="N33" i="110"/>
  <c r="J19" i="110"/>
  <c r="J20" i="110"/>
  <c r="J21" i="110"/>
  <c r="J22" i="110"/>
  <c r="J23" i="110"/>
  <c r="J24" i="110"/>
  <c r="J25" i="110"/>
  <c r="J26" i="110"/>
  <c r="J27" i="110"/>
  <c r="J28" i="110"/>
  <c r="J29" i="110"/>
  <c r="J30" i="110"/>
  <c r="J31" i="110"/>
  <c r="J32" i="110"/>
  <c r="J33" i="110"/>
  <c r="I4" i="110"/>
  <c r="I5" i="110"/>
  <c r="I6" i="110"/>
  <c r="I7" i="110"/>
  <c r="I8" i="110"/>
  <c r="I9" i="110"/>
  <c r="I10" i="110"/>
  <c r="I11" i="110"/>
  <c r="I12" i="110"/>
  <c r="I13" i="110"/>
  <c r="I14" i="110"/>
  <c r="I15" i="110"/>
  <c r="I16" i="110"/>
  <c r="I17" i="110"/>
  <c r="I18" i="110"/>
  <c r="I19" i="110"/>
  <c r="I20" i="110"/>
  <c r="I21" i="110"/>
  <c r="I22" i="110"/>
  <c r="I23" i="110"/>
  <c r="I24" i="110"/>
  <c r="I25" i="110"/>
  <c r="I26" i="110"/>
  <c r="I27" i="110"/>
  <c r="I28" i="110"/>
  <c r="I29" i="110"/>
  <c r="I30" i="110"/>
  <c r="I31" i="110"/>
  <c r="I32" i="110"/>
  <c r="I33" i="110"/>
  <c r="H5" i="110"/>
  <c r="H6" i="110"/>
  <c r="H7" i="110"/>
  <c r="H8" i="110"/>
  <c r="H9" i="110"/>
  <c r="H10" i="110"/>
  <c r="H11" i="110"/>
  <c r="H12" i="110"/>
  <c r="H13" i="110"/>
  <c r="H14" i="110"/>
  <c r="H15" i="110"/>
  <c r="H16" i="110"/>
  <c r="H17" i="110"/>
  <c r="H18" i="110"/>
  <c r="H19" i="110"/>
  <c r="H20" i="110"/>
  <c r="H21" i="110"/>
  <c r="H22" i="110"/>
  <c r="H23" i="110"/>
  <c r="H24" i="110"/>
  <c r="H25" i="110"/>
  <c r="H26" i="110"/>
  <c r="H27" i="110"/>
  <c r="H28" i="110"/>
  <c r="H29" i="110"/>
  <c r="H30" i="110"/>
  <c r="H31" i="110"/>
  <c r="H32" i="110"/>
  <c r="H33" i="110"/>
  <c r="G5" i="110"/>
  <c r="G6" i="110"/>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4" i="110"/>
  <c r="E19" i="110"/>
  <c r="E20" i="110"/>
  <c r="E21" i="110"/>
  <c r="E22" i="110"/>
  <c r="E23" i="110"/>
  <c r="E24" i="110"/>
  <c r="E25" i="110"/>
  <c r="E26" i="110"/>
  <c r="E27" i="110"/>
  <c r="E28" i="110"/>
  <c r="E29" i="110"/>
  <c r="E30" i="110"/>
  <c r="E31" i="110"/>
  <c r="E32" i="110"/>
  <c r="E33" i="110"/>
  <c r="A30" i="110"/>
  <c r="A31" i="110"/>
  <c r="A32" i="110"/>
  <c r="A33"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C51" i="108"/>
  <c r="C52" i="108" s="1"/>
  <c r="L50" i="108"/>
  <c r="E50" i="108"/>
  <c r="B50" i="108"/>
  <c r="D50" i="108" s="1"/>
  <c r="O22" i="14"/>
  <c r="AB22" i="14"/>
  <c r="AB23" i="14"/>
  <c r="AB26" i="14"/>
  <c r="AB25" i="14"/>
  <c r="AB24" i="14"/>
  <c r="J20" i="14"/>
  <c r="A9" i="14"/>
  <c r="AA32" i="154"/>
  <c r="AA31" i="154"/>
  <c r="AA30" i="154"/>
  <c r="AA24" i="154"/>
  <c r="AA23" i="154"/>
  <c r="AA22" i="154"/>
  <c r="P33" i="154"/>
  <c r="P31" i="154"/>
  <c r="P30" i="154"/>
  <c r="F33" i="154"/>
  <c r="F32" i="154"/>
  <c r="F31" i="154"/>
  <c r="F30" i="154"/>
  <c r="AH1" i="8"/>
  <c r="AL1" i="8"/>
  <c r="C46" i="81"/>
  <c r="Z42" i="81"/>
  <c r="U42" i="81"/>
  <c r="U35" i="81"/>
  <c r="Z32" i="81"/>
  <c r="AP32" i="81"/>
  <c r="AN32" i="81"/>
  <c r="AI32" i="81"/>
  <c r="AI31" i="81"/>
  <c r="AI30" i="81"/>
  <c r="AI29" i="81"/>
  <c r="AI28" i="81"/>
  <c r="AN27" i="81"/>
  <c r="AI27" i="81"/>
  <c r="G41" i="81"/>
  <c r="G40" i="81"/>
  <c r="G39" i="81"/>
  <c r="G38" i="81"/>
  <c r="G36" i="81"/>
  <c r="G23" i="81"/>
  <c r="G22" i="81"/>
  <c r="G35" i="81"/>
  <c r="AA23" i="148"/>
  <c r="G31" i="81"/>
  <c r="N32" i="81"/>
  <c r="L32" i="81"/>
  <c r="G32" i="81"/>
  <c r="G29" i="81"/>
  <c r="G30" i="81"/>
  <c r="G28" i="81"/>
  <c r="L27" i="81"/>
  <c r="G27" i="81"/>
  <c r="G18" i="81"/>
  <c r="G17" i="81"/>
  <c r="G16" i="81"/>
  <c r="R17" i="81"/>
  <c r="AL18" i="81"/>
  <c r="X21" i="155"/>
  <c r="J21" i="155"/>
  <c r="X21" i="156"/>
  <c r="J21" i="156"/>
  <c r="AH48" i="156"/>
  <c r="AB43" i="156"/>
  <c r="AF43" i="156" s="1"/>
  <c r="W32" i="156"/>
  <c r="P32" i="156"/>
  <c r="W31" i="156"/>
  <c r="P31" i="156"/>
  <c r="W30" i="156"/>
  <c r="P30" i="156"/>
  <c r="AD27" i="156"/>
  <c r="AD26" i="156"/>
  <c r="AD25" i="156"/>
  <c r="P25" i="156"/>
  <c r="W32" i="155"/>
  <c r="W31" i="155"/>
  <c r="W30" i="155"/>
  <c r="P32" i="155"/>
  <c r="P31" i="155"/>
  <c r="P30" i="155"/>
  <c r="AD27" i="155"/>
  <c r="AD26" i="155"/>
  <c r="AD25" i="155"/>
  <c r="P25" i="155"/>
  <c r="E45" i="110"/>
  <c r="E46" i="110"/>
  <c r="E47" i="110"/>
  <c r="E48" i="110"/>
  <c r="E49" i="110"/>
  <c r="AZ18" i="159"/>
  <c r="A150" i="110"/>
  <c r="A181" i="110"/>
  <c r="A197" i="110"/>
  <c r="A213" i="110"/>
  <c r="A229" i="110"/>
  <c r="A245" i="110"/>
  <c r="A277" i="110"/>
  <c r="A102" i="110"/>
  <c r="A118" i="110"/>
  <c r="A9" i="154"/>
  <c r="A9" i="153"/>
  <c r="AR202" i="180"/>
  <c r="B201" i="180"/>
  <c r="B200" i="180"/>
  <c r="AR202" i="81"/>
  <c r="B201" i="81"/>
  <c r="B200" i="81"/>
  <c r="AR202" i="156"/>
  <c r="B201" i="156"/>
  <c r="B200" i="156"/>
  <c r="AR202" i="155"/>
  <c r="B201" i="155"/>
  <c r="B200" i="155"/>
  <c r="AD24" i="156"/>
  <c r="AD24" i="155"/>
  <c r="AC18" i="156"/>
  <c r="O43" i="155"/>
  <c r="X42" i="155"/>
  <c r="AC18" i="155"/>
  <c r="AP154" i="110"/>
  <c r="AI22" i="154"/>
  <c r="AJ22" i="154"/>
  <c r="AR202" i="154"/>
  <c r="B201" i="154"/>
  <c r="B200" i="154"/>
  <c r="W15" i="154"/>
  <c r="O15" i="154"/>
  <c r="F15" i="154"/>
  <c r="F26" i="154"/>
  <c r="U23" i="154"/>
  <c r="P24" i="154"/>
  <c r="P23" i="154"/>
  <c r="P22" i="154"/>
  <c r="M24" i="154"/>
  <c r="K24" i="154"/>
  <c r="F24" i="154"/>
  <c r="F23" i="154"/>
  <c r="F22" i="154"/>
  <c r="U17" i="154"/>
  <c r="M19" i="154"/>
  <c r="K19" i="154"/>
  <c r="F19" i="154"/>
  <c r="N40" i="154"/>
  <c r="F40" i="154"/>
  <c r="AD15" i="148"/>
  <c r="AH23" i="148"/>
  <c r="T23" i="148"/>
  <c r="M23" i="148"/>
  <c r="F23" i="148"/>
  <c r="AB32" i="81"/>
  <c r="U32" i="81"/>
  <c r="H21" i="109"/>
  <c r="H27" i="109"/>
  <c r="H23" i="109"/>
  <c r="O23" i="14"/>
  <c r="U31" i="81"/>
  <c r="P26" i="156"/>
  <c r="P26" i="155"/>
  <c r="P27" i="156"/>
  <c r="P27" i="155"/>
  <c r="M28" i="154"/>
  <c r="K28" i="154"/>
  <c r="F28" i="154"/>
  <c r="F27" i="154"/>
  <c r="AY18" i="167"/>
  <c r="AQ151" i="110" s="1"/>
  <c r="AV18" i="167"/>
  <c r="AP151" i="110" s="1"/>
  <c r="AQ182" i="110"/>
  <c r="AP182" i="110"/>
  <c r="AZ36" i="169"/>
  <c r="BD36" i="169" s="1"/>
  <c r="AY36" i="169"/>
  <c r="AQ207" i="110" s="1"/>
  <c r="AV36" i="169"/>
  <c r="AP207" i="110" s="1"/>
  <c r="AZ34" i="169"/>
  <c r="BD34" i="169" s="1"/>
  <c r="AY34" i="169"/>
  <c r="AQ206" i="110" s="1"/>
  <c r="AV34" i="169"/>
  <c r="AP206" i="110" s="1"/>
  <c r="AZ32" i="169"/>
  <c r="BD32" i="169" s="1"/>
  <c r="AY32" i="169"/>
  <c r="AQ205" i="110" s="1"/>
  <c r="AV32" i="169"/>
  <c r="AP205" i="110" s="1"/>
  <c r="AZ30" i="169"/>
  <c r="BD30" i="169" s="1"/>
  <c r="AY30" i="169"/>
  <c r="AQ204" i="110" s="1"/>
  <c r="AV30" i="169"/>
  <c r="AP204" i="110" s="1"/>
  <c r="AZ28" i="169"/>
  <c r="BD28" i="169" s="1"/>
  <c r="AY28" i="169"/>
  <c r="AQ203" i="110" s="1"/>
  <c r="AV28" i="169"/>
  <c r="AP203" i="110" s="1"/>
  <c r="AZ26" i="169"/>
  <c r="BD26" i="169" s="1"/>
  <c r="AY26" i="169"/>
  <c r="AQ202" i="110" s="1"/>
  <c r="AV26" i="169"/>
  <c r="AP202" i="110" s="1"/>
  <c r="AZ24" i="169"/>
  <c r="BD24" i="169" s="1"/>
  <c r="AY24" i="169"/>
  <c r="AQ201" i="110" s="1"/>
  <c r="AV24" i="169"/>
  <c r="AP201" i="110" s="1"/>
  <c r="AZ22" i="169"/>
  <c r="BD22" i="169" s="1"/>
  <c r="AY22" i="169"/>
  <c r="AQ200" i="110" s="1"/>
  <c r="AV22" i="169"/>
  <c r="AP200" i="110" s="1"/>
  <c r="AZ20" i="169"/>
  <c r="BD20" i="169" s="1"/>
  <c r="AY20" i="169"/>
  <c r="AQ199" i="110" s="1"/>
  <c r="AV20" i="169"/>
  <c r="AP199" i="110" s="1"/>
  <c r="AZ18" i="169"/>
  <c r="BD18" i="169" s="1"/>
  <c r="AY18" i="169"/>
  <c r="AQ198" i="110" s="1"/>
  <c r="AV18" i="169"/>
  <c r="AP198" i="110" s="1"/>
  <c r="AB36" i="169"/>
  <c r="AB34" i="169"/>
  <c r="AB32" i="169"/>
  <c r="AB30" i="169"/>
  <c r="AB28" i="169"/>
  <c r="AB26" i="169"/>
  <c r="AB24" i="169"/>
  <c r="AB22" i="169"/>
  <c r="AB20" i="169"/>
  <c r="AB18" i="169"/>
  <c r="AZ36" i="170"/>
  <c r="BD36" i="170" s="1"/>
  <c r="AY36" i="170"/>
  <c r="AQ223" i="110" s="1"/>
  <c r="AV36" i="170"/>
  <c r="AP223" i="110" s="1"/>
  <c r="AZ34" i="170"/>
  <c r="BD34" i="170" s="1"/>
  <c r="AY34" i="170"/>
  <c r="AQ222" i="110" s="1"/>
  <c r="AV34" i="170"/>
  <c r="AP222" i="110" s="1"/>
  <c r="AZ32" i="170"/>
  <c r="BD32" i="170" s="1"/>
  <c r="AY32" i="170"/>
  <c r="AQ221" i="110" s="1"/>
  <c r="AV32" i="170"/>
  <c r="AP221" i="110" s="1"/>
  <c r="AZ30" i="170"/>
  <c r="BD30" i="170" s="1"/>
  <c r="AY30" i="170"/>
  <c r="AQ220" i="110" s="1"/>
  <c r="AV30" i="170"/>
  <c r="AP220" i="110" s="1"/>
  <c r="AZ28" i="170"/>
  <c r="BD28" i="170" s="1"/>
  <c r="AY28" i="170"/>
  <c r="AQ219" i="110" s="1"/>
  <c r="AV28" i="170"/>
  <c r="AP219" i="110" s="1"/>
  <c r="AZ26" i="170"/>
  <c r="BD26" i="170" s="1"/>
  <c r="AY26" i="170"/>
  <c r="AQ218" i="110" s="1"/>
  <c r="AV26" i="170"/>
  <c r="AP218" i="110" s="1"/>
  <c r="AZ24" i="170"/>
  <c r="BD24" i="170" s="1"/>
  <c r="AY24" i="170"/>
  <c r="AQ217" i="110" s="1"/>
  <c r="AV24" i="170"/>
  <c r="AP217" i="110" s="1"/>
  <c r="AZ22" i="170"/>
  <c r="BD22" i="170" s="1"/>
  <c r="AY22" i="170"/>
  <c r="AQ216" i="110" s="1"/>
  <c r="AV22" i="170"/>
  <c r="AP216" i="110" s="1"/>
  <c r="AZ20" i="170"/>
  <c r="BD20" i="170" s="1"/>
  <c r="AY20" i="170"/>
  <c r="AQ215" i="110" s="1"/>
  <c r="AV20" i="170"/>
  <c r="AP215" i="110" s="1"/>
  <c r="BD18" i="170"/>
  <c r="AQ214" i="110"/>
  <c r="AV18" i="170"/>
  <c r="AP214" i="110" s="1"/>
  <c r="AB36" i="170"/>
  <c r="AB34" i="170"/>
  <c r="AB32" i="170"/>
  <c r="AB30" i="170"/>
  <c r="AB28" i="170"/>
  <c r="AB26" i="170"/>
  <c r="AB24" i="170"/>
  <c r="AB22" i="170"/>
  <c r="AB20" i="170"/>
  <c r="AB18" i="170"/>
  <c r="AF18" i="170" s="1"/>
  <c r="AZ36" i="171"/>
  <c r="BD36" i="171" s="1"/>
  <c r="AY36" i="171"/>
  <c r="AQ239" i="110" s="1"/>
  <c r="AV36" i="171"/>
  <c r="AP239" i="110" s="1"/>
  <c r="AZ34" i="171"/>
  <c r="BD34" i="171" s="1"/>
  <c r="AY34" i="171"/>
  <c r="AQ238" i="110" s="1"/>
  <c r="AV34" i="171"/>
  <c r="AP238" i="110" s="1"/>
  <c r="AZ32" i="171"/>
  <c r="BD32" i="171" s="1"/>
  <c r="AY32" i="171"/>
  <c r="AQ237" i="110" s="1"/>
  <c r="AV32" i="171"/>
  <c r="AP237" i="110" s="1"/>
  <c r="AZ30" i="171"/>
  <c r="BD30" i="171" s="1"/>
  <c r="AY30" i="171"/>
  <c r="AQ236" i="110" s="1"/>
  <c r="AV30" i="171"/>
  <c r="AP236" i="110" s="1"/>
  <c r="AZ28" i="171"/>
  <c r="BD28" i="171" s="1"/>
  <c r="AY28" i="171"/>
  <c r="AQ235" i="110" s="1"/>
  <c r="AV28" i="171"/>
  <c r="AP235" i="110" s="1"/>
  <c r="AZ26" i="171"/>
  <c r="BD26" i="171" s="1"/>
  <c r="AY26" i="171"/>
  <c r="AQ234" i="110" s="1"/>
  <c r="AV26" i="171"/>
  <c r="AP234" i="110" s="1"/>
  <c r="AZ24" i="171"/>
  <c r="BD24" i="171" s="1"/>
  <c r="AY24" i="171"/>
  <c r="AQ233" i="110" s="1"/>
  <c r="AV24" i="171"/>
  <c r="AP233" i="110" s="1"/>
  <c r="AZ22" i="171"/>
  <c r="BD22" i="171" s="1"/>
  <c r="AY22" i="171"/>
  <c r="AQ232" i="110" s="1"/>
  <c r="AV22" i="171"/>
  <c r="AP232" i="110" s="1"/>
  <c r="AZ20" i="171"/>
  <c r="BD20" i="171" s="1"/>
  <c r="AY20" i="171"/>
  <c r="AQ231" i="110" s="1"/>
  <c r="AV20" i="171"/>
  <c r="AP231" i="110" s="1"/>
  <c r="AZ18" i="171"/>
  <c r="BD18" i="171" s="1"/>
  <c r="AY18" i="171"/>
  <c r="AQ230" i="110" s="1"/>
  <c r="AV18" i="171"/>
  <c r="AP230" i="110" s="1"/>
  <c r="AB36" i="171"/>
  <c r="AB34" i="171"/>
  <c r="AB32" i="171"/>
  <c r="AB30" i="171"/>
  <c r="AB28" i="171"/>
  <c r="AB26" i="171"/>
  <c r="AB24" i="171"/>
  <c r="AB22" i="171"/>
  <c r="AB20" i="171"/>
  <c r="AZ36" i="13"/>
  <c r="BD36" i="13" s="1"/>
  <c r="AY36" i="13"/>
  <c r="AQ255" i="110" s="1"/>
  <c r="AV36" i="13"/>
  <c r="AP255" i="110" s="1"/>
  <c r="AZ34" i="13"/>
  <c r="BD34" i="13" s="1"/>
  <c r="AY34" i="13"/>
  <c r="AQ254" i="110" s="1"/>
  <c r="AV34" i="13"/>
  <c r="AP254" i="110" s="1"/>
  <c r="AZ32" i="13"/>
  <c r="BD32" i="13" s="1"/>
  <c r="AY32" i="13"/>
  <c r="AQ253" i="110" s="1"/>
  <c r="AV32" i="13"/>
  <c r="AP253" i="110" s="1"/>
  <c r="AZ30" i="13"/>
  <c r="BD30" i="13" s="1"/>
  <c r="AY30" i="13"/>
  <c r="AQ252" i="110" s="1"/>
  <c r="AV30" i="13"/>
  <c r="AP252" i="110" s="1"/>
  <c r="AZ28" i="13"/>
  <c r="BD28" i="13" s="1"/>
  <c r="AY28" i="13"/>
  <c r="AQ251" i="110" s="1"/>
  <c r="AV28" i="13"/>
  <c r="AP251" i="110" s="1"/>
  <c r="AZ26" i="13"/>
  <c r="BD26" i="13" s="1"/>
  <c r="AY26" i="13"/>
  <c r="AQ250" i="110" s="1"/>
  <c r="AV26" i="13"/>
  <c r="AP250" i="110" s="1"/>
  <c r="AZ24" i="13"/>
  <c r="BD24" i="13" s="1"/>
  <c r="AY24" i="13"/>
  <c r="AQ249" i="110" s="1"/>
  <c r="AV24" i="13"/>
  <c r="AP249" i="110" s="1"/>
  <c r="AZ22" i="13"/>
  <c r="BD22" i="13" s="1"/>
  <c r="AY22" i="13"/>
  <c r="AQ248" i="110" s="1"/>
  <c r="AV22" i="13"/>
  <c r="AP248" i="110" s="1"/>
  <c r="AZ20" i="13"/>
  <c r="BD20" i="13" s="1"/>
  <c r="AY20" i="13"/>
  <c r="AQ247" i="110" s="1"/>
  <c r="AV20" i="13"/>
  <c r="AP247" i="110" s="1"/>
  <c r="AZ18" i="13"/>
  <c r="BD18" i="13" s="1"/>
  <c r="AY18" i="13"/>
  <c r="AQ246" i="110" s="1"/>
  <c r="AV18" i="13"/>
  <c r="AP246" i="110" s="1"/>
  <c r="AB36" i="13"/>
  <c r="AB34" i="13"/>
  <c r="AB32" i="13"/>
  <c r="AB30" i="13"/>
  <c r="AB28" i="13"/>
  <c r="AB26" i="13"/>
  <c r="AB24" i="13"/>
  <c r="AB22" i="13"/>
  <c r="AB20" i="13"/>
  <c r="AB18" i="13"/>
  <c r="AZ36" i="175"/>
  <c r="BD36" i="175" s="1"/>
  <c r="AY36" i="175"/>
  <c r="AV36" i="175"/>
  <c r="AZ34" i="175"/>
  <c r="BD34" i="175" s="1"/>
  <c r="AY34" i="175"/>
  <c r="AV34" i="175"/>
  <c r="AZ32" i="175"/>
  <c r="BD32" i="175" s="1"/>
  <c r="AY32" i="175"/>
  <c r="AV32" i="175"/>
  <c r="AZ30" i="175"/>
  <c r="BD30" i="175" s="1"/>
  <c r="AY30" i="175"/>
  <c r="AV30" i="175"/>
  <c r="AZ28" i="175"/>
  <c r="BD28" i="175" s="1"/>
  <c r="AY28" i="175"/>
  <c r="AV28" i="175"/>
  <c r="AZ26" i="175"/>
  <c r="BD26" i="175" s="1"/>
  <c r="AY26" i="175"/>
  <c r="AV26" i="175"/>
  <c r="AZ24" i="175"/>
  <c r="BD24" i="175" s="1"/>
  <c r="AY24" i="175"/>
  <c r="AV24" i="175"/>
  <c r="AZ22" i="175"/>
  <c r="BD22" i="175" s="1"/>
  <c r="AY22" i="175"/>
  <c r="AV22" i="175"/>
  <c r="AZ20" i="175"/>
  <c r="BD20" i="175" s="1"/>
  <c r="AY20" i="175"/>
  <c r="AV20" i="175"/>
  <c r="BD18" i="175"/>
  <c r="AV18" i="175"/>
  <c r="AB36" i="175"/>
  <c r="AB34" i="175"/>
  <c r="AB32" i="175"/>
  <c r="AB30" i="175"/>
  <c r="AB28" i="175"/>
  <c r="AB26" i="175"/>
  <c r="AB24" i="175"/>
  <c r="AB22" i="175"/>
  <c r="AB20" i="175"/>
  <c r="AZ18" i="176"/>
  <c r="BD18" i="176" s="1"/>
  <c r="AV20" i="176"/>
  <c r="AP279" i="110" s="1"/>
  <c r="AY20" i="176"/>
  <c r="AQ279" i="110" s="1"/>
  <c r="AZ20" i="176"/>
  <c r="BD20" i="176" s="1"/>
  <c r="AV22" i="176"/>
  <c r="AP280" i="110" s="1"/>
  <c r="AY22" i="176"/>
  <c r="AQ280" i="110" s="1"/>
  <c r="AZ22" i="176"/>
  <c r="BD22" i="176" s="1"/>
  <c r="AV24" i="176"/>
  <c r="AP281" i="110" s="1"/>
  <c r="AY24" i="176"/>
  <c r="AQ281" i="110" s="1"/>
  <c r="AZ24" i="176"/>
  <c r="BD24" i="176" s="1"/>
  <c r="AP284" i="110"/>
  <c r="AQ284" i="110"/>
  <c r="AH18" i="171"/>
  <c r="AH18" i="175"/>
  <c r="AY18" i="176"/>
  <c r="AQ278" i="110" s="1"/>
  <c r="AV18" i="176"/>
  <c r="AP278" i="110" s="1"/>
  <c r="AB20" i="176"/>
  <c r="AB22" i="176"/>
  <c r="AB24" i="176"/>
  <c r="AF30" i="176"/>
  <c r="AN30" i="176" s="1"/>
  <c r="AB18" i="176"/>
  <c r="AF18" i="176" s="1"/>
  <c r="AR202" i="176"/>
  <c r="B201" i="176"/>
  <c r="B200" i="176"/>
  <c r="AR202" i="175"/>
  <c r="B201" i="175"/>
  <c r="B200" i="175"/>
  <c r="X9" i="158"/>
  <c r="AR202" i="13"/>
  <c r="B201" i="13"/>
  <c r="B200" i="13"/>
  <c r="AR202" i="171"/>
  <c r="B201" i="171"/>
  <c r="B200" i="171"/>
  <c r="AR202" i="170"/>
  <c r="B201" i="170"/>
  <c r="B200" i="170"/>
  <c r="AR202" i="169"/>
  <c r="B201" i="169"/>
  <c r="B200" i="169"/>
  <c r="AR202" i="168"/>
  <c r="B201" i="168"/>
  <c r="B200" i="168"/>
  <c r="AR202" i="167"/>
  <c r="B201" i="167"/>
  <c r="B200" i="167"/>
  <c r="A9" i="148"/>
  <c r="A9" i="147"/>
  <c r="A9" i="166"/>
  <c r="A4" i="152"/>
  <c r="AP67" i="110"/>
  <c r="AR345" i="161"/>
  <c r="B344" i="161"/>
  <c r="B343" i="161"/>
  <c r="T46" i="106"/>
  <c r="T45" i="106"/>
  <c r="T44" i="106"/>
  <c r="T4" i="106"/>
  <c r="T3" i="106"/>
  <c r="H126" i="106"/>
  <c r="H125" i="106"/>
  <c r="H124" i="106"/>
  <c r="H123" i="106"/>
  <c r="H5" i="106"/>
  <c r="H4" i="106"/>
  <c r="H3" i="106"/>
  <c r="A66" i="110"/>
  <c r="A50" i="110"/>
  <c r="A34" i="110"/>
  <c r="A3" i="110"/>
  <c r="A9" i="81"/>
  <c r="A9" i="155"/>
  <c r="A9" i="156"/>
  <c r="AI20" i="163"/>
  <c r="AI22" i="163"/>
  <c r="AI24" i="163"/>
  <c r="AI26" i="163"/>
  <c r="AI28" i="163"/>
  <c r="AI30" i="163"/>
  <c r="AI32" i="163"/>
  <c r="AI34" i="163"/>
  <c r="AI36" i="163"/>
  <c r="AI18" i="163"/>
  <c r="AT20" i="163"/>
  <c r="J120" i="110" s="1"/>
  <c r="J132" i="110"/>
  <c r="R18" i="163"/>
  <c r="AR202" i="163"/>
  <c r="B201" i="163"/>
  <c r="B200" i="163"/>
  <c r="R20" i="162"/>
  <c r="AN20" i="162" s="1"/>
  <c r="R22" i="162"/>
  <c r="AN22" i="162" s="1"/>
  <c r="R24" i="162"/>
  <c r="R26" i="162"/>
  <c r="AN26" i="162" s="1"/>
  <c r="R28" i="162"/>
  <c r="AN28" i="162" s="1"/>
  <c r="R30" i="162"/>
  <c r="AN30" i="162" s="1"/>
  <c r="R32" i="162"/>
  <c r="AN32" i="162" s="1"/>
  <c r="R34" i="162"/>
  <c r="AN34" i="162" s="1"/>
  <c r="R36" i="162"/>
  <c r="AN36" i="162" s="1"/>
  <c r="R117" i="110"/>
  <c r="C117" i="110" s="1"/>
  <c r="AS117" i="110" s="1"/>
  <c r="AI20" i="162"/>
  <c r="AI22" i="162"/>
  <c r="AI24" i="162"/>
  <c r="AI26" i="162"/>
  <c r="AI28" i="162"/>
  <c r="AI30" i="162"/>
  <c r="AI32" i="162"/>
  <c r="AI34" i="162"/>
  <c r="AI36" i="162"/>
  <c r="AI18" i="162"/>
  <c r="R18" i="162"/>
  <c r="AR202" i="162"/>
  <c r="B201" i="162"/>
  <c r="B200" i="162"/>
  <c r="R20" i="160"/>
  <c r="AN20" i="160" s="1"/>
  <c r="R22" i="160"/>
  <c r="AN22" i="160" s="1"/>
  <c r="R24" i="160"/>
  <c r="AN24" i="160" s="1"/>
  <c r="R26" i="160"/>
  <c r="AN26" i="160" s="1"/>
  <c r="R28" i="160"/>
  <c r="AN28" i="160" s="1"/>
  <c r="R30" i="160"/>
  <c r="AN30" i="160" s="1"/>
  <c r="R32" i="160"/>
  <c r="AN32" i="160" s="1"/>
  <c r="R34" i="160"/>
  <c r="AN34" i="160" s="1"/>
  <c r="AI20" i="160"/>
  <c r="AI22" i="160"/>
  <c r="AI24" i="160"/>
  <c r="AI26" i="160"/>
  <c r="AI28" i="160"/>
  <c r="AI30" i="160"/>
  <c r="AI32" i="160"/>
  <c r="AI34" i="160"/>
  <c r="AI36" i="160"/>
  <c r="AI18" i="160"/>
  <c r="R18" i="160"/>
  <c r="AR202" i="160"/>
  <c r="B201" i="160"/>
  <c r="B200" i="160"/>
  <c r="AP64" i="110"/>
  <c r="AP115" i="110"/>
  <c r="AP130" i="110"/>
  <c r="AP63" i="110"/>
  <c r="AP114" i="110"/>
  <c r="AP129" i="110"/>
  <c r="AP62" i="110"/>
  <c r="AP117" i="110"/>
  <c r="AP113" i="110"/>
  <c r="AP133" i="110"/>
  <c r="AP132" i="110"/>
  <c r="AP65" i="110"/>
  <c r="AP61" i="110"/>
  <c r="AP116" i="110"/>
  <c r="AP131" i="110"/>
  <c r="N63" i="110"/>
  <c r="E63" i="110"/>
  <c r="P116" i="110"/>
  <c r="E116" i="110"/>
  <c r="E130" i="110"/>
  <c r="J62" i="110"/>
  <c r="E62" i="110"/>
  <c r="R115" i="110"/>
  <c r="C115" i="110" s="1"/>
  <c r="AS115" i="110" s="1"/>
  <c r="E115" i="110"/>
  <c r="N129" i="110"/>
  <c r="E129" i="110"/>
  <c r="N65" i="110"/>
  <c r="E65" i="110"/>
  <c r="N61" i="110"/>
  <c r="E61" i="110"/>
  <c r="P114" i="110"/>
  <c r="E114" i="110"/>
  <c r="N133" i="110"/>
  <c r="E133" i="110"/>
  <c r="P132" i="110"/>
  <c r="E132" i="110"/>
  <c r="AZ28" i="163"/>
  <c r="E124" i="110" s="1"/>
  <c r="N64" i="110"/>
  <c r="E64" i="110"/>
  <c r="N117" i="110"/>
  <c r="E117" i="110"/>
  <c r="N113" i="110"/>
  <c r="E113" i="110"/>
  <c r="N131" i="110"/>
  <c r="E131" i="110"/>
  <c r="J64" i="110"/>
  <c r="J65" i="110"/>
  <c r="J129" i="110"/>
  <c r="J116" i="110"/>
  <c r="R65" i="110"/>
  <c r="C65" i="110" s="1"/>
  <c r="AS65" i="110" s="1"/>
  <c r="P62" i="110"/>
  <c r="R116" i="110"/>
  <c r="C116" i="110" s="1"/>
  <c r="AS116" i="110" s="1"/>
  <c r="J61" i="110"/>
  <c r="J63" i="110"/>
  <c r="N114" i="110"/>
  <c r="R64" i="110"/>
  <c r="C64" i="110" s="1"/>
  <c r="AS64" i="110" s="1"/>
  <c r="R114" i="110"/>
  <c r="C114" i="110" s="1"/>
  <c r="AS114" i="110" s="1"/>
  <c r="J130" i="110"/>
  <c r="P64" i="110"/>
  <c r="N116" i="110"/>
  <c r="P115" i="110"/>
  <c r="N132" i="110"/>
  <c r="N130" i="110"/>
  <c r="R61" i="110"/>
  <c r="C61" i="110" s="1"/>
  <c r="AS61" i="110" s="1"/>
  <c r="R113" i="110"/>
  <c r="C113" i="110" s="1"/>
  <c r="AS113" i="110" s="1"/>
  <c r="N115" i="110"/>
  <c r="P133" i="110"/>
  <c r="P131" i="110"/>
  <c r="P129" i="110"/>
  <c r="P65" i="110"/>
  <c r="P61" i="110"/>
  <c r="P117" i="110"/>
  <c r="P113" i="110"/>
  <c r="P130" i="110"/>
  <c r="R131" i="110"/>
  <c r="C131" i="110" s="1"/>
  <c r="AS131" i="110" s="1"/>
  <c r="R130" i="110"/>
  <c r="C130" i="110" s="1"/>
  <c r="AS130" i="110" s="1"/>
  <c r="J131" i="110"/>
  <c r="R129" i="110"/>
  <c r="C129" i="110" s="1"/>
  <c r="AS129" i="110" s="1"/>
  <c r="R133" i="110"/>
  <c r="C133" i="110" s="1"/>
  <c r="AS133" i="110" s="1"/>
  <c r="R132" i="110"/>
  <c r="C132" i="110" s="1"/>
  <c r="AS132" i="110" s="1"/>
  <c r="J133" i="110"/>
  <c r="J114" i="110"/>
  <c r="J113" i="110"/>
  <c r="J117" i="110"/>
  <c r="J115" i="110"/>
  <c r="R63" i="110"/>
  <c r="C63" i="110" s="1"/>
  <c r="AS63" i="110" s="1"/>
  <c r="R62" i="110"/>
  <c r="C62" i="110" s="1"/>
  <c r="AS62" i="110" s="1"/>
  <c r="P63" i="110"/>
  <c r="N62" i="110"/>
  <c r="AF9" i="158"/>
  <c r="AB9" i="158"/>
  <c r="T9" i="158"/>
  <c r="P9" i="158"/>
  <c r="P45" i="110"/>
  <c r="P46" i="110"/>
  <c r="P47" i="110"/>
  <c r="P48" i="110"/>
  <c r="P49" i="110"/>
  <c r="AW18" i="159"/>
  <c r="N45" i="110"/>
  <c r="N46" i="110"/>
  <c r="N47" i="110"/>
  <c r="N48" i="110"/>
  <c r="N49" i="110"/>
  <c r="J45" i="110"/>
  <c r="J46" i="110"/>
  <c r="J47" i="110"/>
  <c r="J48" i="110"/>
  <c r="J49" i="110"/>
  <c r="AI18" i="159"/>
  <c r="AR202" i="159"/>
  <c r="B201" i="159"/>
  <c r="B200" i="159"/>
  <c r="R49" i="110"/>
  <c r="R48" i="110"/>
  <c r="R47" i="110"/>
  <c r="R46" i="110"/>
  <c r="R45" i="110"/>
  <c r="AE4" i="110"/>
  <c r="R9" i="110"/>
  <c r="R14" i="110"/>
  <c r="AI18" i="158"/>
  <c r="AN18" i="158" s="1"/>
  <c r="AA18" i="154"/>
  <c r="F25" i="153"/>
  <c r="D162" i="3"/>
  <c r="G25" i="3"/>
  <c r="AR202" i="172"/>
  <c r="B201" i="172"/>
  <c r="B200" i="172"/>
  <c r="AH16" i="153"/>
  <c r="AA16" i="153"/>
  <c r="T16" i="153"/>
  <c r="M16" i="153"/>
  <c r="F16" i="153"/>
  <c r="AA33" i="154"/>
  <c r="AA29" i="154"/>
  <c r="AA28" i="154"/>
  <c r="AA27" i="154"/>
  <c r="AA26" i="154"/>
  <c r="AA21" i="154"/>
  <c r="AA20" i="154"/>
  <c r="AJ9" i="158"/>
  <c r="AA19" i="154"/>
  <c r="L9" i="158"/>
  <c r="F34" i="154"/>
  <c r="F25" i="154"/>
  <c r="F21" i="154"/>
  <c r="F16" i="154"/>
  <c r="F14" i="154"/>
  <c r="B147" i="3"/>
  <c r="AR202" i="153"/>
  <c r="B201" i="153"/>
  <c r="B200" i="153"/>
  <c r="AR202" i="158"/>
  <c r="B201" i="158"/>
  <c r="B200" i="158"/>
  <c r="AR202" i="151"/>
  <c r="B201" i="151"/>
  <c r="B200" i="151"/>
  <c r="AR202" i="147"/>
  <c r="B201" i="147"/>
  <c r="B200" i="147"/>
  <c r="AR202" i="166"/>
  <c r="B201" i="166"/>
  <c r="B200" i="166"/>
  <c r="AR202" i="144"/>
  <c r="B201" i="144"/>
  <c r="B200" i="144"/>
  <c r="AR202" i="152"/>
  <c r="B201" i="152"/>
  <c r="B200" i="152"/>
  <c r="H9" i="158"/>
  <c r="A9" i="144"/>
  <c r="J1" i="8"/>
  <c r="F1" i="8"/>
  <c r="M200" i="182"/>
  <c r="V2" i="108"/>
  <c r="AW57" i="14"/>
  <c r="V49" i="108"/>
  <c r="U2" i="108"/>
  <c r="R49" i="108"/>
  <c r="R50" i="108"/>
  <c r="R51" i="108"/>
  <c r="R52" i="108"/>
  <c r="R53" i="108"/>
  <c r="R54" i="108"/>
  <c r="R55" i="108"/>
  <c r="R56" i="108"/>
  <c r="R57" i="108"/>
  <c r="R58" i="108"/>
  <c r="R59" i="108"/>
  <c r="R60" i="108"/>
  <c r="R61" i="108"/>
  <c r="R62" i="108"/>
  <c r="R63" i="108"/>
  <c r="R64" i="108"/>
  <c r="R65" i="108"/>
  <c r="R66" i="108"/>
  <c r="R67" i="108"/>
  <c r="R68" i="108"/>
  <c r="R69" i="108"/>
  <c r="R70" i="108"/>
  <c r="R71" i="108"/>
  <c r="R72" i="108"/>
  <c r="R73" i="108"/>
  <c r="R74" i="108"/>
  <c r="R75" i="108"/>
  <c r="R76" i="108"/>
  <c r="R77" i="108"/>
  <c r="V1" i="108"/>
  <c r="R48" i="108"/>
  <c r="R47" i="108"/>
  <c r="Q59" i="108"/>
  <c r="Q60" i="108"/>
  <c r="Q61" i="108"/>
  <c r="Q62" i="108"/>
  <c r="Q63" i="108"/>
  <c r="Q64" i="108"/>
  <c r="Q65" i="108"/>
  <c r="Q66" i="108"/>
  <c r="Q67" i="108"/>
  <c r="Q68" i="108"/>
  <c r="Q69" i="108"/>
  <c r="Q70" i="108"/>
  <c r="Q71" i="108"/>
  <c r="Q72" i="108"/>
  <c r="Q73" i="108"/>
  <c r="Q74" i="108"/>
  <c r="Q75" i="108"/>
  <c r="Q76" i="108"/>
  <c r="Q77" i="108"/>
  <c r="U1" i="108"/>
  <c r="Q58" i="108"/>
  <c r="Q49" i="108"/>
  <c r="Q50" i="108"/>
  <c r="Q51" i="108"/>
  <c r="Q52" i="108"/>
  <c r="Q53" i="108"/>
  <c r="Q54" i="108"/>
  <c r="Q55" i="108"/>
  <c r="Q56" i="108"/>
  <c r="Q57" i="108"/>
  <c r="Q48" i="108"/>
  <c r="Q47" i="108"/>
  <c r="BF2" i="110"/>
  <c r="AR202" i="14"/>
  <c r="BG2" i="110"/>
  <c r="G20" i="3"/>
  <c r="G21" i="3"/>
  <c r="G22" i="3"/>
  <c r="G23" i="3"/>
  <c r="G24" i="3"/>
  <c r="A2" i="110"/>
  <c r="G8" i="3"/>
  <c r="B75" i="3"/>
  <c r="B165" i="3"/>
  <c r="B114" i="3"/>
  <c r="B101" i="3"/>
  <c r="G17" i="3"/>
  <c r="G18" i="3"/>
  <c r="G19" i="3"/>
  <c r="G10" i="3"/>
  <c r="G11" i="3"/>
  <c r="G12" i="3"/>
  <c r="G13" i="3"/>
  <c r="G14" i="3"/>
  <c r="G15" i="3"/>
  <c r="G16" i="3"/>
  <c r="B201" i="14"/>
  <c r="B200" i="14"/>
  <c r="U50" i="108"/>
  <c r="U51" i="108"/>
  <c r="V50" i="108"/>
  <c r="V51" i="108"/>
  <c r="U49" i="108"/>
  <c r="U48" i="108"/>
  <c r="V48" i="108"/>
  <c r="M200" i="14"/>
  <c r="D120" i="3"/>
  <c r="AN34" i="158" l="1"/>
  <c r="BD34" i="158"/>
  <c r="AN32" i="158"/>
  <c r="BD32" i="158"/>
  <c r="AN36" i="158"/>
  <c r="BD36" i="158"/>
  <c r="AN30" i="158"/>
  <c r="BD30" i="158"/>
  <c r="AN40" i="158"/>
  <c r="BD40" i="158"/>
  <c r="AN26" i="158"/>
  <c r="BD26" i="158"/>
  <c r="AN44" i="158"/>
  <c r="BD44" i="158"/>
  <c r="AN42" i="158"/>
  <c r="BD42" i="158"/>
  <c r="AF20" i="169"/>
  <c r="AH20" i="169" s="1"/>
  <c r="BH22" i="163"/>
  <c r="AN22" i="163"/>
  <c r="BH24" i="162"/>
  <c r="AN24" i="162"/>
  <c r="BH20" i="182"/>
  <c r="AN20" i="182"/>
  <c r="AF26" i="170"/>
  <c r="BA26" i="170" s="1"/>
  <c r="AU36" i="182"/>
  <c r="AP144" i="110" s="1"/>
  <c r="AN36" i="182"/>
  <c r="AT4" i="110"/>
  <c r="BC34" i="159"/>
  <c r="AT43" i="110"/>
  <c r="BC32" i="159"/>
  <c r="AT42" i="110"/>
  <c r="BC36" i="159"/>
  <c r="AT44" i="110"/>
  <c r="BC30" i="159"/>
  <c r="AT41" i="110"/>
  <c r="R72" i="110"/>
  <c r="AT72" i="110"/>
  <c r="BC28" i="159"/>
  <c r="AT40" i="110"/>
  <c r="R71" i="110"/>
  <c r="AT71" i="110"/>
  <c r="BC26" i="159"/>
  <c r="AT39" i="110"/>
  <c r="BC24" i="159"/>
  <c r="AT38" i="110"/>
  <c r="BC18" i="158"/>
  <c r="J11" i="3"/>
  <c r="AV18" i="160"/>
  <c r="N51" i="110" s="1"/>
  <c r="BH18" i="160"/>
  <c r="AV34" i="160"/>
  <c r="N59" i="110" s="1"/>
  <c r="BH34" i="160"/>
  <c r="AK34" i="160"/>
  <c r="AV26" i="160"/>
  <c r="AK26" i="160"/>
  <c r="BH26" i="160"/>
  <c r="AV34" i="162"/>
  <c r="N111" i="110" s="1"/>
  <c r="BH34" i="162"/>
  <c r="AK34" i="162"/>
  <c r="AV26" i="162"/>
  <c r="N107" i="110" s="1"/>
  <c r="BH26" i="162"/>
  <c r="AK26" i="162"/>
  <c r="BH42" i="158"/>
  <c r="AK42" i="158"/>
  <c r="BH32" i="158"/>
  <c r="AK32" i="158"/>
  <c r="AV34" i="163"/>
  <c r="N127" i="110" s="1"/>
  <c r="BH34" i="163"/>
  <c r="AK34" i="163"/>
  <c r="AV26" i="163"/>
  <c r="N123" i="110" s="1"/>
  <c r="BH26" i="163"/>
  <c r="AK26" i="163"/>
  <c r="AV32" i="160"/>
  <c r="N58" i="110" s="1"/>
  <c r="AK32" i="160"/>
  <c r="BH32" i="160"/>
  <c r="AV24" i="160"/>
  <c r="N54" i="110" s="1"/>
  <c r="AK24" i="160"/>
  <c r="BH24" i="160"/>
  <c r="AV32" i="162"/>
  <c r="N110" i="110" s="1"/>
  <c r="BH32" i="162"/>
  <c r="AK32" i="162"/>
  <c r="AV18" i="182"/>
  <c r="BH18" i="182"/>
  <c r="AV22" i="182"/>
  <c r="N137" i="110" s="1"/>
  <c r="BH22" i="182"/>
  <c r="AK22" i="182"/>
  <c r="AV26" i="182"/>
  <c r="N139" i="110" s="1"/>
  <c r="AK26" i="182"/>
  <c r="BH26" i="182"/>
  <c r="AV30" i="182"/>
  <c r="BH30" i="182"/>
  <c r="AK30" i="182"/>
  <c r="AV34" i="182"/>
  <c r="N143" i="110" s="1"/>
  <c r="AK34" i="182"/>
  <c r="BH34" i="182"/>
  <c r="BH40" i="158"/>
  <c r="AK40" i="158"/>
  <c r="BH30" i="158"/>
  <c r="AK30" i="158"/>
  <c r="AV32" i="163"/>
  <c r="N126" i="110" s="1"/>
  <c r="BH32" i="163"/>
  <c r="AK32" i="163"/>
  <c r="AV24" i="163"/>
  <c r="N122" i="110" s="1"/>
  <c r="BH24" i="163"/>
  <c r="AK24" i="163"/>
  <c r="AV30" i="160"/>
  <c r="N57" i="110" s="1"/>
  <c r="AK30" i="160"/>
  <c r="BH30" i="160"/>
  <c r="AV22" i="160"/>
  <c r="N53" i="110" s="1"/>
  <c r="BH22" i="160"/>
  <c r="AK22" i="160"/>
  <c r="AV30" i="162"/>
  <c r="N109" i="110" s="1"/>
  <c r="BH30" i="162"/>
  <c r="AK30" i="162"/>
  <c r="AV22" i="162"/>
  <c r="N105" i="110" s="1"/>
  <c r="BH22" i="162"/>
  <c r="AK22" i="162"/>
  <c r="BH46" i="158"/>
  <c r="AK36" i="158"/>
  <c r="BH36" i="158"/>
  <c r="BH26" i="158"/>
  <c r="AK26" i="158"/>
  <c r="AV30" i="163"/>
  <c r="N125" i="110" s="1"/>
  <c r="BH30" i="163"/>
  <c r="AK30" i="163"/>
  <c r="AV36" i="160"/>
  <c r="N60" i="110" s="1"/>
  <c r="BH36" i="160"/>
  <c r="AV28" i="160"/>
  <c r="N56" i="110" s="1"/>
  <c r="AK28" i="160"/>
  <c r="BH28" i="160"/>
  <c r="AV18" i="162"/>
  <c r="N103" i="110" s="1"/>
  <c r="BH18" i="162"/>
  <c r="AV36" i="162"/>
  <c r="N112" i="110" s="1"/>
  <c r="BH36" i="162"/>
  <c r="AK36" i="162"/>
  <c r="AV28" i="162"/>
  <c r="N108" i="110" s="1"/>
  <c r="BH28" i="162"/>
  <c r="AK28" i="162"/>
  <c r="AV20" i="162"/>
  <c r="N104" i="110" s="1"/>
  <c r="BH20" i="162"/>
  <c r="AK20" i="162"/>
  <c r="AV18" i="163"/>
  <c r="N119" i="110" s="1"/>
  <c r="BH18" i="163"/>
  <c r="AV24" i="182"/>
  <c r="N138" i="110" s="1"/>
  <c r="AK24" i="182"/>
  <c r="BH24" i="182"/>
  <c r="AV28" i="182"/>
  <c r="N140" i="110" s="1"/>
  <c r="AK28" i="182"/>
  <c r="BH28" i="182"/>
  <c r="AV32" i="182"/>
  <c r="N142" i="110" s="1"/>
  <c r="AK32" i="182"/>
  <c r="BH32" i="182"/>
  <c r="AV36" i="182"/>
  <c r="N144" i="110" s="1"/>
  <c r="AK36" i="182"/>
  <c r="BH36" i="182"/>
  <c r="AK44" i="158"/>
  <c r="BH44" i="158"/>
  <c r="BH34" i="158"/>
  <c r="AK34" i="158"/>
  <c r="AV36" i="163"/>
  <c r="N128" i="110" s="1"/>
  <c r="AK36" i="163"/>
  <c r="BH36" i="163"/>
  <c r="AV28" i="163"/>
  <c r="AK28" i="163"/>
  <c r="BH28" i="163"/>
  <c r="AV20" i="163"/>
  <c r="N120" i="110" s="1"/>
  <c r="AK20" i="163"/>
  <c r="BH20" i="163"/>
  <c r="AV22" i="163"/>
  <c r="AK22" i="163" s="1"/>
  <c r="AV24" i="162"/>
  <c r="N106" i="110" s="1"/>
  <c r="AV20" i="182"/>
  <c r="AK20" i="182" s="1"/>
  <c r="AT20" i="182" s="1"/>
  <c r="J136" i="110" s="1"/>
  <c r="AV20" i="160"/>
  <c r="BH20" i="160"/>
  <c r="AF22" i="175"/>
  <c r="BA22" i="175" s="1"/>
  <c r="AF30" i="175"/>
  <c r="BA30" i="175" s="1"/>
  <c r="AF22" i="13"/>
  <c r="BA22" i="13" s="1"/>
  <c r="AF30" i="13"/>
  <c r="AX30" i="13" s="1"/>
  <c r="AE252" i="110" s="1"/>
  <c r="AX42" i="158"/>
  <c r="AD16" i="110" s="1"/>
  <c r="BA42" i="158"/>
  <c r="O16" i="110" s="1"/>
  <c r="AV42" i="158"/>
  <c r="N16" i="110" s="1"/>
  <c r="AY42" i="158"/>
  <c r="AE16" i="110" s="1"/>
  <c r="AV32" i="158"/>
  <c r="N11" i="110" s="1"/>
  <c r="AY32" i="158"/>
  <c r="AE11" i="110" s="1"/>
  <c r="BA32" i="158"/>
  <c r="O11" i="110" s="1"/>
  <c r="AX32" i="158"/>
  <c r="AD11" i="110" s="1"/>
  <c r="AW70" i="167"/>
  <c r="AX70" i="167"/>
  <c r="AW62" i="167"/>
  <c r="AX62" i="167"/>
  <c r="AE173" i="110" s="1"/>
  <c r="AW54" i="167"/>
  <c r="AX54" i="167"/>
  <c r="AE169" i="110" s="1"/>
  <c r="AW46" i="167"/>
  <c r="AX46" i="167"/>
  <c r="AE165" i="110" s="1"/>
  <c r="AW38" i="167"/>
  <c r="AX38" i="167"/>
  <c r="AE161" i="110" s="1"/>
  <c r="AW30" i="167"/>
  <c r="BJ30" i="167" s="1"/>
  <c r="AX30" i="167"/>
  <c r="AE157" i="110" s="1"/>
  <c r="AK20" i="167"/>
  <c r="AW20" i="167"/>
  <c r="AX20" i="167"/>
  <c r="AE152" i="110" s="1"/>
  <c r="AF24" i="13"/>
  <c r="AX24" i="13" s="1"/>
  <c r="AE249" i="110" s="1"/>
  <c r="AF26" i="171"/>
  <c r="AH26" i="171" s="1"/>
  <c r="AF34" i="171"/>
  <c r="AH34" i="171" s="1"/>
  <c r="AF34" i="170"/>
  <c r="BA34" i="170" s="1"/>
  <c r="AF26" i="169"/>
  <c r="BA26" i="169" s="1"/>
  <c r="AF34" i="169"/>
  <c r="BA34" i="169" s="1"/>
  <c r="AX20" i="158"/>
  <c r="AD5" i="110" s="1"/>
  <c r="AY20" i="158"/>
  <c r="AE5" i="110" s="1"/>
  <c r="AV40" i="158"/>
  <c r="N15" i="110" s="1"/>
  <c r="BA40" i="158"/>
  <c r="O15" i="110" s="1"/>
  <c r="AX40" i="158"/>
  <c r="AD15" i="110" s="1"/>
  <c r="AY40" i="158"/>
  <c r="AE15" i="110" s="1"/>
  <c r="AV30" i="158"/>
  <c r="N10" i="110" s="1"/>
  <c r="AY30" i="158"/>
  <c r="AE10" i="110" s="1"/>
  <c r="AX30" i="158"/>
  <c r="AD10" i="110" s="1"/>
  <c r="BA30" i="158"/>
  <c r="O10" i="110" s="1"/>
  <c r="AW76" i="167"/>
  <c r="AX76" i="167"/>
  <c r="AE180" i="110" s="1"/>
  <c r="AW68" i="167"/>
  <c r="AX68" i="167"/>
  <c r="AE176" i="110" s="1"/>
  <c r="AW60" i="167"/>
  <c r="AX60" i="167"/>
  <c r="AE172" i="110" s="1"/>
  <c r="AW52" i="167"/>
  <c r="AX52" i="167"/>
  <c r="AE168" i="110" s="1"/>
  <c r="AW44" i="167"/>
  <c r="AX44" i="167"/>
  <c r="AE164" i="110" s="1"/>
  <c r="AW36" i="167"/>
  <c r="AX36" i="167"/>
  <c r="AW28" i="167"/>
  <c r="AX28" i="167"/>
  <c r="AE156" i="110" s="1"/>
  <c r="AF22" i="176"/>
  <c r="AX22" i="176" s="1"/>
  <c r="AE280" i="110" s="1"/>
  <c r="AF34" i="175"/>
  <c r="AW34" i="175" s="1"/>
  <c r="AF20" i="171"/>
  <c r="AW20" i="171" s="1"/>
  <c r="AF28" i="171"/>
  <c r="AW28" i="171" s="1"/>
  <c r="AF28" i="170"/>
  <c r="AX28" i="170" s="1"/>
  <c r="AE219" i="110" s="1"/>
  <c r="AK20" i="169"/>
  <c r="BC20" i="169" s="1"/>
  <c r="AW20" i="169"/>
  <c r="AX20" i="169"/>
  <c r="AE199" i="110" s="1"/>
  <c r="AF36" i="169"/>
  <c r="AK36" i="169" s="1"/>
  <c r="BC36" i="169" s="1"/>
  <c r="AX46" i="158"/>
  <c r="AY46" i="158"/>
  <c r="AE18" i="110" s="1"/>
  <c r="AV36" i="158"/>
  <c r="N13" i="110" s="1"/>
  <c r="AY36" i="158"/>
  <c r="AE13" i="110" s="1"/>
  <c r="AX36" i="158"/>
  <c r="AD13" i="110" s="1"/>
  <c r="BA36" i="158"/>
  <c r="O13" i="110" s="1"/>
  <c r="AX26" i="158"/>
  <c r="AD8" i="110" s="1"/>
  <c r="BA26" i="158"/>
  <c r="O8" i="110" s="1"/>
  <c r="AY26" i="158"/>
  <c r="AE8" i="110" s="1"/>
  <c r="AV26" i="158"/>
  <c r="N8" i="110" s="1"/>
  <c r="AX74" i="167"/>
  <c r="AE179" i="110" s="1"/>
  <c r="AW74" i="167"/>
  <c r="AX66" i="167"/>
  <c r="AE175" i="110" s="1"/>
  <c r="AW66" i="167"/>
  <c r="AX58" i="167"/>
  <c r="AE171" i="110" s="1"/>
  <c r="AW58" i="167"/>
  <c r="AX50" i="167"/>
  <c r="AE167" i="110" s="1"/>
  <c r="AW50" i="167"/>
  <c r="AX42" i="167"/>
  <c r="AE163" i="110" s="1"/>
  <c r="AW42" i="167"/>
  <c r="AX34" i="167"/>
  <c r="AE159" i="110" s="1"/>
  <c r="AW34" i="167"/>
  <c r="AX26" i="167"/>
  <c r="AE155" i="110" s="1"/>
  <c r="AW26" i="167"/>
  <c r="AF36" i="175"/>
  <c r="BA36" i="175" s="1"/>
  <c r="AF36" i="13"/>
  <c r="AK36" i="13" s="1"/>
  <c r="BC36" i="13" s="1"/>
  <c r="AF22" i="171"/>
  <c r="AX22" i="171" s="1"/>
  <c r="AF30" i="170"/>
  <c r="AH30" i="170" s="1"/>
  <c r="AF22" i="169"/>
  <c r="AH22" i="169" s="1"/>
  <c r="AY44" i="158"/>
  <c r="AE17" i="110" s="1"/>
  <c r="AX44" i="158"/>
  <c r="AD17" i="110" s="1"/>
  <c r="BA44" i="158"/>
  <c r="O17" i="110" s="1"/>
  <c r="AV44" i="158"/>
  <c r="N17" i="110" s="1"/>
  <c r="AY34" i="158"/>
  <c r="AE12" i="110" s="1"/>
  <c r="AV34" i="158"/>
  <c r="N12" i="110" s="1"/>
  <c r="AX34" i="158"/>
  <c r="AD12" i="110" s="1"/>
  <c r="BA34" i="158"/>
  <c r="O12" i="110" s="1"/>
  <c r="AX72" i="167"/>
  <c r="AE178" i="110" s="1"/>
  <c r="AW72" i="167"/>
  <c r="AX64" i="167"/>
  <c r="AE174" i="110" s="1"/>
  <c r="AW64" i="167"/>
  <c r="AX56" i="167"/>
  <c r="AE170" i="110" s="1"/>
  <c r="AW56" i="167"/>
  <c r="AX48" i="167"/>
  <c r="AE166" i="110" s="1"/>
  <c r="AW48" i="167"/>
  <c r="AX40" i="167"/>
  <c r="AE162" i="110" s="1"/>
  <c r="AW40" i="167"/>
  <c r="AX32" i="167"/>
  <c r="AE158" i="110" s="1"/>
  <c r="AW32" i="167"/>
  <c r="AX24" i="167"/>
  <c r="AE154" i="110" s="1"/>
  <c r="AW24" i="167"/>
  <c r="AP263" i="110"/>
  <c r="AQ264" i="110"/>
  <c r="AP267" i="110"/>
  <c r="AQ268" i="110"/>
  <c r="AP271" i="110"/>
  <c r="S15" i="109"/>
  <c r="AA19" i="153" s="1"/>
  <c r="U39" i="81" s="1"/>
  <c r="S14" i="109"/>
  <c r="AQ263" i="110"/>
  <c r="AP266" i="110"/>
  <c r="AQ267" i="110"/>
  <c r="AP270" i="110"/>
  <c r="AQ271" i="110"/>
  <c r="P14" i="109"/>
  <c r="P15" i="109"/>
  <c r="F19" i="153" s="1"/>
  <c r="EB2" i="110" s="1"/>
  <c r="R15" i="109"/>
  <c r="T19" i="153" s="1"/>
  <c r="ED2" i="110" s="1"/>
  <c r="R14" i="109"/>
  <c r="AQ272" i="110"/>
  <c r="AP265" i="110"/>
  <c r="AQ266" i="110"/>
  <c r="AP269" i="110"/>
  <c r="AQ270" i="110"/>
  <c r="Q15" i="109"/>
  <c r="M19" i="153" s="1"/>
  <c r="EC2" i="110" s="1"/>
  <c r="Q14" i="109"/>
  <c r="AP272" i="110"/>
  <c r="AP264" i="110"/>
  <c r="AQ265" i="110"/>
  <c r="AP268" i="110"/>
  <c r="AQ269" i="110"/>
  <c r="E272" i="110"/>
  <c r="AR201" i="152"/>
  <c r="AR201" i="166"/>
  <c r="AR201" i="14"/>
  <c r="BA20" i="169"/>
  <c r="AF24" i="175"/>
  <c r="BA24" i="175" s="1"/>
  <c r="K50" i="108"/>
  <c r="AR201" i="151"/>
  <c r="AF20" i="175"/>
  <c r="AN20" i="175" s="1"/>
  <c r="AH30" i="175"/>
  <c r="C53" i="108"/>
  <c r="L53" i="108" s="1"/>
  <c r="G12" i="108" s="1"/>
  <c r="V52" i="108" s="1"/>
  <c r="E52" i="108"/>
  <c r="M50" i="108"/>
  <c r="AR200" i="159"/>
  <c r="AR200" i="14"/>
  <c r="AF18" i="13"/>
  <c r="AN18" i="13" s="1"/>
  <c r="AF20" i="170"/>
  <c r="BK20" i="170" s="1"/>
  <c r="B51" i="108"/>
  <c r="B52" i="108" s="1"/>
  <c r="AG18" i="110"/>
  <c r="AU46" i="158"/>
  <c r="AP18" i="110" s="1"/>
  <c r="AZ46" i="158"/>
  <c r="E18" i="110" s="1"/>
  <c r="AG13" i="110"/>
  <c r="BB36" i="158"/>
  <c r="Q13" i="110" s="1"/>
  <c r="AU36" i="158"/>
  <c r="AP13" i="110" s="1"/>
  <c r="BF36" i="158"/>
  <c r="AZ36" i="158"/>
  <c r="E13" i="110" s="1"/>
  <c r="AT13" i="110"/>
  <c r="AT36" i="158"/>
  <c r="J13" i="110" s="1"/>
  <c r="AW36" i="158"/>
  <c r="P13" i="110" s="1"/>
  <c r="AG8" i="110"/>
  <c r="BF26" i="158"/>
  <c r="BK30" i="175"/>
  <c r="L52" i="108"/>
  <c r="L51" i="108"/>
  <c r="AG17" i="110"/>
  <c r="BF44" i="158"/>
  <c r="BB44" i="158"/>
  <c r="Q17" i="110" s="1"/>
  <c r="AZ44" i="158"/>
  <c r="E17" i="110" s="1"/>
  <c r="AW44" i="158"/>
  <c r="P17" i="110" s="1"/>
  <c r="AU44" i="158"/>
  <c r="AP17" i="110" s="1"/>
  <c r="AT17" i="110"/>
  <c r="AT44" i="158"/>
  <c r="J17" i="110" s="1"/>
  <c r="AG12" i="110"/>
  <c r="BB34" i="158"/>
  <c r="Q12" i="110" s="1"/>
  <c r="BF34" i="158"/>
  <c r="AZ34" i="158"/>
  <c r="E12" i="110" s="1"/>
  <c r="AW34" i="158"/>
  <c r="P12" i="110" s="1"/>
  <c r="AU34" i="158"/>
  <c r="AP12" i="110" s="1"/>
  <c r="AT12" i="110"/>
  <c r="AT34" i="158"/>
  <c r="J12" i="110" s="1"/>
  <c r="AF32" i="13"/>
  <c r="BA32" i="13" s="1"/>
  <c r="AF36" i="171"/>
  <c r="BK36" i="171" s="1"/>
  <c r="AF36" i="170"/>
  <c r="AN36" i="170" s="1"/>
  <c r="AF18" i="169"/>
  <c r="AH18" i="169" s="1"/>
  <c r="AF24" i="169"/>
  <c r="AH24" i="169" s="1"/>
  <c r="AG16" i="110"/>
  <c r="BF42" i="158"/>
  <c r="AT16" i="110"/>
  <c r="AU42" i="158"/>
  <c r="AP16" i="110" s="1"/>
  <c r="BB42" i="158"/>
  <c r="Q16" i="110" s="1"/>
  <c r="AW42" i="158"/>
  <c r="P16" i="110" s="1"/>
  <c r="AZ42" i="158"/>
  <c r="E16" i="110" s="1"/>
  <c r="AT42" i="158"/>
  <c r="J16" i="110" s="1"/>
  <c r="AG11" i="110"/>
  <c r="BF32" i="158"/>
  <c r="AW32" i="158"/>
  <c r="P11" i="110" s="1"/>
  <c r="AT11" i="110"/>
  <c r="BB32" i="158"/>
  <c r="Q11" i="110" s="1"/>
  <c r="AZ32" i="158"/>
  <c r="E11" i="110" s="1"/>
  <c r="AT32" i="158"/>
  <c r="J11" i="110" s="1"/>
  <c r="AU32" i="158"/>
  <c r="AP11" i="110" s="1"/>
  <c r="AR201" i="153"/>
  <c r="AF26" i="175"/>
  <c r="AN26" i="175" s="1"/>
  <c r="AF30" i="171"/>
  <c r="AH30" i="171" s="1"/>
  <c r="AF22" i="170"/>
  <c r="BA22" i="170" s="1"/>
  <c r="AF30" i="169"/>
  <c r="BK30" i="169" s="1"/>
  <c r="AF20" i="13"/>
  <c r="BK20" i="13" s="1"/>
  <c r="AF28" i="175"/>
  <c r="AH28" i="175" s="1"/>
  <c r="AF32" i="175"/>
  <c r="AH32" i="175" s="1"/>
  <c r="AF34" i="13"/>
  <c r="BK34" i="13" s="1"/>
  <c r="BK20" i="169"/>
  <c r="BH20" i="169"/>
  <c r="C199" i="110" s="1"/>
  <c r="B199" i="110" s="1"/>
  <c r="E51" i="108"/>
  <c r="AG15" i="110"/>
  <c r="AW40" i="158"/>
  <c r="P15" i="110" s="1"/>
  <c r="BF40" i="158"/>
  <c r="AU40" i="158"/>
  <c r="AP15" i="110" s="1"/>
  <c r="AZ40" i="158"/>
  <c r="E15" i="110" s="1"/>
  <c r="AT15" i="110"/>
  <c r="AT40" i="158"/>
  <c r="J15" i="110" s="1"/>
  <c r="BB40" i="158"/>
  <c r="Q15" i="110" s="1"/>
  <c r="AG10" i="110"/>
  <c r="BF30" i="158"/>
  <c r="B131" i="110"/>
  <c r="AR131" i="110"/>
  <c r="AB195" i="110"/>
  <c r="Q195" i="110"/>
  <c r="Z195" i="110"/>
  <c r="O195" i="110"/>
  <c r="Z193" i="110"/>
  <c r="O193" i="110"/>
  <c r="AB193" i="110"/>
  <c r="Q193" i="110"/>
  <c r="V210" i="110"/>
  <c r="Z210" i="110"/>
  <c r="O210" i="110"/>
  <c r="Q210" i="110"/>
  <c r="AB210" i="110"/>
  <c r="AB225" i="110"/>
  <c r="Q225" i="110"/>
  <c r="O225" i="110"/>
  <c r="Z225" i="110"/>
  <c r="Z244" i="110"/>
  <c r="O244" i="110"/>
  <c r="Q244" i="110"/>
  <c r="AB244" i="110"/>
  <c r="V240" i="110"/>
  <c r="Z240" i="110"/>
  <c r="O240" i="110"/>
  <c r="AB240" i="110"/>
  <c r="Q240" i="110"/>
  <c r="AB259" i="110"/>
  <c r="Q259" i="110"/>
  <c r="O259" i="110"/>
  <c r="Z259" i="110"/>
  <c r="Z274" i="110"/>
  <c r="O274" i="110"/>
  <c r="AB274" i="110"/>
  <c r="Q274" i="110"/>
  <c r="B145" i="110"/>
  <c r="AR145" i="110"/>
  <c r="AB209" i="110"/>
  <c r="Q209" i="110"/>
  <c r="Z209" i="110"/>
  <c r="O209" i="110"/>
  <c r="R228" i="110"/>
  <c r="Z228" i="110"/>
  <c r="O228" i="110"/>
  <c r="AB228" i="110"/>
  <c r="Q228" i="110"/>
  <c r="M224" i="110"/>
  <c r="Z224" i="110"/>
  <c r="O224" i="110"/>
  <c r="Q224" i="110"/>
  <c r="AB224" i="110"/>
  <c r="AB243" i="110"/>
  <c r="Q243" i="110"/>
  <c r="Z243" i="110"/>
  <c r="O243" i="110"/>
  <c r="L258" i="110"/>
  <c r="Z258" i="110"/>
  <c r="O258" i="110"/>
  <c r="Q258" i="110"/>
  <c r="AB258" i="110"/>
  <c r="AB273" i="110"/>
  <c r="Q273" i="110"/>
  <c r="O273" i="110"/>
  <c r="Z273" i="110"/>
  <c r="B146" i="110"/>
  <c r="AR146" i="110"/>
  <c r="B147" i="110"/>
  <c r="AR147" i="110"/>
  <c r="B113" i="110"/>
  <c r="AR113" i="110"/>
  <c r="AB196" i="110"/>
  <c r="Q196" i="110"/>
  <c r="Z196" i="110"/>
  <c r="O196" i="110"/>
  <c r="Z194" i="110"/>
  <c r="O194" i="110"/>
  <c r="AB194" i="110"/>
  <c r="Q194" i="110"/>
  <c r="AB192" i="110"/>
  <c r="Q192" i="110"/>
  <c r="O192" i="110"/>
  <c r="Z192" i="110"/>
  <c r="J212" i="110"/>
  <c r="AB212" i="110"/>
  <c r="Q212" i="110"/>
  <c r="O212" i="110"/>
  <c r="Z212" i="110"/>
  <c r="J208" i="110"/>
  <c r="AB208" i="110"/>
  <c r="Q208" i="110"/>
  <c r="Z208" i="110"/>
  <c r="O208" i="110"/>
  <c r="J227" i="110"/>
  <c r="Z227" i="110"/>
  <c r="O227" i="110"/>
  <c r="AB227" i="110"/>
  <c r="Q227" i="110"/>
  <c r="J242" i="110"/>
  <c r="AB242" i="110"/>
  <c r="Q242" i="110"/>
  <c r="Z242" i="110"/>
  <c r="O242" i="110"/>
  <c r="Z257" i="110"/>
  <c r="O257" i="110"/>
  <c r="Q257" i="110"/>
  <c r="AB257" i="110"/>
  <c r="J276" i="110"/>
  <c r="AB276" i="110"/>
  <c r="Q276" i="110"/>
  <c r="Z276" i="110"/>
  <c r="O276" i="110"/>
  <c r="B149" i="110"/>
  <c r="AR149" i="110"/>
  <c r="B129" i="110"/>
  <c r="AR129" i="110"/>
  <c r="B115" i="110"/>
  <c r="AR115" i="110"/>
  <c r="B132" i="110"/>
  <c r="AR132" i="110"/>
  <c r="B114" i="110"/>
  <c r="AR114" i="110"/>
  <c r="B117" i="110"/>
  <c r="AR117" i="110"/>
  <c r="B133" i="110"/>
  <c r="AR133" i="110"/>
  <c r="B130" i="110"/>
  <c r="AR130" i="110"/>
  <c r="B116" i="110"/>
  <c r="AR116" i="110"/>
  <c r="U211" i="110"/>
  <c r="Z211" i="110"/>
  <c r="O211" i="110"/>
  <c r="Q211" i="110"/>
  <c r="AB211" i="110"/>
  <c r="AB226" i="110"/>
  <c r="Q226" i="110"/>
  <c r="O226" i="110"/>
  <c r="Z226" i="110"/>
  <c r="Z241" i="110"/>
  <c r="O241" i="110"/>
  <c r="AB241" i="110"/>
  <c r="Q241" i="110"/>
  <c r="AB260" i="110"/>
  <c r="Q260" i="110"/>
  <c r="O260" i="110"/>
  <c r="Z260" i="110"/>
  <c r="AB256" i="110"/>
  <c r="Q256" i="110"/>
  <c r="Z256" i="110"/>
  <c r="O256" i="110"/>
  <c r="T275" i="110"/>
  <c r="Z275" i="110"/>
  <c r="O275" i="110"/>
  <c r="AB275" i="110"/>
  <c r="Q275" i="110"/>
  <c r="B148" i="110"/>
  <c r="AR148" i="110"/>
  <c r="B65" i="110"/>
  <c r="AR65" i="110"/>
  <c r="B63" i="110"/>
  <c r="AR63" i="110"/>
  <c r="B62" i="110"/>
  <c r="AR62" i="110"/>
  <c r="B61" i="110"/>
  <c r="AR61" i="110"/>
  <c r="B64" i="110"/>
  <c r="AR64" i="110"/>
  <c r="B32" i="110"/>
  <c r="AR32" i="110"/>
  <c r="B28" i="110"/>
  <c r="AR28" i="110"/>
  <c r="B24" i="110"/>
  <c r="AR24" i="110"/>
  <c r="B20" i="110"/>
  <c r="AR20" i="110"/>
  <c r="B31" i="110"/>
  <c r="AR31" i="110"/>
  <c r="B27" i="110"/>
  <c r="AR27" i="110"/>
  <c r="B23" i="110"/>
  <c r="AR23" i="110"/>
  <c r="B19" i="110"/>
  <c r="AR19" i="110"/>
  <c r="B30" i="110"/>
  <c r="AR30" i="110"/>
  <c r="B26" i="110"/>
  <c r="AR26" i="110"/>
  <c r="B22" i="110"/>
  <c r="AR22" i="110"/>
  <c r="B33" i="110"/>
  <c r="AR33" i="110"/>
  <c r="B29" i="110"/>
  <c r="AR29" i="110"/>
  <c r="B25" i="110"/>
  <c r="AR25" i="110"/>
  <c r="B21" i="110"/>
  <c r="AR21" i="110"/>
  <c r="DW2" i="110"/>
  <c r="DY2" i="110"/>
  <c r="EA2" i="110"/>
  <c r="AD230" i="110"/>
  <c r="AX30" i="176"/>
  <c r="AE284" i="110" s="1"/>
  <c r="AH30" i="176"/>
  <c r="AW30" i="176"/>
  <c r="BK30" i="176"/>
  <c r="AG5" i="110"/>
  <c r="L195" i="110"/>
  <c r="M195" i="110"/>
  <c r="M193" i="110"/>
  <c r="L193" i="110"/>
  <c r="M196" i="110"/>
  <c r="L196" i="110"/>
  <c r="J194" i="110"/>
  <c r="M194" i="110"/>
  <c r="L194" i="110"/>
  <c r="M192" i="110"/>
  <c r="L192" i="110"/>
  <c r="BC26" i="161"/>
  <c r="BC28" i="161"/>
  <c r="C47" i="110"/>
  <c r="AS47" i="110" s="1"/>
  <c r="C48" i="110"/>
  <c r="AS48" i="110" s="1"/>
  <c r="C45" i="110"/>
  <c r="AS45" i="110" s="1"/>
  <c r="C49" i="110"/>
  <c r="AS49" i="110" s="1"/>
  <c r="C46" i="110"/>
  <c r="AS46" i="110" s="1"/>
  <c r="AZ36" i="160"/>
  <c r="E60" i="110" s="1"/>
  <c r="BF28" i="160"/>
  <c r="BF34" i="160"/>
  <c r="AT26" i="160"/>
  <c r="J55" i="110" s="1"/>
  <c r="BF26" i="160"/>
  <c r="AZ18" i="182"/>
  <c r="E135" i="110" s="1"/>
  <c r="BF22" i="182"/>
  <c r="AU26" i="182"/>
  <c r="AP139" i="110" s="1"/>
  <c r="BF26" i="182"/>
  <c r="AT30" i="182"/>
  <c r="J141" i="110" s="1"/>
  <c r="BF30" i="182"/>
  <c r="BF34" i="182"/>
  <c r="AZ32" i="160"/>
  <c r="E58" i="110" s="1"/>
  <c r="BF32" i="160"/>
  <c r="AZ24" i="160"/>
  <c r="E54" i="110" s="1"/>
  <c r="BF24" i="160"/>
  <c r="BF30" i="160"/>
  <c r="BF22" i="160"/>
  <c r="AW20" i="182"/>
  <c r="AT24" i="182"/>
  <c r="J138" i="110" s="1"/>
  <c r="BF24" i="182"/>
  <c r="BF28" i="182"/>
  <c r="AW32" i="182"/>
  <c r="P142" i="110" s="1"/>
  <c r="BF32" i="182"/>
  <c r="AW36" i="182"/>
  <c r="P144" i="110" s="1"/>
  <c r="BF36" i="182"/>
  <c r="AU26" i="163"/>
  <c r="AP123" i="110" s="1"/>
  <c r="BF26" i="163"/>
  <c r="AZ32" i="163"/>
  <c r="E126" i="110" s="1"/>
  <c r="BF32" i="163"/>
  <c r="BF24" i="163"/>
  <c r="AT34" i="163"/>
  <c r="J127" i="110" s="1"/>
  <c r="BF34" i="163"/>
  <c r="AU30" i="163"/>
  <c r="AP125" i="110" s="1"/>
  <c r="BF30" i="163"/>
  <c r="AZ36" i="163"/>
  <c r="E128" i="110" s="1"/>
  <c r="BF36" i="163"/>
  <c r="AT28" i="163"/>
  <c r="J124" i="110" s="1"/>
  <c r="BF28" i="163"/>
  <c r="BF20" i="163"/>
  <c r="BF30" i="162"/>
  <c r="BF22" i="162"/>
  <c r="AW18" i="162"/>
  <c r="AU36" i="162"/>
  <c r="AP112" i="110" s="1"/>
  <c r="BF36" i="162"/>
  <c r="AW28" i="162"/>
  <c r="P108" i="110" s="1"/>
  <c r="BF28" i="162"/>
  <c r="BF20" i="162"/>
  <c r="AZ34" i="162"/>
  <c r="E111" i="110" s="1"/>
  <c r="BF34" i="162"/>
  <c r="BF26" i="162"/>
  <c r="AW32" i="162"/>
  <c r="P110" i="110" s="1"/>
  <c r="BF32" i="162"/>
  <c r="BK70" i="167"/>
  <c r="BK62" i="167"/>
  <c r="BK54" i="167"/>
  <c r="BK46" i="167"/>
  <c r="BK38" i="167"/>
  <c r="BK30" i="167"/>
  <c r="BK22" i="167"/>
  <c r="BK76" i="167"/>
  <c r="BK68" i="167"/>
  <c r="BK60" i="167"/>
  <c r="BK52" i="167"/>
  <c r="BK44" i="167"/>
  <c r="BK36" i="167"/>
  <c r="BK28" i="167"/>
  <c r="BK20" i="167"/>
  <c r="BK74" i="167"/>
  <c r="BK66" i="167"/>
  <c r="BK58" i="167"/>
  <c r="BK50" i="167"/>
  <c r="BK42" i="167"/>
  <c r="BK34" i="167"/>
  <c r="BK26" i="167"/>
  <c r="BK72" i="167"/>
  <c r="BK64" i="167"/>
  <c r="BK56" i="167"/>
  <c r="BK48" i="167"/>
  <c r="BK40" i="167"/>
  <c r="BK32" i="167"/>
  <c r="BK24" i="167"/>
  <c r="AU18" i="160"/>
  <c r="AP51" i="110" s="1"/>
  <c r="BD62" i="167"/>
  <c r="BG62" i="167"/>
  <c r="BD54" i="167"/>
  <c r="BG54" i="167"/>
  <c r="BD38" i="167"/>
  <c r="BG38" i="167"/>
  <c r="BD22" i="167"/>
  <c r="BG22" i="167"/>
  <c r="AH32" i="167"/>
  <c r="E173" i="110"/>
  <c r="E169" i="110"/>
  <c r="E161" i="110"/>
  <c r="E153" i="110"/>
  <c r="BD72" i="167"/>
  <c r="BG72" i="167"/>
  <c r="BD64" i="167"/>
  <c r="BG64" i="167"/>
  <c r="BD56" i="167"/>
  <c r="BG56" i="167"/>
  <c r="BD48" i="167"/>
  <c r="BG48" i="167"/>
  <c r="BD40" i="167"/>
  <c r="BG40" i="167"/>
  <c r="BD32" i="167"/>
  <c r="BG32" i="167"/>
  <c r="BD24" i="167"/>
  <c r="BG24" i="167"/>
  <c r="BD70" i="167"/>
  <c r="BG70" i="167"/>
  <c r="BD46" i="167"/>
  <c r="BG46" i="167"/>
  <c r="BD30" i="167"/>
  <c r="BG30" i="167"/>
  <c r="BD74" i="167"/>
  <c r="BG74" i="167"/>
  <c r="BD66" i="167"/>
  <c r="BG66" i="167"/>
  <c r="BD58" i="167"/>
  <c r="BG58" i="167"/>
  <c r="BD50" i="167"/>
  <c r="BG50" i="167"/>
  <c r="BD42" i="167"/>
  <c r="BG42" i="167"/>
  <c r="BD34" i="167"/>
  <c r="BG34" i="167"/>
  <c r="BD26" i="167"/>
  <c r="BG26" i="167"/>
  <c r="BD76" i="167"/>
  <c r="BG76" i="167"/>
  <c r="BD68" i="167"/>
  <c r="BG68" i="167"/>
  <c r="BD60" i="167"/>
  <c r="BG60" i="167"/>
  <c r="BD52" i="167"/>
  <c r="BG52" i="167"/>
  <c r="BD44" i="167"/>
  <c r="BG44" i="167"/>
  <c r="BD36" i="167"/>
  <c r="BG36" i="167"/>
  <c r="BD28" i="167"/>
  <c r="BG28" i="167"/>
  <c r="BD20" i="167"/>
  <c r="BG20" i="167"/>
  <c r="BC18" i="175"/>
  <c r="DX2" i="110"/>
  <c r="AW26" i="158"/>
  <c r="P8" i="110" s="1"/>
  <c r="AU26" i="158"/>
  <c r="AP8" i="110" s="1"/>
  <c r="AZ26" i="158"/>
  <c r="E8" i="110" s="1"/>
  <c r="AT26" i="158"/>
  <c r="J8" i="110" s="1"/>
  <c r="BB26" i="158"/>
  <c r="Q8" i="110" s="1"/>
  <c r="AE6" i="110"/>
  <c r="AD6" i="110"/>
  <c r="AZ22" i="158"/>
  <c r="E6" i="110" s="1"/>
  <c r="AU22" i="158"/>
  <c r="AP6" i="110" s="1"/>
  <c r="AU20" i="158"/>
  <c r="AP5" i="110" s="1"/>
  <c r="AZ20" i="158"/>
  <c r="E5" i="110" s="1"/>
  <c r="BB30" i="158"/>
  <c r="Q10" i="110" s="1"/>
  <c r="AW30" i="158"/>
  <c r="P10" i="110" s="1"/>
  <c r="AU30" i="158"/>
  <c r="AP10" i="110" s="1"/>
  <c r="AT30" i="158"/>
  <c r="AZ30" i="158"/>
  <c r="E10" i="110" s="1"/>
  <c r="AT10" i="110"/>
  <c r="AE14" i="110"/>
  <c r="AD9" i="110"/>
  <c r="AE9" i="110"/>
  <c r="AE7" i="110"/>
  <c r="R7" i="110"/>
  <c r="E37" i="110"/>
  <c r="BB22" i="159"/>
  <c r="E36" i="110"/>
  <c r="BB20" i="159"/>
  <c r="E35" i="110"/>
  <c r="BB18" i="159"/>
  <c r="N37" i="110"/>
  <c r="AT22" i="159"/>
  <c r="J37" i="110" s="1"/>
  <c r="AU24" i="168"/>
  <c r="AU28" i="168"/>
  <c r="AU32" i="168"/>
  <c r="AU36" i="168"/>
  <c r="AU20" i="168"/>
  <c r="AU22" i="168"/>
  <c r="AU34" i="168"/>
  <c r="AU30" i="168"/>
  <c r="AU26" i="168"/>
  <c r="E184" i="110"/>
  <c r="AN184" i="110"/>
  <c r="E188" i="110"/>
  <c r="AH48" i="167"/>
  <c r="AF154" i="110"/>
  <c r="AH24" i="167"/>
  <c r="AF174" i="110"/>
  <c r="E191" i="110"/>
  <c r="AW32" i="163"/>
  <c r="P126" i="110" s="1"/>
  <c r="AZ24" i="163"/>
  <c r="E122" i="110" s="1"/>
  <c r="AE182" i="110"/>
  <c r="AT32" i="163"/>
  <c r="J126" i="110" s="1"/>
  <c r="AW24" i="162"/>
  <c r="AU24" i="163"/>
  <c r="AP122" i="110" s="1"/>
  <c r="AW36" i="162"/>
  <c r="P112" i="110" s="1"/>
  <c r="AW34" i="163"/>
  <c r="P127" i="110" s="1"/>
  <c r="AU34" i="163"/>
  <c r="AP127" i="110" s="1"/>
  <c r="AZ34" i="163"/>
  <c r="E127" i="110" s="1"/>
  <c r="AW24" i="163"/>
  <c r="P122" i="110" s="1"/>
  <c r="AU32" i="163"/>
  <c r="AP126" i="110" s="1"/>
  <c r="AT26" i="163"/>
  <c r="J123" i="110" s="1"/>
  <c r="AT24" i="163"/>
  <c r="J122" i="110" s="1"/>
  <c r="AW26" i="163"/>
  <c r="P123" i="110" s="1"/>
  <c r="AZ26" i="163"/>
  <c r="E123" i="110" s="1"/>
  <c r="AZ36" i="182"/>
  <c r="E144" i="110" s="1"/>
  <c r="BA18" i="175"/>
  <c r="BK18" i="175" s="1"/>
  <c r="E183" i="110"/>
  <c r="E187" i="110"/>
  <c r="R41" i="110"/>
  <c r="DZ2" i="110"/>
  <c r="CY2" i="110"/>
  <c r="AB41" i="81"/>
  <c r="Z27" i="81"/>
  <c r="W26" i="155"/>
  <c r="DG2" i="110"/>
  <c r="R40" i="110"/>
  <c r="W26" i="156"/>
  <c r="U29" i="81"/>
  <c r="R44" i="110"/>
  <c r="U28" i="81"/>
  <c r="W27" i="155"/>
  <c r="DI2" i="110"/>
  <c r="O26" i="14"/>
  <c r="DH2" i="110"/>
  <c r="U30" i="81"/>
  <c r="O25" i="14"/>
  <c r="DF2" i="110"/>
  <c r="DE2" i="110"/>
  <c r="P26" i="154"/>
  <c r="W25" i="156"/>
  <c r="P28" i="154"/>
  <c r="AF162" i="110"/>
  <c r="AK38" i="167"/>
  <c r="BF38" i="167" s="1"/>
  <c r="BH22" i="167"/>
  <c r="C153" i="110" s="1"/>
  <c r="B153" i="110" s="1"/>
  <c r="BB62" i="167"/>
  <c r="AH54" i="167"/>
  <c r="AF153" i="110"/>
  <c r="AK70" i="167"/>
  <c r="BH62" i="167"/>
  <c r="C173" i="110" s="1"/>
  <c r="B173" i="110" s="1"/>
  <c r="AH30" i="167"/>
  <c r="AF173" i="110"/>
  <c r="AF161" i="110"/>
  <c r="AK62" i="167"/>
  <c r="AK30" i="167"/>
  <c r="BB54" i="167"/>
  <c r="BH54" i="167"/>
  <c r="C169" i="110" s="1"/>
  <c r="B169" i="110" s="1"/>
  <c r="BH70" i="167"/>
  <c r="C177" i="110" s="1"/>
  <c r="B177" i="110" s="1"/>
  <c r="AH70" i="167"/>
  <c r="AH46" i="167"/>
  <c r="AF169" i="110"/>
  <c r="AF157" i="110"/>
  <c r="AK54" i="167"/>
  <c r="AK22" i="167"/>
  <c r="BB22" i="167"/>
  <c r="BA62" i="167"/>
  <c r="BB70" i="167"/>
  <c r="AH62" i="167"/>
  <c r="AH38" i="167"/>
  <c r="AH22" i="167"/>
  <c r="AF177" i="110"/>
  <c r="AF165" i="110"/>
  <c r="AK46" i="167"/>
  <c r="BE46" i="167" s="1"/>
  <c r="BA22" i="167"/>
  <c r="AE153" i="110"/>
  <c r="BA54" i="167"/>
  <c r="BA70" i="167"/>
  <c r="E151" i="110"/>
  <c r="E249" i="110"/>
  <c r="BG24" i="13"/>
  <c r="E253" i="110"/>
  <c r="BG32" i="13"/>
  <c r="E233" i="110"/>
  <c r="BG24" i="171"/>
  <c r="E202" i="110"/>
  <c r="BG26" i="169"/>
  <c r="AT68" i="167"/>
  <c r="AN176" i="110" s="1"/>
  <c r="AT52" i="167"/>
  <c r="AN168" i="110" s="1"/>
  <c r="BA20" i="167"/>
  <c r="E189" i="110"/>
  <c r="E185" i="110"/>
  <c r="E284" i="110"/>
  <c r="E280" i="110"/>
  <c r="BG22" i="176"/>
  <c r="E264" i="110"/>
  <c r="BG22" i="175"/>
  <c r="E268" i="110"/>
  <c r="BG30" i="175"/>
  <c r="E248" i="110"/>
  <c r="BG22" i="13"/>
  <c r="E252" i="110"/>
  <c r="BG30" i="13"/>
  <c r="E232" i="110"/>
  <c r="BG22" i="171"/>
  <c r="E236" i="110"/>
  <c r="BG30" i="171"/>
  <c r="E215" i="110"/>
  <c r="BG20" i="170"/>
  <c r="E219" i="110"/>
  <c r="BG28" i="170"/>
  <c r="E223" i="110"/>
  <c r="BG36" i="170"/>
  <c r="E201" i="110"/>
  <c r="BG24" i="169"/>
  <c r="E205" i="110"/>
  <c r="BG32" i="169"/>
  <c r="E182" i="110"/>
  <c r="BG18" i="168"/>
  <c r="AT74" i="167"/>
  <c r="AN179" i="110" s="1"/>
  <c r="AT66" i="167"/>
  <c r="AN175" i="110" s="1"/>
  <c r="AT58" i="167"/>
  <c r="AN171" i="110" s="1"/>
  <c r="AT50" i="167"/>
  <c r="AN167" i="110" s="1"/>
  <c r="AT42" i="167"/>
  <c r="AN163" i="110" s="1"/>
  <c r="AT34" i="167"/>
  <c r="AN159" i="110" s="1"/>
  <c r="E190" i="110"/>
  <c r="E186" i="110"/>
  <c r="E265" i="110"/>
  <c r="BG24" i="175"/>
  <c r="E237" i="110"/>
  <c r="BG32" i="171"/>
  <c r="E216" i="110"/>
  <c r="BG22" i="170"/>
  <c r="AT60" i="167"/>
  <c r="AN172" i="110" s="1"/>
  <c r="AT44" i="167"/>
  <c r="AN164" i="110" s="1"/>
  <c r="E281" i="110"/>
  <c r="BG24" i="176"/>
  <c r="E263" i="110"/>
  <c r="BG20" i="175"/>
  <c r="E267" i="110"/>
  <c r="BG28" i="175"/>
  <c r="E271" i="110"/>
  <c r="BG36" i="175"/>
  <c r="E247" i="110"/>
  <c r="BG20" i="13"/>
  <c r="E251" i="110"/>
  <c r="BG28" i="13"/>
  <c r="E255" i="110"/>
  <c r="BG36" i="13"/>
  <c r="E231" i="110"/>
  <c r="BG20" i="171"/>
  <c r="E235" i="110"/>
  <c r="BG28" i="171"/>
  <c r="E239" i="110"/>
  <c r="BG36" i="171"/>
  <c r="E214" i="110"/>
  <c r="E218" i="110"/>
  <c r="BG26" i="170"/>
  <c r="E222" i="110"/>
  <c r="BG34" i="170"/>
  <c r="E200" i="110"/>
  <c r="BG22" i="169"/>
  <c r="E204" i="110"/>
  <c r="BG30" i="169"/>
  <c r="AT72" i="167"/>
  <c r="AN178" i="110" s="1"/>
  <c r="AT64" i="167"/>
  <c r="AN174" i="110" s="1"/>
  <c r="AT56" i="167"/>
  <c r="AN170" i="110" s="1"/>
  <c r="AT48" i="167"/>
  <c r="AN166" i="110" s="1"/>
  <c r="AT40" i="167"/>
  <c r="AN162" i="110" s="1"/>
  <c r="AT32" i="167"/>
  <c r="AN158" i="110" s="1"/>
  <c r="AK24" i="167"/>
  <c r="E279" i="110"/>
  <c r="BG20" i="176"/>
  <c r="E269" i="110"/>
  <c r="BG32" i="175"/>
  <c r="E220" i="110"/>
  <c r="BG30" i="170"/>
  <c r="E198" i="110"/>
  <c r="BG18" i="169"/>
  <c r="E206" i="110"/>
  <c r="BG34" i="169"/>
  <c r="AT76" i="167"/>
  <c r="AN180" i="110" s="1"/>
  <c r="AT36" i="167"/>
  <c r="AN160" i="110" s="1"/>
  <c r="BG18" i="175"/>
  <c r="E266" i="110"/>
  <c r="BG26" i="175"/>
  <c r="E270" i="110"/>
  <c r="BG34" i="175"/>
  <c r="E246" i="110"/>
  <c r="BG18" i="13"/>
  <c r="E250" i="110"/>
  <c r="BG26" i="13"/>
  <c r="E254" i="110"/>
  <c r="BG34" i="13"/>
  <c r="E230" i="110"/>
  <c r="BG18" i="171"/>
  <c r="E234" i="110"/>
  <c r="BG26" i="171"/>
  <c r="E238" i="110"/>
  <c r="BG34" i="171"/>
  <c r="E217" i="110"/>
  <c r="BG24" i="170"/>
  <c r="E221" i="110"/>
  <c r="BG32" i="170"/>
  <c r="E199" i="110"/>
  <c r="BG20" i="169"/>
  <c r="E203" i="110"/>
  <c r="BG28" i="169"/>
  <c r="E207" i="110"/>
  <c r="BG36" i="169"/>
  <c r="AT70" i="167"/>
  <c r="AN177" i="110" s="1"/>
  <c r="AT62" i="167"/>
  <c r="AN173" i="110" s="1"/>
  <c r="AT54" i="167"/>
  <c r="AN169" i="110" s="1"/>
  <c r="AT46" i="167"/>
  <c r="AN165" i="110" s="1"/>
  <c r="AT38" i="167"/>
  <c r="AN161" i="110" s="1"/>
  <c r="AT30" i="167"/>
  <c r="AN157" i="110" s="1"/>
  <c r="AT22" i="167"/>
  <c r="AN153" i="110" s="1"/>
  <c r="E278" i="110"/>
  <c r="BG18" i="176"/>
  <c r="AB44" i="156"/>
  <c r="U36" i="81"/>
  <c r="U41" i="81"/>
  <c r="AK72" i="167"/>
  <c r="AK48" i="167"/>
  <c r="BH72" i="167"/>
  <c r="C178" i="110" s="1"/>
  <c r="B178" i="110" s="1"/>
  <c r="AK32" i="167"/>
  <c r="AH34" i="167"/>
  <c r="BH56" i="167"/>
  <c r="C170" i="110" s="1"/>
  <c r="B170" i="110" s="1"/>
  <c r="AH64" i="167"/>
  <c r="AF166" i="110"/>
  <c r="AF158" i="110"/>
  <c r="AK64" i="167"/>
  <c r="BA72" i="167"/>
  <c r="BA56" i="167"/>
  <c r="BH64" i="167"/>
  <c r="C174" i="110" s="1"/>
  <c r="B174" i="110" s="1"/>
  <c r="AK66" i="167"/>
  <c r="AH74" i="167"/>
  <c r="AF155" i="110"/>
  <c r="AH72" i="167"/>
  <c r="AH56" i="167"/>
  <c r="AH40" i="167"/>
  <c r="BB18" i="167"/>
  <c r="AF151" i="110"/>
  <c r="AF178" i="110"/>
  <c r="AF170" i="110"/>
  <c r="AF167" i="110"/>
  <c r="AK56" i="167"/>
  <c r="AK40" i="167"/>
  <c r="BB56" i="167"/>
  <c r="BB64" i="167"/>
  <c r="AH42" i="167"/>
  <c r="AK18" i="167"/>
  <c r="AF171" i="110"/>
  <c r="AH18" i="167"/>
  <c r="AH66" i="167"/>
  <c r="BB72" i="167"/>
  <c r="BA64" i="167"/>
  <c r="BA74" i="167"/>
  <c r="BA66" i="167"/>
  <c r="AH50" i="167"/>
  <c r="AF175" i="110"/>
  <c r="AF159" i="110"/>
  <c r="AK50" i="167"/>
  <c r="AK26" i="167"/>
  <c r="BB58" i="167"/>
  <c r="AH58" i="167"/>
  <c r="AH26" i="167"/>
  <c r="AF179" i="110"/>
  <c r="AF163" i="110"/>
  <c r="AK58" i="167"/>
  <c r="AK34" i="167"/>
  <c r="BA68" i="167"/>
  <c r="BH66" i="167"/>
  <c r="C175" i="110" s="1"/>
  <c r="B175" i="110" s="1"/>
  <c r="BA52" i="167"/>
  <c r="AK74" i="167"/>
  <c r="AK42" i="167"/>
  <c r="AE177" i="110"/>
  <c r="BH74" i="167"/>
  <c r="C179" i="110" s="1"/>
  <c r="B179" i="110" s="1"/>
  <c r="BB66" i="167"/>
  <c r="BA58" i="167"/>
  <c r="BB74" i="167"/>
  <c r="BH58" i="167"/>
  <c r="C171" i="110" s="1"/>
  <c r="B171" i="110" s="1"/>
  <c r="AH76" i="167"/>
  <c r="AH68" i="167"/>
  <c r="AH60" i="167"/>
  <c r="AH52" i="167"/>
  <c r="AH44" i="167"/>
  <c r="AH36" i="167"/>
  <c r="AH28" i="167"/>
  <c r="AH20" i="167"/>
  <c r="BH52" i="167"/>
  <c r="C168" i="110" s="1"/>
  <c r="B168" i="110" s="1"/>
  <c r="BH68" i="167"/>
  <c r="C176" i="110" s="1"/>
  <c r="B176" i="110" s="1"/>
  <c r="AF180" i="110"/>
  <c r="AF176" i="110"/>
  <c r="AF172" i="110"/>
  <c r="AF168" i="110"/>
  <c r="AF164" i="110"/>
  <c r="AF160" i="110"/>
  <c r="AF156" i="110"/>
  <c r="AF152" i="110"/>
  <c r="AK76" i="167"/>
  <c r="AK68" i="167"/>
  <c r="AK60" i="167"/>
  <c r="AK52" i="167"/>
  <c r="AK44" i="167"/>
  <c r="AK36" i="167"/>
  <c r="AK28" i="167"/>
  <c r="BB52" i="167"/>
  <c r="BH60" i="167"/>
  <c r="C172" i="110" s="1"/>
  <c r="B172" i="110" s="1"/>
  <c r="BA60" i="167"/>
  <c r="BB68" i="167"/>
  <c r="BH76" i="167"/>
  <c r="C180" i="110" s="1"/>
  <c r="B180" i="110" s="1"/>
  <c r="BA76" i="167"/>
  <c r="AD151" i="110"/>
  <c r="BB60" i="167"/>
  <c r="BB76" i="167"/>
  <c r="AT20" i="162"/>
  <c r="J104" i="110" s="1"/>
  <c r="AW30" i="182"/>
  <c r="P141" i="110" s="1"/>
  <c r="AZ20" i="162"/>
  <c r="E104" i="110" s="1"/>
  <c r="AT36" i="182"/>
  <c r="J144" i="110" s="1"/>
  <c r="AW20" i="162"/>
  <c r="P104" i="110" s="1"/>
  <c r="AT32" i="162"/>
  <c r="J110" i="110" s="1"/>
  <c r="AU24" i="162"/>
  <c r="AP106" i="110" s="1"/>
  <c r="AZ24" i="162"/>
  <c r="E106" i="110" s="1"/>
  <c r="N55" i="110"/>
  <c r="AW20" i="160"/>
  <c r="AU18" i="162"/>
  <c r="AP103" i="110" s="1"/>
  <c r="AT30" i="162"/>
  <c r="J109" i="110" s="1"/>
  <c r="AZ28" i="160"/>
  <c r="E56" i="110" s="1"/>
  <c r="E67" i="110"/>
  <c r="N67" i="110"/>
  <c r="P67" i="110"/>
  <c r="AU18" i="163"/>
  <c r="AP119" i="110" s="1"/>
  <c r="AU36" i="160"/>
  <c r="AP60" i="110" s="1"/>
  <c r="AZ22" i="182"/>
  <c r="E137" i="110" s="1"/>
  <c r="AT26" i="182"/>
  <c r="J139" i="110" s="1"/>
  <c r="AW22" i="182"/>
  <c r="P137" i="110" s="1"/>
  <c r="AW24" i="182"/>
  <c r="P138" i="110" s="1"/>
  <c r="AW18" i="163"/>
  <c r="AT24" i="160"/>
  <c r="J54" i="110" s="1"/>
  <c r="AW18" i="182"/>
  <c r="AW30" i="160"/>
  <c r="P57" i="110" s="1"/>
  <c r="AZ30" i="160"/>
  <c r="E57" i="110" s="1"/>
  <c r="AZ26" i="162"/>
  <c r="E107" i="110" s="1"/>
  <c r="AU22" i="160"/>
  <c r="AP53" i="110" s="1"/>
  <c r="AU26" i="162"/>
  <c r="AP107" i="110" s="1"/>
  <c r="R38" i="110"/>
  <c r="AT26" i="162"/>
  <c r="J107" i="110" s="1"/>
  <c r="AW26" i="162"/>
  <c r="P107" i="110" s="1"/>
  <c r="AW32" i="160"/>
  <c r="P58" i="110" s="1"/>
  <c r="AT22" i="160"/>
  <c r="J53" i="110" s="1"/>
  <c r="AT28" i="160"/>
  <c r="J56" i="110" s="1"/>
  <c r="AZ18" i="162"/>
  <c r="E103" i="110" s="1"/>
  <c r="AZ32" i="162"/>
  <c r="E110" i="110" s="1"/>
  <c r="AZ22" i="160"/>
  <c r="E53" i="110" s="1"/>
  <c r="AZ18" i="163"/>
  <c r="E119" i="110" s="1"/>
  <c r="AZ36" i="162"/>
  <c r="E112" i="110" s="1"/>
  <c r="AU32" i="162"/>
  <c r="AP110" i="110" s="1"/>
  <c r="AT36" i="163"/>
  <c r="J128" i="110" s="1"/>
  <c r="AU30" i="182"/>
  <c r="AP141" i="110" s="1"/>
  <c r="AU22" i="182"/>
  <c r="AP137" i="110" s="1"/>
  <c r="AZ30" i="182"/>
  <c r="E141" i="110" s="1"/>
  <c r="AZ32" i="182"/>
  <c r="E142" i="110" s="1"/>
  <c r="AW26" i="182"/>
  <c r="P139" i="110" s="1"/>
  <c r="AT34" i="162"/>
  <c r="J111" i="110" s="1"/>
  <c r="AT53" i="110"/>
  <c r="AW28" i="160"/>
  <c r="P56" i="110" s="1"/>
  <c r="AT30" i="160"/>
  <c r="J57" i="110" s="1"/>
  <c r="AZ30" i="163"/>
  <c r="E125" i="110" s="1"/>
  <c r="AU28" i="160"/>
  <c r="AP56" i="110" s="1"/>
  <c r="AW30" i="163"/>
  <c r="P125" i="110" s="1"/>
  <c r="AU20" i="182"/>
  <c r="AP136" i="110" s="1"/>
  <c r="R42" i="110"/>
  <c r="AW22" i="163"/>
  <c r="N124" i="110"/>
  <c r="AT28" i="162"/>
  <c r="J108" i="110" s="1"/>
  <c r="AW24" i="160"/>
  <c r="P54" i="110" s="1"/>
  <c r="AW36" i="163"/>
  <c r="P128" i="110" s="1"/>
  <c r="AT32" i="160"/>
  <c r="J58" i="110" s="1"/>
  <c r="AZ28" i="162"/>
  <c r="E108" i="110" s="1"/>
  <c r="AU28" i="162"/>
  <c r="AP108" i="110" s="1"/>
  <c r="AU30" i="162"/>
  <c r="AP109" i="110" s="1"/>
  <c r="AU32" i="160"/>
  <c r="AP58" i="110" s="1"/>
  <c r="AZ34" i="182"/>
  <c r="E143" i="110" s="1"/>
  <c r="AZ24" i="182"/>
  <c r="E138" i="110" s="1"/>
  <c r="AU24" i="182"/>
  <c r="AP138" i="110" s="1"/>
  <c r="AT36" i="162"/>
  <c r="J112" i="110" s="1"/>
  <c r="AZ20" i="163"/>
  <c r="E120" i="110" s="1"/>
  <c r="AU36" i="163"/>
  <c r="AP128" i="110" s="1"/>
  <c r="AU34" i="160"/>
  <c r="AP59" i="110" s="1"/>
  <c r="AW30" i="162"/>
  <c r="P109" i="110" s="1"/>
  <c r="AV200" i="159"/>
  <c r="AW34" i="160"/>
  <c r="P59" i="110" s="1"/>
  <c r="AZ22" i="162"/>
  <c r="E105" i="110" s="1"/>
  <c r="AZ22" i="163"/>
  <c r="E121" i="110" s="1"/>
  <c r="AZ34" i="160"/>
  <c r="E59" i="110" s="1"/>
  <c r="AU22" i="163"/>
  <c r="AP121" i="110" s="1"/>
  <c r="AW28" i="182"/>
  <c r="P140" i="110" s="1"/>
  <c r="AZ28" i="182"/>
  <c r="E140" i="110" s="1"/>
  <c r="AU28" i="182"/>
  <c r="AP140" i="110" s="1"/>
  <c r="R39" i="110"/>
  <c r="R43" i="110"/>
  <c r="AW26" i="160"/>
  <c r="P55" i="110" s="1"/>
  <c r="AT124" i="110"/>
  <c r="AT125" i="110"/>
  <c r="AW22" i="162"/>
  <c r="P105" i="110" s="1"/>
  <c r="AT34" i="160"/>
  <c r="J59" i="110" s="1"/>
  <c r="AT120" i="110"/>
  <c r="AW28" i="163"/>
  <c r="P124" i="110" s="1"/>
  <c r="AU20" i="163"/>
  <c r="AP120" i="110" s="1"/>
  <c r="AU26" i="160"/>
  <c r="AP55" i="110" s="1"/>
  <c r="AW22" i="160"/>
  <c r="P53" i="110" s="1"/>
  <c r="AU34" i="162"/>
  <c r="AP111" i="110" s="1"/>
  <c r="AW34" i="162"/>
  <c r="P111" i="110" s="1"/>
  <c r="AT28" i="182"/>
  <c r="J140" i="110" s="1"/>
  <c r="AT32" i="182"/>
  <c r="J142" i="110" s="1"/>
  <c r="AT22" i="162"/>
  <c r="J105" i="110" s="1"/>
  <c r="AT30" i="163"/>
  <c r="J125" i="110" s="1"/>
  <c r="AZ30" i="162"/>
  <c r="E109" i="110" s="1"/>
  <c r="AW20" i="163"/>
  <c r="AZ26" i="160"/>
  <c r="E55" i="110" s="1"/>
  <c r="AU30" i="160"/>
  <c r="AP57" i="110" s="1"/>
  <c r="AU28" i="163"/>
  <c r="AP124" i="110" s="1"/>
  <c r="AU22" i="162"/>
  <c r="AP105" i="110" s="1"/>
  <c r="AW36" i="160"/>
  <c r="P60" i="110" s="1"/>
  <c r="AU20" i="160"/>
  <c r="AP52" i="110" s="1"/>
  <c r="AZ20" i="160"/>
  <c r="E52" i="110" s="1"/>
  <c r="AZ20" i="182"/>
  <c r="E136" i="110" s="1"/>
  <c r="AU32" i="182"/>
  <c r="AP142" i="110" s="1"/>
  <c r="AZ26" i="182"/>
  <c r="E139" i="110" s="1"/>
  <c r="AU34" i="182"/>
  <c r="AP143" i="110" s="1"/>
  <c r="AU18" i="182"/>
  <c r="AP135" i="110" s="1"/>
  <c r="AT34" i="182"/>
  <c r="J143" i="110" s="1"/>
  <c r="AT22" i="182"/>
  <c r="J137" i="110" s="1"/>
  <c r="AW34" i="182"/>
  <c r="P143" i="110" s="1"/>
  <c r="AT137" i="110"/>
  <c r="M200" i="172"/>
  <c r="M200" i="176"/>
  <c r="P35" i="110"/>
  <c r="N35" i="110"/>
  <c r="M200" i="13"/>
  <c r="M200" i="158"/>
  <c r="M343" i="161"/>
  <c r="M200" i="180"/>
  <c r="M200" i="159"/>
  <c r="M200" i="144"/>
  <c r="M200" i="170"/>
  <c r="M200" i="156"/>
  <c r="M200" i="166"/>
  <c r="M200" i="163"/>
  <c r="M200" i="169"/>
  <c r="M200" i="175"/>
  <c r="M200" i="152"/>
  <c r="M200" i="153"/>
  <c r="M200" i="162"/>
  <c r="M200" i="168"/>
  <c r="M200" i="81"/>
  <c r="M200" i="148"/>
  <c r="Z41" i="81"/>
  <c r="F35" i="154"/>
  <c r="U40" i="81"/>
  <c r="F36" i="154"/>
  <c r="AU18" i="175"/>
  <c r="AR200" i="148"/>
  <c r="AR200" i="182"/>
  <c r="AR200" i="180"/>
  <c r="AR200" i="156"/>
  <c r="AR200" i="155"/>
  <c r="AR200" i="154"/>
  <c r="AR200" i="81"/>
  <c r="AR200" i="176"/>
  <c r="AR343" i="161"/>
  <c r="AR200" i="13"/>
  <c r="AR200" i="170"/>
  <c r="AR200" i="168"/>
  <c r="AR200" i="160"/>
  <c r="AR200" i="175"/>
  <c r="AR200" i="162"/>
  <c r="AR200" i="171"/>
  <c r="AR200" i="169"/>
  <c r="AR200" i="167"/>
  <c r="AR200" i="163"/>
  <c r="AR200" i="144"/>
  <c r="AR200" i="147"/>
  <c r="AR200" i="158"/>
  <c r="AR200" i="172"/>
  <c r="AR201" i="182"/>
  <c r="AR201" i="148"/>
  <c r="AR201" i="81"/>
  <c r="AR201" i="155"/>
  <c r="AR201" i="180"/>
  <c r="AR201" i="156"/>
  <c r="AR201" i="154"/>
  <c r="AR201" i="175"/>
  <c r="AR201" i="162"/>
  <c r="AR201" i="171"/>
  <c r="AR201" i="169"/>
  <c r="AR201" i="167"/>
  <c r="AR201" i="163"/>
  <c r="AR201" i="176"/>
  <c r="AR344" i="161"/>
  <c r="AR201" i="13"/>
  <c r="AR201" i="170"/>
  <c r="AR201" i="168"/>
  <c r="AR201" i="160"/>
  <c r="AB46" i="156"/>
  <c r="AR201" i="159"/>
  <c r="M200" i="151"/>
  <c r="M200" i="147"/>
  <c r="M200" i="160"/>
  <c r="M200" i="167"/>
  <c r="M200" i="171"/>
  <c r="M200" i="154"/>
  <c r="M200" i="155"/>
  <c r="AR200" i="152"/>
  <c r="AR201" i="144"/>
  <c r="AR200" i="166"/>
  <c r="AR201" i="147"/>
  <c r="AR200" i="151"/>
  <c r="AR201" i="158"/>
  <c r="AR200" i="153"/>
  <c r="AR201" i="172"/>
  <c r="AU24" i="160"/>
  <c r="AP54" i="110" s="1"/>
  <c r="AF24" i="176"/>
  <c r="AH24" i="176" s="1"/>
  <c r="AU20" i="162"/>
  <c r="AP104" i="110" s="1"/>
  <c r="AF20" i="176"/>
  <c r="BK20" i="176" s="1"/>
  <c r="AT30" i="175"/>
  <c r="BH30" i="175"/>
  <c r="BH26" i="171"/>
  <c r="C234" i="110" s="1"/>
  <c r="B234" i="110" s="1"/>
  <c r="AT20" i="169"/>
  <c r="AN199" i="110" s="1"/>
  <c r="AT18" i="175"/>
  <c r="AF28" i="13"/>
  <c r="BH28" i="13" s="1"/>
  <c r="C251" i="110" s="1"/>
  <c r="B251" i="110" s="1"/>
  <c r="AF24" i="171"/>
  <c r="AT24" i="171" s="1"/>
  <c r="AN233" i="110" s="1"/>
  <c r="AF24" i="170"/>
  <c r="AT24" i="170" s="1"/>
  <c r="AN217" i="110" s="1"/>
  <c r="BH28" i="170"/>
  <c r="C219" i="110" s="1"/>
  <c r="B219" i="110" s="1"/>
  <c r="AF32" i="169"/>
  <c r="AW32" i="169" s="1"/>
  <c r="AN189" i="110"/>
  <c r="AF26" i="13"/>
  <c r="BK26" i="13" s="1"/>
  <c r="AT22" i="171"/>
  <c r="AN232" i="110" s="1"/>
  <c r="AF32" i="171"/>
  <c r="AN32" i="171" s="1"/>
  <c r="AF32" i="170"/>
  <c r="AH32" i="170" s="1"/>
  <c r="AF28" i="169"/>
  <c r="AH28" i="169" s="1"/>
  <c r="AE185" i="110"/>
  <c r="AN190" i="110"/>
  <c r="C190" i="110"/>
  <c r="B190" i="110" s="1"/>
  <c r="AE190" i="110"/>
  <c r="O24" i="14"/>
  <c r="P27" i="154"/>
  <c r="U27" i="81"/>
  <c r="W25" i="155"/>
  <c r="U27" i="154"/>
  <c r="AN191" i="110"/>
  <c r="C191" i="110"/>
  <c r="B191" i="110" s="1"/>
  <c r="AE191" i="110"/>
  <c r="W27" i="156"/>
  <c r="G42" i="81"/>
  <c r="N50" i="108"/>
  <c r="N141" i="110"/>
  <c r="AT26" i="167"/>
  <c r="AN155" i="110" s="1"/>
  <c r="BH50" i="167"/>
  <c r="C167" i="110" s="1"/>
  <c r="B167" i="110" s="1"/>
  <c r="BA48" i="167"/>
  <c r="BB44" i="167"/>
  <c r="BH42" i="167"/>
  <c r="C163" i="110" s="1"/>
  <c r="B163" i="110" s="1"/>
  <c r="BA40" i="167"/>
  <c r="BB36" i="167"/>
  <c r="BH34" i="167"/>
  <c r="C159" i="110" s="1"/>
  <c r="B159" i="110" s="1"/>
  <c r="BA32" i="167"/>
  <c r="BB28" i="167"/>
  <c r="BA26" i="167"/>
  <c r="N7" i="110"/>
  <c r="E7" i="110"/>
  <c r="P7" i="110"/>
  <c r="O7" i="110"/>
  <c r="J7" i="110"/>
  <c r="AD7" i="110"/>
  <c r="Q7" i="110"/>
  <c r="AP7" i="110"/>
  <c r="AT24" i="167"/>
  <c r="AN154" i="110" s="1"/>
  <c r="BB24" i="167"/>
  <c r="BB50" i="167"/>
  <c r="BH48" i="167"/>
  <c r="C166" i="110" s="1"/>
  <c r="B166" i="110" s="1"/>
  <c r="BA46" i="167"/>
  <c r="BB42" i="167"/>
  <c r="BH40" i="167"/>
  <c r="C162" i="110" s="1"/>
  <c r="B162" i="110" s="1"/>
  <c r="BA38" i="167"/>
  <c r="BB34" i="167"/>
  <c r="BH32" i="167"/>
  <c r="C158" i="110" s="1"/>
  <c r="B158" i="110" s="1"/>
  <c r="BA30" i="167"/>
  <c r="BH24" i="167"/>
  <c r="C154" i="110" s="1"/>
  <c r="B154" i="110" s="1"/>
  <c r="AP14" i="110"/>
  <c r="C14" i="110"/>
  <c r="AS14" i="110" s="1"/>
  <c r="P14" i="110"/>
  <c r="O14" i="110"/>
  <c r="J14" i="110"/>
  <c r="AD14" i="110"/>
  <c r="Q14" i="110"/>
  <c r="BB48" i="167"/>
  <c r="BH46" i="167"/>
  <c r="C165" i="110" s="1"/>
  <c r="B165" i="110" s="1"/>
  <c r="BA44" i="167"/>
  <c r="BB40" i="167"/>
  <c r="BH38" i="167"/>
  <c r="C161" i="110" s="1"/>
  <c r="B161" i="110" s="1"/>
  <c r="BA36" i="167"/>
  <c r="BB32" i="167"/>
  <c r="BH30" i="167"/>
  <c r="C157" i="110" s="1"/>
  <c r="B157" i="110" s="1"/>
  <c r="BH26" i="167"/>
  <c r="C155" i="110" s="1"/>
  <c r="B155" i="110" s="1"/>
  <c r="BA24" i="167"/>
  <c r="E14" i="110"/>
  <c r="J9" i="110"/>
  <c r="Q9" i="110"/>
  <c r="AP9" i="110"/>
  <c r="C9" i="110"/>
  <c r="AS9" i="110" s="1"/>
  <c r="N9" i="110"/>
  <c r="E9" i="110"/>
  <c r="P9" i="110"/>
  <c r="O9" i="110"/>
  <c r="AT28" i="167"/>
  <c r="AN156" i="110" s="1"/>
  <c r="BA28" i="167"/>
  <c r="AT20" i="167"/>
  <c r="AN152" i="110" s="1"/>
  <c r="BB20" i="167"/>
  <c r="BA50" i="167"/>
  <c r="BB46" i="167"/>
  <c r="BH44" i="167"/>
  <c r="C164" i="110" s="1"/>
  <c r="B164" i="110" s="1"/>
  <c r="BA42" i="167"/>
  <c r="BB38" i="167"/>
  <c r="BH36" i="167"/>
  <c r="C160" i="110" s="1"/>
  <c r="B160" i="110" s="1"/>
  <c r="BA34" i="167"/>
  <c r="BB30" i="167"/>
  <c r="BH28" i="167"/>
  <c r="C156" i="110" s="1"/>
  <c r="B156" i="110" s="1"/>
  <c r="BB26" i="167"/>
  <c r="BH20" i="167"/>
  <c r="C152" i="110" s="1"/>
  <c r="B152" i="110" s="1"/>
  <c r="N14" i="110"/>
  <c r="AW200" i="159"/>
  <c r="AZ18" i="160"/>
  <c r="E51" i="110" s="1"/>
  <c r="AW18" i="160"/>
  <c r="AE230" i="110"/>
  <c r="P4" i="110"/>
  <c r="AD4" i="110"/>
  <c r="E4" i="110"/>
  <c r="L228" i="110"/>
  <c r="F37" i="154"/>
  <c r="U195" i="110"/>
  <c r="V225" i="110"/>
  <c r="X212" i="110"/>
  <c r="I242" i="110"/>
  <c r="R212" i="110"/>
  <c r="U259" i="110"/>
  <c r="K37" i="154"/>
  <c r="H212" i="110"/>
  <c r="V208" i="110"/>
  <c r="K259" i="110"/>
  <c r="T276" i="110"/>
  <c r="H225" i="110"/>
  <c r="W259" i="110"/>
  <c r="V242" i="110"/>
  <c r="J195" i="110"/>
  <c r="X208" i="110"/>
  <c r="I212" i="110"/>
  <c r="K242" i="110"/>
  <c r="U276" i="110"/>
  <c r="AB47" i="156"/>
  <c r="M37" i="154"/>
  <c r="H241" i="110"/>
  <c r="K211" i="110"/>
  <c r="S228" i="110"/>
  <c r="H194" i="110"/>
  <c r="L208" i="110"/>
  <c r="L211" i="110"/>
  <c r="J225" i="110"/>
  <c r="M242" i="110"/>
  <c r="R259" i="110"/>
  <c r="M276" i="110"/>
  <c r="X224" i="110"/>
  <c r="V228" i="110"/>
  <c r="W241" i="110"/>
  <c r="R211" i="110"/>
  <c r="H224" i="110"/>
  <c r="M228" i="110"/>
  <c r="R241" i="110"/>
  <c r="W258" i="110"/>
  <c r="S194" i="110"/>
  <c r="R194" i="110"/>
  <c r="J211" i="110"/>
  <c r="I211" i="110"/>
  <c r="H211" i="110"/>
  <c r="V194" i="110"/>
  <c r="S224" i="110"/>
  <c r="K228" i="110"/>
  <c r="L224" i="110"/>
  <c r="I224" i="110"/>
  <c r="R224" i="110"/>
  <c r="M241" i="110"/>
  <c r="K258" i="110"/>
  <c r="U275" i="110"/>
  <c r="W194" i="110"/>
  <c r="T194" i="110"/>
  <c r="T211" i="110"/>
  <c r="W211" i="110"/>
  <c r="V211" i="110"/>
  <c r="K224" i="110"/>
  <c r="U224" i="110"/>
  <c r="U228" i="110"/>
  <c r="I228" i="110"/>
  <c r="X241" i="110"/>
  <c r="T258" i="110"/>
  <c r="M258" i="110"/>
  <c r="X194" i="110"/>
  <c r="U194" i="110"/>
  <c r="X211" i="110"/>
  <c r="S211" i="110"/>
  <c r="I194" i="110"/>
  <c r="X228" i="110"/>
  <c r="Q4" i="110"/>
  <c r="BF18" i="175"/>
  <c r="BE18" i="175"/>
  <c r="V195" i="110"/>
  <c r="H195" i="110"/>
  <c r="S212" i="110"/>
  <c r="K212" i="110"/>
  <c r="X225" i="110"/>
  <c r="W242" i="110"/>
  <c r="U242" i="110"/>
  <c r="T259" i="110"/>
  <c r="V259" i="110"/>
  <c r="L259" i="110"/>
  <c r="X276" i="110"/>
  <c r="S208" i="110"/>
  <c r="H208" i="110"/>
  <c r="M212" i="110"/>
  <c r="W225" i="110"/>
  <c r="I225" i="110"/>
  <c r="S259" i="110"/>
  <c r="K276" i="110"/>
  <c r="V276" i="110"/>
  <c r="T195" i="110"/>
  <c r="S195" i="110"/>
  <c r="R195" i="110"/>
  <c r="K208" i="110"/>
  <c r="U208" i="110"/>
  <c r="U212" i="110"/>
  <c r="T225" i="110"/>
  <c r="S225" i="110"/>
  <c r="M225" i="110"/>
  <c r="L225" i="110"/>
  <c r="S242" i="110"/>
  <c r="T242" i="110"/>
  <c r="X259" i="110"/>
  <c r="I259" i="110"/>
  <c r="H259" i="110"/>
  <c r="W276" i="110"/>
  <c r="L276" i="110"/>
  <c r="R276" i="110"/>
  <c r="X195" i="110"/>
  <c r="W195" i="110"/>
  <c r="I195" i="110"/>
  <c r="W208" i="110"/>
  <c r="W212" i="110"/>
  <c r="T208" i="110"/>
  <c r="T212" i="110"/>
  <c r="L212" i="110"/>
  <c r="I208" i="110"/>
  <c r="M208" i="110"/>
  <c r="R208" i="110"/>
  <c r="V212" i="110"/>
  <c r="K225" i="110"/>
  <c r="R225" i="110"/>
  <c r="U225" i="110"/>
  <c r="X242" i="110"/>
  <c r="H242" i="110"/>
  <c r="L242" i="110"/>
  <c r="J259" i="110"/>
  <c r="M259" i="110"/>
  <c r="R242" i="110"/>
  <c r="S276" i="110"/>
  <c r="H276" i="110"/>
  <c r="I276" i="110"/>
  <c r="U244" i="110"/>
  <c r="U257" i="110"/>
  <c r="X193" i="110"/>
  <c r="K210" i="110"/>
  <c r="R227" i="110"/>
  <c r="T257" i="110"/>
  <c r="X274" i="110"/>
  <c r="V274" i="110"/>
  <c r="R210" i="110"/>
  <c r="U227" i="110"/>
  <c r="X240" i="110"/>
  <c r="R244" i="110"/>
  <c r="W193" i="110"/>
  <c r="U210" i="110"/>
  <c r="X244" i="110"/>
  <c r="R257" i="110"/>
  <c r="U193" i="110"/>
  <c r="R193" i="110"/>
  <c r="J193" i="110"/>
  <c r="H193" i="110"/>
  <c r="T193" i="110"/>
  <c r="I193" i="110"/>
  <c r="V193" i="110"/>
  <c r="S193" i="110"/>
  <c r="J210" i="110"/>
  <c r="X210" i="110"/>
  <c r="M210" i="110"/>
  <c r="L210" i="110"/>
  <c r="T210" i="110"/>
  <c r="W210" i="110"/>
  <c r="I210" i="110"/>
  <c r="H210" i="110"/>
  <c r="S210" i="110"/>
  <c r="H227" i="110"/>
  <c r="K227" i="110"/>
  <c r="T227" i="110"/>
  <c r="L227" i="110"/>
  <c r="I227" i="110"/>
  <c r="V227" i="110"/>
  <c r="S227" i="110"/>
  <c r="M227" i="110"/>
  <c r="W227" i="110"/>
  <c r="X227" i="110"/>
  <c r="J244" i="110"/>
  <c r="V244" i="110"/>
  <c r="L244" i="110"/>
  <c r="T244" i="110"/>
  <c r="W244" i="110"/>
  <c r="H244" i="110"/>
  <c r="M244" i="110"/>
  <c r="I244" i="110"/>
  <c r="S244" i="110"/>
  <c r="K244" i="110"/>
  <c r="J240" i="110"/>
  <c r="R240" i="110"/>
  <c r="M240" i="110"/>
  <c r="I240" i="110"/>
  <c r="T240" i="110"/>
  <c r="W240" i="110"/>
  <c r="U240" i="110"/>
  <c r="S240" i="110"/>
  <c r="H240" i="110"/>
  <c r="L240" i="110"/>
  <c r="K240" i="110"/>
  <c r="K257" i="110"/>
  <c r="H257" i="110"/>
  <c r="V257" i="110"/>
  <c r="S257" i="110"/>
  <c r="X257" i="110"/>
  <c r="L257" i="110"/>
  <c r="I257" i="110"/>
  <c r="W257" i="110"/>
  <c r="M257" i="110"/>
  <c r="J257" i="110"/>
  <c r="J274" i="110"/>
  <c r="R274" i="110"/>
  <c r="L274" i="110"/>
  <c r="T274" i="110"/>
  <c r="W274" i="110"/>
  <c r="H274" i="110"/>
  <c r="S274" i="110"/>
  <c r="M274" i="110"/>
  <c r="I274" i="110"/>
  <c r="U274" i="110"/>
  <c r="K274" i="110"/>
  <c r="X196" i="110"/>
  <c r="V196" i="110"/>
  <c r="U196" i="110"/>
  <c r="R196" i="110"/>
  <c r="S196" i="110"/>
  <c r="H196" i="110"/>
  <c r="W196" i="110"/>
  <c r="T196" i="110"/>
  <c r="I196" i="110"/>
  <c r="J196" i="110"/>
  <c r="J192" i="110"/>
  <c r="V192" i="110"/>
  <c r="U192" i="110"/>
  <c r="X192" i="110"/>
  <c r="T192" i="110"/>
  <c r="W192" i="110"/>
  <c r="S192" i="110"/>
  <c r="R192" i="110"/>
  <c r="H192" i="110"/>
  <c r="I192" i="110"/>
  <c r="L209" i="110"/>
  <c r="I209" i="110"/>
  <c r="V209" i="110"/>
  <c r="S209" i="110"/>
  <c r="M209" i="110"/>
  <c r="W209" i="110"/>
  <c r="X209" i="110"/>
  <c r="U209" i="110"/>
  <c r="R209" i="110"/>
  <c r="J209" i="110"/>
  <c r="T209" i="110"/>
  <c r="H209" i="110"/>
  <c r="K209" i="110"/>
  <c r="J226" i="110"/>
  <c r="L226" i="110"/>
  <c r="T226" i="110"/>
  <c r="W226" i="110"/>
  <c r="M226" i="110"/>
  <c r="I226" i="110"/>
  <c r="H226" i="110"/>
  <c r="X226" i="110"/>
  <c r="R226" i="110"/>
  <c r="S226" i="110"/>
  <c r="U226" i="110"/>
  <c r="K226" i="110"/>
  <c r="V226" i="110"/>
  <c r="W243" i="110"/>
  <c r="U243" i="110"/>
  <c r="R243" i="110"/>
  <c r="K243" i="110"/>
  <c r="T243" i="110"/>
  <c r="L243" i="110"/>
  <c r="M243" i="110"/>
  <c r="S243" i="110"/>
  <c r="V243" i="110"/>
  <c r="J243" i="110"/>
  <c r="H243" i="110"/>
  <c r="X243" i="110"/>
  <c r="I243" i="110"/>
  <c r="M260" i="110"/>
  <c r="V260" i="110"/>
  <c r="W260" i="110"/>
  <c r="K260" i="110"/>
  <c r="H260" i="110"/>
  <c r="R260" i="110"/>
  <c r="J260" i="110"/>
  <c r="U260" i="110"/>
  <c r="S260" i="110"/>
  <c r="T260" i="110"/>
  <c r="X260" i="110"/>
  <c r="L260" i="110"/>
  <c r="I260" i="110"/>
  <c r="J256" i="110"/>
  <c r="M256" i="110"/>
  <c r="L256" i="110"/>
  <c r="S256" i="110"/>
  <c r="I256" i="110"/>
  <c r="V256" i="110"/>
  <c r="R256" i="110"/>
  <c r="U256" i="110"/>
  <c r="X256" i="110"/>
  <c r="H256" i="110"/>
  <c r="K256" i="110"/>
  <c r="W256" i="110"/>
  <c r="T256" i="110"/>
  <c r="L273" i="110"/>
  <c r="I273" i="110"/>
  <c r="W273" i="110"/>
  <c r="M273" i="110"/>
  <c r="J273" i="110"/>
  <c r="K273" i="110"/>
  <c r="U273" i="110"/>
  <c r="R273" i="110"/>
  <c r="T273" i="110"/>
  <c r="V273" i="110"/>
  <c r="S273" i="110"/>
  <c r="H273" i="110"/>
  <c r="X273" i="110"/>
  <c r="M211" i="110"/>
  <c r="J228" i="110"/>
  <c r="H228" i="110"/>
  <c r="T228" i="110"/>
  <c r="W228" i="110"/>
  <c r="J224" i="110"/>
  <c r="V224" i="110"/>
  <c r="T224" i="110"/>
  <c r="W224" i="110"/>
  <c r="T241" i="110"/>
  <c r="L241" i="110"/>
  <c r="I241" i="110"/>
  <c r="V241" i="110"/>
  <c r="J241" i="110"/>
  <c r="S241" i="110"/>
  <c r="J258" i="110"/>
  <c r="H258" i="110"/>
  <c r="S258" i="110"/>
  <c r="V258" i="110"/>
  <c r="I258" i="110"/>
  <c r="X258" i="110"/>
  <c r="K275" i="110"/>
  <c r="H275" i="110"/>
  <c r="V275" i="110"/>
  <c r="S275" i="110"/>
  <c r="X275" i="110"/>
  <c r="L275" i="110"/>
  <c r="I275" i="110"/>
  <c r="W275" i="110"/>
  <c r="M275" i="110"/>
  <c r="J275" i="110"/>
  <c r="U241" i="110"/>
  <c r="U258" i="110"/>
  <c r="K241" i="110"/>
  <c r="R258" i="110"/>
  <c r="R275" i="110"/>
  <c r="BJ64" i="167" l="1"/>
  <c r="BJ28" i="167"/>
  <c r="BJ48" i="167"/>
  <c r="BJ56" i="167"/>
  <c r="BJ66" i="167"/>
  <c r="Z37" i="81"/>
  <c r="BJ40" i="167"/>
  <c r="BJ70" i="167"/>
  <c r="BJ32" i="167"/>
  <c r="AT26" i="170"/>
  <c r="AN218" i="110" s="1"/>
  <c r="BJ62" i="167"/>
  <c r="BA36" i="169"/>
  <c r="AT36" i="169"/>
  <c r="AN207" i="110" s="1"/>
  <c r="BJ38" i="167"/>
  <c r="BJ76" i="167"/>
  <c r="AD18" i="110"/>
  <c r="BD46" i="158"/>
  <c r="BJ46" i="167"/>
  <c r="BJ26" i="167"/>
  <c r="BJ74" i="167"/>
  <c r="BJ36" i="167"/>
  <c r="AD169" i="110"/>
  <c r="BJ54" i="167"/>
  <c r="BJ34" i="167"/>
  <c r="BJ20" i="169"/>
  <c r="BJ44" i="167"/>
  <c r="BJ42" i="167"/>
  <c r="BJ52" i="167"/>
  <c r="BJ20" i="167"/>
  <c r="BJ50" i="167"/>
  <c r="BJ60" i="167"/>
  <c r="BJ58" i="167"/>
  <c r="BJ68" i="167"/>
  <c r="BJ24" i="167"/>
  <c r="BJ72" i="167"/>
  <c r="AT8" i="110"/>
  <c r="AN26" i="170"/>
  <c r="AK18" i="163"/>
  <c r="AT30" i="170"/>
  <c r="AN220" i="110" s="1"/>
  <c r="BH30" i="171"/>
  <c r="C236" i="110" s="1"/>
  <c r="B236" i="110" s="1"/>
  <c r="AT26" i="171"/>
  <c r="AN234" i="110" s="1"/>
  <c r="AT28" i="170"/>
  <c r="AN219" i="110" s="1"/>
  <c r="AH26" i="170"/>
  <c r="AN32" i="169"/>
  <c r="BA28" i="170"/>
  <c r="AT34" i="171"/>
  <c r="AN238" i="110" s="1"/>
  <c r="AN32" i="175"/>
  <c r="BI32" i="175" s="1"/>
  <c r="BH34" i="171"/>
  <c r="C238" i="110" s="1"/>
  <c r="B238" i="110" s="1"/>
  <c r="AN22" i="176"/>
  <c r="BK26" i="170"/>
  <c r="BK26" i="171"/>
  <c r="AW26" i="170"/>
  <c r="AK26" i="170"/>
  <c r="BC26" i="170" s="1"/>
  <c r="AN22" i="171"/>
  <c r="BH26" i="170"/>
  <c r="C218" i="110" s="1"/>
  <c r="B218" i="110" s="1"/>
  <c r="AX26" i="170"/>
  <c r="AE218" i="110" s="1"/>
  <c r="AN34" i="13"/>
  <c r="AK36" i="160"/>
  <c r="AN24" i="171"/>
  <c r="AN26" i="169"/>
  <c r="AN18" i="169"/>
  <c r="BI18" i="169" s="1"/>
  <c r="AN22" i="170"/>
  <c r="AN30" i="13"/>
  <c r="AN34" i="170"/>
  <c r="AN30" i="171"/>
  <c r="BI30" i="171" s="1"/>
  <c r="AN20" i="176"/>
  <c r="AN36" i="175"/>
  <c r="AN24" i="13"/>
  <c r="AN36" i="13"/>
  <c r="AN34" i="169"/>
  <c r="AN34" i="175"/>
  <c r="AN30" i="175"/>
  <c r="BI30" i="175" s="1"/>
  <c r="AN34" i="171"/>
  <c r="BI34" i="171" s="1"/>
  <c r="AN30" i="169"/>
  <c r="AN26" i="171"/>
  <c r="BI26" i="171" s="1"/>
  <c r="AN22" i="175"/>
  <c r="AN24" i="176"/>
  <c r="BI24" i="176" s="1"/>
  <c r="AN20" i="169"/>
  <c r="BI20" i="169" s="1"/>
  <c r="AT22" i="169"/>
  <c r="AN200" i="110" s="1"/>
  <c r="AN30" i="170"/>
  <c r="BI30" i="170" s="1"/>
  <c r="AN32" i="13"/>
  <c r="AN22" i="169"/>
  <c r="BI22" i="169" s="1"/>
  <c r="AN24" i="170"/>
  <c r="AN20" i="13"/>
  <c r="AN28" i="13"/>
  <c r="AN28" i="169"/>
  <c r="BI28" i="169" s="1"/>
  <c r="AN24" i="169"/>
  <c r="BI24" i="169" s="1"/>
  <c r="AN28" i="170"/>
  <c r="AN32" i="170"/>
  <c r="BI32" i="170" s="1"/>
  <c r="AN36" i="171"/>
  <c r="AN28" i="171"/>
  <c r="AT22" i="13"/>
  <c r="AN248" i="110" s="1"/>
  <c r="AN36" i="169"/>
  <c r="AN20" i="171"/>
  <c r="AN22" i="13"/>
  <c r="AN20" i="170"/>
  <c r="AN26" i="13"/>
  <c r="AN28" i="175"/>
  <c r="BI28" i="175" s="1"/>
  <c r="AN24" i="175"/>
  <c r="U38" i="81"/>
  <c r="AK18" i="160"/>
  <c r="BH34" i="170"/>
  <c r="C222" i="110" s="1"/>
  <c r="B222" i="110" s="1"/>
  <c r="R69" i="110"/>
  <c r="AT69" i="110"/>
  <c r="R143" i="110"/>
  <c r="AT143" i="110"/>
  <c r="R123" i="110"/>
  <c r="AT123" i="110"/>
  <c r="R128" i="110"/>
  <c r="AT128" i="110"/>
  <c r="R138" i="110"/>
  <c r="AT138" i="110"/>
  <c r="BC32" i="163"/>
  <c r="AT126" i="110"/>
  <c r="R57" i="110"/>
  <c r="AT57" i="110"/>
  <c r="R56" i="110"/>
  <c r="AT56" i="110"/>
  <c r="R139" i="110"/>
  <c r="AT139" i="110"/>
  <c r="R104" i="110"/>
  <c r="AT104" i="110"/>
  <c r="AK18" i="162"/>
  <c r="R108" i="110"/>
  <c r="AT108" i="110"/>
  <c r="R59" i="110"/>
  <c r="AT59" i="110"/>
  <c r="N121" i="110"/>
  <c r="AK18" i="182"/>
  <c r="AH22" i="154" s="1"/>
  <c r="R112" i="110"/>
  <c r="AT112" i="110"/>
  <c r="R110" i="110"/>
  <c r="AT110" i="110"/>
  <c r="R107" i="110"/>
  <c r="AT107" i="110"/>
  <c r="R144" i="110"/>
  <c r="AT144" i="110"/>
  <c r="R142" i="110"/>
  <c r="AT142" i="110"/>
  <c r="BA34" i="171"/>
  <c r="R55" i="110"/>
  <c r="AT55" i="110"/>
  <c r="R105" i="110"/>
  <c r="AT105" i="110"/>
  <c r="R141" i="110"/>
  <c r="AT141" i="110"/>
  <c r="R127" i="110"/>
  <c r="AT127" i="110"/>
  <c r="R58" i="110"/>
  <c r="AT58" i="110"/>
  <c r="R54" i="110"/>
  <c r="AT54" i="110"/>
  <c r="R109" i="110"/>
  <c r="AT109" i="110"/>
  <c r="R140" i="110"/>
  <c r="AT140" i="110"/>
  <c r="BC24" i="163"/>
  <c r="AT122" i="110"/>
  <c r="R111" i="110"/>
  <c r="AT111" i="110"/>
  <c r="AT18" i="163"/>
  <c r="AN18" i="163" s="1"/>
  <c r="AT67" i="110"/>
  <c r="AW46" i="158"/>
  <c r="P18" i="110" s="1"/>
  <c r="BA46" i="158"/>
  <c r="AV46" i="158"/>
  <c r="N136" i="110"/>
  <c r="BC18" i="167"/>
  <c r="BK36" i="169"/>
  <c r="BK34" i="171"/>
  <c r="BH20" i="171"/>
  <c r="C231" i="110" s="1"/>
  <c r="B231" i="110" s="1"/>
  <c r="AD231" i="110"/>
  <c r="BH22" i="176"/>
  <c r="C280" i="110" s="1"/>
  <c r="B280" i="110" s="1"/>
  <c r="BA26" i="171"/>
  <c r="AT30" i="169"/>
  <c r="AN204" i="110" s="1"/>
  <c r="P5" i="110"/>
  <c r="BH22" i="175"/>
  <c r="I12" i="3"/>
  <c r="EE2" i="110"/>
  <c r="BH36" i="175"/>
  <c r="C272" i="110" s="1"/>
  <c r="B272" i="110" s="1"/>
  <c r="AT36" i="175"/>
  <c r="AN272" i="110" s="1"/>
  <c r="AH22" i="176"/>
  <c r="AT22" i="175"/>
  <c r="AT22" i="176"/>
  <c r="AN280" i="110" s="1"/>
  <c r="BK22" i="175"/>
  <c r="P36" i="154"/>
  <c r="BA22" i="176"/>
  <c r="I14" i="3"/>
  <c r="AT26" i="169"/>
  <c r="AN202" i="110" s="1"/>
  <c r="BH26" i="169"/>
  <c r="C202" i="110" s="1"/>
  <c r="B202" i="110" s="1"/>
  <c r="AH26" i="169"/>
  <c r="N52" i="110"/>
  <c r="AK20" i="160"/>
  <c r="AT20" i="160" s="1"/>
  <c r="J52" i="110" s="1"/>
  <c r="I16" i="3"/>
  <c r="I15" i="3"/>
  <c r="AK24" i="162"/>
  <c r="AT22" i="163"/>
  <c r="AT121" i="110" s="1"/>
  <c r="P121" i="110"/>
  <c r="J15" i="3"/>
  <c r="P106" i="110"/>
  <c r="J14" i="3"/>
  <c r="P52" i="110"/>
  <c r="J12" i="3"/>
  <c r="BC32" i="158"/>
  <c r="BC40" i="158"/>
  <c r="AV20" i="158"/>
  <c r="BA20" i="158"/>
  <c r="BB20" i="158" s="1"/>
  <c r="Q5" i="110" s="1"/>
  <c r="P136" i="110"/>
  <c r="J16" i="3"/>
  <c r="P35" i="154"/>
  <c r="P37" i="154"/>
  <c r="AB45" i="156"/>
  <c r="AT34" i="169"/>
  <c r="AN206" i="110" s="1"/>
  <c r="U37" i="81"/>
  <c r="BK22" i="13"/>
  <c r="BK28" i="170"/>
  <c r="BK22" i="176"/>
  <c r="BA30" i="170"/>
  <c r="AH28" i="170"/>
  <c r="C54" i="108"/>
  <c r="C55" i="108" s="1"/>
  <c r="E53" i="108"/>
  <c r="N53" i="108" s="1"/>
  <c r="BH34" i="169"/>
  <c r="C206" i="110" s="1"/>
  <c r="B206" i="110" s="1"/>
  <c r="AH34" i="169"/>
  <c r="AT30" i="13"/>
  <c r="AN252" i="110" s="1"/>
  <c r="BH34" i="175"/>
  <c r="C271" i="110" s="1"/>
  <c r="B271" i="110" s="1"/>
  <c r="AT34" i="175"/>
  <c r="AN271" i="110" s="1"/>
  <c r="BK34" i="169"/>
  <c r="BH36" i="13"/>
  <c r="C255" i="110" s="1"/>
  <c r="B255" i="110" s="1"/>
  <c r="BK22" i="169"/>
  <c r="AH22" i="171"/>
  <c r="BA20" i="171"/>
  <c r="BK22" i="171"/>
  <c r="AH22" i="175"/>
  <c r="AW34" i="171"/>
  <c r="AK26" i="171"/>
  <c r="BC26" i="171" s="1"/>
  <c r="BH28" i="171"/>
  <c r="C235" i="110" s="1"/>
  <c r="B235" i="110" s="1"/>
  <c r="BK28" i="171"/>
  <c r="AH18" i="176"/>
  <c r="BA28" i="171"/>
  <c r="AT28" i="171"/>
  <c r="AN235" i="110" s="1"/>
  <c r="AT24" i="13"/>
  <c r="AN249" i="110" s="1"/>
  <c r="AH34" i="170"/>
  <c r="AH28" i="171"/>
  <c r="AK28" i="170"/>
  <c r="BC28" i="170" s="1"/>
  <c r="AK34" i="175"/>
  <c r="BC34" i="175" s="1"/>
  <c r="BH30" i="13"/>
  <c r="C252" i="110" s="1"/>
  <c r="B252" i="110" s="1"/>
  <c r="AT20" i="171"/>
  <c r="AN231" i="110" s="1"/>
  <c r="BH24" i="13"/>
  <c r="C249" i="110" s="1"/>
  <c r="B249" i="110" s="1"/>
  <c r="BK36" i="13"/>
  <c r="AH20" i="171"/>
  <c r="BA24" i="13"/>
  <c r="AT34" i="170"/>
  <c r="AN222" i="110" s="1"/>
  <c r="AT36" i="13"/>
  <c r="AN255" i="110" s="1"/>
  <c r="AH36" i="175"/>
  <c r="BK36" i="175"/>
  <c r="BH22" i="169"/>
  <c r="C200" i="110" s="1"/>
  <c r="B200" i="110" s="1"/>
  <c r="BK20" i="171"/>
  <c r="AH36" i="13"/>
  <c r="BA22" i="169"/>
  <c r="AW26" i="171"/>
  <c r="AK34" i="169"/>
  <c r="BC34" i="169" s="1"/>
  <c r="AX34" i="171"/>
  <c r="AE238" i="110" s="1"/>
  <c r="AX26" i="171"/>
  <c r="AE234" i="110" s="1"/>
  <c r="AT36" i="170"/>
  <c r="AN223" i="110" s="1"/>
  <c r="BH30" i="170"/>
  <c r="C220" i="110" s="1"/>
  <c r="B220" i="110" s="1"/>
  <c r="BK30" i="13"/>
  <c r="AH36" i="169"/>
  <c r="AU36" i="169" s="1"/>
  <c r="AO207" i="110" s="1"/>
  <c r="AH24" i="13"/>
  <c r="AW34" i="170"/>
  <c r="AT20" i="175"/>
  <c r="AN264" i="110" s="1"/>
  <c r="BK26" i="169"/>
  <c r="BK30" i="170"/>
  <c r="BH36" i="169"/>
  <c r="C207" i="110" s="1"/>
  <c r="B207" i="110" s="1"/>
  <c r="BK34" i="170"/>
  <c r="BK34" i="175"/>
  <c r="AH30" i="13"/>
  <c r="AH22" i="13"/>
  <c r="BA34" i="175"/>
  <c r="AK34" i="170"/>
  <c r="BC34" i="170" s="1"/>
  <c r="BK24" i="13"/>
  <c r="BK20" i="175"/>
  <c r="BA22" i="171"/>
  <c r="BA30" i="13"/>
  <c r="AH34" i="175"/>
  <c r="BH22" i="13"/>
  <c r="C248" i="110" s="1"/>
  <c r="B248" i="110" s="1"/>
  <c r="AW36" i="169"/>
  <c r="AW26" i="169"/>
  <c r="AX34" i="170"/>
  <c r="AE222" i="110" s="1"/>
  <c r="AK24" i="13"/>
  <c r="BC24" i="13" s="1"/>
  <c r="AW22" i="171"/>
  <c r="BJ22" i="171" s="1"/>
  <c r="AW36" i="175"/>
  <c r="AW18" i="176"/>
  <c r="AK18" i="176" s="1"/>
  <c r="AX36" i="169"/>
  <c r="AE207" i="110" s="1"/>
  <c r="AX34" i="175"/>
  <c r="BJ34" i="175" s="1"/>
  <c r="AW36" i="13"/>
  <c r="AX18" i="176"/>
  <c r="AN263" i="110"/>
  <c r="BA36" i="13"/>
  <c r="AK30" i="169"/>
  <c r="BC30" i="169" s="1"/>
  <c r="AX22" i="169"/>
  <c r="AE200" i="110" s="1"/>
  <c r="AX30" i="170"/>
  <c r="AE220" i="110" s="1"/>
  <c r="AX22" i="170"/>
  <c r="AE216" i="110" s="1"/>
  <c r="AK22" i="171"/>
  <c r="BC22" i="171" s="1"/>
  <c r="AX36" i="13"/>
  <c r="AE255" i="110" s="1"/>
  <c r="AX28" i="13"/>
  <c r="AE251" i="110" s="1"/>
  <c r="AW20" i="13"/>
  <c r="AK36" i="175"/>
  <c r="BC36" i="175" s="1"/>
  <c r="AK28" i="175"/>
  <c r="BC28" i="175" s="1"/>
  <c r="AX20" i="176"/>
  <c r="AE279" i="110" s="1"/>
  <c r="AK36" i="170"/>
  <c r="BC36" i="170" s="1"/>
  <c r="AW28" i="170"/>
  <c r="BJ28" i="170" s="1"/>
  <c r="AW20" i="170"/>
  <c r="AX28" i="171"/>
  <c r="AE235" i="110" s="1"/>
  <c r="AX20" i="171"/>
  <c r="AE231" i="110" s="1"/>
  <c r="AK34" i="13"/>
  <c r="BC34" i="13" s="1"/>
  <c r="AK26" i="13"/>
  <c r="BC26" i="13" s="1"/>
  <c r="AW18" i="13"/>
  <c r="AW22" i="176"/>
  <c r="BJ22" i="176" s="1"/>
  <c r="AX34" i="169"/>
  <c r="AE206" i="110" s="1"/>
  <c r="AX26" i="169"/>
  <c r="AE202" i="110" s="1"/>
  <c r="AW18" i="169"/>
  <c r="AK34" i="171"/>
  <c r="BC34" i="171" s="1"/>
  <c r="AK32" i="13"/>
  <c r="BC32" i="13" s="1"/>
  <c r="AW24" i="13"/>
  <c r="BJ24" i="13" s="1"/>
  <c r="AW32" i="175"/>
  <c r="AX24" i="176"/>
  <c r="AE281" i="110" s="1"/>
  <c r="AX32" i="170"/>
  <c r="AE221" i="110" s="1"/>
  <c r="AW24" i="170"/>
  <c r="AK32" i="171"/>
  <c r="BC32" i="171" s="1"/>
  <c r="AW30" i="13"/>
  <c r="BJ30" i="13" s="1"/>
  <c r="AW22" i="13"/>
  <c r="AW30" i="175"/>
  <c r="AW22" i="175"/>
  <c r="AX30" i="169"/>
  <c r="AE204" i="110" s="1"/>
  <c r="AW30" i="171"/>
  <c r="AW28" i="13"/>
  <c r="AK20" i="13"/>
  <c r="AX20" i="175"/>
  <c r="AW20" i="176"/>
  <c r="AX28" i="169"/>
  <c r="AE203" i="110" s="1"/>
  <c r="AW36" i="170"/>
  <c r="AX36" i="171"/>
  <c r="AE239" i="110" s="1"/>
  <c r="AK28" i="171"/>
  <c r="BC28" i="171" s="1"/>
  <c r="AK20" i="171"/>
  <c r="BC20" i="171" s="1"/>
  <c r="AW34" i="13"/>
  <c r="AX26" i="13"/>
  <c r="AK26" i="175"/>
  <c r="BC26" i="175" s="1"/>
  <c r="AK22" i="176"/>
  <c r="BF22" i="176" s="1"/>
  <c r="AX18" i="170"/>
  <c r="AE214" i="110" s="1"/>
  <c r="AW32" i="13"/>
  <c r="AX24" i="175"/>
  <c r="AK24" i="176"/>
  <c r="BC24" i="176" s="1"/>
  <c r="AX24" i="169"/>
  <c r="AE201" i="110" s="1"/>
  <c r="AW32" i="170"/>
  <c r="AK24" i="170"/>
  <c r="BC24" i="170" s="1"/>
  <c r="AX24" i="171"/>
  <c r="AE233" i="110" s="1"/>
  <c r="AK30" i="13"/>
  <c r="BC30" i="13" s="1"/>
  <c r="AK22" i="13"/>
  <c r="BC22" i="13" s="1"/>
  <c r="AK30" i="175"/>
  <c r="BE30" i="175" s="1"/>
  <c r="AK22" i="175"/>
  <c r="BC22" i="175" s="1"/>
  <c r="BH22" i="171"/>
  <c r="C232" i="110" s="1"/>
  <c r="B232" i="110" s="1"/>
  <c r="AW22" i="169"/>
  <c r="BJ22" i="169" s="1"/>
  <c r="AW30" i="170"/>
  <c r="AW22" i="170"/>
  <c r="AK30" i="171"/>
  <c r="BC30" i="171" s="1"/>
  <c r="AK28" i="13"/>
  <c r="BE28" i="13" s="1"/>
  <c r="AX36" i="175"/>
  <c r="AE272" i="110" s="1"/>
  <c r="AX28" i="175"/>
  <c r="AW20" i="175"/>
  <c r="AK20" i="176"/>
  <c r="BC20" i="176" s="1"/>
  <c r="AW28" i="169"/>
  <c r="AX20" i="170"/>
  <c r="AE215" i="110" s="1"/>
  <c r="AK36" i="171"/>
  <c r="BC36" i="171" s="1"/>
  <c r="AX34" i="13"/>
  <c r="AE254" i="110" s="1"/>
  <c r="AX18" i="13"/>
  <c r="AE246" i="110" s="1"/>
  <c r="AW26" i="175"/>
  <c r="AW34" i="169"/>
  <c r="AK26" i="169"/>
  <c r="BC26" i="169" s="1"/>
  <c r="AX18" i="169"/>
  <c r="AE198" i="110" s="1"/>
  <c r="AW18" i="170"/>
  <c r="AX32" i="175"/>
  <c r="AK24" i="175"/>
  <c r="BC24" i="175" s="1"/>
  <c r="AW24" i="176"/>
  <c r="AX32" i="169"/>
  <c r="AE205" i="110" s="1"/>
  <c r="AK24" i="169"/>
  <c r="BC24" i="169" s="1"/>
  <c r="AK32" i="170"/>
  <c r="BC32" i="170" s="1"/>
  <c r="AX32" i="171"/>
  <c r="AE237" i="110" s="1"/>
  <c r="AW24" i="171"/>
  <c r="AX22" i="13"/>
  <c r="AE248" i="110" s="1"/>
  <c r="AX30" i="175"/>
  <c r="AX22" i="175"/>
  <c r="AE265" i="110" s="1"/>
  <c r="AW30" i="169"/>
  <c r="AK22" i="169"/>
  <c r="BE22" i="169" s="1"/>
  <c r="AK30" i="170"/>
  <c r="BC30" i="170" s="1"/>
  <c r="AK22" i="170"/>
  <c r="BC22" i="170" s="1"/>
  <c r="AX30" i="171"/>
  <c r="AE236" i="110" s="1"/>
  <c r="AX20" i="13"/>
  <c r="AE247" i="110" s="1"/>
  <c r="AW28" i="175"/>
  <c r="AK20" i="175"/>
  <c r="AK28" i="169"/>
  <c r="BC28" i="169" s="1"/>
  <c r="AX36" i="170"/>
  <c r="AE223" i="110" s="1"/>
  <c r="AK20" i="170"/>
  <c r="BF20" i="170" s="1"/>
  <c r="AW36" i="171"/>
  <c r="AW26" i="13"/>
  <c r="AK18" i="13"/>
  <c r="BF18" i="13" s="1"/>
  <c r="AX26" i="175"/>
  <c r="AK18" i="169"/>
  <c r="BC18" i="169" s="1"/>
  <c r="AX32" i="13"/>
  <c r="AE253" i="110" s="1"/>
  <c r="AK32" i="175"/>
  <c r="BC32" i="175" s="1"/>
  <c r="AW24" i="175"/>
  <c r="AK32" i="169"/>
  <c r="AW24" i="169"/>
  <c r="AX24" i="170"/>
  <c r="AW32" i="171"/>
  <c r="AK24" i="171"/>
  <c r="BC24" i="171" s="1"/>
  <c r="AT22" i="170"/>
  <c r="AN216" i="110" s="1"/>
  <c r="AT32" i="175"/>
  <c r="AN270" i="110" s="1"/>
  <c r="BF20" i="169"/>
  <c r="BI32" i="167"/>
  <c r="BI48" i="167"/>
  <c r="BI64" i="167"/>
  <c r="BI26" i="167"/>
  <c r="BI42" i="167"/>
  <c r="BI58" i="167"/>
  <c r="BI74" i="167"/>
  <c r="BI44" i="167"/>
  <c r="BI76" i="167"/>
  <c r="BI46" i="167"/>
  <c r="BI62" i="167"/>
  <c r="BI30" i="167"/>
  <c r="BI26" i="170"/>
  <c r="BI28" i="167"/>
  <c r="BH36" i="171"/>
  <c r="C239" i="110" s="1"/>
  <c r="B239" i="110" s="1"/>
  <c r="BI24" i="167"/>
  <c r="BI40" i="167"/>
  <c r="BI56" i="167"/>
  <c r="BI72" i="167"/>
  <c r="BI34" i="167"/>
  <c r="BI50" i="167"/>
  <c r="BI66" i="167"/>
  <c r="BI20" i="167"/>
  <c r="BI36" i="167"/>
  <c r="BI52" i="167"/>
  <c r="BI68" i="167"/>
  <c r="BI22" i="167"/>
  <c r="BI38" i="167"/>
  <c r="BI54" i="167"/>
  <c r="BI70" i="167"/>
  <c r="AH20" i="175"/>
  <c r="BI20" i="175" s="1"/>
  <c r="BI60" i="167"/>
  <c r="AT36" i="171"/>
  <c r="AN239" i="110" s="1"/>
  <c r="AT28" i="175"/>
  <c r="AN268" i="110" s="1"/>
  <c r="AD199" i="110"/>
  <c r="AT26" i="175"/>
  <c r="AN267" i="110" s="1"/>
  <c r="AH22" i="170"/>
  <c r="AU20" i="169"/>
  <c r="AO199" i="110" s="1"/>
  <c r="BH32" i="175"/>
  <c r="C269" i="110" s="1"/>
  <c r="B269" i="110" s="1"/>
  <c r="BE20" i="169"/>
  <c r="BH22" i="170"/>
  <c r="C216" i="110" s="1"/>
  <c r="B216" i="110" s="1"/>
  <c r="AN269" i="110"/>
  <c r="AT32" i="13"/>
  <c r="AN253" i="110" s="1"/>
  <c r="D51" i="108"/>
  <c r="M51" i="108" s="1"/>
  <c r="AT24" i="175"/>
  <c r="R15" i="110"/>
  <c r="AH36" i="170"/>
  <c r="BI36" i="170" s="1"/>
  <c r="BC42" i="167"/>
  <c r="R11" i="110"/>
  <c r="AT24" i="176"/>
  <c r="AN281" i="110" s="1"/>
  <c r="BK24" i="175"/>
  <c r="AH24" i="175"/>
  <c r="AH32" i="13"/>
  <c r="BH20" i="175"/>
  <c r="C264" i="110" s="1"/>
  <c r="B264" i="110" s="1"/>
  <c r="K52" i="108"/>
  <c r="BA36" i="170"/>
  <c r="BH36" i="170"/>
  <c r="C223" i="110" s="1"/>
  <c r="B223" i="110" s="1"/>
  <c r="BH32" i="13"/>
  <c r="C253" i="110" s="1"/>
  <c r="B253" i="110" s="1"/>
  <c r="BA28" i="175"/>
  <c r="BH28" i="175"/>
  <c r="BH26" i="175"/>
  <c r="BH24" i="175"/>
  <c r="K51" i="108"/>
  <c r="AH20" i="170"/>
  <c r="BA24" i="169"/>
  <c r="BC44" i="167"/>
  <c r="BC76" i="167"/>
  <c r="AH18" i="13"/>
  <c r="BI18" i="13" s="1"/>
  <c r="AT30" i="171"/>
  <c r="AN236" i="110" s="1"/>
  <c r="AT34" i="13"/>
  <c r="AN254" i="110" s="1"/>
  <c r="AT20" i="13"/>
  <c r="AN247" i="110" s="1"/>
  <c r="BA32" i="175"/>
  <c r="AT24" i="169"/>
  <c r="AN201" i="110" s="1"/>
  <c r="BH34" i="13"/>
  <c r="C254" i="110" s="1"/>
  <c r="B254" i="110" s="1"/>
  <c r="AH32" i="169"/>
  <c r="BA24" i="176"/>
  <c r="BH24" i="176"/>
  <c r="C281" i="110" s="1"/>
  <c r="B281" i="110" s="1"/>
  <c r="BA30" i="171"/>
  <c r="BK18" i="13"/>
  <c r="AE263" i="110"/>
  <c r="BA20" i="175"/>
  <c r="AT28" i="169"/>
  <c r="AN203" i="110" s="1"/>
  <c r="AT32" i="169"/>
  <c r="AN205" i="110" s="1"/>
  <c r="P119" i="110"/>
  <c r="BK32" i="171"/>
  <c r="BA34" i="13"/>
  <c r="AH34" i="13"/>
  <c r="AH26" i="175"/>
  <c r="N52" i="108"/>
  <c r="N51" i="108"/>
  <c r="BK28" i="13"/>
  <c r="BK24" i="169"/>
  <c r="BK36" i="170"/>
  <c r="BK32" i="13"/>
  <c r="BK26" i="175"/>
  <c r="D52" i="108"/>
  <c r="B53" i="108"/>
  <c r="BA26" i="175"/>
  <c r="BA32" i="169"/>
  <c r="P103" i="110"/>
  <c r="AD263" i="110"/>
  <c r="BC42" i="158"/>
  <c r="R16" i="110"/>
  <c r="BK32" i="169"/>
  <c r="BK30" i="171"/>
  <c r="BK28" i="175"/>
  <c r="BC36" i="158"/>
  <c r="R13" i="110"/>
  <c r="BK28" i="169"/>
  <c r="BA36" i="171"/>
  <c r="AH24" i="171"/>
  <c r="BA28" i="169"/>
  <c r="P135" i="110"/>
  <c r="AH36" i="171"/>
  <c r="BH20" i="13"/>
  <c r="C247" i="110" s="1"/>
  <c r="B247" i="110" s="1"/>
  <c r="AH20" i="13"/>
  <c r="BA20" i="13"/>
  <c r="BK32" i="175"/>
  <c r="BH24" i="169"/>
  <c r="C201" i="110" s="1"/>
  <c r="B201" i="110" s="1"/>
  <c r="BK22" i="170"/>
  <c r="BK32" i="170"/>
  <c r="AH30" i="169"/>
  <c r="BA30" i="169"/>
  <c r="BH32" i="169"/>
  <c r="C205" i="110" s="1"/>
  <c r="B205" i="110" s="1"/>
  <c r="BK24" i="170"/>
  <c r="BK24" i="171"/>
  <c r="BC34" i="158"/>
  <c r="R12" i="110"/>
  <c r="BC44" i="158"/>
  <c r="R17" i="110"/>
  <c r="BH30" i="169"/>
  <c r="C204" i="110" s="1"/>
  <c r="B204" i="110" s="1"/>
  <c r="BH28" i="169"/>
  <c r="C203" i="110" s="1"/>
  <c r="B203" i="110" s="1"/>
  <c r="BC52" i="167"/>
  <c r="BC28" i="167"/>
  <c r="BC60" i="167"/>
  <c r="BC34" i="167"/>
  <c r="BC50" i="167"/>
  <c r="BC36" i="167"/>
  <c r="BC68" i="167"/>
  <c r="BC74" i="167"/>
  <c r="P26" i="3"/>
  <c r="BC30" i="160"/>
  <c r="B46" i="110"/>
  <c r="AR46" i="110"/>
  <c r="B47" i="110"/>
  <c r="AR47" i="110"/>
  <c r="BC18" i="161"/>
  <c r="N13" i="3"/>
  <c r="B49" i="110"/>
  <c r="AR49" i="110"/>
  <c r="B45" i="110"/>
  <c r="AR45" i="110"/>
  <c r="B48" i="110"/>
  <c r="AR48" i="110"/>
  <c r="AU18" i="171"/>
  <c r="AO230" i="110" s="1"/>
  <c r="B14" i="110"/>
  <c r="AR14" i="110"/>
  <c r="B9" i="110"/>
  <c r="AR9" i="110"/>
  <c r="BC34" i="160"/>
  <c r="AD178" i="110"/>
  <c r="AD173" i="110"/>
  <c r="AD174" i="110"/>
  <c r="AD177" i="110"/>
  <c r="AD171" i="110"/>
  <c r="AD172" i="110"/>
  <c r="AD170" i="110"/>
  <c r="K26" i="3"/>
  <c r="AK30" i="176"/>
  <c r="BK24" i="176"/>
  <c r="AD153" i="110"/>
  <c r="BA18" i="169"/>
  <c r="C72" i="110"/>
  <c r="AS72" i="110" s="1"/>
  <c r="BC22" i="161"/>
  <c r="C71" i="110"/>
  <c r="AS71" i="110" s="1"/>
  <c r="C43" i="110"/>
  <c r="AS43" i="110" s="1"/>
  <c r="C40" i="110"/>
  <c r="AS40" i="110" s="1"/>
  <c r="C39" i="110"/>
  <c r="AS39" i="110" s="1"/>
  <c r="C42" i="110"/>
  <c r="AS42" i="110" s="1"/>
  <c r="C38" i="110"/>
  <c r="AS38" i="110" s="1"/>
  <c r="C44" i="110"/>
  <c r="AS44" i="110" s="1"/>
  <c r="C41" i="110"/>
  <c r="AS41" i="110" s="1"/>
  <c r="N6" i="110"/>
  <c r="AW22" i="158"/>
  <c r="P6" i="110" s="1"/>
  <c r="BB22" i="158"/>
  <c r="Q37" i="110"/>
  <c r="BF22" i="159"/>
  <c r="Q36" i="110"/>
  <c r="BF20" i="159"/>
  <c r="Q35" i="110"/>
  <c r="BC24" i="182"/>
  <c r="BF18" i="171"/>
  <c r="AU38" i="167"/>
  <c r="AO161" i="110" s="1"/>
  <c r="BF40" i="167"/>
  <c r="BC40" i="167"/>
  <c r="BF48" i="167"/>
  <c r="BC48" i="167"/>
  <c r="BF30" i="167"/>
  <c r="BC30" i="167"/>
  <c r="BF58" i="167"/>
  <c r="BC58" i="167"/>
  <c r="BF56" i="167"/>
  <c r="BC56" i="167"/>
  <c r="BF72" i="167"/>
  <c r="BC72" i="167"/>
  <c r="BF22" i="167"/>
  <c r="BC22" i="167"/>
  <c r="BF62" i="167"/>
  <c r="BC62" i="167"/>
  <c r="BF66" i="167"/>
  <c r="BC66" i="167"/>
  <c r="BF24" i="167"/>
  <c r="BC24" i="167"/>
  <c r="BF54" i="167"/>
  <c r="BC54" i="167"/>
  <c r="BF70" i="167"/>
  <c r="BC70" i="167"/>
  <c r="BC18" i="171"/>
  <c r="BF64" i="167"/>
  <c r="BC64" i="167"/>
  <c r="BE32" i="167"/>
  <c r="BC32" i="167"/>
  <c r="BE20" i="167"/>
  <c r="BC20" i="167"/>
  <c r="BF26" i="167"/>
  <c r="BC26" i="167"/>
  <c r="BF46" i="167"/>
  <c r="BC46" i="167"/>
  <c r="BE38" i="167"/>
  <c r="BC38" i="167"/>
  <c r="BC26" i="158"/>
  <c r="R8" i="110"/>
  <c r="J10" i="110"/>
  <c r="BC30" i="158"/>
  <c r="R10" i="110"/>
  <c r="C7" i="110"/>
  <c r="AS7" i="110" s="1"/>
  <c r="AT37" i="110"/>
  <c r="AT20" i="159"/>
  <c r="J36" i="110" s="1"/>
  <c r="AT18" i="168"/>
  <c r="AN182" i="110" s="1"/>
  <c r="AE187" i="110"/>
  <c r="C187" i="110"/>
  <c r="B187" i="110" s="1"/>
  <c r="AN187" i="110"/>
  <c r="AC191" i="110"/>
  <c r="AC187" i="110"/>
  <c r="C185" i="110"/>
  <c r="B185" i="110" s="1"/>
  <c r="AN183" i="110"/>
  <c r="AD182" i="110"/>
  <c r="C184" i="110"/>
  <c r="B184" i="110" s="1"/>
  <c r="AE184" i="110"/>
  <c r="AO184" i="110"/>
  <c r="AC190" i="110"/>
  <c r="AN185" i="110"/>
  <c r="C189" i="110"/>
  <c r="B189" i="110" s="1"/>
  <c r="BE54" i="167"/>
  <c r="BC30" i="162"/>
  <c r="R126" i="110"/>
  <c r="BC28" i="162"/>
  <c r="BC34" i="163"/>
  <c r="BC36" i="182"/>
  <c r="R122" i="110"/>
  <c r="BC26" i="163"/>
  <c r="BF20" i="167"/>
  <c r="BE70" i="167"/>
  <c r="BE18" i="167"/>
  <c r="C68" i="110"/>
  <c r="AS68" i="110" s="1"/>
  <c r="C70" i="110"/>
  <c r="AS70" i="110" s="1"/>
  <c r="AU46" i="167"/>
  <c r="AO165" i="110" s="1"/>
  <c r="AU24" i="167"/>
  <c r="AO154" i="110" s="1"/>
  <c r="BE24" i="167"/>
  <c r="BE22" i="167"/>
  <c r="BE62" i="167"/>
  <c r="AU54" i="167"/>
  <c r="AO169" i="110" s="1"/>
  <c r="AU30" i="167"/>
  <c r="AO157" i="110" s="1"/>
  <c r="AU62" i="167"/>
  <c r="AO173" i="110" s="1"/>
  <c r="BF32" i="167"/>
  <c r="AU22" i="167"/>
  <c r="AO153" i="110" s="1"/>
  <c r="AU70" i="167"/>
  <c r="AO177" i="110" s="1"/>
  <c r="BE30" i="167"/>
  <c r="BE72" i="167"/>
  <c r="BE64" i="167"/>
  <c r="BA18" i="167"/>
  <c r="BG18" i="167"/>
  <c r="BA20" i="170"/>
  <c r="AT20" i="170"/>
  <c r="AN215" i="110" s="1"/>
  <c r="BE18" i="171"/>
  <c r="BA18" i="171"/>
  <c r="BA18" i="13"/>
  <c r="AU48" i="167"/>
  <c r="AO166" i="110" s="1"/>
  <c r="BE48" i="167"/>
  <c r="BC26" i="182"/>
  <c r="AU72" i="167"/>
  <c r="AO178" i="110" s="1"/>
  <c r="AU32" i="167"/>
  <c r="AO158" i="110" s="1"/>
  <c r="AU34" i="167"/>
  <c r="AO159" i="110" s="1"/>
  <c r="BE26" i="167"/>
  <c r="AU20" i="167"/>
  <c r="AO152" i="110" s="1"/>
  <c r="AE151" i="110"/>
  <c r="AU64" i="167"/>
  <c r="AO174" i="110" s="1"/>
  <c r="AU44" i="167"/>
  <c r="AO164" i="110" s="1"/>
  <c r="AU52" i="167"/>
  <c r="AO168" i="110" s="1"/>
  <c r="BE56" i="167"/>
  <c r="AU18" i="167"/>
  <c r="AO151" i="110" s="1"/>
  <c r="BE66" i="167"/>
  <c r="AU60" i="167"/>
  <c r="AO172" i="110" s="1"/>
  <c r="AU42" i="167"/>
  <c r="AO163" i="110" s="1"/>
  <c r="K18" i="3"/>
  <c r="AU74" i="167"/>
  <c r="AO179" i="110" s="1"/>
  <c r="AU26" i="167"/>
  <c r="AO155" i="110" s="1"/>
  <c r="AU76" i="167"/>
  <c r="AO180" i="110" s="1"/>
  <c r="AJ26" i="154"/>
  <c r="BE40" i="167"/>
  <c r="AU40" i="167"/>
  <c r="AO162" i="110" s="1"/>
  <c r="AU56" i="167"/>
  <c r="AO170" i="110" s="1"/>
  <c r="AU66" i="167"/>
  <c r="AO175" i="110" s="1"/>
  <c r="AU36" i="167"/>
  <c r="AO160" i="110" s="1"/>
  <c r="AU28" i="167"/>
  <c r="AO156" i="110" s="1"/>
  <c r="BF50" i="167"/>
  <c r="BE50" i="167"/>
  <c r="I18" i="3"/>
  <c r="BE58" i="167"/>
  <c r="AU58" i="167"/>
  <c r="AO171" i="110" s="1"/>
  <c r="AH26" i="154"/>
  <c r="AI26" i="154"/>
  <c r="H18" i="3"/>
  <c r="BF18" i="167"/>
  <c r="AU50" i="167"/>
  <c r="AO167" i="110" s="1"/>
  <c r="BF34" i="167"/>
  <c r="BE34" i="167"/>
  <c r="AW200" i="167"/>
  <c r="AD179" i="110"/>
  <c r="AU68" i="167"/>
  <c r="AO176" i="110" s="1"/>
  <c r="BF42" i="167"/>
  <c r="BE42" i="167"/>
  <c r="AD175" i="110"/>
  <c r="BF74" i="167"/>
  <c r="BE74" i="167"/>
  <c r="BF52" i="167"/>
  <c r="BE52" i="167"/>
  <c r="AD176" i="110"/>
  <c r="AD154" i="110"/>
  <c r="BF28" i="167"/>
  <c r="BE28" i="167"/>
  <c r="BF60" i="167"/>
  <c r="BE60" i="167"/>
  <c r="AX200" i="167"/>
  <c r="AD152" i="110"/>
  <c r="BF36" i="167"/>
  <c r="BE36" i="167"/>
  <c r="BF68" i="167"/>
  <c r="BE68" i="167"/>
  <c r="AD168" i="110"/>
  <c r="BF44" i="167"/>
  <c r="BE44" i="167"/>
  <c r="BF76" i="167"/>
  <c r="BE76" i="167"/>
  <c r="AD180" i="110"/>
  <c r="BC22" i="162"/>
  <c r="BC26" i="162"/>
  <c r="J67" i="110"/>
  <c r="BC30" i="182"/>
  <c r="BC24" i="160"/>
  <c r="BC36" i="163"/>
  <c r="BC32" i="182"/>
  <c r="BC26" i="160"/>
  <c r="BC34" i="182"/>
  <c r="BC32" i="160"/>
  <c r="BC34" i="162"/>
  <c r="BC32" i="162"/>
  <c r="R53" i="110"/>
  <c r="BC22" i="160"/>
  <c r="BC36" i="162"/>
  <c r="AH19" i="154"/>
  <c r="AJ19" i="154"/>
  <c r="BC20" i="162"/>
  <c r="V12" i="161"/>
  <c r="AW200" i="162"/>
  <c r="AW200" i="182"/>
  <c r="AV200" i="162"/>
  <c r="AJ24" i="154"/>
  <c r="AH24" i="154"/>
  <c r="AW343" i="161"/>
  <c r="H15" i="3"/>
  <c r="AV343" i="161"/>
  <c r="AW200" i="163"/>
  <c r="P120" i="110"/>
  <c r="R120" i="110"/>
  <c r="BC20" i="163"/>
  <c r="AI19" i="154"/>
  <c r="BC30" i="163"/>
  <c r="R125" i="110"/>
  <c r="AI24" i="154"/>
  <c r="AV200" i="163"/>
  <c r="R137" i="110"/>
  <c r="BC22" i="182"/>
  <c r="BC28" i="182"/>
  <c r="BC28" i="163"/>
  <c r="R124" i="110"/>
  <c r="AH18" i="170"/>
  <c r="AT18" i="159"/>
  <c r="AN18" i="159" s="1"/>
  <c r="AD183" i="110"/>
  <c r="AD167" i="110"/>
  <c r="AD191" i="110"/>
  <c r="AD190" i="110"/>
  <c r="AE188" i="110"/>
  <c r="AN188" i="110"/>
  <c r="AD187" i="110"/>
  <c r="AH24" i="170"/>
  <c r="AH32" i="171"/>
  <c r="BI32" i="171" s="1"/>
  <c r="AT32" i="171"/>
  <c r="AN237" i="110" s="1"/>
  <c r="BH32" i="171"/>
  <c r="C237" i="110" s="1"/>
  <c r="B237" i="110" s="1"/>
  <c r="BA32" i="171"/>
  <c r="AH26" i="13"/>
  <c r="BA26" i="13"/>
  <c r="AT26" i="13"/>
  <c r="AN250" i="110" s="1"/>
  <c r="BC28" i="160"/>
  <c r="C188" i="110"/>
  <c r="B188" i="110" s="1"/>
  <c r="BF26" i="170"/>
  <c r="BH26" i="13"/>
  <c r="C250" i="110" s="1"/>
  <c r="B250" i="110" s="1"/>
  <c r="AD159" i="110"/>
  <c r="AD156" i="110"/>
  <c r="AD160" i="110"/>
  <c r="AD157" i="110"/>
  <c r="AE160" i="110"/>
  <c r="AD158" i="110"/>
  <c r="AE186" i="110"/>
  <c r="AN186" i="110"/>
  <c r="BE36" i="169"/>
  <c r="BF36" i="169"/>
  <c r="BH24" i="170"/>
  <c r="C217" i="110" s="1"/>
  <c r="B217" i="110" s="1"/>
  <c r="BA24" i="170"/>
  <c r="BE36" i="13"/>
  <c r="BF36" i="13"/>
  <c r="AD284" i="110"/>
  <c r="AD155" i="110"/>
  <c r="AV200" i="182"/>
  <c r="N135" i="110"/>
  <c r="AO191" i="110"/>
  <c r="AC183" i="110"/>
  <c r="AT32" i="170"/>
  <c r="AN221" i="110" s="1"/>
  <c r="AE189" i="110"/>
  <c r="BA24" i="171"/>
  <c r="BH24" i="171"/>
  <c r="C233" i="110" s="1"/>
  <c r="B233" i="110" s="1"/>
  <c r="AT28" i="13"/>
  <c r="AN251" i="110" s="1"/>
  <c r="AD163" i="110"/>
  <c r="AD164" i="110"/>
  <c r="AD161" i="110"/>
  <c r="AD162" i="110"/>
  <c r="AO190" i="110"/>
  <c r="AD271" i="110"/>
  <c r="C183" i="110"/>
  <c r="B183" i="110" s="1"/>
  <c r="BA32" i="170"/>
  <c r="BH32" i="170"/>
  <c r="C221" i="110" s="1"/>
  <c r="B221" i="110" s="1"/>
  <c r="AE232" i="110"/>
  <c r="AH20" i="176"/>
  <c r="BH20" i="176"/>
  <c r="C279" i="110" s="1"/>
  <c r="B279" i="110" s="1"/>
  <c r="BA20" i="176"/>
  <c r="AT20" i="176"/>
  <c r="AN279" i="110" s="1"/>
  <c r="AD165" i="110"/>
  <c r="AD166" i="110"/>
  <c r="AD235" i="110"/>
  <c r="AH28" i="13"/>
  <c r="BA28" i="13"/>
  <c r="BF26" i="171"/>
  <c r="AV200" i="160"/>
  <c r="P51" i="110"/>
  <c r="AW200" i="160"/>
  <c r="AX200" i="158"/>
  <c r="AY200" i="158"/>
  <c r="N4" i="110"/>
  <c r="BJ34" i="170" l="1"/>
  <c r="BF22" i="175"/>
  <c r="BJ26" i="13"/>
  <c r="BJ30" i="169"/>
  <c r="BJ20" i="176"/>
  <c r="AU26" i="170"/>
  <c r="AO218" i="110" s="1"/>
  <c r="BE26" i="170"/>
  <c r="BJ36" i="171"/>
  <c r="BJ22" i="170"/>
  <c r="BJ36" i="175"/>
  <c r="BE34" i="175"/>
  <c r="BJ34" i="169"/>
  <c r="BF34" i="175"/>
  <c r="BE26" i="171"/>
  <c r="J119" i="110"/>
  <c r="C57" i="110"/>
  <c r="AS57" i="110" s="1"/>
  <c r="BJ24" i="175"/>
  <c r="BJ28" i="175"/>
  <c r="BJ32" i="13"/>
  <c r="BJ18" i="170"/>
  <c r="C59" i="110"/>
  <c r="AS59" i="110" s="1"/>
  <c r="C142" i="110"/>
  <c r="AS142" i="110" s="1"/>
  <c r="BJ26" i="175"/>
  <c r="BJ36" i="170"/>
  <c r="BJ18" i="13"/>
  <c r="BJ24" i="169"/>
  <c r="AD233" i="110"/>
  <c r="BJ24" i="171"/>
  <c r="BJ24" i="170"/>
  <c r="AD220" i="110"/>
  <c r="BJ30" i="170"/>
  <c r="BJ32" i="175"/>
  <c r="BJ28" i="13"/>
  <c r="AD215" i="110"/>
  <c r="BJ20" i="170"/>
  <c r="BJ20" i="171"/>
  <c r="BJ24" i="176"/>
  <c r="BJ28" i="169"/>
  <c r="AD236" i="110"/>
  <c r="BJ30" i="171"/>
  <c r="BJ26" i="169"/>
  <c r="AD218" i="110"/>
  <c r="BJ26" i="170"/>
  <c r="AC218" i="110" s="1"/>
  <c r="T218" i="110" s="1"/>
  <c r="BJ36" i="169"/>
  <c r="BJ32" i="169"/>
  <c r="BJ20" i="175"/>
  <c r="BJ34" i="13"/>
  <c r="BJ22" i="175"/>
  <c r="BJ18" i="169"/>
  <c r="BJ28" i="171"/>
  <c r="AD269" i="110"/>
  <c r="BJ30" i="175"/>
  <c r="AD234" i="110"/>
  <c r="BJ26" i="171"/>
  <c r="AD248" i="110"/>
  <c r="BJ22" i="13"/>
  <c r="BJ36" i="13"/>
  <c r="BJ32" i="171"/>
  <c r="BJ32" i="170"/>
  <c r="BJ20" i="13"/>
  <c r="BJ34" i="171"/>
  <c r="C110" i="110"/>
  <c r="AS110" i="110" s="1"/>
  <c r="C112" i="110"/>
  <c r="AS112" i="110" s="1"/>
  <c r="C56" i="110"/>
  <c r="AS56" i="110" s="1"/>
  <c r="C105" i="110"/>
  <c r="AS105" i="110" s="1"/>
  <c r="AT18" i="182"/>
  <c r="J135" i="110" s="1"/>
  <c r="H16" i="3"/>
  <c r="C55" i="110"/>
  <c r="AS55" i="110" s="1"/>
  <c r="C109" i="110"/>
  <c r="AS109" i="110" s="1"/>
  <c r="C54" i="110"/>
  <c r="AS54" i="110" s="1"/>
  <c r="AU28" i="175"/>
  <c r="AO268" i="110" s="1"/>
  <c r="E54" i="108"/>
  <c r="N54" i="108" s="1"/>
  <c r="C58" i="110"/>
  <c r="AS58" i="110" s="1"/>
  <c r="L54" i="108"/>
  <c r="G13" i="108" s="1"/>
  <c r="V53" i="108" s="1"/>
  <c r="BE30" i="170"/>
  <c r="AN18" i="182"/>
  <c r="BC18" i="182" s="1"/>
  <c r="AT36" i="160"/>
  <c r="J60" i="110" s="1"/>
  <c r="C126" i="110"/>
  <c r="AS126" i="110" s="1"/>
  <c r="C107" i="110"/>
  <c r="AS107" i="110" s="1"/>
  <c r="C143" i="110"/>
  <c r="AS143" i="110" s="1"/>
  <c r="C69" i="110"/>
  <c r="AS69" i="110" s="1"/>
  <c r="C122" i="110"/>
  <c r="AS122" i="110" s="1"/>
  <c r="C104" i="110"/>
  <c r="AS104" i="110" s="1"/>
  <c r="C128" i="110"/>
  <c r="AS128" i="110" s="1"/>
  <c r="C140" i="110"/>
  <c r="AS140" i="110" s="1"/>
  <c r="C139" i="110"/>
  <c r="AS139" i="110" s="1"/>
  <c r="C141" i="110"/>
  <c r="AS141" i="110" s="1"/>
  <c r="C123" i="110"/>
  <c r="AS123" i="110" s="1"/>
  <c r="C111" i="110"/>
  <c r="AS111" i="110" s="1"/>
  <c r="C127" i="110"/>
  <c r="AS127" i="110" s="1"/>
  <c r="C108" i="110"/>
  <c r="AS108" i="110" s="1"/>
  <c r="BI22" i="175"/>
  <c r="C138" i="110"/>
  <c r="AS138" i="110" s="1"/>
  <c r="AT119" i="110"/>
  <c r="BC20" i="182"/>
  <c r="AT136" i="110"/>
  <c r="AN265" i="110"/>
  <c r="BF34" i="169"/>
  <c r="C144" i="110"/>
  <c r="AS144" i="110" s="1"/>
  <c r="R119" i="110"/>
  <c r="BC18" i="163"/>
  <c r="N18" i="110"/>
  <c r="AK46" i="158"/>
  <c r="AT46" i="158" s="1"/>
  <c r="J18" i="110" s="1"/>
  <c r="O18" i="110"/>
  <c r="BB46" i="158"/>
  <c r="Q18" i="110" s="1"/>
  <c r="BI22" i="13"/>
  <c r="BF30" i="175"/>
  <c r="BC30" i="175"/>
  <c r="BF24" i="13"/>
  <c r="BF32" i="13"/>
  <c r="BE22" i="175"/>
  <c r="BE32" i="13"/>
  <c r="BF34" i="170"/>
  <c r="AU30" i="169"/>
  <c r="AO204" i="110" s="1"/>
  <c r="BI26" i="169"/>
  <c r="BE18" i="169"/>
  <c r="BE22" i="176"/>
  <c r="AU30" i="175"/>
  <c r="AO269" i="110" s="1"/>
  <c r="AU18" i="169"/>
  <c r="AO198" i="110" s="1"/>
  <c r="BI34" i="169"/>
  <c r="BI36" i="169"/>
  <c r="BI22" i="176"/>
  <c r="BF24" i="176"/>
  <c r="K15" i="3"/>
  <c r="BF28" i="13"/>
  <c r="AU26" i="169"/>
  <c r="AO202" i="110" s="1"/>
  <c r="J121" i="110"/>
  <c r="V12" i="163"/>
  <c r="AT200" i="163"/>
  <c r="BF28" i="171"/>
  <c r="BE28" i="171"/>
  <c r="BI34" i="170"/>
  <c r="AC163" i="110"/>
  <c r="O163" i="110" s="1"/>
  <c r="AC159" i="110"/>
  <c r="Z159" i="110" s="1"/>
  <c r="AC199" i="110"/>
  <c r="Z199" i="110" s="1"/>
  <c r="AC156" i="110"/>
  <c r="O156" i="110" s="1"/>
  <c r="AC167" i="110"/>
  <c r="AB167" i="110" s="1"/>
  <c r="AD204" i="110"/>
  <c r="AD239" i="110"/>
  <c r="AD255" i="110"/>
  <c r="AD280" i="110"/>
  <c r="AD206" i="110"/>
  <c r="AD246" i="110"/>
  <c r="AD278" i="110"/>
  <c r="AD238" i="110"/>
  <c r="AD268" i="110"/>
  <c r="AD253" i="110"/>
  <c r="AD272" i="110"/>
  <c r="AU28" i="171"/>
  <c r="AO235" i="110" s="1"/>
  <c r="AD270" i="110"/>
  <c r="AD232" i="110"/>
  <c r="AD222" i="110"/>
  <c r="AD281" i="110"/>
  <c r="AD264" i="110"/>
  <c r="AD254" i="110"/>
  <c r="AD265" i="110"/>
  <c r="C265" i="110"/>
  <c r="B265" i="110" s="1"/>
  <c r="BI34" i="175"/>
  <c r="AK18" i="170"/>
  <c r="BI28" i="170"/>
  <c r="C11" i="110"/>
  <c r="AS11" i="110" s="1"/>
  <c r="BE28" i="170"/>
  <c r="BE36" i="171"/>
  <c r="C15" i="110"/>
  <c r="BI36" i="13"/>
  <c r="J10" i="3"/>
  <c r="J27" i="3" s="1"/>
  <c r="N5" i="110"/>
  <c r="AK20" i="158"/>
  <c r="AT24" i="162"/>
  <c r="J106" i="110" s="1"/>
  <c r="I10" i="3"/>
  <c r="R136" i="110"/>
  <c r="R121" i="110"/>
  <c r="BC22" i="163"/>
  <c r="R12" i="163"/>
  <c r="L15" i="3"/>
  <c r="Z12" i="163"/>
  <c r="M15" i="3"/>
  <c r="O15" i="3"/>
  <c r="N15" i="3"/>
  <c r="AK24" i="154"/>
  <c r="AT52" i="110"/>
  <c r="O5" i="110"/>
  <c r="BF30" i="170"/>
  <c r="BE34" i="171"/>
  <c r="BF34" i="13"/>
  <c r="AD252" i="110"/>
  <c r="AU22" i="13"/>
  <c r="AO248" i="110" s="1"/>
  <c r="AU34" i="170"/>
  <c r="AO222" i="110" s="1"/>
  <c r="BF26" i="169"/>
  <c r="AD219" i="110"/>
  <c r="BC28" i="13"/>
  <c r="AU28" i="13"/>
  <c r="AO251" i="110" s="1"/>
  <c r="BF22" i="13"/>
  <c r="BE26" i="169"/>
  <c r="AU30" i="170"/>
  <c r="AO220" i="110" s="1"/>
  <c r="BF36" i="175"/>
  <c r="BE22" i="13"/>
  <c r="BE34" i="170"/>
  <c r="AU22" i="171"/>
  <c r="AO232" i="110" s="1"/>
  <c r="BI28" i="171"/>
  <c r="BF32" i="175"/>
  <c r="BE36" i="170"/>
  <c r="AU36" i="171"/>
  <c r="AO239" i="110" s="1"/>
  <c r="BE20" i="171"/>
  <c r="AU34" i="169"/>
  <c r="AO206" i="110" s="1"/>
  <c r="AD249" i="110"/>
  <c r="BF30" i="13"/>
  <c r="AU20" i="171"/>
  <c r="AO231" i="110" s="1"/>
  <c r="AU26" i="171"/>
  <c r="AO234" i="110" s="1"/>
  <c r="BE34" i="169"/>
  <c r="BF18" i="169"/>
  <c r="BE24" i="13"/>
  <c r="BC22" i="169"/>
  <c r="AU32" i="13"/>
  <c r="AO253" i="110" s="1"/>
  <c r="BI22" i="171"/>
  <c r="AU24" i="13"/>
  <c r="AO249" i="110" s="1"/>
  <c r="AU28" i="170"/>
  <c r="AO219" i="110" s="1"/>
  <c r="AD202" i="110"/>
  <c r="BE32" i="175"/>
  <c r="AU30" i="13"/>
  <c r="AO252" i="110" s="1"/>
  <c r="AU22" i="169"/>
  <c r="AO200" i="110" s="1"/>
  <c r="AU32" i="175"/>
  <c r="AO270" i="110" s="1"/>
  <c r="AU34" i="175"/>
  <c r="AO271" i="110" s="1"/>
  <c r="BF28" i="170"/>
  <c r="BE18" i="13"/>
  <c r="BF36" i="171"/>
  <c r="BE30" i="13"/>
  <c r="BI24" i="171"/>
  <c r="BF22" i="169"/>
  <c r="BI24" i="13"/>
  <c r="AE269" i="110"/>
  <c r="AD200" i="110"/>
  <c r="BI30" i="13"/>
  <c r="BI32" i="13"/>
  <c r="AU36" i="175"/>
  <c r="AO272" i="110" s="1"/>
  <c r="BI20" i="171"/>
  <c r="AE278" i="110"/>
  <c r="BF22" i="171"/>
  <c r="BF20" i="171"/>
  <c r="AU22" i="175"/>
  <c r="AU34" i="171"/>
  <c r="AO238" i="110" s="1"/>
  <c r="AD207" i="110"/>
  <c r="AU36" i="13"/>
  <c r="AO255" i="110" s="1"/>
  <c r="BI36" i="175"/>
  <c r="AE271" i="110"/>
  <c r="BE22" i="171"/>
  <c r="BE36" i="175"/>
  <c r="BF34" i="171"/>
  <c r="BI34" i="13"/>
  <c r="AU22" i="176"/>
  <c r="AO280" i="110" s="1"/>
  <c r="BC22" i="176"/>
  <c r="K24" i="3"/>
  <c r="AU18" i="13"/>
  <c r="AO246" i="110" s="1"/>
  <c r="BF28" i="175"/>
  <c r="BI20" i="13"/>
  <c r="BF22" i="170"/>
  <c r="BI22" i="170"/>
  <c r="BE28" i="175"/>
  <c r="BE22" i="170"/>
  <c r="BF20" i="176"/>
  <c r="AU36" i="170"/>
  <c r="AO223" i="110" s="1"/>
  <c r="AH30" i="154"/>
  <c r="BF36" i="170"/>
  <c r="AE270" i="110"/>
  <c r="BI30" i="169"/>
  <c r="BI20" i="170"/>
  <c r="AE266" i="110"/>
  <c r="BI24" i="175"/>
  <c r="C270" i="110"/>
  <c r="B270" i="110" s="1"/>
  <c r="AE264" i="110"/>
  <c r="BI26" i="13"/>
  <c r="BI32" i="169"/>
  <c r="AD198" i="110"/>
  <c r="BI28" i="13"/>
  <c r="BI36" i="171"/>
  <c r="BI20" i="176"/>
  <c r="BI24" i="170"/>
  <c r="BI26" i="175"/>
  <c r="C267" i="110"/>
  <c r="B267" i="110" s="1"/>
  <c r="AE267" i="110"/>
  <c r="BF24" i="175"/>
  <c r="K20" i="3"/>
  <c r="BE26" i="175"/>
  <c r="AD267" i="110"/>
  <c r="AU24" i="175"/>
  <c r="BE24" i="175"/>
  <c r="BF26" i="175"/>
  <c r="AX200" i="175"/>
  <c r="M52" i="108"/>
  <c r="BF30" i="169"/>
  <c r="C266" i="110"/>
  <c r="B266" i="110" s="1"/>
  <c r="AW200" i="175"/>
  <c r="AU24" i="169"/>
  <c r="AO201" i="110" s="1"/>
  <c r="AD266" i="110"/>
  <c r="BE24" i="169"/>
  <c r="AU30" i="171"/>
  <c r="AO236" i="110" s="1"/>
  <c r="AE268" i="110"/>
  <c r="AN266" i="110"/>
  <c r="C268" i="110"/>
  <c r="B268" i="110" s="1"/>
  <c r="AC271" i="110"/>
  <c r="Z271" i="110" s="1"/>
  <c r="J24" i="3"/>
  <c r="BA200" i="175"/>
  <c r="BF28" i="169"/>
  <c r="AD223" i="110"/>
  <c r="BE30" i="171"/>
  <c r="BE30" i="169"/>
  <c r="BE28" i="169"/>
  <c r="BF30" i="171"/>
  <c r="BF24" i="169"/>
  <c r="AU28" i="169"/>
  <c r="AO203" i="110" s="1"/>
  <c r="P24" i="3"/>
  <c r="BE20" i="176"/>
  <c r="AD205" i="110"/>
  <c r="C13" i="110"/>
  <c r="AS13" i="110" s="1"/>
  <c r="AH31" i="154"/>
  <c r="BA200" i="169"/>
  <c r="AU22" i="170"/>
  <c r="AO216" i="110" s="1"/>
  <c r="AU20" i="175"/>
  <c r="AO263" i="110" s="1"/>
  <c r="AI30" i="154"/>
  <c r="BE20" i="175"/>
  <c r="BF20" i="175"/>
  <c r="BC20" i="175"/>
  <c r="AU34" i="13"/>
  <c r="AO254" i="110" s="1"/>
  <c r="BE24" i="176"/>
  <c r="AD201" i="110"/>
  <c r="AU26" i="175"/>
  <c r="I24" i="3"/>
  <c r="J20" i="3"/>
  <c r="AU20" i="170"/>
  <c r="AO215" i="110" s="1"/>
  <c r="P23" i="3"/>
  <c r="AJ30" i="154"/>
  <c r="BE34" i="13"/>
  <c r="H24" i="3"/>
  <c r="AU24" i="176"/>
  <c r="AO281" i="110" s="1"/>
  <c r="C17" i="110"/>
  <c r="AS17" i="110" s="1"/>
  <c r="C16" i="110"/>
  <c r="AS16" i="110" s="1"/>
  <c r="AX200" i="171"/>
  <c r="AU24" i="170"/>
  <c r="AO217" i="110" s="1"/>
  <c r="H14" i="3"/>
  <c r="C12" i="110"/>
  <c r="AS12" i="110" s="1"/>
  <c r="AD247" i="110"/>
  <c r="K25" i="3"/>
  <c r="AJ28" i="154"/>
  <c r="BC32" i="169"/>
  <c r="AD216" i="110"/>
  <c r="L55" i="108"/>
  <c r="G14" i="108" s="1"/>
  <c r="V54" i="108" s="1"/>
  <c r="AX200" i="169"/>
  <c r="AU30" i="176"/>
  <c r="AO284" i="110" s="1"/>
  <c r="BF20" i="13"/>
  <c r="BC20" i="13"/>
  <c r="BE20" i="13"/>
  <c r="K53" i="108"/>
  <c r="F12" i="108" s="1"/>
  <c r="U52" i="108" s="1"/>
  <c r="D53" i="108"/>
  <c r="B54" i="108"/>
  <c r="K21" i="3"/>
  <c r="BC18" i="13"/>
  <c r="AU20" i="13"/>
  <c r="AO247" i="110" s="1"/>
  <c r="BK18" i="171"/>
  <c r="BK18" i="167"/>
  <c r="P18" i="3" s="1"/>
  <c r="BK18" i="169"/>
  <c r="B68" i="110"/>
  <c r="AR68" i="110"/>
  <c r="B42" i="110"/>
  <c r="AR42" i="110"/>
  <c r="B71" i="110"/>
  <c r="AR71" i="110"/>
  <c r="B142" i="110"/>
  <c r="AR142" i="110"/>
  <c r="B126" i="110"/>
  <c r="B41" i="110"/>
  <c r="AR41" i="110"/>
  <c r="B39" i="110"/>
  <c r="AR39" i="110"/>
  <c r="B44" i="110"/>
  <c r="AR44" i="110"/>
  <c r="B40" i="110"/>
  <c r="AR40" i="110"/>
  <c r="B72" i="110"/>
  <c r="AR72" i="110"/>
  <c r="AR105" i="110"/>
  <c r="B70" i="110"/>
  <c r="AR70" i="110"/>
  <c r="B109" i="110"/>
  <c r="AR109" i="110"/>
  <c r="B38" i="110"/>
  <c r="AR38" i="110"/>
  <c r="B43" i="110"/>
  <c r="AR43" i="110"/>
  <c r="B58" i="110"/>
  <c r="AR58" i="110"/>
  <c r="B59" i="110"/>
  <c r="AR59" i="110"/>
  <c r="AR54" i="110"/>
  <c r="Z183" i="110"/>
  <c r="AB183" i="110"/>
  <c r="Z187" i="110"/>
  <c r="AB187" i="110"/>
  <c r="Z190" i="110"/>
  <c r="AB190" i="110"/>
  <c r="Z191" i="110"/>
  <c r="AB191" i="110"/>
  <c r="O183" i="110"/>
  <c r="Q183" i="110"/>
  <c r="O190" i="110"/>
  <c r="Q190" i="110"/>
  <c r="O191" i="110"/>
  <c r="Q191" i="110"/>
  <c r="O187" i="110"/>
  <c r="Q187" i="110"/>
  <c r="B7" i="110"/>
  <c r="AR7" i="110"/>
  <c r="H26" i="3"/>
  <c r="AT30" i="176"/>
  <c r="AN284" i="110" s="1"/>
  <c r="I26" i="3"/>
  <c r="I25" i="3"/>
  <c r="H25" i="3"/>
  <c r="AW200" i="176"/>
  <c r="BC18" i="176"/>
  <c r="BE20" i="170"/>
  <c r="BC20" i="170"/>
  <c r="AT18" i="169"/>
  <c r="AN198" i="110" s="1"/>
  <c r="BA200" i="158"/>
  <c r="AV200" i="158"/>
  <c r="L190" i="110"/>
  <c r="M190" i="110"/>
  <c r="L191" i="110"/>
  <c r="M191" i="110"/>
  <c r="L183" i="110"/>
  <c r="M183" i="110"/>
  <c r="L187" i="110"/>
  <c r="M187" i="110"/>
  <c r="Q6" i="110"/>
  <c r="AW200" i="158"/>
  <c r="O6" i="110"/>
  <c r="BF22" i="158"/>
  <c r="C8" i="110"/>
  <c r="AS8" i="110" s="1"/>
  <c r="C10" i="110"/>
  <c r="AS10" i="110" s="1"/>
  <c r="BC22" i="159"/>
  <c r="R37" i="110"/>
  <c r="AT36" i="110"/>
  <c r="AO188" i="110"/>
  <c r="AU18" i="168"/>
  <c r="AO182" i="110" s="1"/>
  <c r="AC189" i="110"/>
  <c r="AO187" i="110"/>
  <c r="AO189" i="110"/>
  <c r="AO185" i="110"/>
  <c r="AC188" i="110"/>
  <c r="BF18" i="168"/>
  <c r="BE18" i="168"/>
  <c r="AC184" i="110"/>
  <c r="AD184" i="110"/>
  <c r="AI23" i="154"/>
  <c r="AH23" i="154"/>
  <c r="AJ23" i="154"/>
  <c r="AC160" i="110"/>
  <c r="AB160" i="110" s="1"/>
  <c r="AC171" i="110"/>
  <c r="AB171" i="110" s="1"/>
  <c r="AC174" i="110"/>
  <c r="AB174" i="110" s="1"/>
  <c r="AC178" i="110"/>
  <c r="AB178" i="110" s="1"/>
  <c r="AC168" i="110"/>
  <c r="AB168" i="110" s="1"/>
  <c r="AC158" i="110"/>
  <c r="AB158" i="110" s="1"/>
  <c r="AC175" i="110"/>
  <c r="AB175" i="110" s="1"/>
  <c r="AC164" i="110"/>
  <c r="AB164" i="110" s="1"/>
  <c r="AC155" i="110"/>
  <c r="AB155" i="110" s="1"/>
  <c r="AC157" i="110"/>
  <c r="AB157" i="110" s="1"/>
  <c r="AC169" i="110"/>
  <c r="AB169" i="110" s="1"/>
  <c r="AC166" i="110"/>
  <c r="AB166" i="110" s="1"/>
  <c r="AC162" i="110"/>
  <c r="AB162" i="110" s="1"/>
  <c r="AC176" i="110"/>
  <c r="AB176" i="110" s="1"/>
  <c r="AC179" i="110"/>
  <c r="AB179" i="110" s="1"/>
  <c r="AC177" i="110"/>
  <c r="AB177" i="110" s="1"/>
  <c r="AC170" i="110"/>
  <c r="AB170" i="110" s="1"/>
  <c r="AC165" i="110"/>
  <c r="AB165" i="110" s="1"/>
  <c r="AC153" i="110"/>
  <c r="AB153" i="110" s="1"/>
  <c r="AC180" i="110"/>
  <c r="AB180" i="110" s="1"/>
  <c r="AC152" i="110"/>
  <c r="AB152" i="110" s="1"/>
  <c r="AC154" i="110"/>
  <c r="AB154" i="110" s="1"/>
  <c r="AC172" i="110"/>
  <c r="AB172" i="110" s="1"/>
  <c r="AC161" i="110"/>
  <c r="AB161" i="110" s="1"/>
  <c r="AC173" i="110"/>
  <c r="AB173" i="110" s="1"/>
  <c r="BA200" i="167"/>
  <c r="J18" i="3"/>
  <c r="AT18" i="167"/>
  <c r="AN151" i="110" s="1"/>
  <c r="AT18" i="171"/>
  <c r="AN230" i="110" s="1"/>
  <c r="AT18" i="13"/>
  <c r="AN246" i="110" s="1"/>
  <c r="BA18" i="176"/>
  <c r="AT18" i="162"/>
  <c r="AN18" i="162" s="1"/>
  <c r="H13" i="3"/>
  <c r="K13" i="3"/>
  <c r="AH21" i="154"/>
  <c r="AI21" i="154"/>
  <c r="AJ21" i="154"/>
  <c r="AT343" i="161"/>
  <c r="C53" i="110"/>
  <c r="AS53" i="110" s="1"/>
  <c r="C125" i="110"/>
  <c r="AS125" i="110" s="1"/>
  <c r="C120" i="110"/>
  <c r="AS120" i="110" s="1"/>
  <c r="C137" i="110"/>
  <c r="AS137" i="110" s="1"/>
  <c r="O4" i="110"/>
  <c r="C124" i="110"/>
  <c r="AS124" i="110" s="1"/>
  <c r="AD214" i="110"/>
  <c r="AT200" i="159"/>
  <c r="K11" i="3"/>
  <c r="J35" i="110"/>
  <c r="V12" i="159"/>
  <c r="BE32" i="170"/>
  <c r="BF32" i="170"/>
  <c r="AD237" i="110"/>
  <c r="AU32" i="171"/>
  <c r="AO237" i="110" s="1"/>
  <c r="K22" i="3"/>
  <c r="BA200" i="168"/>
  <c r="J183" i="110"/>
  <c r="W183" i="110"/>
  <c r="S183" i="110"/>
  <c r="V183" i="110"/>
  <c r="R183" i="110"/>
  <c r="X183" i="110"/>
  <c r="H183" i="110"/>
  <c r="I183" i="110"/>
  <c r="U183" i="110"/>
  <c r="T183" i="110"/>
  <c r="AE183" i="110"/>
  <c r="AX200" i="168"/>
  <c r="AD217" i="110"/>
  <c r="AW200" i="170"/>
  <c r="BF26" i="13"/>
  <c r="BE26" i="13"/>
  <c r="AH32" i="154"/>
  <c r="AJ32" i="154"/>
  <c r="AI32" i="154"/>
  <c r="H23" i="3"/>
  <c r="BA200" i="13"/>
  <c r="J23" i="3"/>
  <c r="BE32" i="171"/>
  <c r="BF32" i="171"/>
  <c r="I187" i="110"/>
  <c r="H187" i="110"/>
  <c r="J187" i="110"/>
  <c r="X187" i="110"/>
  <c r="R187" i="110"/>
  <c r="S187" i="110"/>
  <c r="T187" i="110"/>
  <c r="V187" i="110"/>
  <c r="U187" i="110"/>
  <c r="W187" i="110"/>
  <c r="AD188" i="110"/>
  <c r="X190" i="110"/>
  <c r="R190" i="110"/>
  <c r="I190" i="110"/>
  <c r="U190" i="110"/>
  <c r="W190" i="110"/>
  <c r="S190" i="110"/>
  <c r="J190" i="110"/>
  <c r="T190" i="110"/>
  <c r="H190" i="110"/>
  <c r="V190" i="110"/>
  <c r="AC185" i="110"/>
  <c r="AD185" i="110"/>
  <c r="BE32" i="169"/>
  <c r="BF32" i="169"/>
  <c r="AI28" i="154"/>
  <c r="AH28" i="154"/>
  <c r="H20" i="3"/>
  <c r="AO183" i="110"/>
  <c r="K19" i="3"/>
  <c r="AE250" i="110"/>
  <c r="AX200" i="13"/>
  <c r="BE24" i="171"/>
  <c r="BF24" i="171"/>
  <c r="AJ31" i="154"/>
  <c r="H22" i="3"/>
  <c r="AI31" i="154"/>
  <c r="I22" i="3"/>
  <c r="AX200" i="176"/>
  <c r="AD251" i="110"/>
  <c r="AU24" i="171"/>
  <c r="AO233" i="110" s="1"/>
  <c r="AD279" i="110"/>
  <c r="AU20" i="176"/>
  <c r="AO279" i="110" s="1"/>
  <c r="AD203" i="110"/>
  <c r="AW200" i="169"/>
  <c r="I20" i="3"/>
  <c r="AD189" i="110"/>
  <c r="AI27" i="154"/>
  <c r="H19" i="3"/>
  <c r="I19" i="3"/>
  <c r="AO186" i="110"/>
  <c r="AH27" i="154"/>
  <c r="BE24" i="170"/>
  <c r="BF24" i="170"/>
  <c r="K23" i="3"/>
  <c r="AU26" i="13"/>
  <c r="AO250" i="110" s="1"/>
  <c r="C56" i="108"/>
  <c r="L56" i="108" s="1"/>
  <c r="G15" i="108" s="1"/>
  <c r="V55" i="108" s="1"/>
  <c r="E55" i="108"/>
  <c r="AW200" i="168"/>
  <c r="AD221" i="110"/>
  <c r="AU32" i="170"/>
  <c r="AO221" i="110" s="1"/>
  <c r="BA200" i="171"/>
  <c r="J22" i="3"/>
  <c r="AD186" i="110"/>
  <c r="AE217" i="110"/>
  <c r="AX200" i="170"/>
  <c r="AJ27" i="154"/>
  <c r="I23" i="3"/>
  <c r="AW200" i="171"/>
  <c r="AD250" i="110"/>
  <c r="AW200" i="13"/>
  <c r="AU32" i="169"/>
  <c r="AO205" i="110" s="1"/>
  <c r="W191" i="110"/>
  <c r="H191" i="110"/>
  <c r="J191" i="110"/>
  <c r="R191" i="110"/>
  <c r="S191" i="110"/>
  <c r="T191" i="110"/>
  <c r="U191" i="110"/>
  <c r="X191" i="110"/>
  <c r="V191" i="110"/>
  <c r="I191" i="110"/>
  <c r="J19" i="3"/>
  <c r="AI20" i="154"/>
  <c r="H12" i="3"/>
  <c r="AT18" i="160"/>
  <c r="AN18" i="160" s="1"/>
  <c r="AJ20" i="154"/>
  <c r="AH20" i="154"/>
  <c r="BF18" i="176"/>
  <c r="AU18" i="176"/>
  <c r="AO278" i="110" s="1"/>
  <c r="AH33" i="154"/>
  <c r="AJ33" i="154"/>
  <c r="BE18" i="176"/>
  <c r="AI33" i="154"/>
  <c r="C157" i="3"/>
  <c r="B167" i="3"/>
  <c r="D149" i="3"/>
  <c r="D130" i="3"/>
  <c r="D136" i="3"/>
  <c r="B153" i="3"/>
  <c r="C166" i="3"/>
  <c r="D128" i="3"/>
  <c r="D78" i="3"/>
  <c r="D150" i="3"/>
  <c r="D157" i="3"/>
  <c r="B120" i="3"/>
  <c r="C131" i="3"/>
  <c r="D105" i="3"/>
  <c r="D152" i="3"/>
  <c r="D117" i="3"/>
  <c r="C153" i="3"/>
  <c r="B118" i="3"/>
  <c r="C76" i="3"/>
  <c r="B136" i="3"/>
  <c r="C116" i="3"/>
  <c r="C132" i="3"/>
  <c r="C136" i="3"/>
  <c r="D116" i="3"/>
  <c r="B128" i="3"/>
  <c r="C130" i="3"/>
  <c r="C77" i="3"/>
  <c r="B148" i="3"/>
  <c r="B158" i="3"/>
  <c r="C154" i="3"/>
  <c r="C127" i="3"/>
  <c r="D153" i="3"/>
  <c r="B134" i="3"/>
  <c r="B77" i="3"/>
  <c r="D77" i="3"/>
  <c r="C138" i="3"/>
  <c r="C150" i="3"/>
  <c r="D138" i="3"/>
  <c r="C110" i="3"/>
  <c r="B117" i="3"/>
  <c r="B110" i="3"/>
  <c r="C108" i="3"/>
  <c r="D103" i="3"/>
  <c r="B104" i="3"/>
  <c r="D134" i="3"/>
  <c r="D111" i="3"/>
  <c r="D125" i="3"/>
  <c r="C118" i="3"/>
  <c r="D76" i="3"/>
  <c r="B105" i="3"/>
  <c r="D129" i="3"/>
  <c r="B127" i="3"/>
  <c r="B159" i="3"/>
  <c r="D137" i="3"/>
  <c r="C78" i="3"/>
  <c r="B160" i="3"/>
  <c r="C148" i="3"/>
  <c r="B115" i="3"/>
  <c r="D151" i="3"/>
  <c r="C109" i="3"/>
  <c r="B135" i="3"/>
  <c r="B125" i="3"/>
  <c r="D119" i="3"/>
  <c r="B102" i="3"/>
  <c r="C135" i="3"/>
  <c r="B78" i="3"/>
  <c r="C133" i="3"/>
  <c r="B131" i="3"/>
  <c r="B155" i="3"/>
  <c r="D102" i="3"/>
  <c r="D133" i="3"/>
  <c r="C125" i="3"/>
  <c r="D106" i="3"/>
  <c r="D139" i="3"/>
  <c r="B108" i="3"/>
  <c r="C120" i="3"/>
  <c r="C103" i="3"/>
  <c r="C156" i="3"/>
  <c r="B138" i="3"/>
  <c r="B116" i="3"/>
  <c r="C160" i="3"/>
  <c r="B156" i="3"/>
  <c r="D132" i="3"/>
  <c r="C123" i="3"/>
  <c r="D159" i="3"/>
  <c r="B154" i="3"/>
  <c r="D123" i="3"/>
  <c r="D121" i="3"/>
  <c r="C155" i="3"/>
  <c r="C115" i="3"/>
  <c r="B137" i="3"/>
  <c r="B122" i="3"/>
  <c r="B121" i="3"/>
  <c r="C151" i="3"/>
  <c r="D127" i="3"/>
  <c r="C121" i="3"/>
  <c r="D122" i="3"/>
  <c r="B124" i="3"/>
  <c r="C137" i="3"/>
  <c r="C117" i="3"/>
  <c r="C102" i="3"/>
  <c r="C129" i="3"/>
  <c r="B111" i="3"/>
  <c r="B132" i="3"/>
  <c r="B150" i="3"/>
  <c r="C126" i="3"/>
  <c r="D109" i="3"/>
  <c r="D148" i="3"/>
  <c r="B151" i="3"/>
  <c r="B133" i="3"/>
  <c r="B106" i="3"/>
  <c r="D126" i="3"/>
  <c r="C158" i="3"/>
  <c r="B76" i="3"/>
  <c r="C124" i="3"/>
  <c r="D135" i="3"/>
  <c r="D155" i="3"/>
  <c r="C106" i="3"/>
  <c r="C139" i="3"/>
  <c r="D108" i="3"/>
  <c r="B152" i="3"/>
  <c r="B157" i="3"/>
  <c r="C122" i="3"/>
  <c r="D167" i="3"/>
  <c r="B126" i="3"/>
  <c r="D158" i="3"/>
  <c r="B123" i="3"/>
  <c r="C119" i="3"/>
  <c r="D104" i="3"/>
  <c r="C134" i="3"/>
  <c r="C167" i="3"/>
  <c r="B166" i="3"/>
  <c r="C149" i="3"/>
  <c r="B139" i="3"/>
  <c r="C105" i="3"/>
  <c r="D160" i="3"/>
  <c r="D166" i="3"/>
  <c r="AR57" i="110" l="1"/>
  <c r="B57" i="110"/>
  <c r="B143" i="110"/>
  <c r="B54" i="110"/>
  <c r="AR55" i="110"/>
  <c r="B55" i="110"/>
  <c r="V12" i="182"/>
  <c r="AR112" i="110"/>
  <c r="B112" i="110"/>
  <c r="AR56" i="110"/>
  <c r="B56" i="110"/>
  <c r="AR110" i="110"/>
  <c r="B110" i="110"/>
  <c r="AR139" i="110"/>
  <c r="B139" i="110"/>
  <c r="AR143" i="110"/>
  <c r="AR140" i="110"/>
  <c r="B140" i="110"/>
  <c r="B105" i="110"/>
  <c r="B107" i="110"/>
  <c r="AR128" i="110"/>
  <c r="B128" i="110"/>
  <c r="AR104" i="110"/>
  <c r="B104" i="110"/>
  <c r="AR122" i="110"/>
  <c r="B122" i="110"/>
  <c r="AT200" i="182"/>
  <c r="K16" i="3"/>
  <c r="B111" i="110"/>
  <c r="AR126" i="110"/>
  <c r="AR69" i="110"/>
  <c r="B69" i="110"/>
  <c r="M16" i="3"/>
  <c r="AN36" i="160"/>
  <c r="R60" i="110" s="1"/>
  <c r="AN46" i="158"/>
  <c r="B141" i="110"/>
  <c r="Z12" i="182"/>
  <c r="AT135" i="110"/>
  <c r="O16" i="3"/>
  <c r="AK22" i="154"/>
  <c r="L16" i="3"/>
  <c r="R12" i="182"/>
  <c r="N16" i="3"/>
  <c r="R135" i="110"/>
  <c r="C135" i="110" s="1"/>
  <c r="AS135" i="110" s="1"/>
  <c r="AR141" i="110"/>
  <c r="AR123" i="110"/>
  <c r="B123" i="110"/>
  <c r="B127" i="110"/>
  <c r="AR107" i="110"/>
  <c r="AR111" i="110"/>
  <c r="AR127" i="110"/>
  <c r="B138" i="110"/>
  <c r="AR138" i="110"/>
  <c r="AR108" i="110"/>
  <c r="B108" i="110"/>
  <c r="C136" i="110"/>
  <c r="B136" i="110" s="1"/>
  <c r="AR144" i="110"/>
  <c r="B144" i="110"/>
  <c r="BB200" i="158"/>
  <c r="C119" i="110"/>
  <c r="AS119" i="110" s="1"/>
  <c r="AT35" i="110"/>
  <c r="AC233" i="110"/>
  <c r="Z233" i="110" s="1"/>
  <c r="AC279" i="110"/>
  <c r="Q279" i="110" s="1"/>
  <c r="AC216" i="110"/>
  <c r="Q216" i="110" s="1"/>
  <c r="AC221" i="110"/>
  <c r="Q221" i="110" s="1"/>
  <c r="AC220" i="110"/>
  <c r="AB220" i="110" s="1"/>
  <c r="AC266" i="110"/>
  <c r="AB266" i="110" s="1"/>
  <c r="AC203" i="110"/>
  <c r="R203" i="110" s="1"/>
  <c r="AC237" i="110"/>
  <c r="AB237" i="110" s="1"/>
  <c r="AC200" i="110"/>
  <c r="L200" i="110" s="1"/>
  <c r="AC250" i="110"/>
  <c r="AB250" i="110" s="1"/>
  <c r="W156" i="110"/>
  <c r="S156" i="110"/>
  <c r="V156" i="110"/>
  <c r="T167" i="110"/>
  <c r="M167" i="110"/>
  <c r="J159" i="110"/>
  <c r="L159" i="110"/>
  <c r="W159" i="110"/>
  <c r="V159" i="110"/>
  <c r="T156" i="110"/>
  <c r="I159" i="110"/>
  <c r="R159" i="110"/>
  <c r="H159" i="110"/>
  <c r="L156" i="110"/>
  <c r="J156" i="110"/>
  <c r="X156" i="110"/>
  <c r="H156" i="110"/>
  <c r="R156" i="110"/>
  <c r="M156" i="110"/>
  <c r="I156" i="110"/>
  <c r="U156" i="110"/>
  <c r="AB156" i="110"/>
  <c r="K156" i="110"/>
  <c r="V199" i="110"/>
  <c r="I167" i="110"/>
  <c r="R167" i="110"/>
  <c r="X159" i="110"/>
  <c r="K159" i="110"/>
  <c r="S159" i="110"/>
  <c r="M199" i="110"/>
  <c r="M159" i="110"/>
  <c r="U159" i="110"/>
  <c r="O159" i="110"/>
  <c r="T159" i="110"/>
  <c r="T163" i="110"/>
  <c r="Q156" i="110"/>
  <c r="Z156" i="110"/>
  <c r="J199" i="110"/>
  <c r="I199" i="110"/>
  <c r="X199" i="110"/>
  <c r="H167" i="110"/>
  <c r="K167" i="110"/>
  <c r="S167" i="110"/>
  <c r="Q167" i="110"/>
  <c r="L167" i="110"/>
  <c r="V167" i="110"/>
  <c r="X167" i="110"/>
  <c r="J167" i="110"/>
  <c r="V218" i="110"/>
  <c r="U167" i="110"/>
  <c r="W167" i="110"/>
  <c r="O167" i="110"/>
  <c r="Z167" i="110"/>
  <c r="V163" i="110"/>
  <c r="S163" i="110"/>
  <c r="X163" i="110"/>
  <c r="J163" i="110"/>
  <c r="R163" i="110"/>
  <c r="M163" i="110"/>
  <c r="Z163" i="110"/>
  <c r="Q163" i="110"/>
  <c r="K163" i="110"/>
  <c r="L163" i="110"/>
  <c r="I163" i="110"/>
  <c r="W163" i="110"/>
  <c r="U163" i="110"/>
  <c r="H163" i="110"/>
  <c r="AB218" i="110"/>
  <c r="R218" i="110"/>
  <c r="AB159" i="110"/>
  <c r="AB163" i="110"/>
  <c r="Q159" i="110"/>
  <c r="K199" i="110"/>
  <c r="O199" i="110"/>
  <c r="Q199" i="110"/>
  <c r="J218" i="110"/>
  <c r="Z218" i="110"/>
  <c r="X218" i="110"/>
  <c r="U218" i="110"/>
  <c r="M218" i="110"/>
  <c r="W218" i="110"/>
  <c r="I218" i="110"/>
  <c r="S218" i="110"/>
  <c r="K218" i="110"/>
  <c r="Q218" i="110"/>
  <c r="O218" i="110"/>
  <c r="H218" i="110"/>
  <c r="L218" i="110"/>
  <c r="U199" i="110"/>
  <c r="S199" i="110"/>
  <c r="AB199" i="110"/>
  <c r="R199" i="110"/>
  <c r="H199" i="110"/>
  <c r="T199" i="110"/>
  <c r="L199" i="110"/>
  <c r="W199" i="110"/>
  <c r="AR11" i="110"/>
  <c r="B11" i="110"/>
  <c r="B15" i="110"/>
  <c r="AS15" i="110"/>
  <c r="AC222" i="110"/>
  <c r="Z222" i="110" s="1"/>
  <c r="AC239" i="110"/>
  <c r="K239" i="110" s="1"/>
  <c r="AC254" i="110"/>
  <c r="U254" i="110" s="1"/>
  <c r="AC253" i="110"/>
  <c r="AB253" i="110" s="1"/>
  <c r="AC223" i="110"/>
  <c r="AB223" i="110" s="1"/>
  <c r="AC269" i="110"/>
  <c r="Z269" i="110" s="1"/>
  <c r="AC264" i="110"/>
  <c r="Q264" i="110" s="1"/>
  <c r="AC249" i="110"/>
  <c r="Z249" i="110" s="1"/>
  <c r="AC206" i="110"/>
  <c r="Q206" i="110" s="1"/>
  <c r="AC204" i="110"/>
  <c r="O204" i="110" s="1"/>
  <c r="AC251" i="110"/>
  <c r="AB251" i="110" s="1"/>
  <c r="AC202" i="110"/>
  <c r="AB202" i="110" s="1"/>
  <c r="AC231" i="110"/>
  <c r="AB231" i="110" s="1"/>
  <c r="AC238" i="110"/>
  <c r="Z238" i="110" s="1"/>
  <c r="AC247" i="110"/>
  <c r="X247" i="110" s="1"/>
  <c r="AC235" i="110"/>
  <c r="I235" i="110" s="1"/>
  <c r="AC232" i="110"/>
  <c r="Z232" i="110" s="1"/>
  <c r="AC280" i="110"/>
  <c r="Q280" i="110" s="1"/>
  <c r="AC219" i="110"/>
  <c r="M219" i="110" s="1"/>
  <c r="AC205" i="110"/>
  <c r="M205" i="110" s="1"/>
  <c r="AC236" i="110"/>
  <c r="AB236" i="110" s="1"/>
  <c r="AC270" i="110"/>
  <c r="Q270" i="110" s="1"/>
  <c r="AC252" i="110"/>
  <c r="I252" i="110" s="1"/>
  <c r="AC207" i="110"/>
  <c r="Z207" i="110" s="1"/>
  <c r="AC281" i="110"/>
  <c r="Q281" i="110" s="1"/>
  <c r="AC217" i="110"/>
  <c r="AB217" i="110" s="1"/>
  <c r="AC255" i="110"/>
  <c r="Q255" i="110" s="1"/>
  <c r="AC267" i="110"/>
  <c r="Z267" i="110" s="1"/>
  <c r="AC265" i="110"/>
  <c r="Z265" i="110" s="1"/>
  <c r="AC234" i="110"/>
  <c r="I234" i="110" s="1"/>
  <c r="AC272" i="110"/>
  <c r="O272" i="110" s="1"/>
  <c r="AC201" i="110"/>
  <c r="I201" i="110" s="1"/>
  <c r="AC248" i="110"/>
  <c r="AB248" i="110" s="1"/>
  <c r="AR15" i="110"/>
  <c r="C121" i="110"/>
  <c r="AS121" i="110" s="1"/>
  <c r="R52" i="110"/>
  <c r="BC20" i="160"/>
  <c r="AO266" i="110"/>
  <c r="AO265" i="110"/>
  <c r="AO267" i="110"/>
  <c r="AO264" i="110"/>
  <c r="I27" i="3"/>
  <c r="X271" i="110"/>
  <c r="H271" i="110"/>
  <c r="S271" i="110"/>
  <c r="J271" i="110"/>
  <c r="L271" i="110"/>
  <c r="K271" i="110"/>
  <c r="W271" i="110"/>
  <c r="V271" i="110"/>
  <c r="R271" i="110"/>
  <c r="T271" i="110"/>
  <c r="U271" i="110"/>
  <c r="M271" i="110"/>
  <c r="I271" i="110"/>
  <c r="Q271" i="110"/>
  <c r="AB271" i="110"/>
  <c r="O271" i="110"/>
  <c r="AC268" i="110"/>
  <c r="AR13" i="110"/>
  <c r="B13" i="110"/>
  <c r="P22" i="3"/>
  <c r="B17" i="110"/>
  <c r="AR17" i="110"/>
  <c r="B16" i="110"/>
  <c r="AR16" i="110"/>
  <c r="M53" i="108"/>
  <c r="D54" i="108"/>
  <c r="B55" i="108"/>
  <c r="K54" i="108"/>
  <c r="F13" i="108" s="1"/>
  <c r="U53" i="108" s="1"/>
  <c r="N55" i="108"/>
  <c r="AR12" i="110"/>
  <c r="B12" i="110"/>
  <c r="P20" i="3"/>
  <c r="B124" i="110"/>
  <c r="AR124" i="110"/>
  <c r="B125" i="110"/>
  <c r="AR125" i="110"/>
  <c r="B137" i="110"/>
  <c r="AR137" i="110"/>
  <c r="N11" i="3"/>
  <c r="B120" i="110"/>
  <c r="AR120" i="110"/>
  <c r="B53" i="110"/>
  <c r="AR53" i="110"/>
  <c r="Z188" i="110"/>
  <c r="AB188" i="110"/>
  <c r="Z185" i="110"/>
  <c r="AB185" i="110"/>
  <c r="Z184" i="110"/>
  <c r="AB184" i="110"/>
  <c r="Z189" i="110"/>
  <c r="AB189" i="110"/>
  <c r="Q154" i="110"/>
  <c r="Z154" i="110"/>
  <c r="Q165" i="110"/>
  <c r="Z165" i="110"/>
  <c r="Q176" i="110"/>
  <c r="Z176" i="110"/>
  <c r="Q157" i="110"/>
  <c r="Z157" i="110"/>
  <c r="Q158" i="110"/>
  <c r="Z158" i="110"/>
  <c r="Q171" i="110"/>
  <c r="Z171" i="110"/>
  <c r="Q173" i="110"/>
  <c r="Z173" i="110"/>
  <c r="Q152" i="110"/>
  <c r="Z152" i="110"/>
  <c r="Q170" i="110"/>
  <c r="Z170" i="110"/>
  <c r="Q162" i="110"/>
  <c r="Z162" i="110"/>
  <c r="Q155" i="110"/>
  <c r="Z155" i="110"/>
  <c r="Q168" i="110"/>
  <c r="Z168" i="110"/>
  <c r="Q160" i="110"/>
  <c r="Z160" i="110"/>
  <c r="Q161" i="110"/>
  <c r="Z161" i="110"/>
  <c r="Q180" i="110"/>
  <c r="Z180" i="110"/>
  <c r="Q177" i="110"/>
  <c r="Z177" i="110"/>
  <c r="Q166" i="110"/>
  <c r="Z166" i="110"/>
  <c r="Q164" i="110"/>
  <c r="Z164" i="110"/>
  <c r="Q178" i="110"/>
  <c r="Z178" i="110"/>
  <c r="Q172" i="110"/>
  <c r="Z172" i="110"/>
  <c r="Q153" i="110"/>
  <c r="Z153" i="110"/>
  <c r="Q179" i="110"/>
  <c r="Z179" i="110"/>
  <c r="Q169" i="110"/>
  <c r="Z169" i="110"/>
  <c r="Q175" i="110"/>
  <c r="Z175" i="110"/>
  <c r="Q174" i="110"/>
  <c r="Z174" i="110"/>
  <c r="O188" i="110"/>
  <c r="Q188" i="110"/>
  <c r="O184" i="110"/>
  <c r="Q184" i="110"/>
  <c r="O189" i="110"/>
  <c r="Q189" i="110"/>
  <c r="O185" i="110"/>
  <c r="Q185" i="110"/>
  <c r="M161" i="110"/>
  <c r="O161" i="110"/>
  <c r="W180" i="110"/>
  <c r="O180" i="110"/>
  <c r="K177" i="110"/>
  <c r="O177" i="110"/>
  <c r="X166" i="110"/>
  <c r="O166" i="110"/>
  <c r="K164" i="110"/>
  <c r="O164" i="110"/>
  <c r="L178" i="110"/>
  <c r="O178" i="110"/>
  <c r="O172" i="110"/>
  <c r="T153" i="110"/>
  <c r="O153" i="110"/>
  <c r="O179" i="110"/>
  <c r="O169" i="110"/>
  <c r="S175" i="110"/>
  <c r="O175" i="110"/>
  <c r="S174" i="110"/>
  <c r="O174" i="110"/>
  <c r="O154" i="110"/>
  <c r="R165" i="110"/>
  <c r="O165" i="110"/>
  <c r="U176" i="110"/>
  <c r="O176" i="110"/>
  <c r="W157" i="110"/>
  <c r="O157" i="110"/>
  <c r="K158" i="110"/>
  <c r="O158" i="110"/>
  <c r="L171" i="110"/>
  <c r="O171" i="110"/>
  <c r="O173" i="110"/>
  <c r="R152" i="110"/>
  <c r="O152" i="110"/>
  <c r="J170" i="110"/>
  <c r="O170" i="110"/>
  <c r="K162" i="110"/>
  <c r="O162" i="110"/>
  <c r="O155" i="110"/>
  <c r="R168" i="110"/>
  <c r="O168" i="110"/>
  <c r="K160" i="110"/>
  <c r="O160" i="110"/>
  <c r="B8" i="110"/>
  <c r="AR8" i="110"/>
  <c r="B10" i="110"/>
  <c r="AR10" i="110"/>
  <c r="BJ30" i="176"/>
  <c r="AT18" i="176"/>
  <c r="AN278" i="110" s="1"/>
  <c r="J25" i="3"/>
  <c r="BK18" i="176"/>
  <c r="L189" i="110"/>
  <c r="M189" i="110"/>
  <c r="L188" i="110"/>
  <c r="M188" i="110"/>
  <c r="L185" i="110"/>
  <c r="M185" i="110"/>
  <c r="L184" i="110"/>
  <c r="M184" i="110"/>
  <c r="AT22" i="158"/>
  <c r="C37" i="110"/>
  <c r="AS37" i="110" s="1"/>
  <c r="H21" i="3"/>
  <c r="I21" i="3"/>
  <c r="BC18" i="170"/>
  <c r="BC20" i="159"/>
  <c r="R36" i="110"/>
  <c r="T184" i="110"/>
  <c r="J184" i="110"/>
  <c r="S184" i="110"/>
  <c r="U184" i="110"/>
  <c r="V184" i="110"/>
  <c r="X184" i="110"/>
  <c r="W184" i="110"/>
  <c r="I184" i="110"/>
  <c r="R184" i="110"/>
  <c r="H184" i="110"/>
  <c r="BE18" i="170"/>
  <c r="S165" i="110"/>
  <c r="D114" i="3"/>
  <c r="A114" i="3"/>
  <c r="C75" i="3"/>
  <c r="A75" i="3"/>
  <c r="D75" i="3"/>
  <c r="C165" i="3"/>
  <c r="M162" i="110"/>
  <c r="J160" i="110"/>
  <c r="T157" i="110"/>
  <c r="X160" i="110"/>
  <c r="X155" i="110"/>
  <c r="X162" i="110"/>
  <c r="U170" i="110"/>
  <c r="W173" i="110"/>
  <c r="M155" i="110"/>
  <c r="S168" i="110"/>
  <c r="L162" i="110"/>
  <c r="T160" i="110"/>
  <c r="K155" i="110"/>
  <c r="U162" i="110"/>
  <c r="I168" i="110"/>
  <c r="V173" i="110"/>
  <c r="H160" i="110"/>
  <c r="V155" i="110"/>
  <c r="T162" i="110"/>
  <c r="M168" i="110"/>
  <c r="W152" i="110"/>
  <c r="X158" i="110"/>
  <c r="W165" i="110"/>
  <c r="H165" i="110"/>
  <c r="U157" i="110"/>
  <c r="J165" i="110"/>
  <c r="I157" i="110"/>
  <c r="V158" i="110"/>
  <c r="M165" i="110"/>
  <c r="L165" i="110"/>
  <c r="H157" i="110"/>
  <c r="R158" i="110"/>
  <c r="L158" i="110"/>
  <c r="M158" i="110"/>
  <c r="L154" i="110"/>
  <c r="K165" i="110"/>
  <c r="U165" i="110"/>
  <c r="I165" i="110"/>
  <c r="K157" i="110"/>
  <c r="R157" i="110"/>
  <c r="I158" i="110"/>
  <c r="U158" i="110"/>
  <c r="H158" i="110"/>
  <c r="J157" i="110"/>
  <c r="S157" i="110"/>
  <c r="X157" i="110"/>
  <c r="S158" i="110"/>
  <c r="J158" i="110"/>
  <c r="T171" i="110"/>
  <c r="S164" i="110"/>
  <c r="U168" i="110"/>
  <c r="I180" i="110"/>
  <c r="H152" i="110"/>
  <c r="L170" i="110"/>
  <c r="X168" i="110"/>
  <c r="T152" i="110"/>
  <c r="U152" i="110"/>
  <c r="S173" i="110"/>
  <c r="I176" i="110"/>
  <c r="L176" i="110"/>
  <c r="S171" i="110"/>
  <c r="X173" i="110"/>
  <c r="L173" i="110"/>
  <c r="T166" i="110"/>
  <c r="W175" i="110"/>
  <c r="H178" i="110"/>
  <c r="L169" i="110"/>
  <c r="K169" i="110"/>
  <c r="U161" i="110"/>
  <c r="S177" i="110"/>
  <c r="U179" i="110"/>
  <c r="W172" i="110"/>
  <c r="U175" i="110"/>
  <c r="R175" i="110"/>
  <c r="X175" i="110"/>
  <c r="H172" i="110"/>
  <c r="V174" i="110"/>
  <c r="S153" i="110"/>
  <c r="M153" i="110"/>
  <c r="V175" i="110"/>
  <c r="W179" i="110"/>
  <c r="V172" i="110"/>
  <c r="T174" i="110"/>
  <c r="R169" i="110"/>
  <c r="H175" i="110"/>
  <c r="J172" i="110"/>
  <c r="L174" i="110"/>
  <c r="I153" i="110"/>
  <c r="W153" i="110"/>
  <c r="H162" i="110"/>
  <c r="I162" i="110"/>
  <c r="S162" i="110"/>
  <c r="H168" i="110"/>
  <c r="J168" i="110"/>
  <c r="V168" i="110"/>
  <c r="L168" i="110"/>
  <c r="I152" i="110"/>
  <c r="M152" i="110"/>
  <c r="J152" i="110"/>
  <c r="M170" i="110"/>
  <c r="K170" i="110"/>
  <c r="I170" i="110"/>
  <c r="H170" i="110"/>
  <c r="X170" i="110"/>
  <c r="T173" i="110"/>
  <c r="U173" i="110"/>
  <c r="U160" i="110"/>
  <c r="U155" i="110"/>
  <c r="W155" i="110"/>
  <c r="S155" i="110"/>
  <c r="I155" i="110"/>
  <c r="J162" i="110"/>
  <c r="S160" i="110"/>
  <c r="W160" i="110"/>
  <c r="L160" i="110"/>
  <c r="T155" i="110"/>
  <c r="R155" i="110"/>
  <c r="H155" i="110"/>
  <c r="R162" i="110"/>
  <c r="W162" i="110"/>
  <c r="V162" i="110"/>
  <c r="T168" i="110"/>
  <c r="W168" i="110"/>
  <c r="S152" i="110"/>
  <c r="L152" i="110"/>
  <c r="W170" i="110"/>
  <c r="R170" i="110"/>
  <c r="R173" i="110"/>
  <c r="J173" i="110"/>
  <c r="I173" i="110"/>
  <c r="V160" i="110"/>
  <c r="R160" i="110"/>
  <c r="I160" i="110"/>
  <c r="M160" i="110"/>
  <c r="J155" i="110"/>
  <c r="L155" i="110"/>
  <c r="K168" i="110"/>
  <c r="V152" i="110"/>
  <c r="K152" i="110"/>
  <c r="X152" i="110"/>
  <c r="V170" i="110"/>
  <c r="T170" i="110"/>
  <c r="S170" i="110"/>
  <c r="K173" i="110"/>
  <c r="H173" i="110"/>
  <c r="M173" i="110"/>
  <c r="S176" i="110"/>
  <c r="K176" i="110"/>
  <c r="R176" i="110"/>
  <c r="U154" i="110"/>
  <c r="W154" i="110"/>
  <c r="T154" i="110"/>
  <c r="K154" i="110"/>
  <c r="U171" i="110"/>
  <c r="J171" i="110"/>
  <c r="M176" i="110"/>
  <c r="J176" i="110"/>
  <c r="W176" i="110"/>
  <c r="X154" i="110"/>
  <c r="J154" i="110"/>
  <c r="S154" i="110"/>
  <c r="X171" i="110"/>
  <c r="M171" i="110"/>
  <c r="K171" i="110"/>
  <c r="T176" i="110"/>
  <c r="V154" i="110"/>
  <c r="R171" i="110"/>
  <c r="I164" i="110"/>
  <c r="K166" i="110"/>
  <c r="J166" i="110"/>
  <c r="M175" i="110"/>
  <c r="I175" i="110"/>
  <c r="J175" i="110"/>
  <c r="I179" i="110"/>
  <c r="J179" i="110"/>
  <c r="S172" i="110"/>
  <c r="U174" i="110"/>
  <c r="H174" i="110"/>
  <c r="X177" i="110"/>
  <c r="S178" i="110"/>
  <c r="V169" i="110"/>
  <c r="I169" i="110"/>
  <c r="H153" i="110"/>
  <c r="V161" i="110"/>
  <c r="R177" i="110"/>
  <c r="K178" i="110"/>
  <c r="X165" i="110"/>
  <c r="V165" i="110"/>
  <c r="T165" i="110"/>
  <c r="M157" i="110"/>
  <c r="V157" i="110"/>
  <c r="L157" i="110"/>
  <c r="T158" i="110"/>
  <c r="W158" i="110"/>
  <c r="J164" i="110"/>
  <c r="V166" i="110"/>
  <c r="H176" i="110"/>
  <c r="X176" i="110"/>
  <c r="V176" i="110"/>
  <c r="U180" i="110"/>
  <c r="H154" i="110"/>
  <c r="T175" i="110"/>
  <c r="L175" i="110"/>
  <c r="K175" i="110"/>
  <c r="L179" i="110"/>
  <c r="T179" i="110"/>
  <c r="K179" i="110"/>
  <c r="I154" i="110"/>
  <c r="M154" i="110"/>
  <c r="R154" i="110"/>
  <c r="H171" i="110"/>
  <c r="V171" i="110"/>
  <c r="I171" i="110"/>
  <c r="K172" i="110"/>
  <c r="W171" i="110"/>
  <c r="M174" i="110"/>
  <c r="V177" i="110"/>
  <c r="T178" i="110"/>
  <c r="U178" i="110"/>
  <c r="W169" i="110"/>
  <c r="T169" i="110"/>
  <c r="K153" i="110"/>
  <c r="W161" i="110"/>
  <c r="H161" i="110"/>
  <c r="R161" i="110"/>
  <c r="J161" i="110"/>
  <c r="S161" i="110"/>
  <c r="W164" i="110"/>
  <c r="T164" i="110"/>
  <c r="R166" i="110"/>
  <c r="H166" i="110"/>
  <c r="M180" i="110"/>
  <c r="J180" i="110"/>
  <c r="S180" i="110"/>
  <c r="T180" i="110"/>
  <c r="T177" i="110"/>
  <c r="M177" i="110"/>
  <c r="U177" i="110"/>
  <c r="R178" i="110"/>
  <c r="W178" i="110"/>
  <c r="V178" i="110"/>
  <c r="T161" i="110"/>
  <c r="I161" i="110"/>
  <c r="X161" i="110"/>
  <c r="R164" i="110"/>
  <c r="H164" i="110"/>
  <c r="V164" i="110"/>
  <c r="L164" i="110"/>
  <c r="U166" i="110"/>
  <c r="M166" i="110"/>
  <c r="W166" i="110"/>
  <c r="S166" i="110"/>
  <c r="L180" i="110"/>
  <c r="R180" i="110"/>
  <c r="K180" i="110"/>
  <c r="X180" i="110"/>
  <c r="V179" i="110"/>
  <c r="H179" i="110"/>
  <c r="X179" i="110"/>
  <c r="I172" i="110"/>
  <c r="M172" i="110"/>
  <c r="L172" i="110"/>
  <c r="J174" i="110"/>
  <c r="R174" i="110"/>
  <c r="K174" i="110"/>
  <c r="X174" i="110"/>
  <c r="W174" i="110"/>
  <c r="H177" i="110"/>
  <c r="J177" i="110"/>
  <c r="L177" i="110"/>
  <c r="J178" i="110"/>
  <c r="M169" i="110"/>
  <c r="U169" i="110"/>
  <c r="U153" i="110"/>
  <c r="L153" i="110"/>
  <c r="X153" i="110"/>
  <c r="L161" i="110"/>
  <c r="K161" i="110"/>
  <c r="M164" i="110"/>
  <c r="U164" i="110"/>
  <c r="X164" i="110"/>
  <c r="I166" i="110"/>
  <c r="L166" i="110"/>
  <c r="H180" i="110"/>
  <c r="V180" i="110"/>
  <c r="S179" i="110"/>
  <c r="M179" i="110"/>
  <c r="R179" i="110"/>
  <c r="U172" i="110"/>
  <c r="T172" i="110"/>
  <c r="R172" i="110"/>
  <c r="I174" i="110"/>
  <c r="I177" i="110"/>
  <c r="W177" i="110"/>
  <c r="M178" i="110"/>
  <c r="X178" i="110"/>
  <c r="I178" i="110"/>
  <c r="X172" i="110"/>
  <c r="H169" i="110"/>
  <c r="X169" i="110"/>
  <c r="J153" i="110"/>
  <c r="R153" i="110"/>
  <c r="V153" i="110"/>
  <c r="J169" i="110"/>
  <c r="S169" i="110"/>
  <c r="AJ29" i="154"/>
  <c r="AH29" i="154"/>
  <c r="AI29" i="154"/>
  <c r="AU18" i="170"/>
  <c r="AO214" i="110" s="1"/>
  <c r="BA200" i="176"/>
  <c r="BG18" i="170"/>
  <c r="BF18" i="170"/>
  <c r="BA18" i="170"/>
  <c r="J103" i="110"/>
  <c r="AT200" i="162"/>
  <c r="K14" i="3"/>
  <c r="V12" i="162"/>
  <c r="AI50" i="81"/>
  <c r="R12" i="161"/>
  <c r="R67" i="110"/>
  <c r="L13" i="3"/>
  <c r="O13" i="3"/>
  <c r="Z12" i="161"/>
  <c r="M13" i="3"/>
  <c r="AK21" i="154"/>
  <c r="AI51" i="81"/>
  <c r="L11" i="3"/>
  <c r="Z12" i="159"/>
  <c r="R35" i="110"/>
  <c r="AK19" i="154"/>
  <c r="M11" i="3"/>
  <c r="BC18" i="159"/>
  <c r="R12" i="159"/>
  <c r="O11" i="3"/>
  <c r="R4" i="110"/>
  <c r="H189" i="110"/>
  <c r="X189" i="110"/>
  <c r="U189" i="110"/>
  <c r="J189" i="110"/>
  <c r="S189" i="110"/>
  <c r="T189" i="110"/>
  <c r="R189" i="110"/>
  <c r="I189" i="110"/>
  <c r="W189" i="110"/>
  <c r="V189" i="110"/>
  <c r="R185" i="110"/>
  <c r="S185" i="110"/>
  <c r="J185" i="110"/>
  <c r="I185" i="110"/>
  <c r="X185" i="110"/>
  <c r="W185" i="110"/>
  <c r="H185" i="110"/>
  <c r="V185" i="110"/>
  <c r="U185" i="110"/>
  <c r="T185" i="110"/>
  <c r="J188" i="110"/>
  <c r="S188" i="110"/>
  <c r="U188" i="110"/>
  <c r="W188" i="110"/>
  <c r="H188" i="110"/>
  <c r="I188" i="110"/>
  <c r="V188" i="110"/>
  <c r="X188" i="110"/>
  <c r="R188" i="110"/>
  <c r="T188" i="110"/>
  <c r="K28" i="3"/>
  <c r="C57" i="108"/>
  <c r="L57" i="108" s="1"/>
  <c r="G16" i="108" s="1"/>
  <c r="V56" i="108" s="1"/>
  <c r="E56" i="108"/>
  <c r="J51" i="110"/>
  <c r="K12" i="3"/>
  <c r="V12" i="160"/>
  <c r="AT200" i="160"/>
  <c r="J4" i="110"/>
  <c r="B109" i="3"/>
  <c r="C152" i="3"/>
  <c r="D154" i="3"/>
  <c r="D156" i="3"/>
  <c r="B103" i="3"/>
  <c r="B129" i="3"/>
  <c r="C111" i="3"/>
  <c r="D110" i="3"/>
  <c r="B119" i="3"/>
  <c r="C128" i="3"/>
  <c r="C159" i="3"/>
  <c r="D107" i="3"/>
  <c r="B130" i="3"/>
  <c r="B149" i="3"/>
  <c r="C104" i="3"/>
  <c r="C107" i="3"/>
  <c r="B107" i="3"/>
  <c r="W279" i="110" l="1"/>
  <c r="BC36" i="160"/>
  <c r="C60" i="110" s="1"/>
  <c r="AS60" i="110" s="1"/>
  <c r="AT60" i="110"/>
  <c r="I221" i="110"/>
  <c r="H221" i="110"/>
  <c r="J221" i="110"/>
  <c r="T221" i="110"/>
  <c r="V221" i="110"/>
  <c r="S221" i="110"/>
  <c r="V237" i="110"/>
  <c r="W221" i="110"/>
  <c r="K221" i="110"/>
  <c r="U221" i="110"/>
  <c r="AR136" i="110"/>
  <c r="AS136" i="110"/>
  <c r="S279" i="110"/>
  <c r="M279" i="110"/>
  <c r="J279" i="110"/>
  <c r="L279" i="110"/>
  <c r="M221" i="110"/>
  <c r="R221" i="110"/>
  <c r="L221" i="110"/>
  <c r="X221" i="110"/>
  <c r="I220" i="110"/>
  <c r="V220" i="110"/>
  <c r="O221" i="110"/>
  <c r="AR135" i="110"/>
  <c r="B135" i="110"/>
  <c r="H220" i="110"/>
  <c r="R220" i="110"/>
  <c r="T220" i="110"/>
  <c r="M220" i="110"/>
  <c r="X220" i="110"/>
  <c r="X203" i="110"/>
  <c r="K220" i="110"/>
  <c r="S220" i="110"/>
  <c r="AR119" i="110"/>
  <c r="J220" i="110"/>
  <c r="B119" i="110"/>
  <c r="Q220" i="110"/>
  <c r="O220" i="110"/>
  <c r="AB221" i="110"/>
  <c r="U220" i="110"/>
  <c r="W220" i="110"/>
  <c r="L220" i="110"/>
  <c r="Z220" i="110"/>
  <c r="Z216" i="110"/>
  <c r="T203" i="110"/>
  <c r="S203" i="110"/>
  <c r="T279" i="110"/>
  <c r="K279" i="110"/>
  <c r="X279" i="110"/>
  <c r="U279" i="110"/>
  <c r="I279" i="110"/>
  <c r="H279" i="110"/>
  <c r="V279" i="110"/>
  <c r="R279" i="110"/>
  <c r="U203" i="110"/>
  <c r="M203" i="110"/>
  <c r="V203" i="110"/>
  <c r="Q203" i="110"/>
  <c r="Z203" i="110"/>
  <c r="J203" i="110"/>
  <c r="L203" i="110"/>
  <c r="K203" i="110"/>
  <c r="I203" i="110"/>
  <c r="U216" i="110"/>
  <c r="I233" i="110"/>
  <c r="W216" i="110"/>
  <c r="H216" i="110"/>
  <c r="AB216" i="110"/>
  <c r="O203" i="110"/>
  <c r="AB203" i="110"/>
  <c r="H203" i="110"/>
  <c r="W203" i="110"/>
  <c r="W237" i="110"/>
  <c r="J237" i="110"/>
  <c r="K237" i="110"/>
  <c r="M237" i="110"/>
  <c r="U237" i="110"/>
  <c r="H237" i="110"/>
  <c r="L237" i="110"/>
  <c r="R237" i="110"/>
  <c r="X237" i="110"/>
  <c r="J250" i="110"/>
  <c r="Z221" i="110"/>
  <c r="AB279" i="110"/>
  <c r="Z279" i="110"/>
  <c r="U250" i="110"/>
  <c r="Q250" i="110"/>
  <c r="O250" i="110"/>
  <c r="V266" i="110"/>
  <c r="J266" i="110"/>
  <c r="J216" i="110"/>
  <c r="Q266" i="110"/>
  <c r="R216" i="110"/>
  <c r="T266" i="110"/>
  <c r="I216" i="110"/>
  <c r="Z266" i="110"/>
  <c r="T216" i="110"/>
  <c r="H250" i="110"/>
  <c r="W250" i="110"/>
  <c r="Z237" i="110"/>
  <c r="R250" i="110"/>
  <c r="X250" i="110"/>
  <c r="Z250" i="110"/>
  <c r="S250" i="110"/>
  <c r="I250" i="110"/>
  <c r="M250" i="110"/>
  <c r="T250" i="110"/>
  <c r="L250" i="110"/>
  <c r="V250" i="110"/>
  <c r="K250" i="110"/>
  <c r="S237" i="110"/>
  <c r="K266" i="110"/>
  <c r="Z200" i="110"/>
  <c r="Q237" i="110"/>
  <c r="O237" i="110"/>
  <c r="T237" i="110"/>
  <c r="O279" i="110"/>
  <c r="R266" i="110"/>
  <c r="I237" i="110"/>
  <c r="M266" i="110"/>
  <c r="S216" i="110"/>
  <c r="L216" i="110"/>
  <c r="H266" i="110"/>
  <c r="L266" i="110"/>
  <c r="T200" i="110"/>
  <c r="V216" i="110"/>
  <c r="X266" i="110"/>
  <c r="M216" i="110"/>
  <c r="W266" i="110"/>
  <c r="K216" i="110"/>
  <c r="U266" i="110"/>
  <c r="O216" i="110"/>
  <c r="S266" i="110"/>
  <c r="X216" i="110"/>
  <c r="O266" i="110"/>
  <c r="I266" i="110"/>
  <c r="U200" i="110"/>
  <c r="X200" i="110"/>
  <c r="H200" i="110"/>
  <c r="Q200" i="110"/>
  <c r="K200" i="110"/>
  <c r="I200" i="110"/>
  <c r="W200" i="110"/>
  <c r="O200" i="110"/>
  <c r="M200" i="110"/>
  <c r="AB200" i="110"/>
  <c r="R200" i="110"/>
  <c r="V200" i="110"/>
  <c r="J200" i="110"/>
  <c r="S200" i="110"/>
  <c r="M233" i="110"/>
  <c r="T233" i="110"/>
  <c r="W233" i="110"/>
  <c r="R233" i="110"/>
  <c r="U233" i="110"/>
  <c r="AT18" i="110"/>
  <c r="AT51" i="110"/>
  <c r="L233" i="110"/>
  <c r="AB233" i="110"/>
  <c r="V233" i="110"/>
  <c r="O233" i="110"/>
  <c r="J233" i="110"/>
  <c r="Q233" i="110"/>
  <c r="S233" i="110"/>
  <c r="AT103" i="110"/>
  <c r="X233" i="110"/>
  <c r="K233" i="110"/>
  <c r="H233" i="110"/>
  <c r="R106" i="110"/>
  <c r="AT106" i="110"/>
  <c r="R18" i="110"/>
  <c r="BC46" i="158"/>
  <c r="R103" i="110"/>
  <c r="AK20" i="154"/>
  <c r="H217" i="110"/>
  <c r="M264" i="110"/>
  <c r="V217" i="110"/>
  <c r="H264" i="110"/>
  <c r="W272" i="110"/>
  <c r="J272" i="110"/>
  <c r="M247" i="110"/>
  <c r="V247" i="110"/>
  <c r="Z264" i="110"/>
  <c r="R247" i="110"/>
  <c r="U264" i="110"/>
  <c r="H247" i="110"/>
  <c r="L264" i="110"/>
  <c r="S264" i="110"/>
  <c r="T247" i="110"/>
  <c r="W254" i="110"/>
  <c r="Z247" i="110"/>
  <c r="AB247" i="110"/>
  <c r="H272" i="110"/>
  <c r="K272" i="110"/>
  <c r="J251" i="110"/>
  <c r="I272" i="110"/>
  <c r="L270" i="110"/>
  <c r="R204" i="110"/>
  <c r="U204" i="110"/>
  <c r="V270" i="110"/>
  <c r="H281" i="110"/>
  <c r="S217" i="110"/>
  <c r="T253" i="110"/>
  <c r="R217" i="110"/>
  <c r="H253" i="110"/>
  <c r="X217" i="110"/>
  <c r="K217" i="110"/>
  <c r="O217" i="110"/>
  <c r="W253" i="110"/>
  <c r="J217" i="110"/>
  <c r="L217" i="110"/>
  <c r="L267" i="110"/>
  <c r="U217" i="110"/>
  <c r="W217" i="110"/>
  <c r="I267" i="110"/>
  <c r="M217" i="110"/>
  <c r="I217" i="110"/>
  <c r="M253" i="110"/>
  <c r="T217" i="110"/>
  <c r="I253" i="110"/>
  <c r="W251" i="110"/>
  <c r="I251" i="110"/>
  <c r="Z251" i="110"/>
  <c r="S247" i="110"/>
  <c r="L253" i="110"/>
  <c r="Z253" i="110"/>
  <c r="H270" i="110"/>
  <c r="S251" i="110"/>
  <c r="O247" i="110"/>
  <c r="J253" i="110"/>
  <c r="R267" i="110"/>
  <c r="M270" i="110"/>
  <c r="V204" i="110"/>
  <c r="Q251" i="110"/>
  <c r="J247" i="110"/>
  <c r="Q247" i="110"/>
  <c r="Q253" i="110"/>
  <c r="K253" i="110"/>
  <c r="J270" i="110"/>
  <c r="I204" i="110"/>
  <c r="T251" i="110"/>
  <c r="O251" i="110"/>
  <c r="U247" i="110"/>
  <c r="K247" i="110"/>
  <c r="O253" i="110"/>
  <c r="V253" i="110"/>
  <c r="T270" i="110"/>
  <c r="H204" i="110"/>
  <c r="U251" i="110"/>
  <c r="R251" i="110"/>
  <c r="W247" i="110"/>
  <c r="I247" i="110"/>
  <c r="X253" i="110"/>
  <c r="R253" i="110"/>
  <c r="W204" i="110"/>
  <c r="K251" i="110"/>
  <c r="H251" i="110"/>
  <c r="X251" i="110"/>
  <c r="L247" i="110"/>
  <c r="S253" i="110"/>
  <c r="U253" i="110"/>
  <c r="J204" i="110"/>
  <c r="X204" i="110"/>
  <c r="V251" i="110"/>
  <c r="M251" i="110"/>
  <c r="K270" i="110"/>
  <c r="T204" i="110"/>
  <c r="L251" i="110"/>
  <c r="S270" i="110"/>
  <c r="AB270" i="110"/>
  <c r="O254" i="110"/>
  <c r="K281" i="110"/>
  <c r="AB204" i="110"/>
  <c r="X270" i="110"/>
  <c r="W270" i="110"/>
  <c r="V223" i="110"/>
  <c r="Z223" i="110"/>
  <c r="I223" i="110"/>
  <c r="W223" i="110"/>
  <c r="S267" i="110"/>
  <c r="X267" i="110"/>
  <c r="V267" i="110"/>
  <c r="W267" i="110"/>
  <c r="J267" i="110"/>
  <c r="K267" i="110"/>
  <c r="T267" i="110"/>
  <c r="U267" i="110"/>
  <c r="O267" i="110"/>
  <c r="Q267" i="110"/>
  <c r="H267" i="110"/>
  <c r="H223" i="110"/>
  <c r="T248" i="110"/>
  <c r="V236" i="110"/>
  <c r="Q236" i="110"/>
  <c r="U236" i="110"/>
  <c r="H236" i="110"/>
  <c r="Z206" i="110"/>
  <c r="K236" i="110"/>
  <c r="R236" i="110"/>
  <c r="M206" i="110"/>
  <c r="X236" i="110"/>
  <c r="M236" i="110"/>
  <c r="O236" i="110"/>
  <c r="J236" i="110"/>
  <c r="L248" i="110"/>
  <c r="O206" i="110"/>
  <c r="M267" i="110"/>
  <c r="AB267" i="110"/>
  <c r="T223" i="110"/>
  <c r="AB272" i="110"/>
  <c r="I264" i="110"/>
  <c r="W264" i="110"/>
  <c r="L272" i="110"/>
  <c r="AB264" i="110"/>
  <c r="O223" i="110"/>
  <c r="V264" i="110"/>
  <c r="X272" i="110"/>
  <c r="K223" i="110"/>
  <c r="O264" i="110"/>
  <c r="Z272" i="110"/>
  <c r="X264" i="110"/>
  <c r="X223" i="110"/>
  <c r="S272" i="110"/>
  <c r="R272" i="110"/>
  <c r="R264" i="110"/>
  <c r="J264" i="110"/>
  <c r="U272" i="110"/>
  <c r="M272" i="110"/>
  <c r="T264" i="110"/>
  <c r="J223" i="110"/>
  <c r="Q272" i="110"/>
  <c r="T272" i="110"/>
  <c r="K264" i="110"/>
  <c r="Q223" i="110"/>
  <c r="V272" i="110"/>
  <c r="O270" i="110"/>
  <c r="K204" i="110"/>
  <c r="J222" i="110"/>
  <c r="H231" i="110"/>
  <c r="R222" i="110"/>
  <c r="S231" i="110"/>
  <c r="Q238" i="110"/>
  <c r="K265" i="110"/>
  <c r="X269" i="110"/>
  <c r="AB269" i="110"/>
  <c r="H269" i="110"/>
  <c r="Q269" i="110"/>
  <c r="V269" i="110"/>
  <c r="L269" i="110"/>
  <c r="M269" i="110"/>
  <c r="T269" i="110"/>
  <c r="U280" i="110"/>
  <c r="W255" i="110"/>
  <c r="S236" i="110"/>
  <c r="Z236" i="110"/>
  <c r="M254" i="110"/>
  <c r="V254" i="110"/>
  <c r="R206" i="110"/>
  <c r="K254" i="110"/>
  <c r="X254" i="110"/>
  <c r="H206" i="110"/>
  <c r="J254" i="110"/>
  <c r="H254" i="110"/>
  <c r="I206" i="110"/>
  <c r="AB255" i="110"/>
  <c r="L254" i="110"/>
  <c r="Z254" i="110"/>
  <c r="K206" i="110"/>
  <c r="O248" i="110"/>
  <c r="W236" i="110"/>
  <c r="R254" i="110"/>
  <c r="AB254" i="110"/>
  <c r="W206" i="110"/>
  <c r="R248" i="110"/>
  <c r="Z255" i="110"/>
  <c r="L236" i="110"/>
  <c r="T254" i="110"/>
  <c r="J206" i="110"/>
  <c r="L206" i="110"/>
  <c r="K248" i="110"/>
  <c r="X255" i="110"/>
  <c r="T236" i="110"/>
  <c r="Q254" i="110"/>
  <c r="V206" i="110"/>
  <c r="T206" i="110"/>
  <c r="X248" i="110"/>
  <c r="O255" i="110"/>
  <c r="I254" i="110"/>
  <c r="S206" i="110"/>
  <c r="U206" i="110"/>
  <c r="M248" i="110"/>
  <c r="L255" i="110"/>
  <c r="I236" i="110"/>
  <c r="S254" i="110"/>
  <c r="X206" i="110"/>
  <c r="H248" i="110"/>
  <c r="K255" i="110"/>
  <c r="AB206" i="110"/>
  <c r="J248" i="110"/>
  <c r="Z217" i="110"/>
  <c r="H238" i="110"/>
  <c r="O239" i="110"/>
  <c r="Z239" i="110"/>
  <c r="I238" i="110"/>
  <c r="R281" i="110"/>
  <c r="U238" i="110"/>
  <c r="S239" i="110"/>
  <c r="I239" i="110"/>
  <c r="K231" i="110"/>
  <c r="O231" i="110"/>
  <c r="AB222" i="110"/>
  <c r="I281" i="110"/>
  <c r="X238" i="110"/>
  <c r="S238" i="110"/>
  <c r="L231" i="110"/>
  <c r="Q231" i="110"/>
  <c r="Q222" i="110"/>
  <c r="U281" i="110"/>
  <c r="K238" i="110"/>
  <c r="H239" i="110"/>
  <c r="T231" i="110"/>
  <c r="X231" i="110"/>
  <c r="K222" i="110"/>
  <c r="V281" i="110"/>
  <c r="R238" i="110"/>
  <c r="X239" i="110"/>
  <c r="R239" i="110"/>
  <c r="U231" i="110"/>
  <c r="O222" i="110"/>
  <c r="S222" i="110"/>
  <c r="S281" i="110"/>
  <c r="L239" i="110"/>
  <c r="T239" i="110"/>
  <c r="J231" i="110"/>
  <c r="T222" i="110"/>
  <c r="L222" i="110"/>
  <c r="Q217" i="110"/>
  <c r="W281" i="110"/>
  <c r="M239" i="110"/>
  <c r="AB239" i="110"/>
  <c r="Z231" i="110"/>
  <c r="V222" i="110"/>
  <c r="J281" i="110"/>
  <c r="X281" i="110"/>
  <c r="W238" i="110"/>
  <c r="Q239" i="110"/>
  <c r="M238" i="110"/>
  <c r="V231" i="110"/>
  <c r="M222" i="110"/>
  <c r="M281" i="110"/>
  <c r="AB281" i="110"/>
  <c r="O238" i="110"/>
  <c r="L238" i="110"/>
  <c r="W239" i="110"/>
  <c r="J238" i="110"/>
  <c r="M231" i="110"/>
  <c r="X222" i="110"/>
  <c r="T281" i="110"/>
  <c r="O281" i="110"/>
  <c r="V238" i="110"/>
  <c r="U239" i="110"/>
  <c r="T238" i="110"/>
  <c r="R231" i="110"/>
  <c r="U222" i="110"/>
  <c r="Z281" i="110"/>
  <c r="L281" i="110"/>
  <c r="AB238" i="110"/>
  <c r="V239" i="110"/>
  <c r="J239" i="110"/>
  <c r="W231" i="110"/>
  <c r="W222" i="110"/>
  <c r="T201" i="110"/>
  <c r="U201" i="110"/>
  <c r="Q205" i="110"/>
  <c r="V265" i="110"/>
  <c r="I270" i="110"/>
  <c r="S204" i="110"/>
  <c r="M265" i="110"/>
  <c r="Q265" i="110"/>
  <c r="M204" i="110"/>
  <c r="Z204" i="110"/>
  <c r="R255" i="110"/>
  <c r="R270" i="110"/>
  <c r="Z270" i="110"/>
  <c r="Q204" i="110"/>
  <c r="Q248" i="110"/>
  <c r="V248" i="110"/>
  <c r="H255" i="110"/>
  <c r="U270" i="110"/>
  <c r="L204" i="110"/>
  <c r="U248" i="110"/>
  <c r="T255" i="110"/>
  <c r="H234" i="110"/>
  <c r="M234" i="110"/>
  <c r="Z280" i="110"/>
  <c r="S280" i="110"/>
  <c r="T234" i="110"/>
  <c r="I255" i="110"/>
  <c r="I231" i="110"/>
  <c r="H222" i="110"/>
  <c r="L234" i="110"/>
  <c r="AB280" i="110"/>
  <c r="U255" i="110"/>
  <c r="I222" i="110"/>
  <c r="U234" i="110"/>
  <c r="M255" i="110"/>
  <c r="J255" i="110"/>
  <c r="W280" i="110"/>
  <c r="S255" i="110"/>
  <c r="V255" i="110"/>
  <c r="V280" i="110"/>
  <c r="X201" i="110"/>
  <c r="Q201" i="110"/>
  <c r="AB205" i="110"/>
  <c r="L249" i="110"/>
  <c r="O205" i="110"/>
  <c r="V201" i="110"/>
  <c r="AB201" i="110"/>
  <c r="T205" i="110"/>
  <c r="O249" i="110"/>
  <c r="L201" i="110"/>
  <c r="U205" i="110"/>
  <c r="W249" i="110"/>
  <c r="J249" i="110"/>
  <c r="O201" i="110"/>
  <c r="S205" i="110"/>
  <c r="S249" i="110"/>
  <c r="M249" i="110"/>
  <c r="Z201" i="110"/>
  <c r="X205" i="110"/>
  <c r="AB249" i="110"/>
  <c r="W219" i="110"/>
  <c r="H201" i="110"/>
  <c r="K205" i="110"/>
  <c r="I249" i="110"/>
  <c r="X219" i="110"/>
  <c r="K201" i="110"/>
  <c r="V205" i="110"/>
  <c r="V249" i="110"/>
  <c r="AB219" i="110"/>
  <c r="W201" i="110"/>
  <c r="J205" i="110"/>
  <c r="I205" i="110"/>
  <c r="H249" i="110"/>
  <c r="L219" i="110"/>
  <c r="Q249" i="110"/>
  <c r="R201" i="110"/>
  <c r="R205" i="110"/>
  <c r="Z205" i="110"/>
  <c r="T249" i="110"/>
  <c r="J235" i="110"/>
  <c r="M201" i="110"/>
  <c r="J201" i="110"/>
  <c r="W205" i="110"/>
  <c r="H205" i="110"/>
  <c r="U249" i="110"/>
  <c r="S201" i="110"/>
  <c r="L205" i="110"/>
  <c r="K249" i="110"/>
  <c r="Q252" i="110"/>
  <c r="U219" i="110"/>
  <c r="R249" i="110"/>
  <c r="H219" i="110"/>
  <c r="Z219" i="110"/>
  <c r="W248" i="110"/>
  <c r="Z248" i="110"/>
  <c r="Q219" i="110"/>
  <c r="L252" i="110"/>
  <c r="R252" i="110"/>
  <c r="X202" i="110"/>
  <c r="K252" i="110"/>
  <c r="AB252" i="110"/>
  <c r="I248" i="110"/>
  <c r="X249" i="110"/>
  <c r="S219" i="110"/>
  <c r="O219" i="110"/>
  <c r="S248" i="110"/>
  <c r="V219" i="110"/>
  <c r="O207" i="110"/>
  <c r="W202" i="110"/>
  <c r="M202" i="110"/>
  <c r="X235" i="110"/>
  <c r="S207" i="110"/>
  <c r="J232" i="110"/>
  <c r="Z202" i="110"/>
  <c r="J207" i="110"/>
  <c r="T202" i="110"/>
  <c r="J202" i="110"/>
  <c r="R207" i="110"/>
  <c r="T207" i="110"/>
  <c r="O202" i="110"/>
  <c r="U252" i="110"/>
  <c r="I219" i="110"/>
  <c r="U232" i="110"/>
  <c r="L207" i="110"/>
  <c r="V207" i="110"/>
  <c r="R202" i="110"/>
  <c r="AB207" i="110"/>
  <c r="M207" i="110"/>
  <c r="V202" i="110"/>
  <c r="Q207" i="110"/>
  <c r="I207" i="110"/>
  <c r="S202" i="110"/>
  <c r="K207" i="110"/>
  <c r="W207" i="110"/>
  <c r="L202" i="110"/>
  <c r="I202" i="110"/>
  <c r="K232" i="110"/>
  <c r="L232" i="110"/>
  <c r="X207" i="110"/>
  <c r="H207" i="110"/>
  <c r="Q202" i="110"/>
  <c r="T252" i="110"/>
  <c r="J219" i="110"/>
  <c r="K219" i="110"/>
  <c r="H265" i="110"/>
  <c r="M232" i="110"/>
  <c r="U207" i="110"/>
  <c r="U202" i="110"/>
  <c r="X252" i="110"/>
  <c r="T219" i="110"/>
  <c r="R219" i="110"/>
  <c r="R232" i="110"/>
  <c r="Q232" i="110"/>
  <c r="K202" i="110"/>
  <c r="H202" i="110"/>
  <c r="V252" i="110"/>
  <c r="W235" i="110"/>
  <c r="U235" i="110"/>
  <c r="L235" i="110"/>
  <c r="W265" i="110"/>
  <c r="L265" i="110"/>
  <c r="Z234" i="110"/>
  <c r="W234" i="110"/>
  <c r="H280" i="110"/>
  <c r="AB235" i="110"/>
  <c r="L223" i="110"/>
  <c r="O269" i="110"/>
  <c r="U265" i="110"/>
  <c r="J265" i="110"/>
  <c r="O234" i="110"/>
  <c r="T280" i="110"/>
  <c r="R235" i="110"/>
  <c r="K235" i="110"/>
  <c r="S232" i="110"/>
  <c r="T232" i="110"/>
  <c r="W232" i="110"/>
  <c r="AB234" i="110"/>
  <c r="K280" i="110"/>
  <c r="M235" i="110"/>
  <c r="O265" i="110"/>
  <c r="K269" i="110"/>
  <c r="J269" i="110"/>
  <c r="U269" i="110"/>
  <c r="H232" i="110"/>
  <c r="I232" i="110"/>
  <c r="V232" i="110"/>
  <c r="Q234" i="110"/>
  <c r="O252" i="110"/>
  <c r="S235" i="110"/>
  <c r="R223" i="110"/>
  <c r="I269" i="110"/>
  <c r="W269" i="110"/>
  <c r="I265" i="110"/>
  <c r="X232" i="110"/>
  <c r="AB232" i="110"/>
  <c r="V234" i="110"/>
  <c r="X280" i="110"/>
  <c r="Z252" i="110"/>
  <c r="T235" i="110"/>
  <c r="U223" i="110"/>
  <c r="S269" i="110"/>
  <c r="T265" i="110"/>
  <c r="O232" i="110"/>
  <c r="R234" i="110"/>
  <c r="I280" i="110"/>
  <c r="M280" i="110"/>
  <c r="S252" i="110"/>
  <c r="H252" i="110"/>
  <c r="O235" i="110"/>
  <c r="S223" i="110"/>
  <c r="R269" i="110"/>
  <c r="R265" i="110"/>
  <c r="K234" i="110"/>
  <c r="X234" i="110"/>
  <c r="O280" i="110"/>
  <c r="R280" i="110"/>
  <c r="W252" i="110"/>
  <c r="M252" i="110"/>
  <c r="V235" i="110"/>
  <c r="H235" i="110"/>
  <c r="M223" i="110"/>
  <c r="S265" i="110"/>
  <c r="X265" i="110"/>
  <c r="AB265" i="110"/>
  <c r="S234" i="110"/>
  <c r="J234" i="110"/>
  <c r="J280" i="110"/>
  <c r="L280" i="110"/>
  <c r="J252" i="110"/>
  <c r="Z235" i="110"/>
  <c r="Q235" i="110"/>
  <c r="BH30" i="176"/>
  <c r="BC24" i="162"/>
  <c r="B121" i="110"/>
  <c r="AR121" i="110"/>
  <c r="C52" i="110"/>
  <c r="C101" i="3"/>
  <c r="C114" i="3"/>
  <c r="D101" i="3"/>
  <c r="A101" i="3"/>
  <c r="C147" i="3"/>
  <c r="D147" i="3"/>
  <c r="A147" i="3"/>
  <c r="AK23" i="154"/>
  <c r="N12" i="3"/>
  <c r="AB268" i="110"/>
  <c r="T268" i="110"/>
  <c r="J268" i="110"/>
  <c r="R268" i="110"/>
  <c r="M268" i="110"/>
  <c r="X268" i="110"/>
  <c r="O268" i="110"/>
  <c r="H268" i="110"/>
  <c r="L268" i="110"/>
  <c r="I268" i="110"/>
  <c r="V268" i="110"/>
  <c r="W268" i="110"/>
  <c r="S268" i="110"/>
  <c r="Q268" i="110"/>
  <c r="K268" i="110"/>
  <c r="Z268" i="110"/>
  <c r="U268" i="110"/>
  <c r="N14" i="3"/>
  <c r="R12" i="162"/>
  <c r="BC18" i="162"/>
  <c r="M14" i="3"/>
  <c r="O14" i="3"/>
  <c r="Z12" i="162"/>
  <c r="L14" i="3"/>
  <c r="Z12" i="160"/>
  <c r="L12" i="3"/>
  <c r="R51" i="110"/>
  <c r="R12" i="160"/>
  <c r="O12" i="3"/>
  <c r="BC18" i="160"/>
  <c r="M12" i="3"/>
  <c r="N56" i="108"/>
  <c r="K55" i="108"/>
  <c r="F14" i="108" s="1"/>
  <c r="U54" i="108" s="1"/>
  <c r="M54" i="108"/>
  <c r="D55" i="108"/>
  <c r="M55" i="108" s="1"/>
  <c r="B56" i="108"/>
  <c r="P25" i="3"/>
  <c r="AT6" i="110"/>
  <c r="B37" i="110"/>
  <c r="AR37" i="110"/>
  <c r="J6" i="110"/>
  <c r="C36" i="110"/>
  <c r="AS36" i="110" s="1"/>
  <c r="C35" i="110"/>
  <c r="AS35" i="110" s="1"/>
  <c r="E114" i="3"/>
  <c r="E75" i="3"/>
  <c r="J21" i="3"/>
  <c r="J29" i="3" s="1"/>
  <c r="BA200" i="170"/>
  <c r="C67" i="110"/>
  <c r="AS67" i="110" s="1"/>
  <c r="C4" i="110"/>
  <c r="AS4" i="110" s="1"/>
  <c r="E57" i="108"/>
  <c r="N57" i="108" s="1"/>
  <c r="C58" i="108"/>
  <c r="L58" i="108" s="1"/>
  <c r="G17" i="108" s="1"/>
  <c r="V57" i="108" s="1"/>
  <c r="AR60" i="110" l="1"/>
  <c r="B60" i="110"/>
  <c r="C106" i="110"/>
  <c r="B106" i="110" s="1"/>
  <c r="C103" i="110"/>
  <c r="AS103" i="110" s="1"/>
  <c r="C18" i="110"/>
  <c r="AS18" i="110" s="1"/>
  <c r="B52" i="110"/>
  <c r="AS52" i="110"/>
  <c r="AR52" i="110"/>
  <c r="E101" i="3"/>
  <c r="R19" i="81" s="1"/>
  <c r="E147" i="3"/>
  <c r="P34" i="154" s="1"/>
  <c r="R6" i="110"/>
  <c r="C51" i="110"/>
  <c r="B57" i="108"/>
  <c r="D56" i="108"/>
  <c r="M56" i="108" s="1"/>
  <c r="K56" i="108"/>
  <c r="F15" i="108" s="1"/>
  <c r="U55" i="108" s="1"/>
  <c r="BC22" i="158"/>
  <c r="B36" i="110"/>
  <c r="AR36" i="110"/>
  <c r="B35" i="110"/>
  <c r="AR35" i="110"/>
  <c r="B67" i="110"/>
  <c r="AR67" i="110"/>
  <c r="B4" i="110"/>
  <c r="AR4" i="110"/>
  <c r="R20" i="81"/>
  <c r="R18" i="81"/>
  <c r="R16" i="81"/>
  <c r="P16" i="154"/>
  <c r="P25" i="154"/>
  <c r="P14" i="154"/>
  <c r="J28" i="3"/>
  <c r="C59" i="108"/>
  <c r="L59" i="108" s="1"/>
  <c r="G18" i="108" s="1"/>
  <c r="V58" i="108" s="1"/>
  <c r="E58" i="108"/>
  <c r="N58" i="108" s="1"/>
  <c r="AR106" i="110" l="1"/>
  <c r="AS106" i="110"/>
  <c r="AR103" i="110"/>
  <c r="B103" i="110"/>
  <c r="B18" i="110"/>
  <c r="AR18" i="110"/>
  <c r="AR51" i="110"/>
  <c r="AS51" i="110"/>
  <c r="P21" i="154"/>
  <c r="R22" i="81"/>
  <c r="C6" i="110"/>
  <c r="B51" i="110"/>
  <c r="D57" i="108"/>
  <c r="M57" i="108" s="1"/>
  <c r="B58" i="108"/>
  <c r="K57" i="108"/>
  <c r="F16" i="108" s="1"/>
  <c r="U56" i="108" s="1"/>
  <c r="AC215" i="110"/>
  <c r="AB215" i="110" s="1"/>
  <c r="AC246" i="110"/>
  <c r="AB246" i="110" s="1"/>
  <c r="BH20" i="170"/>
  <c r="C215" i="110" s="1"/>
  <c r="B215" i="110" s="1"/>
  <c r="BH18" i="13"/>
  <c r="C246" i="110" s="1"/>
  <c r="B246" i="110" s="1"/>
  <c r="E59" i="108"/>
  <c r="N59" i="108" s="1"/>
  <c r="C60" i="108"/>
  <c r="L60" i="108" s="1"/>
  <c r="G19" i="108" s="1"/>
  <c r="V59" i="108" s="1"/>
  <c r="AR6" i="110" l="1"/>
  <c r="AS6" i="110"/>
  <c r="B6" i="110"/>
  <c r="B59" i="108"/>
  <c r="K58" i="108"/>
  <c r="F17" i="108" s="1"/>
  <c r="U57" i="108" s="1"/>
  <c r="D58" i="108"/>
  <c r="M58" i="108" s="1"/>
  <c r="Q246" i="110"/>
  <c r="Z246" i="110"/>
  <c r="Q215" i="110"/>
  <c r="Z215" i="110"/>
  <c r="L246" i="110"/>
  <c r="O246" i="110"/>
  <c r="S215" i="110"/>
  <c r="O215" i="110"/>
  <c r="H28" i="3"/>
  <c r="I29" i="3"/>
  <c r="I28" i="3"/>
  <c r="U246" i="110"/>
  <c r="K215" i="110"/>
  <c r="H246" i="110"/>
  <c r="L215" i="110"/>
  <c r="J246" i="110"/>
  <c r="T246" i="110"/>
  <c r="W215" i="110"/>
  <c r="X246" i="110"/>
  <c r="J215" i="110"/>
  <c r="X215" i="110"/>
  <c r="T215" i="110"/>
  <c r="I215" i="110"/>
  <c r="S246" i="110"/>
  <c r="K246" i="110"/>
  <c r="M246" i="110"/>
  <c r="V215" i="110"/>
  <c r="U215" i="110"/>
  <c r="W246" i="110"/>
  <c r="I246" i="110"/>
  <c r="V246" i="110"/>
  <c r="M215" i="110"/>
  <c r="H215" i="110"/>
  <c r="R215" i="110"/>
  <c r="R246" i="110"/>
  <c r="AK32" i="154"/>
  <c r="M23" i="3"/>
  <c r="Z12" i="13"/>
  <c r="V12" i="13"/>
  <c r="L23" i="3"/>
  <c r="N23" i="3"/>
  <c r="R12" i="13"/>
  <c r="O23" i="3"/>
  <c r="C61" i="108"/>
  <c r="L61" i="108" s="1"/>
  <c r="G20" i="108" s="1"/>
  <c r="V60" i="108" s="1"/>
  <c r="E60" i="108"/>
  <c r="N60" i="108" s="1"/>
  <c r="K59" i="108" l="1"/>
  <c r="F18" i="108" s="1"/>
  <c r="U58" i="108" s="1"/>
  <c r="B60" i="108"/>
  <c r="D59" i="108"/>
  <c r="M59" i="108" s="1"/>
  <c r="S28" i="3"/>
  <c r="BJ18" i="176" s="1"/>
  <c r="AN18" i="176" s="1"/>
  <c r="AW54" i="14"/>
  <c r="AW55" i="14" s="1"/>
  <c r="H1" i="3"/>
  <c r="J57" i="14"/>
  <c r="C62" i="108"/>
  <c r="L62" i="108" s="1"/>
  <c r="G21" i="108" s="1"/>
  <c r="V61" i="108" s="1"/>
  <c r="E61" i="108"/>
  <c r="N61" i="108" s="1"/>
  <c r="K60" i="108" l="1"/>
  <c r="F19" i="108" s="1"/>
  <c r="U59" i="108" s="1"/>
  <c r="B61" i="108"/>
  <c r="D60" i="108"/>
  <c r="M60" i="108" s="1"/>
  <c r="AE63" i="14"/>
  <c r="V63" i="14"/>
  <c r="M63" i="14"/>
  <c r="K36" i="14"/>
  <c r="AD29" i="14"/>
  <c r="BK2" i="110"/>
  <c r="AV7" i="169"/>
  <c r="AW7" i="161"/>
  <c r="AV7" i="170"/>
  <c r="AW7" i="163"/>
  <c r="AV7" i="171"/>
  <c r="AW7" i="158"/>
  <c r="AW7" i="159"/>
  <c r="AV7" i="168"/>
  <c r="AW7" i="160"/>
  <c r="AW7" i="162"/>
  <c r="AV7" i="167"/>
  <c r="AV7" i="13"/>
  <c r="AV7" i="175"/>
  <c r="AV7" i="176"/>
  <c r="E62" i="108"/>
  <c r="N62" i="108" s="1"/>
  <c r="C63" i="108"/>
  <c r="L63" i="108" s="1"/>
  <c r="G22" i="108" s="1"/>
  <c r="V62" i="108" s="1"/>
  <c r="D61" i="108" l="1"/>
  <c r="M61" i="108" s="1"/>
  <c r="B62" i="108"/>
  <c r="K61" i="108"/>
  <c r="F20" i="108" s="1"/>
  <c r="E63" i="108"/>
  <c r="N63" i="108" s="1"/>
  <c r="C64" i="108"/>
  <c r="L64" i="108" s="1"/>
  <c r="G23" i="108" s="1"/>
  <c r="V63" i="108" s="1"/>
  <c r="BF20" i="160" l="1"/>
  <c r="BF18" i="159"/>
  <c r="P11" i="3" s="1"/>
  <c r="U60" i="108"/>
  <c r="K62" i="108"/>
  <c r="F21" i="108" s="1"/>
  <c r="U61" i="108" s="1"/>
  <c r="D62" i="108"/>
  <c r="M62" i="108" s="1"/>
  <c r="B63" i="108"/>
  <c r="C65" i="108"/>
  <c r="L65" i="108" s="1"/>
  <c r="G24" i="108" s="1"/>
  <c r="V64" i="108" s="1"/>
  <c r="E64" i="108"/>
  <c r="N64" i="108" s="1"/>
  <c r="K63" i="108" l="1"/>
  <c r="F22" i="108" s="1"/>
  <c r="BF18" i="182" s="1"/>
  <c r="B64" i="108"/>
  <c r="D63" i="108"/>
  <c r="M63" i="108" s="1"/>
  <c r="C66" i="108"/>
  <c r="L66" i="108" s="1"/>
  <c r="G25" i="108" s="1"/>
  <c r="V65" i="108" s="1"/>
  <c r="E65" i="108"/>
  <c r="N65" i="108" s="1"/>
  <c r="U62" i="108" l="1"/>
  <c r="BF20" i="182"/>
  <c r="P16" i="3" s="1"/>
  <c r="BF24" i="162"/>
  <c r="K64" i="108"/>
  <c r="F23" i="108" s="1"/>
  <c r="BF46" i="158" s="1"/>
  <c r="D64" i="108"/>
  <c r="M64" i="108" s="1"/>
  <c r="B65" i="108"/>
  <c r="C67" i="108"/>
  <c r="L67" i="108" s="1"/>
  <c r="G26" i="108" s="1"/>
  <c r="V66" i="108" s="1"/>
  <c r="E66" i="108"/>
  <c r="N66" i="108" s="1"/>
  <c r="U63" i="108" l="1"/>
  <c r="BF18" i="158"/>
  <c r="K65" i="108"/>
  <c r="F24" i="108" s="1"/>
  <c r="B66" i="108"/>
  <c r="D65" i="108"/>
  <c r="M65" i="108" s="1"/>
  <c r="C68" i="108"/>
  <c r="L68" i="108" s="1"/>
  <c r="G27" i="108" s="1"/>
  <c r="V67" i="108" s="1"/>
  <c r="E67" i="108"/>
  <c r="N67" i="108" s="1"/>
  <c r="BF36" i="160" l="1"/>
  <c r="BF18" i="160"/>
  <c r="BF18" i="163"/>
  <c r="BF22" i="163"/>
  <c r="BF20" i="158"/>
  <c r="P10" i="3" s="1"/>
  <c r="U64" i="108"/>
  <c r="K66" i="108"/>
  <c r="F25" i="108" s="1"/>
  <c r="U65" i="108" s="1"/>
  <c r="D66" i="108"/>
  <c r="M66" i="108" s="1"/>
  <c r="B67" i="108"/>
  <c r="C69" i="108"/>
  <c r="L69" i="108" s="1"/>
  <c r="G28" i="108" s="1"/>
  <c r="V68" i="108" s="1"/>
  <c r="E68" i="108"/>
  <c r="N68" i="108" s="1"/>
  <c r="P12" i="3" l="1"/>
  <c r="P15" i="3"/>
  <c r="K67" i="108"/>
  <c r="F26" i="108" s="1"/>
  <c r="U66" i="108" s="1"/>
  <c r="B68" i="108"/>
  <c r="D67" i="108"/>
  <c r="M67" i="108" s="1"/>
  <c r="C70" i="108"/>
  <c r="L70" i="108" s="1"/>
  <c r="G29" i="108" s="1"/>
  <c r="V69" i="108" s="1"/>
  <c r="E69" i="108"/>
  <c r="N69" i="108" s="1"/>
  <c r="K68" i="108" l="1"/>
  <c r="F27" i="108" s="1"/>
  <c r="B69" i="108"/>
  <c r="D68" i="108"/>
  <c r="M68" i="108" s="1"/>
  <c r="C71" i="108"/>
  <c r="L71" i="108" s="1"/>
  <c r="G30" i="108" s="1"/>
  <c r="V70" i="108" s="1"/>
  <c r="E70" i="108"/>
  <c r="N70" i="108" s="1"/>
  <c r="BK18" i="170" l="1"/>
  <c r="P21" i="3" s="1"/>
  <c r="AT18" i="170"/>
  <c r="AN214" i="110" s="1"/>
  <c r="BF18" i="161"/>
  <c r="P13" i="3" s="1"/>
  <c r="BF18" i="162"/>
  <c r="P14" i="3" s="1"/>
  <c r="U67" i="108"/>
  <c r="K69" i="108"/>
  <c r="F28" i="108" s="1"/>
  <c r="U68" i="108" s="1"/>
  <c r="D69" i="108"/>
  <c r="M69" i="108" s="1"/>
  <c r="B70" i="108"/>
  <c r="C72" i="108"/>
  <c r="L72" i="108" s="1"/>
  <c r="G31" i="108" s="1"/>
  <c r="E71" i="108"/>
  <c r="N71" i="108" s="1"/>
  <c r="P27" i="3" l="1"/>
  <c r="K70" i="108"/>
  <c r="F29" i="108" s="1"/>
  <c r="U69" i="108" s="1"/>
  <c r="B71" i="108"/>
  <c r="D70" i="108"/>
  <c r="M70" i="108" s="1"/>
  <c r="C73" i="108"/>
  <c r="L73" i="108" s="1"/>
  <c r="G32" i="108" s="1"/>
  <c r="E72" i="108"/>
  <c r="N72" i="108" s="1"/>
  <c r="K71" i="108" l="1"/>
  <c r="F30" i="108" s="1"/>
  <c r="U70" i="108" s="1"/>
  <c r="D71" i="108"/>
  <c r="M71" i="108" s="1"/>
  <c r="B72" i="108"/>
  <c r="E73" i="108"/>
  <c r="N73" i="108" s="1"/>
  <c r="C74" i="108"/>
  <c r="K72" i="108" l="1"/>
  <c r="F31" i="108" s="1"/>
  <c r="B73" i="108"/>
  <c r="D72" i="108"/>
  <c r="M72" i="108" s="1"/>
  <c r="E74" i="108"/>
  <c r="BC18" i="168"/>
  <c r="K73" i="108" l="1"/>
  <c r="F32" i="108" s="1"/>
  <c r="D73" i="108"/>
  <c r="B74" i="108"/>
  <c r="P28" i="3"/>
  <c r="P29" i="3"/>
  <c r="M73" i="108" l="1"/>
  <c r="D74" i="108"/>
  <c r="R28" i="3"/>
  <c r="AN18" i="170" l="1"/>
  <c r="AC230" i="110"/>
  <c r="BI18" i="171"/>
  <c r="BH18" i="171"/>
  <c r="C230" i="110" s="1"/>
  <c r="B230" i="110" s="1"/>
  <c r="BH18" i="169"/>
  <c r="C198" i="110" s="1"/>
  <c r="B198" i="110" s="1"/>
  <c r="AC186" i="110"/>
  <c r="BH26" i="168"/>
  <c r="C186" i="110" s="1"/>
  <c r="B186" i="110" s="1"/>
  <c r="BI26" i="168"/>
  <c r="AU7" i="176"/>
  <c r="AU7" i="170"/>
  <c r="AV7" i="159"/>
  <c r="AU7" i="175"/>
  <c r="AV7" i="162"/>
  <c r="AU7" i="167"/>
  <c r="AU7" i="13"/>
  <c r="AV7" i="161"/>
  <c r="AV7" i="160"/>
  <c r="AU7" i="169"/>
  <c r="AU7" i="171"/>
  <c r="AV7" i="163"/>
  <c r="AU7" i="168"/>
  <c r="BJ2" i="110"/>
  <c r="AV7" i="158"/>
  <c r="AC214" i="110" l="1"/>
  <c r="I214" i="110" s="1"/>
  <c r="AK29" i="154"/>
  <c r="BH18" i="170"/>
  <c r="AC263" i="110"/>
  <c r="BH18" i="175"/>
  <c r="C263" i="110" s="1"/>
  <c r="B263" i="110" s="1"/>
  <c r="AB230" i="110"/>
  <c r="W230" i="110"/>
  <c r="M230" i="110"/>
  <c r="I230" i="110"/>
  <c r="K230" i="110"/>
  <c r="S230" i="110"/>
  <c r="L230" i="110"/>
  <c r="J230" i="110"/>
  <c r="T230" i="110"/>
  <c r="V230" i="110"/>
  <c r="X230" i="110"/>
  <c r="R230" i="110"/>
  <c r="Z230" i="110"/>
  <c r="H230" i="110"/>
  <c r="O230" i="110"/>
  <c r="Q230" i="110"/>
  <c r="U230" i="110"/>
  <c r="R12" i="171"/>
  <c r="Z12" i="171"/>
  <c r="M22" i="3"/>
  <c r="O22" i="3"/>
  <c r="N22" i="3"/>
  <c r="AK31" i="154"/>
  <c r="V12" i="171"/>
  <c r="L22" i="3"/>
  <c r="Z186" i="110"/>
  <c r="AB186" i="110"/>
  <c r="O186" i="110"/>
  <c r="Q186" i="110"/>
  <c r="BI18" i="176"/>
  <c r="AC278" i="110"/>
  <c r="BH18" i="176"/>
  <c r="C278" i="110" s="1"/>
  <c r="B278" i="110" s="1"/>
  <c r="AC284" i="110"/>
  <c r="C284" i="110"/>
  <c r="B284" i="110" s="1"/>
  <c r="AC198" i="110"/>
  <c r="AB198" i="110" s="1"/>
  <c r="BH18" i="167"/>
  <c r="C151" i="110" s="1"/>
  <c r="B151" i="110" s="1"/>
  <c r="BI18" i="167"/>
  <c r="AC151" i="110"/>
  <c r="AB151" i="110" s="1"/>
  <c r="L186" i="110"/>
  <c r="I186" i="110"/>
  <c r="T186" i="110"/>
  <c r="R186" i="110"/>
  <c r="M186" i="110"/>
  <c r="W186" i="110"/>
  <c r="J186" i="110"/>
  <c r="X186" i="110"/>
  <c r="S186" i="110"/>
  <c r="V186" i="110"/>
  <c r="H186" i="110"/>
  <c r="U186" i="110"/>
  <c r="BH18" i="168"/>
  <c r="C182" i="110" s="1"/>
  <c r="B182" i="110" s="1"/>
  <c r="AC182" i="110"/>
  <c r="BI18" i="168"/>
  <c r="X214" i="110" l="1"/>
  <c r="V214" i="110"/>
  <c r="Z214" i="110"/>
  <c r="R214" i="110"/>
  <c r="L214" i="110"/>
  <c r="M214" i="110"/>
  <c r="Q214" i="110"/>
  <c r="C214" i="110"/>
  <c r="B214" i="110" s="1"/>
  <c r="O214" i="110"/>
  <c r="T214" i="110"/>
  <c r="W214" i="110"/>
  <c r="J214" i="110"/>
  <c r="S214" i="110"/>
  <c r="H214" i="110"/>
  <c r="U214" i="110"/>
  <c r="K214" i="110"/>
  <c r="AB214" i="110"/>
  <c r="M21" i="3"/>
  <c r="BI18" i="170"/>
  <c r="N21" i="3"/>
  <c r="L21" i="3"/>
  <c r="O21" i="3"/>
  <c r="V12" i="170"/>
  <c r="Z12" i="170"/>
  <c r="R12" i="170"/>
  <c r="T263" i="110"/>
  <c r="K263" i="110"/>
  <c r="L263" i="110"/>
  <c r="J263" i="110"/>
  <c r="Z263" i="110"/>
  <c r="R263" i="110"/>
  <c r="M263" i="110"/>
  <c r="S263" i="110"/>
  <c r="AB263" i="110"/>
  <c r="W263" i="110"/>
  <c r="X263" i="110"/>
  <c r="V263" i="110"/>
  <c r="H263" i="110"/>
  <c r="O263" i="110"/>
  <c r="I263" i="110"/>
  <c r="Q263" i="110"/>
  <c r="U263" i="110"/>
  <c r="BI18" i="175"/>
  <c r="L24" i="3"/>
  <c r="R12" i="175"/>
  <c r="V12" i="175"/>
  <c r="Z12" i="175"/>
  <c r="AK30" i="154"/>
  <c r="N24" i="3"/>
  <c r="M24" i="3"/>
  <c r="O24" i="3"/>
  <c r="Z284" i="110"/>
  <c r="AB284" i="110"/>
  <c r="Z278" i="110"/>
  <c r="AB278" i="110"/>
  <c r="Z182" i="110"/>
  <c r="AB182" i="110"/>
  <c r="Z151" i="110"/>
  <c r="Q198" i="110"/>
  <c r="Z198" i="110"/>
  <c r="O284" i="110"/>
  <c r="Q284" i="110"/>
  <c r="O278" i="110"/>
  <c r="Q278" i="110"/>
  <c r="O182" i="110"/>
  <c r="Q182" i="110"/>
  <c r="O151" i="110"/>
  <c r="Q151" i="110"/>
  <c r="L198" i="110"/>
  <c r="O198" i="110"/>
  <c r="N26" i="3"/>
  <c r="O26" i="3"/>
  <c r="L26" i="3"/>
  <c r="M26" i="3"/>
  <c r="N25" i="3"/>
  <c r="O25" i="3"/>
  <c r="L25" i="3"/>
  <c r="M25" i="3"/>
  <c r="BI30" i="176"/>
  <c r="L278" i="110"/>
  <c r="U278" i="110"/>
  <c r="T278" i="110"/>
  <c r="W278" i="110"/>
  <c r="M278" i="110"/>
  <c r="R278" i="110"/>
  <c r="X278" i="110"/>
  <c r="H278" i="110"/>
  <c r="V278" i="110"/>
  <c r="K278" i="110"/>
  <c r="I278" i="110"/>
  <c r="S278" i="110"/>
  <c r="J278" i="110"/>
  <c r="H284" i="110"/>
  <c r="W284" i="110"/>
  <c r="X284" i="110"/>
  <c r="L284" i="110"/>
  <c r="U284" i="110"/>
  <c r="R284" i="110"/>
  <c r="I284" i="110"/>
  <c r="K284" i="110"/>
  <c r="S284" i="110"/>
  <c r="T284" i="110"/>
  <c r="J284" i="110"/>
  <c r="V284" i="110"/>
  <c r="M284" i="110"/>
  <c r="R12" i="176"/>
  <c r="Z12" i="176"/>
  <c r="V12" i="176"/>
  <c r="AK33" i="154"/>
  <c r="R198" i="110"/>
  <c r="J198" i="110"/>
  <c r="V198" i="110"/>
  <c r="H198" i="110"/>
  <c r="K198" i="110"/>
  <c r="U198" i="110"/>
  <c r="T198" i="110"/>
  <c r="S198" i="110"/>
  <c r="W198" i="110"/>
  <c r="I198" i="110"/>
  <c r="V12" i="169"/>
  <c r="Z12" i="169"/>
  <c r="M20" i="3"/>
  <c r="X198" i="110"/>
  <c r="M198" i="110"/>
  <c r="AK28" i="154"/>
  <c r="R12" i="169"/>
  <c r="L20" i="3"/>
  <c r="O20" i="3"/>
  <c r="N20" i="3"/>
  <c r="R151" i="110"/>
  <c r="W151" i="110"/>
  <c r="M151" i="110"/>
  <c r="H151" i="110"/>
  <c r="K151" i="110"/>
  <c r="U151" i="110"/>
  <c r="T151" i="110"/>
  <c r="X151" i="110"/>
  <c r="I151" i="110"/>
  <c r="V151" i="110"/>
  <c r="L151" i="110"/>
  <c r="J151" i="110"/>
  <c r="S151" i="110"/>
  <c r="L18" i="3"/>
  <c r="M18" i="3"/>
  <c r="N18" i="3"/>
  <c r="R12" i="167"/>
  <c r="AK26" i="154"/>
  <c r="V12" i="167"/>
  <c r="O18" i="3"/>
  <c r="Z12" i="167"/>
  <c r="L182" i="110"/>
  <c r="M182" i="110"/>
  <c r="N19" i="3"/>
  <c r="V12" i="168"/>
  <c r="Z12" i="168"/>
  <c r="L19" i="3"/>
  <c r="AK27" i="154"/>
  <c r="M19" i="3"/>
  <c r="R12" i="168"/>
  <c r="O19" i="3"/>
  <c r="I182" i="110"/>
  <c r="W182" i="110"/>
  <c r="J182" i="110"/>
  <c r="T182" i="110"/>
  <c r="V182" i="110"/>
  <c r="H182" i="110"/>
  <c r="S182" i="110"/>
  <c r="U182" i="110"/>
  <c r="X182" i="110"/>
  <c r="R182" i="110"/>
  <c r="AI39" i="81" l="1"/>
  <c r="AI48" i="81"/>
  <c r="AI47" i="81"/>
  <c r="AI40" i="81"/>
  <c r="AI38" i="81"/>
  <c r="AI46" i="81"/>
  <c r="AI45" i="81"/>
  <c r="M28" i="3"/>
  <c r="O28" i="3"/>
  <c r="L28" i="3"/>
  <c r="C144" i="3"/>
  <c r="N28" i="3"/>
  <c r="AD36" i="156" l="1"/>
  <c r="D144" i="3"/>
  <c r="AD36" i="155"/>
  <c r="Y36" i="155"/>
  <c r="Y36" i="156"/>
  <c r="T36" i="155"/>
  <c r="T36" i="156"/>
  <c r="W202" i="168" l="1"/>
  <c r="W202" i="170"/>
  <c r="W202" i="171"/>
  <c r="W202" i="148"/>
  <c r="W202" i="144"/>
  <c r="W202" i="14"/>
  <c r="BH2" i="110"/>
  <c r="W202" i="160"/>
  <c r="W202" i="162"/>
  <c r="W202" i="154"/>
  <c r="G21" i="81"/>
  <c r="W202" i="167"/>
  <c r="W202" i="169"/>
  <c r="W202" i="13"/>
  <c r="W202" i="152"/>
  <c r="W202" i="166"/>
  <c r="W202" i="147"/>
  <c r="W202" i="151"/>
  <c r="W202" i="158"/>
  <c r="W202" i="153"/>
  <c r="W202" i="172"/>
  <c r="W202" i="175"/>
  <c r="W202" i="176"/>
  <c r="W202" i="159"/>
  <c r="W202" i="163"/>
  <c r="W345" i="161"/>
  <c r="W202" i="155"/>
  <c r="W202" i="156"/>
  <c r="W202" i="81"/>
  <c r="W202" i="180"/>
  <c r="W202" i="182"/>
  <c r="H10" i="3" l="1"/>
  <c r="AT20" i="158" l="1"/>
  <c r="J5" i="110" s="1"/>
  <c r="AI41" i="81" s="1"/>
  <c r="H29" i="3"/>
  <c r="H27" i="3"/>
  <c r="AH18" i="154"/>
  <c r="K10" i="3" l="1"/>
  <c r="K29" i="3" s="1"/>
  <c r="AT200" i="158"/>
  <c r="V12" i="158"/>
  <c r="N10" i="3" l="1"/>
  <c r="N29" i="3" s="1"/>
  <c r="AT5" i="110"/>
  <c r="K27" i="3"/>
  <c r="R27" i="3" s="1"/>
  <c r="R12" i="158"/>
  <c r="Z12" i="158"/>
  <c r="L10" i="3"/>
  <c r="L29" i="3" s="1"/>
  <c r="BC20" i="158"/>
  <c r="M10" i="3"/>
  <c r="M27" i="3" s="1"/>
  <c r="O10" i="3"/>
  <c r="O27" i="3" s="1"/>
  <c r="R5" i="110"/>
  <c r="AI35" i="81" s="1"/>
  <c r="AK18" i="154"/>
  <c r="O44" i="14"/>
  <c r="S29" i="3"/>
  <c r="R29" i="3"/>
  <c r="X44" i="14" l="1"/>
  <c r="X48" i="14" s="1"/>
  <c r="A4" i="153"/>
  <c r="N27" i="3"/>
  <c r="S27" i="3"/>
  <c r="AV6" i="176" s="1"/>
  <c r="L27" i="3"/>
  <c r="D165" i="3" s="1"/>
  <c r="M29" i="3"/>
  <c r="T37" i="156" s="1"/>
  <c r="C5" i="110"/>
  <c r="C143" i="3"/>
  <c r="C142" i="3" s="1"/>
  <c r="O29" i="3"/>
  <c r="Y37" i="156" s="1"/>
  <c r="AW8" i="160"/>
  <c r="AW8" i="162"/>
  <c r="AW8" i="163"/>
  <c r="AW8" i="159"/>
  <c r="AW8" i="161"/>
  <c r="AV8" i="176"/>
  <c r="AV8" i="167"/>
  <c r="AV8" i="169"/>
  <c r="AV8" i="170"/>
  <c r="AV8" i="175"/>
  <c r="AV8" i="168"/>
  <c r="AV8" i="171"/>
  <c r="AW8" i="158"/>
  <c r="AV8" i="13"/>
  <c r="A4" i="155"/>
  <c r="A4" i="148"/>
  <c r="AD37" i="155"/>
  <c r="A4" i="81"/>
  <c r="A4" i="161"/>
  <c r="A4" i="158"/>
  <c r="A4" i="151"/>
  <c r="A4" i="156"/>
  <c r="A4" i="160"/>
  <c r="A4" i="14"/>
  <c r="A4" i="182"/>
  <c r="A4" i="13"/>
  <c r="A4" i="166"/>
  <c r="A4" i="163"/>
  <c r="A4" i="176"/>
  <c r="H2" i="3"/>
  <c r="A4" i="167"/>
  <c r="A4" i="147"/>
  <c r="A4" i="169"/>
  <c r="A4" i="170"/>
  <c r="Z36" i="14"/>
  <c r="A4" i="180"/>
  <c r="A4" i="171"/>
  <c r="A5" i="144"/>
  <c r="A4" i="175"/>
  <c r="A4" i="154"/>
  <c r="AD37" i="156"/>
  <c r="A4" i="162"/>
  <c r="A4" i="159"/>
  <c r="A4" i="168"/>
  <c r="T35" i="155"/>
  <c r="T35" i="156"/>
  <c r="O46" i="14"/>
  <c r="O48" i="14"/>
  <c r="Y35" i="155"/>
  <c r="Y35" i="156"/>
  <c r="AV6" i="163"/>
  <c r="AV6" i="158"/>
  <c r="AV6" i="159"/>
  <c r="AU6" i="169"/>
  <c r="AU6" i="167"/>
  <c r="AU6" i="176"/>
  <c r="AU6" i="171"/>
  <c r="AU6" i="170"/>
  <c r="AU6" i="168"/>
  <c r="AV6" i="160"/>
  <c r="AV6" i="162"/>
  <c r="AU6" i="175"/>
  <c r="AV6" i="161"/>
  <c r="AU6" i="13"/>
  <c r="AU8" i="13"/>
  <c r="AU8" i="167"/>
  <c r="AV8" i="163"/>
  <c r="AU8" i="175"/>
  <c r="AU8" i="171"/>
  <c r="AV8" i="158"/>
  <c r="AU8" i="176"/>
  <c r="AV8" i="160"/>
  <c r="AV8" i="162"/>
  <c r="AV8" i="159"/>
  <c r="AU8" i="169"/>
  <c r="AU8" i="170"/>
  <c r="AV8" i="161"/>
  <c r="AU8" i="168"/>
  <c r="X46" i="14" l="1"/>
  <c r="AR5" i="110"/>
  <c r="AI43" i="81" s="1"/>
  <c r="AS5" i="110"/>
  <c r="AV6" i="13"/>
  <c r="AV6" i="169"/>
  <c r="AV6" i="167"/>
  <c r="AW6" i="163"/>
  <c r="AV6" i="175"/>
  <c r="AV6" i="170"/>
  <c r="AW6" i="161"/>
  <c r="AW6" i="159"/>
  <c r="AW6" i="158"/>
  <c r="AV6" i="168"/>
  <c r="AW6" i="162"/>
  <c r="AW6" i="160"/>
  <c r="AV6" i="171"/>
  <c r="G19" i="81"/>
  <c r="H3" i="3"/>
  <c r="AO8" i="161" s="1"/>
  <c r="AD35" i="155"/>
  <c r="T37" i="155"/>
  <c r="D143" i="3"/>
  <c r="A142" i="3" s="1"/>
  <c r="E142" i="3" s="1"/>
  <c r="G20" i="81"/>
  <c r="AD35" i="156"/>
  <c r="B5" i="110"/>
  <c r="Y37" i="155"/>
  <c r="A165" i="3"/>
  <c r="E165" i="3" s="1"/>
  <c r="R23" i="81" s="1"/>
  <c r="AI37" i="81" l="1"/>
  <c r="AI36" i="81"/>
  <c r="AI44" i="81"/>
  <c r="DJ2" i="110"/>
  <c r="AO8" i="159"/>
  <c r="AO8" i="167"/>
  <c r="AO8" i="171"/>
  <c r="AO8" i="155"/>
  <c r="AO8" i="162"/>
  <c r="AO8" i="151"/>
  <c r="AO8" i="144"/>
  <c r="AO8" i="14"/>
  <c r="AO8" i="180"/>
  <c r="AO8" i="175"/>
  <c r="AO8" i="168"/>
  <c r="AO8" i="148"/>
  <c r="AO8" i="169"/>
  <c r="AO8" i="182"/>
  <c r="AO8" i="160"/>
  <c r="AO8" i="154"/>
  <c r="AO8" i="153"/>
  <c r="AO8" i="170"/>
  <c r="AO8" i="13"/>
  <c r="AO8" i="158"/>
  <c r="AO8" i="163"/>
  <c r="AO8" i="81"/>
  <c r="AO8" i="156"/>
  <c r="AO8" i="147"/>
  <c r="AO8" i="166"/>
  <c r="AO8" i="176"/>
  <c r="H4" i="3"/>
  <c r="R21" i="81"/>
  <c r="AL16" i="154"/>
  <c r="AO5" i="169" l="1"/>
  <c r="AO5" i="167"/>
  <c r="AO5" i="180"/>
  <c r="AO5" i="170"/>
  <c r="AO5" i="161"/>
  <c r="AO5" i="163"/>
  <c r="AO5" i="155"/>
  <c r="AO5" i="160"/>
  <c r="AO5" i="144"/>
  <c r="AO5" i="81"/>
  <c r="AO5" i="156"/>
  <c r="AO5" i="168"/>
  <c r="AO5" i="162"/>
  <c r="AO5" i="176"/>
  <c r="AO5" i="158"/>
  <c r="AO5" i="154"/>
  <c r="AO5" i="171"/>
  <c r="AO5" i="182"/>
  <c r="AO5" i="13"/>
  <c r="AO5" i="147"/>
  <c r="AO5" i="175"/>
  <c r="AO5" i="148"/>
  <c r="AO5" i="159"/>
  <c r="AO5" i="14"/>
  <c r="AO5" i="151"/>
  <c r="AO5" i="166"/>
  <c r="AO5" i="153"/>
</calcChain>
</file>

<file path=xl/sharedStrings.xml><?xml version="1.0" encoding="utf-8"?>
<sst xmlns="http://schemas.openxmlformats.org/spreadsheetml/2006/main" count="10717" uniqueCount="2916">
  <si>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</si>
  <si>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</si>
  <si>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</si>
  <si>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</si>
  <si>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</si>
  <si>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</si>
  <si>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</si>
  <si>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</si>
  <si>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</si>
  <si>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</si>
  <si>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</si>
  <si>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</si>
  <si>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</si>
  <si>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</si>
  <si>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</si>
  <si>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</si>
  <si>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</si>
  <si>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</si>
  <si>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</si>
  <si>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</si>
  <si>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</si>
  <si>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</si>
  <si>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</si>
  <si>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</si>
  <si>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</si>
  <si>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</si>
  <si>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</si>
  <si>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</si>
  <si>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</si>
  <si>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</si>
  <si>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</si>
  <si>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</si>
  <si>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</si>
  <si>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</si>
  <si>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</si>
  <si>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</si>
  <si>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</si>
  <si>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</si>
  <si>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</si>
  <si>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</si>
  <si>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</si>
  <si>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</si>
  <si>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</si>
  <si>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</si>
  <si>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</si>
  <si>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</si>
  <si>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</si>
  <si>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</si>
  <si>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</si>
  <si>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</si>
  <si>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</si>
  <si>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</si>
  <si>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</si>
  <si>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</si>
  <si>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</si>
  <si>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</si>
  <si>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</si>
  <si>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</si>
  <si>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</si>
  <si>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</si>
  <si>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</si>
  <si>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</si>
  <si>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</si>
  <si>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</si>
  <si>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</si>
  <si>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</si>
  <si>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</si>
  <si>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</si>
  <si>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</si>
  <si>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</si>
  <si>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</si>
  <si>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</si>
  <si>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</si>
  <si>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</si>
  <si>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</si>
  <si>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</si>
  <si>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</si>
  <si>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</si>
  <si>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</si>
  <si>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</si>
  <si>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</si>
  <si>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</si>
  <si>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</si>
  <si>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</si>
  <si>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</si>
  <si>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</si>
  <si>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</si>
  <si>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</si>
  <si>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</si>
  <si>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</si>
  <si>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</si>
  <si>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</si>
  <si>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</si>
  <si>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</si>
  <si>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</si>
  <si>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</si>
  <si>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</si>
  <si>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</si>
  <si>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</si>
  <si>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</si>
  <si>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</si>
  <si>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</si>
  <si>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</si>
  <si>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</si>
  <si>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</si>
  <si>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</si>
  <si>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</si>
  <si>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</si>
  <si>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</si>
  <si>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</si>
  <si>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</si>
  <si>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</si>
  <si>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</si>
  <si>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</si>
  <si>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</si>
  <si>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</si>
  <si>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</si>
  <si>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</si>
  <si>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</si>
  <si>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</si>
  <si>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</si>
  <si>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</si>
  <si>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</si>
  <si>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</si>
  <si>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</si>
  <si>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</si>
  <si>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</si>
  <si>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</si>
  <si>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</si>
  <si>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</si>
  <si>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</si>
  <si>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</si>
  <si>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</si>
  <si>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</si>
  <si>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</si>
  <si>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</si>
  <si>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</si>
  <si>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</si>
  <si>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</si>
  <si>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</si>
  <si>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</si>
  <si>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</si>
  <si>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</si>
  <si>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</si>
  <si>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</si>
  <si>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</si>
  <si>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</si>
  <si>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</si>
  <si>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</si>
  <si>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</si>
  <si>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</si>
  <si>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</si>
  <si>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</si>
  <si>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</si>
  <si>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</si>
  <si>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</si>
  <si>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</si>
  <si>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</si>
  <si>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</si>
  <si>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</si>
  <si>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</si>
  <si>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</si>
  <si>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</si>
  <si>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</si>
  <si>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</si>
  <si>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</si>
  <si>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</si>
  <si>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</si>
  <si>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</si>
  <si>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</si>
  <si>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</si>
  <si>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</si>
  <si>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</si>
  <si>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</si>
  <si>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</si>
  <si>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</si>
  <si>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</si>
  <si>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</si>
  <si>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</si>
  <si>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</si>
  <si>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</si>
  <si>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</si>
  <si>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</si>
  <si>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</si>
  <si>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</si>
  <si>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</si>
  <si>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</si>
  <si>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</si>
  <si>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</si>
  <si>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</si>
  <si>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</si>
  <si>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</si>
  <si>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</si>
  <si>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</si>
  <si>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</si>
  <si>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</si>
  <si>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</si>
  <si>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</si>
  <si>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</si>
  <si>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</si>
  <si>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</si>
  <si>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</si>
  <si>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</si>
  <si>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</si>
  <si>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</si>
  <si>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</si>
  <si>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</si>
  <si>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</si>
  <si>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</si>
  <si>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</si>
  <si>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</si>
  <si>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</si>
  <si>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</si>
  <si>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</si>
  <si>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</si>
  <si>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</si>
  <si>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</si>
  <si>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</si>
  <si>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</si>
  <si>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</si>
  <si>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</si>
  <si>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</si>
  <si>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</si>
  <si>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</si>
  <si>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</si>
  <si>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</si>
  <si>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</si>
  <si>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</si>
  <si>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</si>
  <si>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</si>
  <si>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</si>
  <si>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</si>
  <si>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</si>
  <si>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</si>
  <si>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</si>
  <si>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</si>
  <si>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</si>
  <si>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</si>
  <si>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</si>
  <si>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</si>
  <si>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</si>
  <si>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</si>
  <si>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</si>
  <si>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</si>
  <si>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</si>
  <si>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</si>
  <si>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</si>
  <si>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</si>
  <si>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</si>
  <si>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</si>
  <si>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</si>
  <si>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</si>
  <si>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</si>
  <si>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</si>
  <si>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</si>
  <si>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</si>
  <si>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</si>
  <si>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</si>
  <si>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</si>
  <si>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</si>
  <si>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</si>
  <si>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</si>
  <si>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</si>
  <si>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</si>
  <si>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</si>
  <si>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</si>
  <si>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</si>
  <si>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</si>
  <si>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</si>
  <si>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</si>
  <si>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</si>
  <si>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</si>
  <si>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</si>
  <si>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</si>
  <si>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</si>
  <si>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</si>
  <si>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</si>
  <si>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</si>
  <si>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</si>
  <si>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</si>
  <si>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</si>
  <si>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</si>
  <si>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</si>
  <si>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</si>
  <si>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</si>
  <si>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</si>
  <si>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</si>
  <si>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</si>
  <si>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</si>
  <si>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</si>
  <si>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</si>
  <si>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</si>
  <si>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</si>
  <si>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</si>
  <si>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</si>
  <si>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</si>
  <si>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</si>
  <si>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</si>
  <si>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</si>
  <si>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</si>
  <si>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</si>
  <si>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</si>
  <si>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</si>
  <si>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</si>
  <si>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</si>
  <si>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</si>
  <si>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Individual/Sole Proprietor</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</si>
  <si>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</si>
  <si>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</si>
  <si>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</si>
  <si>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</si>
  <si>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</si>
  <si>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</si>
  <si>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</si>
  <si>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</si>
  <si>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</si>
  <si>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</si>
  <si>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</si>
  <si>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</si>
  <si>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</si>
  <si>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</si>
  <si>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</si>
  <si>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LMCapture ID</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</si>
  <si>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</si>
  <si>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</si>
  <si>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</si>
  <si>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</si>
  <si>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</si>
  <si>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</si>
  <si>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</si>
  <si>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</si>
  <si>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</si>
  <si>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</si>
  <si>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</si>
  <si>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</si>
  <si>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</si>
  <si>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</si>
  <si>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</si>
  <si>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</si>
  <si>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</si>
  <si>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</si>
  <si>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</si>
  <si>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</si>
  <si>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</si>
  <si>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</si>
  <si>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</si>
  <si>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</si>
  <si>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</si>
  <si>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</si>
  <si>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</si>
  <si>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</si>
  <si>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</si>
  <si>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</si>
  <si>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</si>
  <si>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</si>
  <si>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</si>
  <si>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</si>
  <si>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</si>
  <si>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</si>
  <si>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</si>
  <si>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</si>
  <si>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</si>
  <si>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</si>
  <si>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</si>
  <si>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</si>
  <si>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</si>
  <si>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</si>
  <si>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</si>
  <si>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</si>
  <si>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</si>
  <si>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</si>
  <si>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</si>
  <si>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</si>
  <si>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</si>
  <si>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</si>
  <si>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</si>
  <si>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</si>
  <si>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</si>
  <si>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</si>
  <si>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</si>
  <si>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</si>
  <si>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</si>
  <si>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</si>
  <si>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</si>
  <si>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</si>
  <si>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</si>
  <si>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</si>
  <si>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</si>
  <si>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</si>
  <si>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</si>
  <si>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</si>
  <si>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</si>
  <si>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</si>
  <si>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</si>
  <si>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</si>
  <si>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</si>
  <si>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</si>
  <si>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</si>
  <si>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</si>
  <si>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</si>
  <si>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</si>
  <si>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</si>
  <si>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</si>
  <si>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</si>
  <si>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</si>
  <si>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</si>
  <si>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</si>
  <si>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</si>
  <si>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</si>
  <si>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</si>
  <si>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</si>
  <si>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</si>
  <si>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</si>
  <si>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</si>
  <si>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</si>
  <si>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</si>
  <si>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</si>
  <si>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</si>
  <si>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</si>
  <si>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</si>
  <si>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</si>
  <si>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</si>
  <si>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</si>
  <si>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</si>
  <si>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</si>
  <si>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</si>
  <si>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</si>
  <si>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</si>
  <si>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</si>
  <si>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</si>
  <si>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</si>
  <si>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</si>
  <si>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</si>
  <si>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</si>
  <si>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</si>
  <si>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</si>
  <si>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</si>
  <si>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</si>
  <si>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</si>
  <si>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</si>
  <si>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</si>
  <si>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</si>
  <si>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</si>
  <si>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</si>
  <si>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</si>
  <si>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</si>
  <si>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</si>
  <si>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</si>
  <si>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</si>
  <si>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</si>
  <si>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</si>
  <si>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</si>
  <si>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</si>
  <si>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</si>
  <si>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</si>
  <si>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</si>
  <si>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</si>
  <si>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</si>
  <si>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</si>
  <si>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</si>
  <si>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</si>
  <si>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</si>
  <si>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</si>
  <si>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</si>
  <si>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</si>
  <si>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</si>
  <si>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</si>
  <si>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</si>
  <si>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</si>
  <si>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</si>
  <si>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Demand Control Ventilation</t>
  </si>
  <si>
    <t>Air Cooled Chiller</t>
  </si>
  <si>
    <t>Water Cooled Chiller</t>
  </si>
  <si>
    <t>CRAC Unit</t>
  </si>
  <si>
    <t>Window Film</t>
  </si>
  <si>
    <t>Window Replacement</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</si>
  <si>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</si>
  <si>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</si>
  <si>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</si>
  <si>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</si>
  <si>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</si>
  <si>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</si>
  <si>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</si>
  <si>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</si>
  <si>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</si>
  <si>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</si>
  <si>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</si>
  <si>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</si>
  <si>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</si>
  <si>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</si>
  <si>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</si>
  <si>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</si>
  <si>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</si>
  <si>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</si>
  <si>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</si>
  <si>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</si>
  <si>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</si>
  <si>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</si>
  <si>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</si>
  <si>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</si>
  <si>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</si>
  <si>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Steamer</t>
  </si>
  <si>
    <t>Commercial Range Hood</t>
  </si>
  <si>
    <t>Commercial Refrigerator</t>
  </si>
  <si>
    <t>Commercial Freezer</t>
  </si>
  <si>
    <t>VFD for Chiller</t>
  </si>
  <si>
    <t>Packaged / Rooftop Unit</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</si>
  <si>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</si>
  <si>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</si>
  <si>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</si>
  <si>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</si>
  <si>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</si>
  <si>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</si>
  <si>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</si>
  <si>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</si>
  <si>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</si>
  <si>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</si>
  <si>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</si>
  <si>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</si>
  <si>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</si>
  <si>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</si>
  <si>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</si>
  <si>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</si>
  <si>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</si>
  <si>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</si>
  <si>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</si>
  <si>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</si>
  <si>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</si>
  <si>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</si>
  <si>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</si>
  <si>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</si>
  <si>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</si>
  <si>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</si>
  <si>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</si>
  <si>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</si>
  <si>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</si>
  <si>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</si>
  <si>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</si>
  <si>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</si>
  <si>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</si>
  <si>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</si>
  <si>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</si>
  <si>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</si>
  <si>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</si>
  <si>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</si>
  <si>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</si>
  <si>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</si>
  <si>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</si>
  <si>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</si>
  <si>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</si>
  <si>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</si>
  <si>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</si>
  <si>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</si>
  <si>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</si>
  <si>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</si>
  <si>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</si>
  <si>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</si>
  <si>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</si>
  <si>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</si>
  <si>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</si>
  <si>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</si>
  <si>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</si>
  <si>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</si>
  <si>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</si>
  <si>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</si>
  <si>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</si>
  <si>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</si>
  <si>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</si>
  <si>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</si>
  <si>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</si>
  <si>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Incremental</t>
  </si>
  <si>
    <t>T5 - 4 ft - 1 Lamp</t>
  </si>
  <si>
    <t>T5 - 4 ft - 2 Lamp</t>
  </si>
  <si>
    <t>T5 - 4 ft - 4 Lamp</t>
  </si>
  <si>
    <t>T5 - 4 ft - 6 Lamp</t>
  </si>
  <si>
    <t>Inefficient Signage Fixture</t>
  </si>
  <si>
    <t>Inefficient Neon Fixture</t>
  </si>
  <si>
    <t>Inefficient Induction Fixture</t>
  </si>
  <si>
    <t>Efficient Induction Fixture</t>
  </si>
  <si>
    <t>Packaged / Rooftop Unit (Incremental)</t>
  </si>
  <si>
    <t>Project Category</t>
  </si>
  <si>
    <t>PTAC Unit (Incremental)</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</si>
  <si>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</si>
  <si>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</si>
  <si>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</si>
  <si>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</si>
  <si>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</si>
  <si>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</si>
  <si>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</si>
  <si>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</si>
  <si>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</si>
  <si>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</si>
  <si>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Dimming Occupancy Sensor (Incremental)</t>
  </si>
  <si>
    <t>On/Off Occupancy Sensor (Incremental)</t>
  </si>
  <si>
    <t>Dimming Daylight Sensor (Incremental)</t>
  </si>
  <si>
    <t>On/Off Daylight Sensor (Incremental)</t>
  </si>
  <si>
    <t>Others</t>
  </si>
  <si>
    <t>Others (Incremental)</t>
  </si>
  <si>
    <t>Commercial Cooker (Incremental)</t>
  </si>
  <si>
    <t>Commercial Fryer (Incremental)</t>
  </si>
  <si>
    <t>Commercial Range Hood (Incremental)</t>
  </si>
  <si>
    <t>Commercial Steamer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</si>
  <si>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</si>
  <si>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</si>
  <si>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</si>
  <si>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</si>
  <si>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</si>
  <si>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</si>
  <si>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</si>
  <si>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</si>
  <si>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</si>
  <si>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</si>
  <si>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</si>
  <si>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</si>
  <si>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</si>
  <si>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</si>
  <si>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</si>
  <si>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</si>
  <si>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</si>
  <si>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</si>
  <si>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</si>
  <si>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</si>
  <si>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</si>
  <si>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</si>
  <si>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</si>
  <si>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</si>
  <si>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</si>
  <si>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</si>
  <si>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</si>
  <si>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</si>
  <si>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</si>
  <si>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</si>
  <si>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</si>
  <si>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</si>
  <si>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</si>
  <si>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</si>
  <si>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</si>
  <si>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</si>
  <si>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</si>
  <si>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</si>
  <si>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</si>
  <si>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</si>
  <si>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</si>
  <si>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</si>
  <si>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</si>
  <si>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</si>
  <si>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</si>
  <si>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</si>
  <si>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</si>
  <si>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</si>
  <si>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</si>
  <si>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</si>
  <si>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</si>
  <si>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</si>
  <si>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</si>
  <si>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</si>
  <si>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T8 25 Watt - 4 ft - 6 Lamp</t>
  </si>
  <si>
    <t>T8 28 Watt - 4 ft - 6 Lamp</t>
  </si>
  <si>
    <t>T8 32 Watt - 4 ft - 6 Lamp</t>
  </si>
  <si>
    <t>ComEd (Interpolated)</t>
  </si>
  <si>
    <t>Incentive Less Than $150</t>
  </si>
  <si>
    <t>X.0.0</t>
  </si>
  <si>
    <t>0.X.0</t>
  </si>
  <si>
    <t>0.0.X</t>
  </si>
  <si>
    <t>Complete application redesign or program year changes</t>
  </si>
  <si>
    <t>Versioning Guidelines (using the highest hierarchy in a group of changes)</t>
  </si>
  <si>
    <t>bug fixes, calculation adjustments, additional custom options, additional features that does not affect program guideline, LM Captures changes that would not affect compatability</t>
  </si>
  <si>
    <t>Chiller Control Optimization</t>
  </si>
  <si>
    <t>Chiller Control Optimization (Incremental)</t>
  </si>
  <si>
    <t>Advanced RTU Compressor Controller</t>
  </si>
  <si>
    <t>Advanced RTU Compressor Controller (Incremental)</t>
  </si>
  <si>
    <t>~~~~~~~~~~~~~~~~~~~~~~~~~~~~~</t>
  </si>
  <si>
    <t>End of Expiration changes, program guideline changes, prescriptive measure additions, LM Captures compatibility related changes</t>
  </si>
  <si>
    <t>Total kWh</t>
  </si>
  <si>
    <t>Total kW</t>
  </si>
  <si>
    <t>Cooling Only HVAC Equipment (Incremental)</t>
  </si>
  <si>
    <t>VFD for Process Motor</t>
  </si>
  <si>
    <t>Eff. Wattage Not Met</t>
  </si>
  <si>
    <t>Linear Feet Exceeded</t>
  </si>
  <si>
    <t>Operating Hours Invalid</t>
  </si>
  <si>
    <t>Cooling Only HVAC Equipment</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</si>
  <si>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</si>
  <si>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</si>
  <si>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</si>
  <si>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</si>
  <si>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</si>
  <si>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</si>
  <si>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</si>
  <si>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</si>
  <si>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</si>
  <si>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</si>
  <si>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</si>
  <si>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</si>
  <si>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</si>
  <si>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</si>
  <si>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</si>
  <si>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</si>
  <si>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</si>
  <si>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</si>
  <si>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</si>
  <si>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</si>
  <si>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</si>
  <si>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</si>
  <si>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</si>
  <si>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</si>
  <si>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</si>
  <si>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</si>
  <si>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</si>
  <si>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</si>
  <si>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</si>
  <si>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</si>
  <si>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</si>
  <si>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</si>
  <si>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</si>
  <si>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</si>
  <si>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</si>
  <si>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</si>
  <si>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</si>
  <si>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</si>
  <si>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</si>
  <si>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</si>
  <si>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</si>
  <si>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</si>
  <si>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</si>
  <si>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</si>
  <si>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</si>
  <si>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</si>
  <si>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</si>
  <si>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</si>
  <si>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</si>
  <si>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</si>
  <si>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</si>
  <si>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</si>
  <si>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</si>
  <si>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T8 - 4ft - 2 Lamp - 64W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</si>
  <si>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</si>
  <si>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</si>
  <si>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</si>
  <si>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</si>
  <si>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</si>
  <si>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</si>
  <si>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</si>
  <si>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</si>
  <si>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</si>
  <si>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</si>
  <si>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</si>
  <si>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</si>
  <si>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</si>
  <si>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</si>
  <si>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</si>
  <si>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</si>
  <si>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</si>
  <si>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</si>
  <si>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</si>
  <si>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</si>
  <si>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</si>
  <si>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IECC 2003</t>
  </si>
  <si>
    <t>IECC 2006</t>
  </si>
  <si>
    <t>North Kansas City</t>
  </si>
  <si>
    <t>City of Kansas City</t>
  </si>
  <si>
    <t>Jackson County</t>
  </si>
  <si>
    <t>Sedalia</t>
  </si>
  <si>
    <t>Raytown</t>
  </si>
  <si>
    <t>Riverside</t>
  </si>
  <si>
    <t>Buckner</t>
  </si>
  <si>
    <t>Belton</t>
  </si>
  <si>
    <t>Smithville</t>
  </si>
  <si>
    <t>Warrensburg</t>
  </si>
  <si>
    <t>Platte Country</t>
  </si>
  <si>
    <t>Gladstone</t>
  </si>
  <si>
    <t>Grandview</t>
  </si>
  <si>
    <t>ASHRAE 90.1 2007</t>
  </si>
  <si>
    <t>ASHRAE 90.1 2010</t>
  </si>
  <si>
    <t>ASHRAE 90.1 2013</t>
  </si>
  <si>
    <t>ASHRAE 90.1 2004</t>
  </si>
  <si>
    <t>ASHRAE 90.1 2001</t>
  </si>
  <si>
    <t>Retrofit ASHRAE 90.1</t>
  </si>
  <si>
    <t>Retrofit IECC</t>
  </si>
  <si>
    <t>NC IECC</t>
  </si>
  <si>
    <t>NC ASHRAE 90.1</t>
  </si>
  <si>
    <t>$/kWh</t>
  </si>
  <si>
    <t>Project Payback Too Fast</t>
  </si>
  <si>
    <t xml:space="preserve"> </t>
  </si>
  <si>
    <t>Yes</t>
  </si>
  <si>
    <t>Hotel/Motel</t>
  </si>
  <si>
    <t>School (Elementary)</t>
  </si>
  <si>
    <t>School (Middle/High)</t>
  </si>
  <si>
    <t>((1+ELOSS)*PEAKTD*(1+CAPRESERVE)*((KWH*NPVAEC)+(KW*NPVACCTD)))/PROJCOST</t>
  </si>
  <si>
    <t>Project Not Cost Effective</t>
  </si>
  <si>
    <t>ZIP Code</t>
  </si>
  <si>
    <t>KCP&amp;L Codes</t>
  </si>
  <si>
    <t>Cities Dropdown</t>
  </si>
  <si>
    <t>NC City Code</t>
  </si>
  <si>
    <t>County</t>
  </si>
  <si>
    <t>NC County Code</t>
  </si>
  <si>
    <t>KCPL</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</si>
  <si>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</si>
  <si>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</si>
  <si>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</si>
  <si>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</si>
  <si>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</si>
  <si>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</si>
  <si>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</si>
  <si>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</si>
  <si>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</si>
  <si>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</si>
  <si>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</si>
  <si>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</si>
  <si>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</si>
  <si>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</si>
  <si>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</si>
  <si>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</si>
  <si>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</si>
  <si>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</si>
  <si>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</si>
  <si>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</si>
  <si>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</si>
  <si>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</si>
  <si>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</si>
  <si>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</si>
  <si>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</si>
  <si>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</si>
  <si>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</si>
  <si>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</si>
  <si>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</si>
  <si>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</si>
  <si>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</si>
  <si>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</si>
  <si>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</si>
  <si>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</si>
  <si>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</si>
  <si>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</si>
  <si>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</si>
  <si>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</si>
  <si>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</si>
  <si>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</si>
  <si>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</si>
  <si>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</si>
  <si>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</si>
  <si>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</si>
  <si>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</si>
  <si>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</si>
  <si>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</si>
  <si>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</si>
  <si>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</si>
  <si>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</si>
  <si>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</si>
  <si>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</si>
  <si>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</si>
  <si>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</si>
  <si>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</si>
  <si>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</si>
  <si>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</si>
  <si>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</si>
  <si>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</si>
  <si>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</si>
  <si>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</si>
  <si>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</si>
  <si>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</si>
  <si>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</si>
  <si>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</si>
  <si>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</si>
  <si>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</si>
  <si>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</si>
  <si>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</si>
  <si>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</si>
  <si>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</si>
  <si>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</si>
  <si>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</si>
  <si>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</si>
  <si>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</si>
  <si>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</si>
  <si>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</si>
  <si>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</si>
  <si>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</si>
  <si>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</si>
  <si>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</si>
  <si>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</si>
  <si>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</si>
  <si>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</si>
  <si>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</si>
  <si>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</si>
  <si>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</si>
  <si>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</si>
  <si>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</si>
  <si>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</si>
  <si>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</si>
  <si>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</si>
  <si>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</si>
  <si>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</si>
  <si>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</si>
  <si>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</si>
  <si>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</si>
  <si>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</si>
  <si>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</si>
  <si>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</si>
  <si>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</si>
  <si>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</si>
  <si>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</si>
  <si>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</si>
  <si>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</si>
  <si>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</si>
  <si>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</si>
  <si>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</si>
  <si>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</si>
  <si>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</si>
  <si>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</si>
  <si>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</si>
  <si>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</si>
  <si>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</si>
  <si>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</si>
  <si>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</si>
  <si>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</si>
  <si>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</si>
  <si>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</si>
  <si>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</si>
  <si>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</si>
  <si>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</si>
  <si>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</si>
  <si>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</si>
  <si>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</si>
  <si>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</si>
  <si>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</si>
  <si>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</si>
  <si>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</si>
  <si>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</si>
  <si>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</si>
  <si>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</si>
  <si>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</si>
  <si>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</si>
  <si>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</si>
  <si>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</si>
  <si>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</si>
  <si>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</si>
  <si>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</si>
  <si>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</si>
  <si>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</si>
  <si>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</si>
  <si>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</si>
  <si>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</si>
  <si>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</si>
  <si>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</si>
  <si>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</si>
  <si>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</si>
  <si>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</si>
  <si>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</si>
  <si>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</si>
  <si>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</si>
  <si>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</si>
  <si>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</si>
  <si>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</si>
  <si>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</si>
  <si>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</si>
  <si>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</si>
  <si>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</si>
  <si>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</si>
  <si>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</si>
  <si>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</si>
  <si>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</si>
  <si>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</si>
  <si>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</si>
  <si>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</si>
  <si>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</si>
  <si>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</si>
  <si>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</si>
  <si>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</si>
  <si>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</si>
  <si>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</si>
  <si>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</si>
  <si>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</si>
  <si>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</si>
  <si>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</si>
  <si>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</si>
  <si>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</si>
  <si>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</si>
  <si>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</si>
  <si>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</si>
  <si>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</si>
  <si>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</si>
  <si>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</si>
  <si>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</si>
  <si>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</si>
  <si>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</si>
  <si>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</si>
  <si>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</si>
  <si>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</si>
  <si>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</si>
  <si>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</si>
  <si>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</si>
  <si>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</si>
  <si>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</si>
  <si>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</si>
  <si>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</si>
  <si>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</si>
  <si>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</si>
  <si>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</si>
  <si>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</si>
  <si>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</si>
  <si>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</si>
  <si>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</si>
  <si>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</si>
  <si>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</si>
  <si>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</si>
  <si>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</si>
  <si>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</si>
  <si>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</si>
  <si>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</si>
  <si>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</si>
  <si>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</si>
  <si>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</si>
  <si>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</si>
  <si>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</si>
  <si>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</si>
  <si>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</si>
  <si>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</si>
  <si>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</si>
  <si>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</si>
  <si>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</si>
  <si>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</si>
  <si>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</si>
  <si>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</si>
  <si>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</si>
  <si>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</si>
  <si>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</si>
  <si>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</si>
  <si>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</si>
  <si>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</si>
  <si>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</si>
  <si>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</si>
  <si>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</si>
  <si>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</si>
  <si>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</si>
  <si>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</si>
  <si>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</si>
  <si>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</si>
  <si>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</si>
  <si>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</si>
  <si>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</si>
  <si>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</si>
  <si>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</si>
  <si>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</si>
  <si>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</si>
  <si>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</si>
  <si>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</si>
  <si>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</si>
  <si>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</si>
  <si>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</si>
  <si>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</si>
  <si>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</si>
  <si>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</si>
  <si>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</si>
  <si>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</si>
  <si>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</si>
  <si>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</si>
  <si>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</si>
  <si>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</si>
  <si>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</si>
  <si>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</si>
  <si>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</si>
  <si>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</si>
  <si>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</si>
  <si>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</si>
  <si>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</si>
  <si>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</si>
  <si>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</si>
  <si>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</si>
  <si>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</si>
  <si>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</si>
  <si>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</si>
  <si>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</si>
  <si>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</si>
  <si>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</si>
  <si>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</si>
  <si>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</si>
  <si>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</si>
  <si>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</si>
  <si>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</si>
  <si>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</si>
  <si>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</si>
  <si>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</si>
  <si>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</si>
  <si>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</si>
  <si>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</si>
  <si>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</si>
  <si>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</si>
  <si>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</si>
  <si>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</si>
  <si>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</si>
  <si>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</si>
  <si>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</si>
  <si>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</si>
  <si>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</si>
  <si>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</si>
  <si>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</si>
  <si>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</si>
  <si>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</si>
  <si>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</si>
  <si>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</si>
  <si>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</si>
  <si>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</si>
  <si>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</si>
  <si>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</si>
  <si>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</si>
  <si>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</si>
  <si>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</si>
  <si>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</si>
  <si>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</si>
  <si>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</si>
  <si>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</si>
  <si>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</si>
  <si>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</si>
  <si>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</si>
  <si>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</si>
  <si>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</si>
  <si>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</si>
  <si>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</si>
  <si>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</si>
  <si>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</si>
  <si>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</si>
  <si>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</si>
  <si>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</si>
  <si>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</si>
  <si>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</si>
  <si>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</si>
  <si>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</si>
  <si>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</si>
  <si>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</si>
  <si>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</si>
  <si>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</si>
  <si>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</si>
  <si>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</si>
  <si>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</si>
  <si>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</si>
  <si>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</si>
  <si>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</si>
  <si>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</si>
  <si>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</si>
  <si>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</si>
  <si>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</si>
  <si>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</si>
  <si>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</si>
  <si>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</si>
  <si>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</si>
  <si>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</si>
  <si>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</si>
  <si>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</si>
  <si>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</si>
  <si>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</si>
  <si>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</si>
  <si>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</si>
  <si>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</si>
  <si>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</si>
  <si>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</si>
  <si>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</si>
  <si>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</si>
  <si>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</si>
  <si>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</si>
  <si>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</si>
  <si>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</si>
  <si>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</si>
  <si>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</si>
  <si>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</si>
  <si>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</si>
  <si>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</si>
  <si>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</si>
  <si>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</si>
  <si>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</si>
  <si>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</si>
  <si>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</si>
  <si>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</si>
  <si>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</si>
  <si>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</si>
  <si>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</si>
  <si>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</si>
  <si>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</si>
  <si>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</si>
  <si>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</si>
  <si>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</si>
  <si>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</si>
  <si>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</si>
  <si>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</si>
  <si>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</si>
  <si>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</si>
  <si>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</si>
  <si>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</si>
  <si>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</si>
  <si>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</si>
  <si>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</si>
  <si>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</si>
  <si>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</si>
  <si>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</si>
  <si>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</si>
  <si>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</si>
  <si>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</si>
  <si>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</si>
  <si>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</si>
  <si>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</si>
  <si>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</si>
  <si>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</si>
  <si>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</si>
  <si>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</si>
  <si>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</si>
  <si>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t>Fan</t>
  </si>
  <si>
    <r>
      <t>1</t>
    </r>
    <r>
      <rPr>
        <vertAlign val="superscript"/>
        <sz val="14"/>
        <rFont val="Arial"/>
        <family val="2"/>
      </rPr>
      <t>st</t>
    </r>
    <r>
      <rPr>
        <sz val="14"/>
        <rFont val="Arial"/>
        <family val="2"/>
      </rPr>
      <t xml:space="preserve"> Year ROI</t>
    </r>
  </si>
  <si>
    <t>Interior Lighting</t>
  </si>
  <si>
    <t>Interior Lighting Control</t>
  </si>
  <si>
    <t>Average of KCPL-MO &amp; GMO</t>
  </si>
  <si>
    <t>NPV ACC $/kW</t>
  </si>
  <si>
    <t>Utility Discount Rate</t>
  </si>
  <si>
    <t>KCPL-MO</t>
  </si>
  <si>
    <t>GMO</t>
  </si>
  <si>
    <t>Avoided Costs</t>
  </si>
  <si>
    <t>Net Present Value of Avoided Costs per kWh and kW for expected measure lives</t>
  </si>
  <si>
    <t>Utility Avoided Costs</t>
  </si>
  <si>
    <t>Total Utility Avoided Costs</t>
  </si>
  <si>
    <t>Base Year Avoided Costs (year 1 is 2016)</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</si>
  <si>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</si>
  <si>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</si>
  <si>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</si>
  <si>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</si>
  <si>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</si>
  <si>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</si>
  <si>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</si>
  <si>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</si>
  <si>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</si>
  <si>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</si>
  <si>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</si>
  <si>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</si>
  <si>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</si>
  <si>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</si>
  <si>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</si>
  <si>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</si>
  <si>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Lockheed Martin Proprietary Information</t>
  </si>
  <si>
    <t>Taylor</t>
  </si>
  <si>
    <t>Hot Food Holding Cabinet (Incremental)</t>
  </si>
  <si>
    <t>Hot Food Holding Cabinet</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</si>
  <si>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</si>
  <si>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</si>
  <si>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</si>
  <si>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</si>
  <si>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</si>
  <si>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</si>
  <si>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</si>
  <si>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</si>
  <si>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</si>
  <si>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</si>
  <si>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</si>
  <si>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</si>
  <si>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</si>
  <si>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</si>
  <si>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</si>
  <si>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</si>
  <si>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</si>
  <si>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</si>
  <si>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</si>
  <si>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</si>
  <si>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</si>
  <si>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</si>
  <si>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</si>
  <si>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</si>
  <si>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</si>
  <si>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</si>
  <si>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</si>
  <si>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</si>
  <si>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</si>
  <si>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</si>
  <si>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</si>
  <si>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</si>
  <si>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</si>
  <si>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</si>
  <si>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</si>
  <si>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</si>
  <si>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</si>
  <si>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</si>
  <si>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</si>
  <si>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</si>
  <si>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</si>
  <si>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</si>
  <si>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</si>
  <si>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</si>
  <si>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</si>
  <si>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</si>
  <si>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</si>
  <si>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</si>
  <si>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</si>
  <si>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</si>
  <si>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</si>
  <si>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</si>
  <si>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</si>
  <si>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</si>
  <si>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</si>
  <si>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</si>
  <si>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</si>
  <si>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</si>
  <si>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</si>
  <si>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</si>
  <si>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</si>
  <si>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</si>
  <si>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</si>
  <si>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</si>
  <si>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</si>
  <si>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</si>
  <si>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</si>
  <si>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</si>
  <si>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Current Incentive</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</si>
  <si>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</si>
  <si>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</si>
  <si>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</si>
  <si>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</si>
  <si>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</si>
  <si>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</si>
  <si>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</si>
  <si>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</si>
  <si>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Parking Garage LED replacing &lt;= 100W Fixture or Mogul Screw-Base Lamp</t>
  </si>
  <si>
    <t>Lamp</t>
  </si>
  <si>
    <t>Parking Garage LED replacing 101W-175W Fixture or Mogul Screw-Base Lamp</t>
  </si>
  <si>
    <t>Interior LED 1X4 Retrofit Kit replacing T8, T12 or T5/T5HO fixture</t>
  </si>
  <si>
    <t>Interior LED 1X4 Troffer or Linear Ambient replacing T8, T12 or T5/T5HO fixture</t>
  </si>
  <si>
    <t>Parking Garage LED replacing &gt; 175W Fixture or Mogul Screw-Base Lamp</t>
  </si>
  <si>
    <t>Interior LED 2X2 Retrofit Kit replacing T8, T12 or T5/T5HO fixture</t>
  </si>
  <si>
    <t>Interior LED 2X2 Troffer or Linear Ambient replacing T8, T12 or T5/T5HO fixture</t>
  </si>
  <si>
    <t>Interior LED 2X4 Retrofit Kit replacing T8, T12 or T5/T5HO fixture</t>
  </si>
  <si>
    <t>Interior LED 2X4 Troffer or Linear Ambient replacing T8, T12 or T5/T5HO fixture</t>
  </si>
  <si>
    <t>Door</t>
  </si>
  <si>
    <t>LED Refrig Case Lights w/Doors 4ft 5ft or 6ft repl Fluor Refrig Case Lights w/Doors 4ft 5ft or 6ft</t>
  </si>
  <si>
    <t>LED High Bay fixture replacing &gt; 750W fixture</t>
  </si>
  <si>
    <t>LED High Bay Fixture replacing 451W - 750W fixture</t>
  </si>
  <si>
    <t>LED Low Bay Fixture replacing 150W-300W fixture</t>
  </si>
  <si>
    <t>LED Low/High Bay Fixture replacing 301W‐450W fixture</t>
  </si>
  <si>
    <t>LED high bay mogul screw-base lamp/retrofit kit replacing &gt; 750W fixture</t>
  </si>
  <si>
    <t>LED high bay mogul screw-base lamp/retrofit kit replacing 451W - 750W fixture</t>
  </si>
  <si>
    <t>LED low bay mogul screw-base lamp/retrofit kit replacing 150W - 300W fixture</t>
  </si>
  <si>
    <t>LED low/high bay mogul screw-base lamp/retrofit kit replacing 301W - 450W fixture</t>
  </si>
  <si>
    <t>Remove 4ft Lamp from T8 or T12 system</t>
  </si>
  <si>
    <t>Remove 8ft Lamp from T8 or T12 System</t>
  </si>
  <si>
    <t>Variable Speed Drive Compressor - 1 shift weekdays</t>
  </si>
  <si>
    <t>Variable Speed Drive Compressor - 2 shift weekdays</t>
  </si>
  <si>
    <t>Variable Speed Drive Compressor - 3 shift weekdays</t>
  </si>
  <si>
    <t>Variable Speed Drive Compressor - 3 shift weekdays plus weekends</t>
  </si>
  <si>
    <t>Compressed Air - Engineered Nozzle 1/4"</t>
  </si>
  <si>
    <t>Nozzle</t>
  </si>
  <si>
    <t>Compressed Air - Engineered Nozzle 1/8"</t>
  </si>
  <si>
    <t>ECM Motors Walk-In Coolers &amp; Freezers</t>
  </si>
  <si>
    <t>Motor</t>
  </si>
  <si>
    <t>High Efficiency Reach-In Freezer</t>
  </si>
  <si>
    <t>High Efficiency Reach-In Refrigerator</t>
  </si>
  <si>
    <t>Strip Curtains Cooler</t>
  </si>
  <si>
    <t>Strip Curtains Freezer</t>
  </si>
  <si>
    <t>TRM Measure Name</t>
  </si>
  <si>
    <t>-----Interior-----</t>
  </si>
  <si>
    <t>Measure Type</t>
  </si>
  <si>
    <t>Column2</t>
  </si>
  <si>
    <t>Efficient Category</t>
  </si>
  <si>
    <t>Material</t>
  </si>
  <si>
    <t>Labor</t>
  </si>
  <si>
    <t>Total Measure Cost</t>
  </si>
  <si>
    <t>LED Linear Lamps</t>
  </si>
  <si>
    <t>LED Screw-ins &amp; Other Lamps</t>
  </si>
  <si>
    <t>Permanent Lamp Removal</t>
  </si>
  <si>
    <t>LED Freezer Case Lights w/Doors 4ft 5ft or 6ft repl Fluor Freezer Case Lights w/Doors 4ft 5ft or 6ft</t>
  </si>
  <si>
    <t>Interior LED Linear Lamp replacing 2ft T8, T12, or T5 Lamp</t>
  </si>
  <si>
    <t>Interior LED Linear Lamp replacing 4ft T8, T12, or T5 Lamp</t>
  </si>
  <si>
    <t>Interior 8' LED Linear Lamp replacing 8ft T8 or T12 Lamp</t>
  </si>
  <si>
    <t>LED Fixture replacing 150W-300W HID Fixture</t>
  </si>
  <si>
    <t>LED Fixture replacing 301W-450W HID Fixture</t>
  </si>
  <si>
    <t>LED Fixture replacing 451W-750W HID Fixture</t>
  </si>
  <si>
    <t>LED Fixture replacing &gt;750W HID Fixture</t>
  </si>
  <si>
    <t>LED replacing Fluorescent Freezer Case Lights w/Doors 4', 5', or 6'</t>
  </si>
  <si>
    <t>LED replacing Fluorescent Refrigerator Case Lights w/Doors 4', 5', or 6'</t>
  </si>
  <si>
    <t>Install Location</t>
  </si>
  <si>
    <t>Efficient Measure</t>
  </si>
  <si>
    <t>kWh</t>
  </si>
  <si>
    <t>kW</t>
  </si>
  <si>
    <t>Deemed</t>
  </si>
  <si>
    <t>Calculated</t>
  </si>
  <si>
    <t>Existing kWh</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</si>
  <si>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</si>
  <si>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</si>
  <si>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</si>
  <si>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</si>
  <si>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</si>
  <si>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</si>
  <si>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</si>
  <si>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</si>
  <si>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</si>
  <si>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</si>
  <si>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</si>
  <si>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</si>
  <si>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</si>
  <si>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</si>
  <si>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</si>
  <si>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</si>
  <si>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</si>
  <si>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</si>
  <si>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</si>
  <si>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</si>
  <si>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</si>
  <si>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</si>
  <si>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</si>
  <si>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</si>
  <si>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</si>
  <si>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</si>
  <si>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</si>
  <si>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</si>
  <si>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</si>
  <si>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</si>
  <si>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</si>
  <si>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</si>
  <si>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</si>
  <si>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</si>
  <si>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</si>
  <si>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</si>
  <si>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</si>
  <si>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</si>
  <si>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</si>
  <si>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</si>
  <si>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</si>
  <si>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</si>
  <si>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</si>
  <si>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</si>
  <si>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</si>
  <si>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</si>
  <si>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</si>
  <si>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</si>
  <si>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LPD</t>
  </si>
  <si>
    <t>Total Cost</t>
  </si>
  <si>
    <t>End Use Factor</t>
  </si>
  <si>
    <t>Caps</t>
  </si>
  <si>
    <t>End Use kW</t>
  </si>
  <si>
    <t>Project Type</t>
  </si>
  <si>
    <t>Base Equipment Detail</t>
  </si>
  <si>
    <t>Annual kWh/Unit</t>
  </si>
  <si>
    <t>New Equipment Detail</t>
  </si>
  <si>
    <t>Cost Type</t>
  </si>
  <si>
    <t>Replace Failed Equip.</t>
  </si>
  <si>
    <t xml:space="preserve">
VFD for Chiller (Incremental)</t>
  </si>
  <si>
    <t>INDEX(CMEMISC[Proj Desc 1],MATCH('M04-S09'!C18,CMEMISC[Project Category],0),1):INDEX(CMEMISC[Proj Desc 1],MATCH('M04-S09'!C18,CMEMISC[Project Category],1),1)</t>
  </si>
  <si>
    <t>Enter Utility Rate (Building Info Tab)</t>
  </si>
  <si>
    <t>CB</t>
  </si>
  <si>
    <t>Value</t>
  </si>
  <si>
    <t>Payback (years)</t>
  </si>
  <si>
    <t>kWh Rate Min</t>
  </si>
  <si>
    <t>kWh Rate Max</t>
  </si>
  <si>
    <t>Standard</t>
  </si>
  <si>
    <t xml:space="preserve">
Cooling Only HVAC Equipment (Incremental)</t>
  </si>
  <si>
    <t>Description (Brand,Model)</t>
  </si>
  <si>
    <t>Fixture Quantity</t>
  </si>
  <si>
    <t>Input Watt</t>
  </si>
  <si>
    <t>Hours per Year</t>
  </si>
  <si>
    <t>New Fixture Type</t>
  </si>
  <si>
    <t>New Quantity</t>
  </si>
  <si>
    <t>Descrip-tion</t>
  </si>
  <si>
    <t>Garage</t>
  </si>
  <si>
    <t>Garage (24/7)</t>
  </si>
  <si>
    <t>LED - Fixture</t>
  </si>
  <si>
    <t>LED - Fixture w/ Linear Tubes</t>
  </si>
  <si>
    <t>Induction (Describe)</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</si>
  <si>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</si>
  <si>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</si>
  <si>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</si>
  <si>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</si>
  <si>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</si>
  <si>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</si>
  <si>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</si>
  <si>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</si>
  <si>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</si>
  <si>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</si>
  <si>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</si>
  <si>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</si>
  <si>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</si>
  <si>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</si>
  <si>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</si>
  <si>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</si>
  <si>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</si>
  <si>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</si>
  <si>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</si>
  <si>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</si>
  <si>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</si>
  <si>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</si>
  <si>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</si>
  <si>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</si>
  <si>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</si>
  <si>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</si>
  <si>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</si>
  <si>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</si>
  <si>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</si>
  <si>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</si>
  <si>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</si>
  <si>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</si>
  <si>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</si>
  <si>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</si>
  <si>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</si>
  <si>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</si>
  <si>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</si>
  <si>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</si>
  <si>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Is the Site address the same as the Company address?</t>
    </r>
    <r>
      <rPr>
        <sz val="11"/>
        <color rgb="FFFF0000"/>
        <rFont val="Arial"/>
        <family val="2"/>
      </rPr>
      <t>*</t>
    </r>
  </si>
  <si>
    <r>
      <t>Is the Site contact the same as the Company contact?</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</si>
  <si>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</si>
  <si>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</si>
  <si>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</si>
  <si>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</si>
  <si>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</si>
  <si>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Type</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</si>
  <si>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</si>
  <si>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</si>
  <si>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</si>
  <si>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</si>
  <si>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</si>
  <si>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</si>
  <si>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</si>
  <si>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</si>
  <si>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</si>
  <si>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</si>
  <si>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</si>
  <si>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</si>
  <si>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</si>
  <si>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</si>
  <si>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High Efficiency Pool Pump</t>
  </si>
  <si>
    <t>Pool Pump VSD</t>
  </si>
  <si>
    <t>Compressed Air - No Loss Condensate Drain/Valve</t>
  </si>
  <si>
    <t>Drain/Valve</t>
  </si>
  <si>
    <t>Pump</t>
  </si>
  <si>
    <t>High Efficiency</t>
  </si>
  <si>
    <t>Standard Pool Pump</t>
  </si>
  <si>
    <t>VSD</t>
  </si>
  <si>
    <t>Building Area Type</t>
  </si>
  <si>
    <t>Automotive Facility</t>
  </si>
  <si>
    <t>Convention Center</t>
  </si>
  <si>
    <t>Courthouse</t>
  </si>
  <si>
    <t>Dining: Bar Lounge/Leisure</t>
  </si>
  <si>
    <t>Dining: Cafeteria/Fast Food</t>
  </si>
  <si>
    <t>Dining: Family</t>
  </si>
  <si>
    <t>Dormitory</t>
  </si>
  <si>
    <t>Exercise Center</t>
  </si>
  <si>
    <t>Fire Station</t>
  </si>
  <si>
    <t>Gymnasium</t>
  </si>
  <si>
    <t>School</t>
  </si>
  <si>
    <t>Healthcare – clinic</t>
  </si>
  <si>
    <t>Used VAV econ</t>
  </si>
  <si>
    <t>Hotel</t>
  </si>
  <si>
    <t>Averaged Guest/Common</t>
  </si>
  <si>
    <t>Library</t>
  </si>
  <si>
    <t>Motel</t>
  </si>
  <si>
    <t>Motion Picture Theater</t>
  </si>
  <si>
    <t>Multi-Family</t>
  </si>
  <si>
    <t>Museum</t>
  </si>
  <si>
    <t>Office</t>
  </si>
  <si>
    <t>Assumed Mid Rise Office</t>
  </si>
  <si>
    <t>Parking Garage</t>
  </si>
  <si>
    <t>Assumed non 24/7</t>
  </si>
  <si>
    <t>Penitentiary</t>
  </si>
  <si>
    <t>Performing Arts Theaters</t>
  </si>
  <si>
    <t>Assumed Movie Theater</t>
  </si>
  <si>
    <t>Police Station</t>
  </si>
  <si>
    <t>Post Office</t>
  </si>
  <si>
    <t>Assumed Low-Use Small Business</t>
  </si>
  <si>
    <t>Religious Building</t>
  </si>
  <si>
    <t>Retail</t>
  </si>
  <si>
    <t>Assumed Strip Mall</t>
  </si>
  <si>
    <t>Assumed High School</t>
  </si>
  <si>
    <t>Sports Arena</t>
  </si>
  <si>
    <t>Town Hall</t>
  </si>
  <si>
    <t>Transportation</t>
  </si>
  <si>
    <t>University</t>
  </si>
  <si>
    <t>Workshop</t>
  </si>
  <si>
    <t xml:space="preserve">End Use </t>
  </si>
  <si>
    <t>1,000 Sq. Ft.</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</si>
  <si>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</si>
  <si>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</si>
  <si>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</si>
  <si>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</si>
  <si>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</si>
  <si>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</si>
  <si>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</si>
  <si>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</si>
  <si>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</si>
  <si>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</si>
  <si>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</si>
  <si>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</si>
  <si>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</si>
  <si>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</si>
  <si>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</si>
  <si>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</si>
  <si>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</si>
  <si>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</si>
  <si>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</si>
  <si>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</si>
  <si>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</si>
  <si>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</si>
  <si>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</si>
  <si>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</si>
  <si>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</si>
  <si>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</si>
  <si>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</si>
  <si>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</si>
  <si>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</si>
  <si>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</si>
  <si>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</si>
  <si>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Payee Company's W-9</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</si>
  <si>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</si>
  <si>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</si>
  <si>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</si>
  <si>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</si>
  <si>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</si>
  <si>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</si>
  <si>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</si>
  <si>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</si>
  <si>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</si>
  <si>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</si>
  <si>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</si>
  <si>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</si>
  <si>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</si>
  <si>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</si>
  <si>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*This button will create a draft email. Please attach your application and supporting documentation and then hit send.</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</si>
  <si>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</si>
  <si>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</si>
  <si>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</si>
  <si>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</si>
  <si>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</si>
  <si>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</si>
  <si>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</si>
  <si>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</si>
  <si>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</si>
  <si>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</si>
  <si>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</si>
  <si>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</si>
  <si>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</si>
  <si>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</si>
  <si>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</si>
  <si>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</si>
  <si>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</si>
  <si>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</si>
  <si>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</si>
  <si>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</si>
  <si>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</si>
  <si>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</si>
  <si>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</si>
  <si>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</si>
  <si>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</si>
  <si>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</si>
  <si>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</si>
  <si>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</si>
  <si>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</si>
  <si>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</si>
  <si>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</si>
  <si>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</si>
  <si>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</si>
  <si>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</si>
  <si>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</si>
  <si>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</si>
  <si>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</si>
  <si>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</si>
  <si>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</si>
  <si>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</si>
  <si>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</si>
  <si>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</si>
  <si>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</si>
  <si>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</si>
  <si>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</si>
  <si>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</si>
  <si>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</si>
  <si>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</si>
  <si>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</si>
  <si>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Trade Ally Contact / Contractor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</si>
  <si>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</si>
  <si>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</si>
  <si>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</si>
  <si>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</si>
  <si>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</si>
  <si>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</si>
  <si>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</si>
  <si>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</si>
  <si>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</si>
  <si>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</si>
  <si>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</si>
  <si>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</si>
  <si>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</si>
  <si>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</si>
  <si>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</si>
  <si>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</si>
  <si>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</si>
  <si>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</si>
  <si>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</si>
  <si>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</si>
  <si>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</si>
  <si>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</si>
  <si>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</si>
  <si>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</si>
  <si>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</si>
  <si>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</si>
  <si>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</si>
  <si>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</si>
  <si>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</si>
  <si>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</si>
  <si>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</si>
  <si>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</si>
  <si>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</si>
  <si>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</si>
  <si>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Input Data for Program Years 2016-2018 (Starting April 1, 2016)</t>
  </si>
  <si>
    <t>Utility Escalation Rate</t>
  </si>
  <si>
    <t>Societal Discount Rate</t>
  </si>
  <si>
    <t>Environmental Adder ($/kWh)</t>
  </si>
  <si>
    <t>Mercury emissions plus potential future carbon tax</t>
  </si>
  <si>
    <t>Societal Avoided Costs</t>
  </si>
  <si>
    <t>Total Societal Avoided Costs</t>
  </si>
  <si>
    <t>Updated by Taylor Sizemore 3/36/19</t>
  </si>
  <si>
    <t xml:space="preserve">Based on KCP&amp;L data provided on 3/13/19 by Chris DeLaTorre </t>
  </si>
  <si>
    <t>Custom Cost Benefit</t>
  </si>
  <si>
    <t>Custom Payback</t>
  </si>
  <si>
    <t>Spillover Measure Number</t>
  </si>
  <si>
    <t>20000001</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</si>
  <si>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</si>
  <si>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</si>
  <si>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</si>
  <si>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</si>
  <si>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</si>
  <si>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</si>
  <si>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</si>
  <si>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</si>
  <si>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</si>
  <si>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</si>
  <si>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</si>
  <si>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</si>
  <si>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</si>
  <si>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</si>
  <si>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</si>
  <si>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</si>
  <si>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21111118</t>
  </si>
  <si>
    <t>21111136</t>
  </si>
  <si>
    <t>21111137</t>
  </si>
  <si>
    <t>21111106</t>
  </si>
  <si>
    <t>21111109</t>
  </si>
  <si>
    <t>21111110</t>
  </si>
  <si>
    <t>21111111</t>
  </si>
  <si>
    <t>21111112</t>
  </si>
  <si>
    <t>21111113</t>
  </si>
  <si>
    <t>21111114</t>
  </si>
  <si>
    <t>21111119</t>
  </si>
  <si>
    <t>21111122</t>
  </si>
  <si>
    <t>21111123</t>
  </si>
  <si>
    <t>21111124</t>
  </si>
  <si>
    <t>21111125</t>
  </si>
  <si>
    <t>21111126</t>
  </si>
  <si>
    <t>21111127</t>
  </si>
  <si>
    <t>21111128</t>
  </si>
  <si>
    <t>21111129</t>
  </si>
  <si>
    <t>21111705</t>
  </si>
  <si>
    <t>21111701</t>
  </si>
  <si>
    <t>21111702</t>
  </si>
  <si>
    <t>22311804</t>
  </si>
  <si>
    <t>22311814</t>
  </si>
  <si>
    <t>22210501</t>
  </si>
  <si>
    <t>22211802</t>
  </si>
  <si>
    <t>22210503</t>
  </si>
  <si>
    <t>22211804</t>
  </si>
  <si>
    <t>22211805</t>
  </si>
  <si>
    <t>22210506</t>
  </si>
  <si>
    <t>22211307</t>
  </si>
  <si>
    <t>22210509</t>
  </si>
  <si>
    <t>22210510</t>
  </si>
  <si>
    <t>22211911</t>
  </si>
  <si>
    <t>22211812</t>
  </si>
  <si>
    <t>22211813</t>
  </si>
  <si>
    <t>22211814</t>
  </si>
  <si>
    <t>22211315</t>
  </si>
  <si>
    <t>22211816</t>
  </si>
  <si>
    <t>22110501</t>
  </si>
  <si>
    <t>22111802</t>
  </si>
  <si>
    <t>22110503</t>
  </si>
  <si>
    <t>22111804</t>
  </si>
  <si>
    <t>22111805</t>
  </si>
  <si>
    <t>22110506</t>
  </si>
  <si>
    <t>22111307</t>
  </si>
  <si>
    <t>22110509</t>
  </si>
  <si>
    <t>22110510</t>
  </si>
  <si>
    <t>22111911</t>
  </si>
  <si>
    <t>22111812</t>
  </si>
  <si>
    <t>22111813</t>
  </si>
  <si>
    <t>22111814</t>
  </si>
  <si>
    <t>22111315</t>
  </si>
  <si>
    <t>22111816</t>
  </si>
  <si>
    <t>22211201</t>
  </si>
  <si>
    <t>22211202</t>
  </si>
  <si>
    <t>22211203</t>
  </si>
  <si>
    <t>22211204</t>
  </si>
  <si>
    <t>22211205</t>
  </si>
  <si>
    <t>22111201</t>
  </si>
  <si>
    <t>22111202</t>
  </si>
  <si>
    <t>22111203</t>
  </si>
  <si>
    <t>22111204</t>
  </si>
  <si>
    <t>22111205</t>
  </si>
  <si>
    <t>22210301</t>
  </si>
  <si>
    <t>22210302</t>
  </si>
  <si>
    <t>22210303</t>
  </si>
  <si>
    <t>22210304</t>
  </si>
  <si>
    <t>22212005</t>
  </si>
  <si>
    <t>22212006</t>
  </si>
  <si>
    <t>22210307</t>
  </si>
  <si>
    <t>22211908</t>
  </si>
  <si>
    <t>22110301</t>
  </si>
  <si>
    <t>22110302</t>
  </si>
  <si>
    <t>22110303</t>
  </si>
  <si>
    <t>22110304</t>
  </si>
  <si>
    <t>22112005</t>
  </si>
  <si>
    <t>22112006</t>
  </si>
  <si>
    <t>22110307</t>
  </si>
  <si>
    <t>22111908</t>
  </si>
  <si>
    <t>22210101</t>
  </si>
  <si>
    <t>22210102</t>
  </si>
  <si>
    <t>22211503</t>
  </si>
  <si>
    <t>22210104</t>
  </si>
  <si>
    <t>22211505</t>
  </si>
  <si>
    <t>22211506</t>
  </si>
  <si>
    <t>22211907</t>
  </si>
  <si>
    <t>22210108</t>
  </si>
  <si>
    <t>22110101</t>
  </si>
  <si>
    <t>22110102</t>
  </si>
  <si>
    <t>22111503</t>
  </si>
  <si>
    <t>22110104</t>
  </si>
  <si>
    <t>22111505</t>
  </si>
  <si>
    <t>22111506</t>
  </si>
  <si>
    <t>22111907</t>
  </si>
  <si>
    <t>22110108</t>
  </si>
  <si>
    <t>22310507</t>
  </si>
  <si>
    <t>22211301</t>
  </si>
  <si>
    <t>22211702</t>
  </si>
  <si>
    <t>22211303</t>
  </si>
  <si>
    <t>22211304</t>
  </si>
  <si>
    <t>22211905</t>
  </si>
  <si>
    <t>22210106</t>
  </si>
  <si>
    <t>22211308</t>
  </si>
  <si>
    <t>22211309</t>
  </si>
  <si>
    <t>22211310</t>
  </si>
  <si>
    <t>22111301</t>
  </si>
  <si>
    <t>22111702</t>
  </si>
  <si>
    <t>22111303</t>
  </si>
  <si>
    <t>22111304</t>
  </si>
  <si>
    <t>22111904</t>
  </si>
  <si>
    <t>22110106</t>
  </si>
  <si>
    <t>22111308</t>
  </si>
  <si>
    <t>22111309</t>
  </si>
  <si>
    <t>22111310</t>
  </si>
  <si>
    <t>22211701</t>
  </si>
  <si>
    <t>22211703</t>
  </si>
  <si>
    <t>22211704</t>
  </si>
  <si>
    <t>22211705</t>
  </si>
  <si>
    <t>22211706</t>
  </si>
  <si>
    <t>22211906</t>
  </si>
  <si>
    <t>22211707</t>
  </si>
  <si>
    <t>22111701</t>
  </si>
  <si>
    <t>22111703</t>
  </si>
  <si>
    <t>22111704</t>
  </si>
  <si>
    <t>22111705</t>
  </si>
  <si>
    <t>22111706</t>
  </si>
  <si>
    <t>22111906</t>
  </si>
  <si>
    <t>22111707</t>
  </si>
  <si>
    <t>22211901</t>
  </si>
  <si>
    <t>22210202</t>
  </si>
  <si>
    <t>22210203</t>
  </si>
  <si>
    <t>22210204</t>
  </si>
  <si>
    <t>22111901</t>
  </si>
  <si>
    <t>22110202</t>
  </si>
  <si>
    <t>22110203</t>
  </si>
  <si>
    <t>22110204</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</si>
  <si>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</si>
  <si>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</si>
  <si>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</si>
  <si>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</si>
  <si>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</si>
  <si>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</si>
  <si>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</si>
  <si>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</si>
  <si>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</si>
  <si>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</si>
  <si>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</si>
  <si>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</si>
  <si>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</si>
  <si>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</si>
  <si>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</si>
  <si>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</si>
  <si>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</si>
  <si>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</si>
  <si>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</si>
  <si>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</si>
  <si>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</si>
  <si>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</si>
  <si>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</si>
  <si>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</si>
  <si>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</si>
  <si>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</si>
  <si>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</si>
  <si>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</si>
  <si>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</si>
  <si>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</si>
  <si>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</si>
  <si>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</si>
  <si>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</si>
  <si>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</si>
  <si>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</si>
  <si>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</si>
  <si>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</si>
  <si>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</si>
  <si>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</si>
  <si>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</si>
  <si>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</si>
  <si>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Measure Number Indicator</t>
  </si>
  <si>
    <t>Baseline Min Wattage</t>
  </si>
  <si>
    <t>Baseline Max Wattage</t>
  </si>
  <si>
    <t>Samantha Cready</t>
  </si>
  <si>
    <t>Anna Fishbein</t>
  </si>
  <si>
    <t>(866) 847-5228</t>
  </si>
  <si>
    <t>High Efficiency Pool Pump replacing Standard Efficiency Pool Pump</t>
  </si>
  <si>
    <t>Compressed Air - Engineered Nozzle 1/4" replacing Standard Nozzle</t>
  </si>
  <si>
    <t>Compressed Air - Engineered Nozzle 1/8" replacing Standard Nozzle</t>
  </si>
  <si>
    <t>ENERGY STAR Reach-In Freezer replacing Non-ENERGY STAR Reach-In Freezer</t>
  </si>
  <si>
    <t>ENERGY STAR Reach-In Refrigerator replacing Non-ENERGY STAR Reach-In Refrigerator</t>
  </si>
  <si>
    <t>Pool Pump VSD replacing Standard Efficiency Pool Pump</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</si>
  <si>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</si>
  <si>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</si>
  <si>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N/A</t>
  </si>
  <si>
    <t>Enter Site City &amp; Zip (Building Tab)</t>
  </si>
  <si>
    <t>ASHRAE 90.1 2016</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</si>
  <si>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</si>
  <si>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</si>
  <si>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</si>
  <si>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</si>
  <si>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</si>
  <si>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</si>
  <si>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</si>
  <si>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</si>
  <si>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</si>
  <si>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</si>
  <si>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</si>
  <si>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</si>
  <si>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</si>
  <si>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</si>
  <si>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</si>
  <si>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</si>
  <si>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</si>
  <si>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</si>
  <si>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</si>
  <si>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</si>
  <si>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</si>
  <si>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</si>
  <si>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</si>
  <si>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</si>
  <si>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</si>
  <si>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</si>
  <si>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</si>
  <si>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</si>
  <si>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</si>
  <si>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</si>
  <si>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Is the Site contact the same as the Company contact?</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</si>
  <si>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</si>
  <si>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</si>
  <si>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</si>
  <si>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</si>
  <si>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</si>
  <si>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</si>
  <si>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</si>
  <si>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</si>
  <si>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</si>
  <si>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</si>
  <si>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</si>
  <si>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</si>
  <si>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</si>
  <si>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</si>
  <si>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</si>
  <si>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</si>
  <si>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</si>
  <si>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</si>
  <si>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</si>
  <si>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</si>
  <si>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</si>
  <si>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</si>
  <si>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</si>
  <si>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</si>
  <si>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</si>
  <si>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</si>
  <si>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</si>
  <si>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</si>
  <si>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kW Incentive</t>
  </si>
  <si>
    <t>kWh Min Incentive</t>
  </si>
  <si>
    <t>kWh Max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</si>
  <si>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</si>
  <si>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</si>
  <si>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</si>
  <si>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</si>
  <si>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</si>
  <si>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</si>
  <si>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</si>
  <si>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</si>
  <si>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Makenna Dunlap</t>
  </si>
  <si>
    <t>Fred Schreiber</t>
  </si>
  <si>
    <t>Perry Boone</t>
  </si>
  <si>
    <t>Taylor Sizemore</t>
  </si>
  <si>
    <t>Jordan Thompson</t>
  </si>
  <si>
    <r>
      <t>Jaime Jim</t>
    </r>
    <r>
      <rPr>
        <sz val="11"/>
        <color theme="1"/>
        <rFont val="Calibri"/>
        <family val="2"/>
      </rPr>
      <t>é</t>
    </r>
    <r>
      <rPr>
        <sz val="11"/>
        <color theme="1"/>
        <rFont val="Calibri"/>
        <family val="2"/>
      </rPr>
      <t>nez-Fuentes</t>
    </r>
  </si>
  <si>
    <t>Angie Blaize</t>
  </si>
  <si>
    <t>Brett Sharp</t>
  </si>
  <si>
    <t>Eric Kruzan</t>
  </si>
  <si>
    <t>Canada</t>
  </si>
  <si>
    <t>CAN</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</si>
  <si>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</si>
  <si>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</si>
  <si>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</si>
  <si>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</si>
  <si>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</si>
  <si>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</si>
  <si>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</si>
  <si>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</si>
  <si>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</si>
  <si>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</si>
  <si>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</si>
  <si>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</si>
  <si>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</si>
  <si>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</si>
  <si>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Baseline Min Efficiency</t>
  </si>
  <si>
    <t>Min Tons</t>
  </si>
  <si>
    <t>Max Tons</t>
  </si>
  <si>
    <t>$/ton</t>
  </si>
  <si>
    <t>Proposed</t>
  </si>
  <si>
    <t>Rating</t>
  </si>
  <si>
    <t>$/SEER 
improvement/ton</t>
  </si>
  <si>
    <t>$/EER 
improvement/ton</t>
  </si>
  <si>
    <t>Efficiency Details</t>
  </si>
  <si>
    <t>Nominal Tons</t>
  </si>
  <si>
    <t>App Expired</t>
  </si>
  <si>
    <t>Removed measures</t>
  </si>
  <si>
    <t>Removed Version</t>
  </si>
  <si>
    <t>Enthalpy Economizer (Incremental)</t>
  </si>
  <si>
    <t>Heat Pump - Air Source (Incremental)</t>
  </si>
  <si>
    <t>Heat Pump - Water Source (Incremental)</t>
  </si>
  <si>
    <t>Heat Pump - Ground Source (Incremental)</t>
  </si>
  <si>
    <t>Heat Pump - Air Source</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</si>
  <si>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</si>
  <si>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</si>
  <si>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</si>
  <si>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</si>
  <si>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</si>
  <si>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</si>
  <si>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</si>
  <si>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</si>
  <si>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</si>
  <si>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</si>
  <si>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</si>
  <si>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</si>
  <si>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</si>
  <si>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</si>
  <si>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</si>
  <si>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</si>
  <si>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</si>
  <si>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</si>
  <si>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</si>
  <si>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22212101</t>
  </si>
  <si>
    <t>22210601</t>
  </si>
  <si>
    <t>22211316</t>
  </si>
  <si>
    <t>22210511</t>
  </si>
  <si>
    <t>22210512</t>
  </si>
  <si>
    <t>22112101</t>
  </si>
  <si>
    <t>22110601</t>
  </si>
  <si>
    <t>22111316</t>
  </si>
  <si>
    <t>22110511</t>
  </si>
  <si>
    <t>22110512</t>
  </si>
  <si>
    <t>Added marketing images
Removed VFD for Chiller measures
Added measure numbers to new standard and custom measures</t>
  </si>
  <si>
    <r>
      <rPr>
        <sz val="11"/>
        <color rgb="FF76BB40"/>
        <rFont val="Wingdings"/>
        <charset val="2"/>
      </rPr>
      <t xml:space="preserve">( </t>
    </r>
    <r>
      <rPr>
        <b/>
        <sz val="11"/>
        <color rgb="FF76BB40"/>
        <rFont val="Arial"/>
        <family val="2"/>
      </rPr>
      <t xml:space="preserve">
Contact</t>
    </r>
  </si>
  <si>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</si>
  <si>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</si>
  <si>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</si>
  <si>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</si>
  <si>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</si>
  <si>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</si>
  <si>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</si>
  <si>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</si>
  <si>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</si>
  <si>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</si>
  <si>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</si>
  <si>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</si>
  <si>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</si>
  <si>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</si>
  <si>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</si>
  <si>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</si>
  <si>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</si>
  <si>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</si>
  <si>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</si>
  <si>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</si>
  <si>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</si>
  <si>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</si>
  <si>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</si>
  <si>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</si>
  <si>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</si>
  <si>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</si>
  <si>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Fixture Type</t>
  </si>
  <si>
    <t xml:space="preserve">I understand and agree to comply with the Payment Terms and Conditions of the Evergy Business Energy Savings Program. </t>
  </si>
  <si>
    <t xml:space="preserve">evergy.com/mybusiness </t>
  </si>
  <si>
    <t>Taylor Cheek</t>
  </si>
  <si>
    <t>Dane DeRee</t>
  </si>
  <si>
    <t>Curtain</t>
  </si>
  <si>
    <t>Signatory</t>
  </si>
  <si>
    <t>T&amp;C</t>
  </si>
  <si>
    <t>Tax Entity / Tax ID</t>
  </si>
  <si>
    <t>Initial Engineering Notes</t>
  </si>
  <si>
    <t>Final Engineering Notes</t>
  </si>
  <si>
    <t>Please do not order or purchase anything before returning this signed Offer Form. For questions email or call at 866.847.5228.</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</si>
  <si>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</si>
  <si>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</si>
  <si>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</si>
  <si>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</si>
  <si>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</si>
  <si>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</si>
  <si>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</si>
  <si>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</si>
  <si>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</si>
  <si>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</si>
  <si>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</si>
  <si>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</si>
  <si>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</si>
  <si>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</si>
  <si>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</si>
  <si>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</si>
  <si>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</si>
  <si>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</si>
  <si>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</si>
  <si>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</si>
  <si>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</si>
  <si>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</si>
  <si>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</si>
  <si>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Kitchen Demand Ventillation Controls</t>
  </si>
  <si>
    <t>Food Services</t>
  </si>
  <si>
    <t>Cooker</t>
  </si>
  <si>
    <t>Cabinet</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</si>
  <si>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</si>
  <si>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</si>
  <si>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</si>
  <si>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</si>
  <si>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</si>
  <si>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</si>
  <si>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Standard incentives are unavailable for this equipment type.</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</si>
  <si>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</si>
  <si>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</si>
  <si>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</si>
  <si>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</si>
  <si>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</si>
  <si>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</si>
  <si>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</si>
  <si>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</si>
  <si>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</si>
  <si>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</si>
  <si>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</si>
  <si>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</si>
  <si>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</si>
  <si>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$/IEER 
improvement/ton</t>
  </si>
  <si>
    <t>Efficient Definition</t>
  </si>
  <si>
    <t>Drive</t>
  </si>
  <si>
    <t>Parking Garage LEDs</t>
  </si>
  <si>
    <t>Exterior LED replacing &lt; 175W Fixture or Mogul Screw-Base Lamp</t>
  </si>
  <si>
    <t>Exterior LED replacing &gt; 400W Fixture or Mogul Screw-Base Lamp</t>
  </si>
  <si>
    <t>Exterior LED replacing 175W-250W Fixture or Mogul Screw-Base Lamp</t>
  </si>
  <si>
    <t>Exterior LED replacing 251W-400W Fixture or Mogul Screw‐Base Lamp</t>
  </si>
  <si>
    <t>LED &lt;=11 Watt Lamp Replacing Interior Halogen A 28-52 Watt Lamp</t>
  </si>
  <si>
    <t>LED &lt;=13 Watt Lamp Replacing Interior Halogen MR-16 35-50 Watt Lamp</t>
  </si>
  <si>
    <t>LED &lt;=14 Watt Lamp Replacing Interior Halogen BR/R 45-65 Watt Lamp</t>
  </si>
  <si>
    <t>LED &lt;=20 Watt Lamp Replacing Interior Halogen PAR 48-90 Watt Lamp</t>
  </si>
  <si>
    <t>LED Exit Sign</t>
  </si>
  <si>
    <t>Exterior Dusk-to-Dawn LEDs</t>
  </si>
  <si>
    <t>T12 2' 20W</t>
  </si>
  <si>
    <t>T12 4' 30W</t>
  </si>
  <si>
    <t>T12 4' 34W</t>
  </si>
  <si>
    <t>T12 4' 40W</t>
  </si>
  <si>
    <t>T12 8' 60W</t>
  </si>
  <si>
    <t>T12 8' 75W</t>
  </si>
  <si>
    <t>T8 2' 17W</t>
  </si>
  <si>
    <t>T8 4' 25W</t>
  </si>
  <si>
    <t>T8 4' 28W</t>
  </si>
  <si>
    <t>T8 4' 32W</t>
  </si>
  <si>
    <t>T8 4' 36W</t>
  </si>
  <si>
    <t>T8 8' 96W</t>
  </si>
  <si>
    <t>T5 2' 13W</t>
  </si>
  <si>
    <t>T5 2' 14W</t>
  </si>
  <si>
    <t>T5 4' 28W</t>
  </si>
  <si>
    <t>Assuming same as 2x4</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</si>
  <si>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</si>
  <si>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</si>
  <si>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</si>
  <si>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</si>
  <si>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</si>
  <si>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</si>
  <si>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</si>
  <si>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</si>
  <si>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</si>
  <si>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</si>
  <si>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</si>
  <si>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</si>
  <si>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</si>
  <si>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</si>
  <si>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</si>
  <si>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</si>
  <si>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</si>
  <si>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</si>
  <si>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</si>
  <si>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Navigant Analysis 11/25/19</t>
  </si>
  <si>
    <t>Electric Heating</t>
  </si>
  <si>
    <t>2.0.0</t>
  </si>
  <si>
    <t>Fixture-Mounted Occupancy Sensor</t>
  </si>
  <si>
    <t xml:space="preserve">Fixture-Mounted Daylight Sensor </t>
  </si>
  <si>
    <t>Integrated Dual Occupancy &amp; Daylight Sensor for LED Interior Fixtures &lt; 10,000 Lumens</t>
  </si>
  <si>
    <t>Integrated Dual Occupancy &amp; Daylight Sensor for LED Interior Fixtures &gt;= 10,000 Lumens</t>
  </si>
  <si>
    <t>Fixture-Mounted Dual Occupancy &amp; Daylight Sensor for LED Interior Fixtures &lt; 10,000 Lumens</t>
  </si>
  <si>
    <t>Fixture-Mounted Dual Occupancy &amp; Daylight Sensor for LED Interior Fixtures &gt;= 10,000 Lumens</t>
  </si>
  <si>
    <t>Default kW Controlled</t>
  </si>
  <si>
    <t>Energy Savings Factor</t>
  </si>
  <si>
    <t>Hours</t>
  </si>
  <si>
    <t>WHFe</t>
  </si>
  <si>
    <t>Wattage Unit</t>
  </si>
  <si>
    <r>
      <t>Anuual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</si>
  <si>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Efficient Brand 
and Model #</t>
  </si>
  <si>
    <t xml:space="preserve">Integrated Occupancy Sensor for LED Interior Fixtures &lt; 10,000 Lumens </t>
  </si>
  <si>
    <t xml:space="preserve">Integrated Occupancy Sensor for LED Interior Fixtures &gt;= 10,000 Lumens </t>
  </si>
  <si>
    <t>ESF</t>
  </si>
  <si>
    <t>sensor</t>
  </si>
  <si>
    <t>sq. ft.</t>
  </si>
  <si>
    <t>Min Watts Controlled</t>
  </si>
  <si>
    <t>Min Watts Req.</t>
  </si>
  <si>
    <t>Eff Category 1</t>
  </si>
  <si>
    <t>Ineff Dropdown 1</t>
  </si>
  <si>
    <t>HID</t>
  </si>
  <si>
    <t>Remove 4' Lamp from T12 or T8 system</t>
  </si>
  <si>
    <t>Remove 8' Lamp from T12 or T8 System</t>
  </si>
  <si>
    <t>Incand_CFL</t>
  </si>
  <si>
    <t>BR_R</t>
  </si>
  <si>
    <t>Ineff. Type</t>
  </si>
  <si>
    <t>Ineff. Details</t>
  </si>
  <si>
    <t>Ineff Dropdown 2</t>
  </si>
  <si>
    <t>HID 150-300</t>
  </si>
  <si>
    <t>HID 301-450</t>
  </si>
  <si>
    <t>HID 451-750</t>
  </si>
  <si>
    <t>LED Lamp/Retrofit Kit replacing 301W-450W HID Fixture</t>
  </si>
  <si>
    <t>LED Lamp/Retrofit Kit replacing 150W-300W HID Fixture</t>
  </si>
  <si>
    <t>LED Lamp/Retrofit Kit replacing 451W-750W HID Fixture</t>
  </si>
  <si>
    <t>HID &gt;750</t>
  </si>
  <si>
    <t>T12 4' 60W</t>
  </si>
  <si>
    <t>T12 4' 116W</t>
  </si>
  <si>
    <t>T12 8' 95W</t>
  </si>
  <si>
    <t>T12 8' 110W</t>
  </si>
  <si>
    <t>T12 8' 185W</t>
  </si>
  <si>
    <t>T12 8' 215W</t>
  </si>
  <si>
    <t>T8 4' 30W</t>
  </si>
  <si>
    <t>T8 4' 44W</t>
  </si>
  <si>
    <t>T8 8' 59W</t>
  </si>
  <si>
    <t>T8 8' 86W</t>
  </si>
  <si>
    <t>T5 2' 24W</t>
  </si>
  <si>
    <t>T5 4' 54W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</si>
  <si>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</si>
  <si>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</si>
  <si>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</si>
  <si>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</si>
  <si>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</si>
  <si>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</si>
  <si>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</si>
  <si>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</si>
  <si>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</si>
  <si>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</si>
  <si>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</si>
  <si>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</si>
  <si>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</si>
  <si>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</si>
  <si>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</si>
  <si>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</si>
  <si>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</si>
  <si>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</si>
  <si>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</si>
  <si>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</si>
  <si>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</si>
  <si>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</si>
  <si>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LED replacing ≤100W</t>
  </si>
  <si>
    <t>LED replacing &gt;175W</t>
  </si>
  <si>
    <t>LED replacing 101W-175W</t>
  </si>
  <si>
    <t>LED replacing ≤175W</t>
  </si>
  <si>
    <t>LED replacing 176W-250W</t>
  </si>
  <si>
    <t>LED replacing 251W-400W</t>
  </si>
  <si>
    <t>LED replacing &gt;400W</t>
  </si>
  <si>
    <t>Ext &lt;175</t>
  </si>
  <si>
    <t>Ext 175-250</t>
  </si>
  <si>
    <t>Ext 251-400</t>
  </si>
  <si>
    <t>Ext  &gt;400</t>
  </si>
  <si>
    <t>PG &lt;=100</t>
  </si>
  <si>
    <t>PG &gt;175</t>
  </si>
  <si>
    <t>PG 101-175</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</si>
  <si>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</si>
  <si>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</si>
  <si>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</si>
  <si>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</si>
  <si>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</si>
  <si>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</si>
  <si>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</si>
  <si>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</si>
  <si>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</si>
  <si>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</si>
  <si>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</si>
  <si>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</si>
  <si>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</si>
  <si>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</si>
  <si>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</si>
  <si>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</si>
  <si>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</si>
  <si>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</si>
  <si>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</si>
  <si>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</si>
  <si>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</si>
  <si>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</si>
  <si>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LED Lamp/Retrofit Kit replacing &gt;750W HID Fixture</t>
  </si>
  <si>
    <t>LED ≤11 Watt Lamp Replacing A-Series 28-52W Lamp</t>
  </si>
  <si>
    <t>LED ≤14 Watt Lamp Replacing BR/R 45-65W Lamp</t>
  </si>
  <si>
    <t>LED ≤13 Watt Lamp Replacing MR-16 35-50W Lamp</t>
  </si>
  <si>
    <t>LED ≤20 Watt Lamp Replacing PAR 48-90W Lamp</t>
  </si>
  <si>
    <t>2' LED Linear Lamp replacing 2' T12/T8/T5 Lamp</t>
  </si>
  <si>
    <t>4' LED Linear Lamp replacing 4' T12/T8/T5 Lamp</t>
  </si>
  <si>
    <t>8' LED Linear Lamp replacing 8' T12/T8 Lamp</t>
  </si>
  <si>
    <t>Eff Min Wattage</t>
  </si>
  <si>
    <t>Eff Max Wattage</t>
  </si>
  <si>
    <t>HID_T12_T8_T5</t>
  </si>
  <si>
    <t>T12_T8</t>
  </si>
  <si>
    <t>T12_T8_T5</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</si>
  <si>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</si>
  <si>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</si>
  <si>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</si>
  <si>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</si>
  <si>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</si>
  <si>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</si>
  <si>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</si>
  <si>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</si>
  <si>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</si>
  <si>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</si>
  <si>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</si>
  <si>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</si>
  <si>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</si>
  <si>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</si>
  <si>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</si>
  <si>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</si>
  <si>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</si>
  <si>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</si>
  <si>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</si>
  <si>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</si>
  <si>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</si>
  <si>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</si>
  <si>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</si>
  <si>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</si>
  <si>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</si>
  <si>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</si>
  <si>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</si>
  <si>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</si>
  <si>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</si>
  <si>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</si>
  <si>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</si>
  <si>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</si>
  <si>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</si>
  <si>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</si>
  <si>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</si>
  <si>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</si>
  <si>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</si>
  <si>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</si>
  <si>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</si>
  <si>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</si>
  <si>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</si>
  <si>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</si>
  <si>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</si>
  <si>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</si>
  <si>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</si>
  <si>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</si>
  <si>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</si>
  <si>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</si>
  <si>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</si>
  <si>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</si>
  <si>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</si>
  <si>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</si>
  <si>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</si>
  <si>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</si>
  <si>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</si>
  <si>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</si>
  <si>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</si>
  <si>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</si>
  <si>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</si>
  <si>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</si>
  <si>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</si>
  <si>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</si>
  <si>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</si>
  <si>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</si>
  <si>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</si>
  <si>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</si>
  <si>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</si>
  <si>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</si>
  <si>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</si>
  <si>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</si>
  <si>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</si>
  <si>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</si>
  <si>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</si>
  <si>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</si>
  <si>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</si>
  <si>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</si>
  <si>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</si>
  <si>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</si>
  <si>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</si>
  <si>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</si>
  <si>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</si>
  <si>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</si>
  <si>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</si>
  <si>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</si>
  <si>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</si>
  <si>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</si>
  <si>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</si>
  <si>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</si>
  <si>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</si>
  <si>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</si>
  <si>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</si>
  <si>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</si>
  <si>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</si>
  <si>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</si>
  <si>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</si>
  <si>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</si>
  <si>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</si>
  <si>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</si>
  <si>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</si>
  <si>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</si>
  <si>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</si>
  <si>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</si>
  <si>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</si>
  <si>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</si>
  <si>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</si>
  <si>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30W</t>
  </si>
  <si>
    <t>2L T8 4' 30W</t>
  </si>
  <si>
    <t>3L T8 4' 30W</t>
  </si>
  <si>
    <t>4L T8 4' 30W</t>
  </si>
  <si>
    <t>1L T8 4' 32W</t>
  </si>
  <si>
    <t>2L T8 4' 32W</t>
  </si>
  <si>
    <t>3L T8 4' 32W</t>
  </si>
  <si>
    <t>4L T8 4' 32W</t>
  </si>
  <si>
    <t>6L T8 4' 32W</t>
  </si>
  <si>
    <t>2L T8 4' 36W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</si>
  <si>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</si>
  <si>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</si>
  <si>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</si>
  <si>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</si>
  <si>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</si>
  <si>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</si>
  <si>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</si>
  <si>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</si>
  <si>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</si>
  <si>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</si>
  <si>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</si>
  <si>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</si>
  <si>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</si>
  <si>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</si>
  <si>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</si>
  <si>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</si>
  <si>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T8 8' 96W</t>
  </si>
  <si>
    <t>2L T8 8' 96W</t>
  </si>
  <si>
    <t>1L T5 2' 13W</t>
  </si>
  <si>
    <t>2L T5 2' 13W</t>
  </si>
  <si>
    <t>1L T5 2' 14W</t>
  </si>
  <si>
    <t>2L T5 2' 14W</t>
  </si>
  <si>
    <t>1L T5 2' 24W</t>
  </si>
  <si>
    <t>2L T5 2' 24W</t>
  </si>
  <si>
    <t>1L T5 3' 21W</t>
  </si>
  <si>
    <t>2L T5 3' 21W</t>
  </si>
  <si>
    <t>1L T5 3' 39W</t>
  </si>
  <si>
    <t>2L T5 3' 39W</t>
  </si>
  <si>
    <t>1L T5 4' 28W</t>
  </si>
  <si>
    <t>2L T5 4' 28W</t>
  </si>
  <si>
    <t>3L T5 4' 28W</t>
  </si>
  <si>
    <t>4L T5 4' 28W</t>
  </si>
  <si>
    <t>1L T5 5' 35W</t>
  </si>
  <si>
    <t>2L T5 5' 35W</t>
  </si>
  <si>
    <t>1L T5 4' 54W</t>
  </si>
  <si>
    <t>2L T5 4' 54W</t>
  </si>
  <si>
    <t>1L T5 5' 80W</t>
  </si>
  <si>
    <t>8L T8 4' 32W</t>
  </si>
  <si>
    <t>3L T5 4' 54W</t>
  </si>
  <si>
    <t>4L T5 4' 54W</t>
  </si>
  <si>
    <t>5L T5 4' 54W</t>
  </si>
  <si>
    <t>6L T5 4' 54W</t>
  </si>
  <si>
    <t>HID_T12_T5</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</si>
  <si>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</si>
  <si>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</si>
  <si>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</si>
  <si>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</si>
  <si>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</si>
  <si>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</si>
  <si>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</si>
  <si>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</si>
  <si>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</si>
  <si>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</si>
  <si>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</si>
  <si>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</si>
  <si>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</si>
  <si>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Rate ($/kWh)</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</si>
  <si>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</si>
  <si>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</si>
  <si>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</si>
  <si>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</si>
  <si>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</si>
  <si>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</si>
  <si>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VFD for Air Compressor &gt; 200HP</t>
  </si>
  <si>
    <t>Variable Speed Drive Compressor ≤ 200 hp - 1 shift weekdays</t>
  </si>
  <si>
    <t>hp</t>
  </si>
  <si>
    <t>Variable Speed Drive Compressor ≤ 200 hp - 2 shift weekdays</t>
  </si>
  <si>
    <t>Variable Speed Drive Compressor ≤ 200 hp - 3 shift weekdays</t>
  </si>
  <si>
    <t>Variable Speed Drive Compressor ≤ 200 hp - 3 shift weekdays plus weekends</t>
  </si>
  <si>
    <t>VFD for Air Compressor &gt; 200HP (Incremental)</t>
  </si>
  <si>
    <t>ECMs with Efficiency ≥ 66% replacing Standard Motors for Walk-In or Reach-In Coolers/Freezers</t>
  </si>
  <si>
    <t>Process Chiller</t>
  </si>
  <si>
    <t>HVAC Controls Op w/ Peak</t>
  </si>
  <si>
    <t>HVAC Controls Op w/o Peak</t>
  </si>
  <si>
    <t>Ext Lighting w/o Peak</t>
  </si>
  <si>
    <t xml:space="preserve">Ext Lighting w/ Peak </t>
  </si>
  <si>
    <t>LED Exterior Lighting Fixtures (Includes Street and Area, Decorative, Soffit and Canopy, Wall-mounted, and Landscape and Flood lighting)</t>
  </si>
  <si>
    <t>&lt; 175 W HID Fixture</t>
  </si>
  <si>
    <t>175 W HID - 250 W HID Fixture</t>
  </si>
  <si>
    <t>320 W Pulse Start and 400W MH/HPS Fixture</t>
  </si>
  <si>
    <t>&gt; 400 W HID Fixture</t>
  </si>
  <si>
    <t>LED 1X4 Retrofit Kits</t>
  </si>
  <si>
    <t>1x4 T8, T5, or T5HO Fluorescents</t>
  </si>
  <si>
    <t>LED 2X2 Retrofit Kits</t>
  </si>
  <si>
    <t>2x2 T8, T5 or T5HO Fluorescents</t>
  </si>
  <si>
    <t>LED 2X4 Retrofit Kits</t>
  </si>
  <si>
    <t>2x4 T8, T5, or T5HO Fluorescents</t>
  </si>
  <si>
    <t>LED 1X4 Troffer or Linear Ambient Fixtures</t>
  </si>
  <si>
    <t>1X4 Troffer or Linear Ambient T8, or T5/T5HO</t>
  </si>
  <si>
    <t>LED 2X2 Troffer or Linear Ambient replacing T8, T12 or T5/T5HO fixture</t>
  </si>
  <si>
    <t>2X2 Troffer or Linear Ambient T8 or T5/T5HO</t>
  </si>
  <si>
    <t>LED 2X4 Troffer or Linear Ambient replacing T8, T12 or T5/T5HO fixture</t>
  </si>
  <si>
    <t>2X4 Troffer or Linear Ambient T8, or T5/T5HO</t>
  </si>
  <si>
    <t>2-ft LED Linear Replacement Lamps</t>
  </si>
  <si>
    <t>17W 2-ft T8 with Electronic NBF Ballast</t>
  </si>
  <si>
    <t>4-ft LED Linear Replacement Lamps</t>
  </si>
  <si>
    <t>32W 4-ft T8 with Electronic NBF Ballast</t>
  </si>
  <si>
    <t>8' LED Lamp</t>
  </si>
  <si>
    <t>96", T-8 lamp, Instant Start Ballast, NLO</t>
  </si>
  <si>
    <t>Watts EE</t>
  </si>
  <si>
    <t>Watts Base</t>
  </si>
  <si>
    <t>LED (watts)</t>
  </si>
  <si>
    <t>Fluorescent (watts)</t>
  </si>
  <si>
    <t>LED Low Bay (watts)</t>
  </si>
  <si>
    <t>Pulse Start Metal Halide (watts)</t>
  </si>
  <si>
    <t>LED High/Low Bay (watts)</t>
  </si>
  <si>
    <t>LED High Bay (watts)</t>
  </si>
  <si>
    <t>LED Parking Garage Lighting Fixtures</t>
  </si>
  <si>
    <t>≤ 100 W HID Fixture</t>
  </si>
  <si>
    <t>125W - 175W HID Fixture</t>
  </si>
  <si>
    <t>200W - 250W HID Fixture</t>
  </si>
  <si>
    <t>Remove T8</t>
  </si>
  <si>
    <t>T8 4 ft (watts)</t>
  </si>
  <si>
    <t>T8 8 ft (watts)</t>
  </si>
  <si>
    <t>Photocell Occupancy Sensor (watts controlled)</t>
  </si>
  <si>
    <t>No Control</t>
  </si>
  <si>
    <t>Wall-Mount Occupancy Sensor (watts controlled)</t>
  </si>
  <si>
    <t>Control system that meets the DLC networked lighting control specifications.</t>
  </si>
  <si>
    <t>LED or Fluorescent lighting system with no existing or basic lighting controls.</t>
  </si>
  <si>
    <t>SteamModeESTAR</t>
  </si>
  <si>
    <t>SteamModeBase</t>
  </si>
  <si>
    <t>IdleRateESTAR</t>
  </si>
  <si>
    <t>IdleRateBase</t>
  </si>
  <si>
    <t>LED Freezer (Low Temp) Case Light Fixtures (4, 5, and 6-foot)</t>
  </si>
  <si>
    <t>Linear Fluorescent T8 Fixtures</t>
  </si>
  <si>
    <t>LED Refrigerated (Medium Temp) Case Light Fixtures (4, 5, and 6-foot)</t>
  </si>
  <si>
    <t>High Efficiency kWh/day</t>
  </si>
  <si>
    <t>Standard kWh/day</t>
  </si>
  <si>
    <t>Strip Curtain</t>
  </si>
  <si>
    <t>No strip curtain</t>
  </si>
  <si>
    <t>ECM Motor</t>
  </si>
  <si>
    <t>Shaded pole motor</t>
  </si>
  <si>
    <t>Column12</t>
  </si>
  <si>
    <t>Column13</t>
  </si>
  <si>
    <t>Column14</t>
  </si>
  <si>
    <t>Column15</t>
  </si>
  <si>
    <t>Column16</t>
  </si>
  <si>
    <t>Column17</t>
  </si>
  <si>
    <t>31120701</t>
  </si>
  <si>
    <t>31120702</t>
  </si>
  <si>
    <t>31120703</t>
  </si>
  <si>
    <t>31120704</t>
  </si>
  <si>
    <t>31111101</t>
  </si>
  <si>
    <t>31111102</t>
  </si>
  <si>
    <t>31111103</t>
  </si>
  <si>
    <t>31111104</t>
  </si>
  <si>
    <t>31111105</t>
  </si>
  <si>
    <t>31111106</t>
  </si>
  <si>
    <t>31111107</t>
  </si>
  <si>
    <t>31111201</t>
  </si>
  <si>
    <t>31110301</t>
  </si>
  <si>
    <t>31110302</t>
  </si>
  <si>
    <t>31110303</t>
  </si>
  <si>
    <t>31110304</t>
  </si>
  <si>
    <t>31110305</t>
  </si>
  <si>
    <t>31110306</t>
  </si>
  <si>
    <t>31110307</t>
  </si>
  <si>
    <t>31110308</t>
  </si>
  <si>
    <t>31111801</t>
  </si>
  <si>
    <t>31111802</t>
  </si>
  <si>
    <t>31111803</t>
  </si>
  <si>
    <t>31111804</t>
  </si>
  <si>
    <t>31111805</t>
  </si>
  <si>
    <t>31111806</t>
  </si>
  <si>
    <t>31111807</t>
  </si>
  <si>
    <t>31111808</t>
  </si>
  <si>
    <t>31111809</t>
  </si>
  <si>
    <t>31111810</t>
  </si>
  <si>
    <t>31111811</t>
  </si>
  <si>
    <t>32311201</t>
  </si>
  <si>
    <t>32311202</t>
  </si>
  <si>
    <t>32311203</t>
  </si>
  <si>
    <t>32311204</t>
  </si>
  <si>
    <t>32311205</t>
  </si>
  <si>
    <t>32311206</t>
  </si>
  <si>
    <t>32311207</t>
  </si>
  <si>
    <t>32311208</t>
  </si>
  <si>
    <t>Process Chiller (Incremental)</t>
  </si>
  <si>
    <t>32311501</t>
  </si>
  <si>
    <t>32311502</t>
  </si>
  <si>
    <t>EER</t>
  </si>
  <si>
    <t>SEER</t>
  </si>
  <si>
    <t>IEER</t>
  </si>
  <si>
    <t>EFLHcool</t>
  </si>
  <si>
    <t>EFLHheat</t>
  </si>
  <si>
    <r>
      <t xml:space="preserve">PTAC </t>
    </r>
    <r>
      <rPr>
        <sz val="11"/>
        <rFont val="Calibri"/>
        <family val="2"/>
      </rPr>
      <t>≥11 EER</t>
    </r>
  </si>
  <si>
    <t>PTHP ≥11 EER</t>
  </si>
  <si>
    <t>Baseline Definition 2</t>
  </si>
  <si>
    <t>COP</t>
  </si>
  <si>
    <t>Baseline Efficiency Value 2</t>
  </si>
  <si>
    <t>Baseline Min Efficiency 2</t>
  </si>
  <si>
    <t>Column18</t>
  </si>
  <si>
    <t>HSPF</t>
  </si>
  <si>
    <t>This is a TRC tool</t>
  </si>
  <si>
    <t>Who will install/installed the equipment for this project?</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</si>
  <si>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</si>
  <si>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t>Laura Anderson</t>
  </si>
  <si>
    <r>
      <t>Evergy Contact</t>
    </r>
    <r>
      <rPr>
        <sz val="11"/>
        <color rgb="FFFF0000"/>
        <rFont val="Arial"/>
        <family val="2"/>
      </rPr>
      <t>*</t>
    </r>
  </si>
  <si>
    <t>LED Exit Sign ≤5 W</t>
  </si>
  <si>
    <r>
      <t xml:space="preserve">Interior Remote or Wall-Mounted Daylight Sensor Controlling </t>
    </r>
    <r>
      <rPr>
        <sz val="11"/>
        <rFont val="Calibri"/>
        <family val="2"/>
      </rPr>
      <t>≥</t>
    </r>
    <r>
      <rPr>
        <sz val="11"/>
        <rFont val="Calibri"/>
        <family val="2"/>
      </rPr>
      <t xml:space="preserve"> 570W</t>
    </r>
  </si>
  <si>
    <t>Retrofit_4ft</t>
  </si>
  <si>
    <t>Retrofit_2ft</t>
  </si>
  <si>
    <t>Retrofit_8ft</t>
  </si>
  <si>
    <t>Secondary Contact (Optional)</t>
  </si>
  <si>
    <t>Contact First Name</t>
  </si>
  <si>
    <t>Last Name</t>
  </si>
  <si>
    <t>Primary Phone</t>
  </si>
  <si>
    <t>M02S02F13</t>
  </si>
  <si>
    <t>M02S02F14</t>
  </si>
  <si>
    <t>M02S02F15</t>
  </si>
  <si>
    <t>M02S02F16</t>
  </si>
  <si>
    <t>M02S02F17</t>
  </si>
  <si>
    <t>Sign</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</si>
  <si>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</si>
  <si>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</si>
  <si>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</si>
  <si>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</si>
  <si>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r>
      <rPr>
        <b/>
        <sz val="18"/>
        <color theme="0"/>
        <rFont val="Arial"/>
        <family val="2"/>
      </rPr>
      <t>✉</t>
    </r>
    <r>
      <rPr>
        <b/>
        <sz val="16"/>
        <color theme="0"/>
        <rFont val="Arial"/>
        <family val="2"/>
      </rPr>
      <t xml:space="preserve">  Draft Email</t>
    </r>
  </si>
  <si>
    <t>MH 125W</t>
  </si>
  <si>
    <t>MH 200W</t>
  </si>
  <si>
    <t>MH 320W</t>
  </si>
  <si>
    <t>MH 350W</t>
  </si>
  <si>
    <t>HPS 310W</t>
  </si>
  <si>
    <t>MH 450W</t>
  </si>
  <si>
    <t>MH 750W</t>
  </si>
  <si>
    <t>MH 1,000W</t>
  </si>
  <si>
    <t>MV 700W</t>
  </si>
  <si>
    <t>MV 1,000W</t>
  </si>
  <si>
    <t>Baseline kWh/Unit</t>
  </si>
  <si>
    <t>New kWh/Unit</t>
  </si>
  <si>
    <t>kW Shifted to Off-Peak</t>
  </si>
  <si>
    <t>Rate ($/kW)</t>
  </si>
  <si>
    <t>=</t>
  </si>
  <si>
    <t>$/kW</t>
  </si>
  <si>
    <t>Peak Load (kW) Shift</t>
  </si>
  <si>
    <t>32311901</t>
  </si>
  <si>
    <t>Water Heating/Food Services</t>
  </si>
  <si>
    <t>21150833</t>
  </si>
  <si>
    <t>21150834</t>
  </si>
  <si>
    <t>21150835</t>
  </si>
  <si>
    <t>21111238</t>
  </si>
  <si>
    <t>21111239</t>
  </si>
  <si>
    <t>21110101</t>
  </si>
  <si>
    <t>21110102</t>
  </si>
  <si>
    <t>21110103</t>
  </si>
  <si>
    <t>21110104</t>
  </si>
  <si>
    <t>21110105</t>
  </si>
  <si>
    <t>21110106</t>
  </si>
  <si>
    <t>21110107</t>
  </si>
  <si>
    <t>21111738</t>
  </si>
  <si>
    <t>21111739</t>
  </si>
  <si>
    <t>21111703</t>
  </si>
  <si>
    <t>21111704</t>
  </si>
  <si>
    <t>21111301</t>
  </si>
  <si>
    <t>21111302</t>
  </si>
  <si>
    <t>22110508</t>
  </si>
  <si>
    <t>22110514</t>
  </si>
  <si>
    <t>22110517</t>
  </si>
  <si>
    <t>22210508</t>
  </si>
  <si>
    <t>22210514</t>
  </si>
  <si>
    <t>22210517</t>
  </si>
  <si>
    <t>Measure Numbers Did NOT Change</t>
  </si>
  <si>
    <t>Measure Numbers Updated</t>
  </si>
  <si>
    <t>New Measure Numbers</t>
  </si>
  <si>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</si>
  <si>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Please fill out the Trade Ally / contractor information below.</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</si>
  <si>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2022, whichever occurs earlier. Projects that are not completed within 9 months or by December 31, 2022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</si>
  <si>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2022, whichever occurs earlier. Projects that are not completed within 9 months or by December 31, 2022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</si>
  <si>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</si>
  <si>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</si>
  <si>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</si>
  <si>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</si>
  <si>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</si>
  <si>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</si>
  <si>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</si>
  <si>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</si>
  <si>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</si>
  <si>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</si>
  <si>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</si>
  <si>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</si>
  <si>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RCx Threshold</t>
  </si>
  <si>
    <t>T12_Retrofit_8ft</t>
  </si>
  <si>
    <t>T12_Retrofit_8ft_4L T12 8' 60W</t>
  </si>
  <si>
    <t>T12_Retrofit_8ft_3L T12 8' 185W</t>
  </si>
  <si>
    <t>T12_Retrofit_8ft_3L T12 8' 215W</t>
  </si>
  <si>
    <t>LED Retrofit Kit replacing 1X4 T12/T8/T5 Fixture</t>
  </si>
  <si>
    <t>LED Retrofit Kit replacing 2X2 T12/T8/T5 Fixture</t>
  </si>
  <si>
    <t>LED Retrofit Kit replacing 2X4 T12/T8/T5 Fixture</t>
  </si>
  <si>
    <t>LED Retrofit Kit replacing 1X8 T12/T8/T5 Fixture</t>
  </si>
  <si>
    <t>LED Fixture replacing 1X4 T12/T8/T5 Fixture</t>
  </si>
  <si>
    <t>LED Fixture replacing 2X2 T12/T8/T5 Fixture</t>
  </si>
  <si>
    <t>LED Fixture replacing 2X4 T12/T8/T5 Fixture</t>
  </si>
  <si>
    <t>LED Fixture replacing 1X8 T12/T8/T5 Fixture</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</si>
  <si>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</si>
  <si>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</si>
  <si>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</si>
  <si>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Electrical Engineer</t>
  </si>
  <si>
    <t>Mechanical Engineer</t>
  </si>
  <si>
    <t>Architect</t>
  </si>
  <si>
    <t>32310511</t>
  </si>
  <si>
    <t>32310512</t>
  </si>
  <si>
    <t>Waste Heat Factor (e)</t>
  </si>
  <si>
    <t>updated WHF to match IL TRM 8.0</t>
  </si>
  <si>
    <t>New Construction Project Type</t>
  </si>
  <si>
    <t>New Building</t>
  </si>
  <si>
    <t>Building Addition</t>
  </si>
  <si>
    <t>Change of Purpose</t>
  </si>
  <si>
    <t>816-216-2786</t>
  </si>
  <si>
    <t>816-382-8747</t>
  </si>
  <si>
    <t>ABlaize@trccompanies.com</t>
  </si>
  <si>
    <t>EKruzan@trccompanies.com</t>
  </si>
  <si>
    <t>816-489-2485</t>
  </si>
  <si>
    <t>fixed the total summation on the Project Summary tab. It was reading the wrong column</t>
  </si>
  <si>
    <t>App:</t>
  </si>
  <si>
    <t>Main</t>
  </si>
  <si>
    <t>10% LPD Reduction Req.</t>
  </si>
  <si>
    <t>NC Lighting Incentive ($/Watt Reduced)</t>
  </si>
  <si>
    <t>NC Lighting Cost Cap</t>
  </si>
  <si>
    <t>% below code</t>
  </si>
  <si>
    <t>WI Incremental Cost ($/sq ft)</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</si>
  <si>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</si>
  <si>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</si>
  <si>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</si>
  <si>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</si>
  <si>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</si>
  <si>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</si>
  <si>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</si>
  <si>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</si>
  <si>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</si>
  <si>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</si>
  <si>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</si>
  <si>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</si>
  <si>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</si>
  <si>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</si>
  <si>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</si>
  <si>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</si>
  <si>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</si>
  <si>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</si>
  <si>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</si>
  <si>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</si>
  <si>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IL TRM v8.0 Lighting Coincidence Factor</t>
  </si>
  <si>
    <t>IL TRM v8.0 Operating Hours</t>
  </si>
  <si>
    <t>IL TRM v8.0 WHFe</t>
  </si>
  <si>
    <t>IL TRM v8.0 Building Area Assumption</t>
  </si>
  <si>
    <t>Assumed Unknown</t>
  </si>
  <si>
    <t>Assumed Public Sector</t>
  </si>
  <si>
    <t>Assumed Assisted Living</t>
  </si>
  <si>
    <t>Assumed Manufacturing Facility</t>
  </si>
  <si>
    <t>Trade Ally or Contractor (Check)</t>
  </si>
  <si>
    <t>Trade Ally / General Contractor</t>
  </si>
  <si>
    <t>Additional Contact 1</t>
  </si>
  <si>
    <t>Additional Contact 2</t>
  </si>
  <si>
    <t>Design Team Options</t>
  </si>
  <si>
    <t>Evergy Business Energy Savings Program • 866.847.5228 • businessrebates@evergy.com</t>
  </si>
  <si>
    <t>Verify the above Incentive Summary is accurate. Has your energy efficiency project scope changed from the original plan? If so, please review and update the measures, quantities, and costs associated with each line item.</t>
  </si>
  <si>
    <t>RCx and Custom</t>
  </si>
  <si>
    <t>Space Number</t>
  </si>
  <si>
    <t>Principal building activity</t>
  </si>
  <si>
    <t>Education</t>
  </si>
  <si>
    <t>CBECS 2012 Midwest Electricity Energy Intensity (kWh/sq ft)</t>
  </si>
  <si>
    <t>CBECS Building Activity</t>
  </si>
  <si>
    <t>Public Assembly</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</si>
  <si>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</si>
  <si>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</si>
  <si>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</si>
  <si>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</si>
  <si>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</si>
  <si>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</si>
  <si>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</si>
  <si>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</si>
  <si>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</si>
  <si>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</si>
  <si>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</si>
  <si>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</si>
  <si>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</si>
  <si>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</si>
  <si>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</si>
  <si>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T8 - 4 ft - 4 Lamp</t>
  </si>
  <si>
    <t>Xcel - Normal Ballast</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</si>
  <si>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</si>
  <si>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</si>
  <si>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</si>
  <si>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</si>
  <si>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</si>
  <si>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</si>
  <si>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</si>
  <si>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2008 Oncor Electric Delivery Lighting Table - Fluorescent, (1) U-Tube, T-8 lamp, Instant Start ballast</t>
  </si>
  <si>
    <t>2008 Oncor Electric Delivery Lighting Table - Fluorescent, (2) U-Tube, T-8 lamps, Instant Start Ballast</t>
  </si>
  <si>
    <t>1L T8 Ubend 32W</t>
  </si>
  <si>
    <t>2L T8 Ubend 32W</t>
  </si>
  <si>
    <t>Updated Standard Measure kWh/unit to 4 decimals
Updated rounding in Standard &amp; Custom kWh calculations to 4 decimals</t>
  </si>
  <si>
    <t>System Wattage</t>
  </si>
  <si>
    <t>Nominal Wattage</t>
  </si>
  <si>
    <t>2.03</t>
  </si>
  <si>
    <t>Notes</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</si>
  <si>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</si>
  <si>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</si>
  <si>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</si>
  <si>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MBSharp@trccompanies.com</t>
  </si>
  <si>
    <t>Application Type</t>
  </si>
  <si>
    <t>Expiration Date</t>
  </si>
  <si>
    <t>Expiration Status</t>
  </si>
  <si>
    <t>All</t>
  </si>
  <si>
    <t>FOOT1</t>
  </si>
  <si>
    <t>FOOT2</t>
  </si>
  <si>
    <t>FOOT3</t>
  </si>
  <si>
    <t>FOOT4</t>
  </si>
  <si>
    <t>FOOT5</t>
  </si>
  <si>
    <t>FOOT6</t>
  </si>
  <si>
    <t>FOOTDISCLAIM_N</t>
  </si>
  <si>
    <t>FOOTDISCLAIM</t>
  </si>
  <si>
    <r>
      <t xml:space="preserve">Codes by City/County </t>
    </r>
    <r>
      <rPr>
        <i/>
        <sz val="11"/>
        <color theme="1"/>
        <rFont val="Calibri"/>
        <family val="2"/>
      </rPr>
      <t>*Sort by City</t>
    </r>
  </si>
  <si>
    <t/>
  </si>
  <si>
    <t>Moved application version and expiration date from M01S01 to template tab
moved all other template fields that apply across apps to here as well</t>
  </si>
  <si>
    <t>DX Unit ≥135 kbtu &amp; &lt;240 kbtu (≥11.25 tons &amp; &lt;20 tons)</t>
  </si>
  <si>
    <t>DX Unit ≥65 kbtu &amp; &lt;135 kbtu (≥5.42 tons &amp; &lt;11.25 tons)</t>
  </si>
  <si>
    <t>DX Unit &lt;65 kbtu (&lt;5.42 tons)</t>
  </si>
  <si>
    <t>ASHP ≥65 kbtu &amp; &lt;135 kbtu (≥5.42 tons &amp; &lt;11.25 tons)</t>
  </si>
  <si>
    <t>DX Unit ≥760 kbtu (&gt;63.3 tons)</t>
  </si>
  <si>
    <t>ASHP ≥135 kbtu &amp; &lt;240 kbtu (≥11.25 tons &amp; &lt;20 tons)</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</si>
  <si>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</si>
  <si>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</si>
  <si>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DX Unit ≥240 kbtu &amp; &lt;760 kbtu (≥20 tons &amp; &lt;63.3 tons)</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</si>
  <si>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</si>
  <si>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Grow Facility</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</si>
  <si>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</si>
  <si>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</si>
  <si>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</si>
  <si>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</si>
  <si>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</si>
  <si>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</si>
  <si>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TRM 2020.5.1 Update</t>
  </si>
  <si>
    <t>Sensor</t>
  </si>
  <si>
    <t>ASHP &lt;65kbtu (&lt;5.42 tons)</t>
  </si>
  <si>
    <t>Energy Recovery Ventilator</t>
  </si>
  <si>
    <t>cfm</t>
  </si>
  <si>
    <t>Energy Recovery Ventilator (Incremental)</t>
  </si>
  <si>
    <t>32310509</t>
  </si>
  <si>
    <t>32310508</t>
  </si>
  <si>
    <t>ASHP ≥240kbtu (≥20 tons)</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</si>
  <si>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</si>
  <si>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</si>
  <si>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RCx TA Options</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</si>
  <si>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</si>
  <si>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</si>
  <si>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</si>
  <si>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</si>
  <si>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T5HO 4' 54W</t>
  </si>
  <si>
    <t>!</t>
  </si>
  <si>
    <t>Temperature Setback (Incremental)</t>
  </si>
  <si>
    <t>Temperature Setback</t>
  </si>
  <si>
    <t>Programmable Thermostat</t>
  </si>
  <si>
    <t>Programmable Thermostat (Incremental)</t>
  </si>
  <si>
    <t>Previous Incentive</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</si>
  <si>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</si>
  <si>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</si>
  <si>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</si>
  <si>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</si>
  <si>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</si>
  <si>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</si>
  <si>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</si>
  <si>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</si>
  <si>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</si>
  <si>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</si>
  <si>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32310607</t>
  </si>
  <si>
    <t>32310608</t>
  </si>
  <si>
    <t>32310609</t>
  </si>
  <si>
    <t>32310610</t>
  </si>
  <si>
    <t>thermostat</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</si>
  <si>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</si>
  <si>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</si>
  <si>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t>T5HO_4ft_Lamp</t>
  </si>
  <si>
    <t>T5HO</t>
  </si>
  <si>
    <t>15 cu. ft.</t>
  </si>
  <si>
    <t>T12_T8_T5_T5HO</t>
  </si>
  <si>
    <t>v2.1.2</t>
  </si>
  <si>
    <t>Unlocked install and invoice cells on Project Review tab</t>
  </si>
  <si>
    <t>Fixed lighting dropdown bug for Fixture replacing fluorescent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</si>
</sst>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00"/>
    <numFmt numFmtId="172" formatCode="[&lt;=9999999]###\-####;\(###\)\ ###\-####"/>
    <numFmt numFmtId="173" formatCode="0.0000"/>
    <numFmt numFmtId="174" formatCode="#,##0.0000"/>
    <numFmt numFmtId="175" formatCode="0.0000000000"/>
    <numFmt numFmtId="176" formatCode="&quot;$&quot;#,##0.0000"/>
    <numFmt numFmtId="177" formatCode="0.0"/>
    <numFmt numFmtId="178" formatCode="&quot;$&quot;#,##0.000_);[Red]\(&quot;$&quot;#,##0.000\)"/>
    <numFmt numFmtId="179" formatCode="0.000000"/>
    <numFmt numFmtId="180" formatCode="&quot;$&quot;#,##0.000"/>
    <numFmt numFmtId="181" formatCode="&quot;powering&quot;\ #,##0.0"/>
    <numFmt numFmtId="182" formatCode="_(&quot;$&quot;* #,##0.0000_);_(&quot;$&quot;* \(#,##0.0000\);_(&quot;$&quot;* &quot;-&quot;??_);_(@_)"/>
    <numFmt numFmtId="183" formatCode="0.0000%"/>
    <numFmt numFmtId="184" formatCode="#,###\ &quot;W&quot;"/>
    <numFmt numFmtId="185" formatCode="#,##0\ &quot;W&quot;"/>
    <numFmt numFmtId="186" formatCode="#,##0.0"/>
  </numFmts>
  <fonts count="167">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sz val="11"/>
      <color theme="1"/>
      <name val="Calibri"/>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0"/>
      <color indexed="10"/>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0"/>
      <color theme="0"/>
      <name val="Arial"/>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29"/>
      <color rgb="FF32A3FF"/>
      <name val="Arial Rounded MT Bold"/>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
      <color theme="0"/>
      <name val="Arial"/>
      <family val="2"/>
    </font>
    <font>
      <b/>
      <sz val="18.5"/>
      <color theme="0"/>
      <name val="Arial"/>
      <family val="2"/>
    </font>
    <font>
      <sz val="8"/>
      <name val="Calibri"/>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11"/>
      <color theme="4"/>
      <name val="Calibri"/>
      <family val="2"/>
    </font>
    <font>
      <b/>
      <sz val="15"/>
      <color rgb="FFFF0000"/>
      <name val="Arial"/>
      <family val="2"/>
    </font>
    <font>
      <b/>
      <sz val="26"/>
      <color rgb="FFFF0000"/>
      <name val="Arial"/>
      <family val="2"/>
    </font>
    <font>
      <sz val="26"/>
      <color rgb="FFFF0000"/>
      <name val="Arial"/>
      <family val="2"/>
    </font>
    <font>
      <sz val="11"/>
      <color theme="1"/>
      <name val="Calibri"/>
      <family val="2"/>
    </font>
  </fonts>
  <fills count="73">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lightUp">
        <fgColor theme="1"/>
        <bgColor theme="4" tint="0.39997558519241921"/>
      </patternFill>
    </fill>
    <fill>
      <patternFill patternType="solid">
        <fgColor rgb="FFFF0000"/>
        <bgColor theme="4"/>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7"/>
        <bgColor indexed="64"/>
      </patternFill>
    </fill>
    <fill>
      <patternFill patternType="solid">
        <fgColor theme="6"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thin">
        <color indexed="64"/>
      </top>
      <bottom style="thin">
        <color indexed="64"/>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499984740745262"/>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medium">
        <color theme="0" tint="-0.34998626667073579"/>
      </right>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style="thin">
        <color indexed="64"/>
      </right>
      <top style="thin">
        <color theme="4" tint="0.39997558519241921"/>
      </top>
      <bottom style="thin">
        <color theme="4" tint="0.39997558519241921"/>
      </bottom>
      <diagonal/>
    </border>
    <border>
      <left style="thin">
        <color theme="0" tint="-0.499984740745262"/>
      </left>
      <right style="thin">
        <color theme="0" tint="-0.34998626667073579"/>
      </right>
      <top/>
      <bottom style="thin">
        <color theme="0" tint="-0.499984740745262"/>
      </bottom>
      <diagonal/>
    </border>
    <border>
      <left style="thin">
        <color theme="0" tint="-0.34998626667073579"/>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top/>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medium">
        <color theme="0" tint="-0.499984740745262"/>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s>
  <cellStyleXfs count="71">
    <xf numFmtId="0" fontId="0" fillId="0" borderId="0"/>
    <xf numFmtId="0" fontId="5" fillId="0" borderId="0" applyNumberFormat="0" applyFill="0" applyBorder="0" applyAlignment="0" applyProtection="0"/>
    <xf numFmtId="0" fontId="6" fillId="0" borderId="0" applyNumberFormat="0" applyAlignment="0" applyProtection="0"/>
    <xf numFmtId="9" fontId="9" fillId="0" borderId="0" applyFont="0" applyFill="0" applyBorder="0" applyAlignment="0" applyProtection="0"/>
    <xf numFmtId="0" fontId="6" fillId="0" borderId="0" applyNumberFormat="0" applyAlignment="0" applyProtection="0"/>
    <xf numFmtId="0" fontId="12" fillId="0" borderId="0"/>
    <xf numFmtId="9" fontId="6" fillId="0" borderId="0" applyFont="0" applyFill="0" applyBorder="0" applyAlignment="0" applyProtection="0"/>
    <xf numFmtId="0" fontId="33" fillId="0" borderId="0"/>
    <xf numFmtId="0" fontId="6" fillId="0" borderId="0"/>
    <xf numFmtId="0" fontId="38" fillId="0" borderId="0"/>
    <xf numFmtId="0" fontId="39" fillId="0" borderId="0" applyNumberForma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6" fillId="0" borderId="0" applyFont="0" applyFill="0" applyBorder="0" applyAlignment="0" applyProtection="0"/>
    <xf numFmtId="0" fontId="33" fillId="0" borderId="0"/>
    <xf numFmtId="43" fontId="6" fillId="0" borderId="0" applyFont="0" applyFill="0" applyBorder="0" applyAlignment="0" applyProtection="0"/>
    <xf numFmtId="0" fontId="141" fillId="0" borderId="172" applyNumberFormat="0" applyFill="0" applyAlignment="0" applyProtection="0"/>
    <xf numFmtId="0" fontId="142" fillId="0" borderId="173" applyNumberFormat="0" applyFill="0" applyAlignment="0" applyProtection="0"/>
    <xf numFmtId="0" fontId="143" fillId="0" borderId="174" applyNumberFormat="0" applyFill="0" applyAlignment="0" applyProtection="0"/>
    <xf numFmtId="0" fontId="143" fillId="0" borderId="0" applyNumberFormat="0" applyFill="0" applyBorder="0" applyAlignment="0" applyProtection="0"/>
    <xf numFmtId="0" fontId="144" fillId="42" borderId="0" applyNumberFormat="0" applyBorder="0" applyAlignment="0" applyProtection="0"/>
    <xf numFmtId="0" fontId="145" fillId="43" borderId="0" applyNumberFormat="0" applyBorder="0" applyAlignment="0" applyProtection="0"/>
    <xf numFmtId="0" fontId="146" fillId="45" borderId="175" applyNumberFormat="0" applyAlignment="0" applyProtection="0"/>
    <xf numFmtId="0" fontId="147" fillId="46" borderId="176" applyNumberFormat="0" applyAlignment="0" applyProtection="0"/>
    <xf numFmtId="0" fontId="148" fillId="46" borderId="175" applyNumberFormat="0" applyAlignment="0" applyProtection="0"/>
    <xf numFmtId="0" fontId="149" fillId="0" borderId="177" applyNumberFormat="0" applyFill="0" applyAlignment="0" applyProtection="0"/>
    <xf numFmtId="0" fontId="150" fillId="47" borderId="178" applyNumberFormat="0" applyAlignment="0" applyProtection="0"/>
    <xf numFmtId="0" fontId="140" fillId="0" borderId="0" applyNumberFormat="0" applyFill="0" applyBorder="0" applyAlignment="0" applyProtection="0"/>
    <xf numFmtId="0" fontId="151" fillId="0" borderId="0" applyNumberFormat="0" applyFill="0" applyBorder="0" applyAlignment="0" applyProtection="0"/>
    <xf numFmtId="0" fontId="152" fillId="0" borderId="180" applyNumberFormat="0" applyFill="0" applyAlignment="0" applyProtection="0"/>
    <xf numFmtId="0" fontId="153"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53"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53" fillId="57" borderId="0" applyNumberFormat="0" applyBorder="0" applyAlignment="0" applyProtection="0"/>
    <xf numFmtId="0" fontId="4" fillId="58" borderId="0" applyNumberFormat="0" applyBorder="0" applyAlignment="0" applyProtection="0"/>
    <xf numFmtId="0" fontId="153"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153"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153"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0" borderId="0"/>
    <xf numFmtId="0" fontId="4" fillId="41" borderId="0" applyNumberFormat="0" applyBorder="0" applyAlignment="0" applyProtection="0"/>
    <xf numFmtId="0" fontId="153" fillId="52" borderId="0" applyNumberFormat="0" applyBorder="0" applyAlignment="0" applyProtection="0"/>
    <xf numFmtId="0" fontId="153" fillId="56" borderId="0" applyNumberFormat="0" applyBorder="0" applyAlignment="0" applyProtection="0"/>
    <xf numFmtId="0" fontId="153" fillId="59" borderId="0" applyNumberFormat="0" applyBorder="0" applyAlignment="0" applyProtection="0"/>
    <xf numFmtId="0" fontId="153" fillId="63" borderId="0" applyNumberFormat="0" applyBorder="0" applyAlignment="0" applyProtection="0"/>
    <xf numFmtId="0" fontId="153" fillId="67" borderId="0" applyNumberFormat="0" applyBorder="0" applyAlignment="0" applyProtection="0"/>
    <xf numFmtId="0" fontId="153" fillId="71" borderId="0" applyNumberFormat="0" applyBorder="0" applyAlignment="0" applyProtection="0"/>
    <xf numFmtId="0" fontId="154" fillId="0" borderId="181" applyNumberFormat="0" applyFont="0" applyProtection="0">
      <alignment wrapText="1"/>
    </xf>
    <xf numFmtId="0" fontId="155" fillId="0" borderId="0" applyNumberFormat="0" applyFill="0" applyBorder="0" applyAlignment="0" applyProtection="0">
      <alignment vertical="top"/>
      <protection locked="0"/>
    </xf>
    <xf numFmtId="0" fontId="154" fillId="0" borderId="0" applyNumberFormat="0" applyFill="0" applyBorder="0" applyAlignment="0" applyProtection="0"/>
    <xf numFmtId="0" fontId="154" fillId="0" borderId="0" applyNumberFormat="0" applyProtection="0">
      <alignment vertical="top" wrapText="1"/>
    </xf>
    <xf numFmtId="0" fontId="154" fillId="0" borderId="182" applyNumberFormat="0" applyProtection="0">
      <alignment vertical="top" wrapText="1"/>
    </xf>
    <xf numFmtId="0" fontId="156" fillId="0" borderId="172" applyNumberFormat="0" applyProtection="0">
      <alignment wrapText="1"/>
    </xf>
    <xf numFmtId="0" fontId="156" fillId="0" borderId="183" applyNumberFormat="0" applyProtection="0">
      <alignment horizontal="left" wrapText="1"/>
    </xf>
    <xf numFmtId="0" fontId="157" fillId="0" borderId="0" applyNumberFormat="0" applyFill="0" applyBorder="0" applyAlignment="0" applyProtection="0">
      <alignment vertical="top"/>
      <protection locked="0"/>
    </xf>
    <xf numFmtId="0" fontId="158" fillId="44" borderId="0" applyNumberFormat="0" applyBorder="0" applyAlignment="0" applyProtection="0"/>
    <xf numFmtId="0" fontId="33" fillId="0" borderId="0"/>
    <xf numFmtId="0" fontId="4" fillId="48" borderId="179" applyNumberFormat="0" applyFont="0" applyAlignment="0" applyProtection="0"/>
    <xf numFmtId="0" fontId="156" fillId="0" borderId="184" applyNumberFormat="0" applyProtection="0">
      <alignment wrapText="1"/>
    </xf>
    <xf numFmtId="0" fontId="154" fillId="0" borderId="185" applyNumberFormat="0" applyFont="0" applyFill="0" applyProtection="0">
      <alignment wrapText="1"/>
    </xf>
    <xf numFmtId="0" fontId="156" fillId="0" borderId="186" applyNumberFormat="0" applyFill="0" applyProtection="0">
      <alignment wrapText="1"/>
    </xf>
    <xf numFmtId="0" fontId="159" fillId="0" borderId="0" applyNumberFormat="0" applyProtection="0">
      <alignment horizontal="left"/>
    </xf>
    <xf numFmtId="0" fontId="160" fillId="0" borderId="0" applyNumberFormat="0" applyFill="0" applyBorder="0" applyAlignment="0" applyProtection="0"/>
  </cellStyleXfs>
  <cellXfs count="1496">
    <xf numFmtId="0" fontId="0" fillId="0" borderId="0" xfId="0"/>
    <xf numFmtId="0" fontId="0" fillId="0" borderId="0" xfId="0" applyAlignment="1">
      <alignment wrapText="1"/>
    </xf>
    <xf numFmtId="0" fontId="14" fillId="0" borderId="0" xfId="0" applyFont="1"/>
    <xf numFmtId="0" fontId="14" fillId="0" borderId="0" xfId="0" applyFont="1" applyAlignment="1">
      <alignment horizontal="center"/>
    </xf>
    <xf numFmtId="14" fontId="15" fillId="0" borderId="1" xfId="0" applyNumberFormat="1" applyFont="1" applyBorder="1" applyAlignment="1">
      <alignment horizontal="center"/>
    </xf>
    <xf numFmtId="0" fontId="15" fillId="0" borderId="1" xfId="0" applyFont="1" applyBorder="1" applyAlignment="1">
      <alignment horizontal="center" wrapText="1"/>
    </xf>
    <xf numFmtId="49" fontId="15" fillId="0" borderId="1" xfId="0" applyNumberFormat="1" applyFont="1" applyBorder="1" applyAlignment="1">
      <alignment horizontal="left" wrapText="1"/>
    </xf>
    <xf numFmtId="0" fontId="15" fillId="0" borderId="1" xfId="0" applyFont="1" applyBorder="1" applyAlignment="1">
      <alignment horizontal="left" vertical="center" wrapText="1"/>
    </xf>
    <xf numFmtId="0" fontId="15" fillId="0" borderId="0" xfId="0" applyFont="1"/>
    <xf numFmtId="10" fontId="0" fillId="0" borderId="0" xfId="6" applyNumberFormat="1" applyFont="1"/>
    <xf numFmtId="169" fontId="0" fillId="0" borderId="0" xfId="0" applyNumberFormat="1"/>
    <xf numFmtId="171" fontId="0" fillId="0" borderId="0" xfId="0" applyNumberFormat="1"/>
    <xf numFmtId="0" fontId="17" fillId="0" borderId="0" xfId="0" applyFont="1"/>
    <xf numFmtId="0" fontId="0" fillId="0" borderId="0" xfId="0" applyBorder="1"/>
    <xf numFmtId="0" fontId="0" fillId="0" borderId="0" xfId="0"/>
    <xf numFmtId="0" fontId="0" fillId="0" borderId="1" xfId="0" applyBorder="1"/>
    <xf numFmtId="172"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18" fillId="0" borderId="0" xfId="0" applyFont="1" applyAlignment="1">
      <alignment horizontal="left"/>
    </xf>
    <xf numFmtId="0" fontId="0" fillId="0" borderId="0" xfId="0" applyAlignment="1"/>
    <xf numFmtId="0" fontId="0" fillId="0" borderId="0" xfId="0" applyAlignment="1">
      <alignment horizontal="left"/>
    </xf>
    <xf numFmtId="49" fontId="0" fillId="0" borderId="0" xfId="0" applyNumberFormat="1"/>
    <xf numFmtId="0" fontId="0" fillId="0" borderId="0" xfId="0" applyAlignment="1">
      <alignment horizontal="right"/>
    </xf>
    <xf numFmtId="165" fontId="0" fillId="0" borderId="0" xfId="0" applyNumberFormat="1" applyAlignment="1">
      <alignment horizontal="left"/>
    </xf>
    <xf numFmtId="0" fontId="18" fillId="0" borderId="0" xfId="0" applyFont="1" applyAlignment="1">
      <alignment horizontal="left"/>
    </xf>
    <xf numFmtId="0" fontId="0" fillId="0" borderId="0" xfId="0" applyAlignment="1"/>
    <xf numFmtId="0" fontId="21" fillId="0" borderId="0" xfId="0" applyFont="1"/>
    <xf numFmtId="169" fontId="21" fillId="0" borderId="0" xfId="0" applyNumberFormat="1" applyFont="1"/>
    <xf numFmtId="0" fontId="0" fillId="0" borderId="0" xfId="0" applyAlignment="1">
      <alignment horizontal="right"/>
    </xf>
    <xf numFmtId="0" fontId="0" fillId="0" borderId="0" xfId="0" applyAlignment="1">
      <alignment horizontal="left"/>
    </xf>
    <xf numFmtId="165" fontId="0" fillId="0" borderId="0" xfId="0" applyNumberFormat="1" applyAlignment="1">
      <alignment horizontal="left"/>
    </xf>
    <xf numFmtId="0" fontId="18" fillId="0" borderId="0" xfId="0" applyFont="1" applyAlignment="1">
      <alignment horizontal="left"/>
    </xf>
    <xf numFmtId="0" fontId="0" fillId="0" borderId="0" xfId="0" applyAlignment="1"/>
    <xf numFmtId="0" fontId="8" fillId="0" borderId="0" xfId="0" applyFont="1" applyAlignment="1"/>
    <xf numFmtId="0" fontId="8" fillId="0" borderId="0" xfId="0" applyFont="1"/>
    <xf numFmtId="0" fontId="8" fillId="0" borderId="0" xfId="0" applyFont="1" applyProtection="1"/>
    <xf numFmtId="0" fontId="8" fillId="0" borderId="0" xfId="0" applyFont="1" applyAlignment="1" applyProtection="1"/>
    <xf numFmtId="0" fontId="8" fillId="0" borderId="0" xfId="0" applyFont="1" applyFill="1" applyBorder="1"/>
    <xf numFmtId="0" fontId="8" fillId="0" borderId="0" xfId="0" applyFont="1" applyBorder="1"/>
    <xf numFmtId="0" fontId="0" fillId="0" borderId="0" xfId="0" applyAlignment="1">
      <alignment horizontal="right"/>
    </xf>
    <xf numFmtId="0" fontId="0" fillId="0" borderId="0" xfId="0" applyAlignment="1"/>
    <xf numFmtId="49" fontId="0" fillId="0" borderId="0" xfId="0" applyNumberFormat="1" applyFont="1"/>
    <xf numFmtId="0" fontId="0" fillId="0" borderId="0" xfId="0" applyFont="1"/>
    <xf numFmtId="0" fontId="27" fillId="0" borderId="0" xfId="5" applyFont="1" applyAlignment="1">
      <alignment wrapText="1"/>
    </xf>
    <xf numFmtId="0" fontId="6" fillId="0" borderId="0" xfId="0" applyFont="1"/>
    <xf numFmtId="49" fontId="6" fillId="0" borderId="0" xfId="0" applyNumberFormat="1" applyFont="1"/>
    <xf numFmtId="0" fontId="28" fillId="0" borderId="0" xfId="5" applyFont="1" applyFill="1" applyAlignment="1">
      <alignment wrapText="1"/>
    </xf>
    <xf numFmtId="0" fontId="6" fillId="0" borderId="0" xfId="0" applyFont="1" applyFill="1"/>
    <xf numFmtId="0" fontId="16" fillId="0" borderId="0" xfId="0" applyFont="1"/>
    <xf numFmtId="49" fontId="16" fillId="0" borderId="0" xfId="5" applyNumberFormat="1" applyFont="1" applyFill="1" applyAlignment="1">
      <alignment wrapText="1"/>
    </xf>
    <xf numFmtId="0" fontId="16" fillId="0" borderId="0" xfId="5" applyFont="1" applyAlignment="1">
      <alignment wrapText="1"/>
    </xf>
    <xf numFmtId="0" fontId="16" fillId="0" borderId="0" xfId="5" applyFont="1" applyFill="1" applyAlignment="1">
      <alignment wrapText="1"/>
    </xf>
    <xf numFmtId="0" fontId="0" fillId="0" borderId="0" xfId="0" applyFill="1"/>
    <xf numFmtId="0" fontId="0" fillId="0" borderId="0" xfId="0" applyFont="1" applyFill="1"/>
    <xf numFmtId="0" fontId="0" fillId="0" borderId="11" xfId="0" applyBorder="1"/>
    <xf numFmtId="1" fontId="0" fillId="0" borderId="0" xfId="0" applyNumberFormat="1"/>
    <xf numFmtId="177" fontId="0" fillId="0" borderId="0" xfId="0" applyNumberFormat="1"/>
    <xf numFmtId="0" fontId="0" fillId="0" borderId="12" xfId="0" applyBorder="1"/>
    <xf numFmtId="0" fontId="0" fillId="0" borderId="14" xfId="0" applyBorder="1"/>
    <xf numFmtId="0" fontId="0" fillId="0" borderId="5" xfId="0" applyBorder="1"/>
    <xf numFmtId="0" fontId="0" fillId="0" borderId="0" xfId="0" applyNumberFormat="1"/>
    <xf numFmtId="0" fontId="0" fillId="15" borderId="0" xfId="0" applyNumberFormat="1" applyFill="1"/>
    <xf numFmtId="173" fontId="0" fillId="0" borderId="0" xfId="0" applyNumberFormat="1"/>
    <xf numFmtId="49" fontId="30" fillId="0" borderId="0" xfId="0" applyNumberFormat="1" applyFont="1"/>
    <xf numFmtId="0" fontId="30" fillId="0" borderId="0" xfId="0" applyFont="1"/>
    <xf numFmtId="49" fontId="31" fillId="0" borderId="0" xfId="0" applyNumberFormat="1" applyFont="1"/>
    <xf numFmtId="0" fontId="31" fillId="0" borderId="0" xfId="0" applyFont="1"/>
    <xf numFmtId="0" fontId="0" fillId="0" borderId="0" xfId="0" quotePrefix="1"/>
    <xf numFmtId="49" fontId="17" fillId="0" borderId="0" xfId="0" applyNumberFormat="1" applyFont="1"/>
    <xf numFmtId="0" fontId="34" fillId="0" borderId="0" xfId="0" applyFont="1" applyAlignment="1">
      <alignment wrapText="1"/>
    </xf>
    <xf numFmtId="178" fontId="0" fillId="0" borderId="0" xfId="0" applyNumberFormat="1"/>
    <xf numFmtId="179" fontId="0" fillId="0" borderId="0" xfId="0" applyNumberFormat="1"/>
    <xf numFmtId="0" fontId="18" fillId="0" borderId="0" xfId="0" applyFont="1"/>
    <xf numFmtId="49" fontId="19" fillId="0" borderId="0" xfId="0" applyNumberFormat="1" applyFont="1"/>
    <xf numFmtId="0" fontId="19" fillId="0" borderId="0" xfId="0" applyFont="1"/>
    <xf numFmtId="49" fontId="19" fillId="0" borderId="0" xfId="0" applyNumberFormat="1" applyFont="1" applyAlignment="1">
      <alignment wrapText="1"/>
    </xf>
    <xf numFmtId="0" fontId="19" fillId="0" borderId="0" xfId="0" applyFont="1" applyFill="1"/>
    <xf numFmtId="0" fontId="0" fillId="0" borderId="2" xfId="0" applyBorder="1" applyAlignment="1">
      <alignment horizontal="center"/>
    </xf>
    <xf numFmtId="0" fontId="0" fillId="0" borderId="2" xfId="0" applyBorder="1" applyAlignment="1">
      <alignment horizontal="center" wrapText="1"/>
    </xf>
    <xf numFmtId="0" fontId="0" fillId="0" borderId="15" xfId="0" applyBorder="1" applyAlignment="1">
      <alignment horizontal="center"/>
    </xf>
    <xf numFmtId="0" fontId="0" fillId="0" borderId="15" xfId="0" applyBorder="1" applyAlignment="1">
      <alignment horizontal="center" wrapText="1"/>
    </xf>
    <xf numFmtId="0" fontId="16" fillId="0" borderId="14" xfId="0" applyFont="1" applyBorder="1" applyAlignment="1">
      <alignment horizontal="center"/>
    </xf>
    <xf numFmtId="0" fontId="0" fillId="0" borderId="3"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36" fillId="0" borderId="15" xfId="0" applyFont="1" applyBorder="1" applyAlignment="1">
      <alignment horizontal="center" wrapText="1"/>
    </xf>
    <xf numFmtId="0" fontId="36" fillId="0" borderId="13" xfId="0" applyFont="1" applyBorder="1" applyAlignment="1">
      <alignment horizontal="center" wrapText="1"/>
    </xf>
    <xf numFmtId="0" fontId="8" fillId="0" borderId="0" xfId="0" applyFont="1" applyFill="1" applyAlignment="1" applyProtection="1"/>
    <xf numFmtId="0" fontId="16" fillId="0" borderId="8" xfId="0" applyFont="1" applyBorder="1" applyAlignment="1">
      <alignment horizontal="center"/>
    </xf>
    <xf numFmtId="0" fontId="0" fillId="0" borderId="10" xfId="0" applyBorder="1"/>
    <xf numFmtId="0" fontId="25" fillId="0" borderId="0" xfId="0" applyFont="1" applyBorder="1"/>
    <xf numFmtId="0" fontId="25" fillId="0" borderId="0" xfId="0" applyFont="1" applyBorder="1" applyAlignment="1">
      <alignment horizontal="center"/>
    </xf>
    <xf numFmtId="167" fontId="0" fillId="0" borderId="0" xfId="0" applyNumberFormat="1"/>
    <xf numFmtId="0" fontId="0" fillId="0" borderId="13" xfId="0" applyBorder="1"/>
    <xf numFmtId="0" fontId="0" fillId="0" borderId="3" xfId="0" applyBorder="1"/>
    <xf numFmtId="0" fontId="8" fillId="0" borderId="0" xfId="0" applyFont="1" applyBorder="1" applyAlignment="1">
      <alignment horizontal="center"/>
    </xf>
    <xf numFmtId="0" fontId="42" fillId="0" borderId="0" xfId="1" applyFont="1" applyBorder="1" applyAlignment="1">
      <alignment horizontal="center"/>
    </xf>
    <xf numFmtId="0" fontId="7" fillId="0" borderId="0" xfId="0" applyFont="1" applyBorder="1"/>
    <xf numFmtId="0" fontId="8" fillId="0" borderId="4" xfId="0" applyFont="1" applyBorder="1"/>
    <xf numFmtId="0" fontId="25" fillId="0" borderId="0" xfId="0" applyFont="1" applyBorder="1" applyAlignment="1">
      <alignment horizontal="center" vertical="center" wrapText="1"/>
    </xf>
    <xf numFmtId="0" fontId="44" fillId="0" borderId="0" xfId="0" applyFont="1"/>
    <xf numFmtId="0" fontId="0" fillId="13" borderId="0" xfId="0" applyNumberFormat="1" applyFill="1"/>
    <xf numFmtId="0" fontId="41" fillId="0" borderId="0" xfId="0" applyFont="1" applyFill="1" applyBorder="1" applyAlignment="1">
      <alignment vertical="center"/>
    </xf>
    <xf numFmtId="0" fontId="43" fillId="0" borderId="0" xfId="0" applyFont="1" applyBorder="1" applyAlignment="1">
      <alignment vertical="center" wrapText="1"/>
    </xf>
    <xf numFmtId="0" fontId="0" fillId="0" borderId="0" xfId="0" applyBorder="1" applyAlignment="1">
      <alignment horizontal="left"/>
    </xf>
    <xf numFmtId="0" fontId="41" fillId="0" borderId="4" xfId="0" applyFont="1" applyFill="1" applyBorder="1" applyAlignment="1">
      <alignment vertical="center"/>
    </xf>
    <xf numFmtId="0" fontId="32" fillId="0" borderId="0" xfId="0" applyFont="1" applyBorder="1" applyAlignment="1">
      <alignment horizontal="left"/>
    </xf>
    <xf numFmtId="0" fontId="32" fillId="0" borderId="0" xfId="0" applyFont="1" applyBorder="1" applyAlignment="1"/>
    <xf numFmtId="0" fontId="35" fillId="0" borderId="0" xfId="0" applyFont="1" applyBorder="1" applyAlignment="1">
      <alignment horizontal="left"/>
    </xf>
    <xf numFmtId="0" fontId="37" fillId="0" borderId="0" xfId="0" applyFont="1" applyBorder="1" applyAlignment="1">
      <alignment horizontal="left" indent="1"/>
    </xf>
    <xf numFmtId="0" fontId="10" fillId="0" borderId="0" xfId="0" applyFont="1" applyBorder="1"/>
    <xf numFmtId="0" fontId="37" fillId="0" borderId="0" xfId="0" applyFont="1" applyBorder="1"/>
    <xf numFmtId="0" fontId="0" fillId="9" borderId="0" xfId="0" applyFill="1"/>
    <xf numFmtId="176" fontId="33" fillId="0" borderId="1" xfId="14" applyNumberFormat="1" applyFill="1" applyBorder="1" applyAlignment="1">
      <alignment horizontal="center"/>
    </xf>
    <xf numFmtId="169" fontId="0" fillId="0" borderId="0" xfId="0" applyNumberFormat="1" applyFill="1"/>
    <xf numFmtId="0" fontId="52" fillId="0" borderId="0" xfId="0" applyFont="1"/>
    <xf numFmtId="0" fontId="20" fillId="0" borderId="0" xfId="14" applyFont="1" applyAlignment="1"/>
    <xf numFmtId="0" fontId="33" fillId="0" borderId="0" xfId="14" applyBorder="1"/>
    <xf numFmtId="0" fontId="33" fillId="0" borderId="0" xfId="14"/>
    <xf numFmtId="0" fontId="33" fillId="0" borderId="1" xfId="14" applyFont="1" applyBorder="1" applyAlignment="1">
      <alignment wrapText="1"/>
    </xf>
    <xf numFmtId="0" fontId="33" fillId="0" borderId="0" xfId="14" applyFont="1" applyBorder="1" applyAlignment="1">
      <alignment wrapText="1"/>
    </xf>
    <xf numFmtId="180" fontId="53" fillId="0" borderId="0" xfId="14" applyNumberFormat="1" applyFont="1" applyFill="1" applyBorder="1"/>
    <xf numFmtId="173" fontId="53" fillId="0" borderId="0" xfId="14" applyNumberFormat="1" applyFont="1" applyFill="1" applyBorder="1"/>
    <xf numFmtId="0" fontId="33" fillId="0" borderId="1" xfId="14" applyBorder="1"/>
    <xf numFmtId="167" fontId="33" fillId="0" borderId="1" xfId="14" applyNumberFormat="1" applyFill="1" applyBorder="1" applyAlignment="1">
      <alignment horizontal="center"/>
    </xf>
    <xf numFmtId="182" fontId="33" fillId="0" borderId="0" xfId="13" applyNumberFormat="1" applyFont="1" applyBorder="1"/>
    <xf numFmtId="9" fontId="0" fillId="0" borderId="0" xfId="6" applyFont="1"/>
    <xf numFmtId="171" fontId="0" fillId="0" borderId="0" xfId="0" applyNumberFormat="1" applyAlignment="1"/>
    <xf numFmtId="2" fontId="49" fillId="0" borderId="0" xfId="0" applyNumberFormat="1" applyFont="1" applyBorder="1" applyAlignment="1">
      <alignment vertical="center" wrapText="1"/>
    </xf>
    <xf numFmtId="2" fontId="49" fillId="0" borderId="0" xfId="0" applyNumberFormat="1" applyFont="1" applyBorder="1" applyAlignment="1">
      <alignment vertical="center"/>
    </xf>
    <xf numFmtId="0" fontId="56" fillId="0" borderId="0" xfId="0" applyFont="1" applyBorder="1" applyAlignment="1"/>
    <xf numFmtId="0" fontId="56" fillId="0" borderId="23" xfId="0" applyFont="1" applyBorder="1" applyAlignment="1"/>
    <xf numFmtId="0" fontId="59" fillId="0" borderId="0" xfId="0" applyFont="1" applyFill="1" applyBorder="1" applyAlignment="1">
      <alignment vertical="center"/>
    </xf>
    <xf numFmtId="0" fontId="0" fillId="0" borderId="0" xfId="0" applyNumberFormat="1" applyAlignment="1">
      <alignment horizontal="right"/>
    </xf>
    <xf numFmtId="0" fontId="61" fillId="0" borderId="0" xfId="0" applyFont="1" applyAlignment="1">
      <alignment vertical="center"/>
    </xf>
    <xf numFmtId="0" fontId="60" fillId="0" borderId="0" xfId="0" applyFont="1"/>
    <xf numFmtId="0" fontId="0" fillId="14" borderId="0" xfId="0" applyFill="1"/>
    <xf numFmtId="0" fontId="0" fillId="4" borderId="0" xfId="0" applyFill="1" applyBorder="1"/>
    <xf numFmtId="0" fontId="0" fillId="0" borderId="34" xfId="0" applyBorder="1"/>
    <xf numFmtId="0" fontId="0" fillId="0" borderId="35" xfId="0" applyBorder="1"/>
    <xf numFmtId="0" fontId="0" fillId="4" borderId="35" xfId="0" applyFill="1" applyBorder="1"/>
    <xf numFmtId="0" fontId="64" fillId="0" borderId="0" xfId="0" applyFont="1" applyAlignment="1">
      <alignment vertical="center"/>
    </xf>
    <xf numFmtId="0" fontId="67" fillId="0" borderId="0" xfId="0" applyFont="1"/>
    <xf numFmtId="0" fontId="68" fillId="0" borderId="0" xfId="0" applyFont="1" applyBorder="1" applyAlignment="1">
      <alignment vertical="top"/>
    </xf>
    <xf numFmtId="0" fontId="68" fillId="0" borderId="0" xfId="0" applyFont="1" applyBorder="1" applyAlignment="1">
      <alignment horizontal="center" vertical="top" wrapText="1"/>
    </xf>
    <xf numFmtId="0" fontId="71" fillId="0" borderId="0" xfId="0" applyFont="1" applyAlignment="1">
      <alignment horizontal="center"/>
    </xf>
    <xf numFmtId="0" fontId="74" fillId="0" borderId="0" xfId="0" applyFont="1"/>
    <xf numFmtId="0" fontId="73" fillId="0" borderId="0" xfId="0" applyFont="1" applyAlignment="1">
      <alignment vertical="center"/>
    </xf>
    <xf numFmtId="0" fontId="69" fillId="0" borderId="0" xfId="0" applyFont="1" applyAlignment="1">
      <alignment vertical="center"/>
    </xf>
    <xf numFmtId="0" fontId="75" fillId="0" borderId="0" xfId="1" applyFont="1" applyAlignment="1">
      <alignment horizontal="center" vertical="center" wrapText="1"/>
    </xf>
    <xf numFmtId="0" fontId="73" fillId="0" borderId="0" xfId="0" applyFont="1" applyBorder="1" applyAlignment="1">
      <alignment vertical="center"/>
    </xf>
    <xf numFmtId="0" fontId="10" fillId="0" borderId="0" xfId="0" applyFont="1" applyAlignment="1"/>
    <xf numFmtId="0" fontId="76" fillId="0" borderId="0" xfId="0" applyFont="1"/>
    <xf numFmtId="0" fontId="70" fillId="0" borderId="0" xfId="0" applyFont="1" applyAlignment="1"/>
    <xf numFmtId="0" fontId="70" fillId="0" borderId="0" xfId="0" applyFont="1" applyAlignment="1">
      <alignment horizontal="left"/>
    </xf>
    <xf numFmtId="0" fontId="70" fillId="0" borderId="0" xfId="0" applyFont="1"/>
    <xf numFmtId="0" fontId="70" fillId="0" borderId="0" xfId="0" applyFont="1" applyAlignment="1">
      <alignment horizontal="left" vertical="top" wrapText="1"/>
    </xf>
    <xf numFmtId="0" fontId="8" fillId="0" borderId="0" xfId="0" applyFont="1" applyAlignment="1">
      <alignment horizontal="center"/>
    </xf>
    <xf numFmtId="1" fontId="8" fillId="0" borderId="0" xfId="0" applyNumberFormat="1" applyFont="1" applyBorder="1" applyAlignment="1" applyProtection="1">
      <alignment horizontal="center"/>
    </xf>
    <xf numFmtId="49" fontId="8" fillId="0" borderId="55" xfId="0" applyNumberFormat="1" applyFont="1" applyBorder="1" applyAlignment="1" applyProtection="1">
      <alignment horizontal="center"/>
      <protection locked="0"/>
    </xf>
    <xf numFmtId="0" fontId="76" fillId="0" borderId="0" xfId="0" applyFont="1" applyAlignment="1">
      <alignment horizontal="left"/>
    </xf>
    <xf numFmtId="0" fontId="70" fillId="0" borderId="59" xfId="0" applyFont="1" applyBorder="1"/>
    <xf numFmtId="0" fontId="70" fillId="0" borderId="0" xfId="0" applyFont="1" applyBorder="1"/>
    <xf numFmtId="0" fontId="70" fillId="0" borderId="9" xfId="0" applyFont="1" applyBorder="1"/>
    <xf numFmtId="0" fontId="0" fillId="0" borderId="9" xfId="0" applyBorder="1"/>
    <xf numFmtId="0" fontId="0" fillId="0" borderId="59" xfId="0" applyBorder="1"/>
    <xf numFmtId="0" fontId="70" fillId="0" borderId="60" xfId="0" applyFont="1" applyBorder="1"/>
    <xf numFmtId="0" fontId="70" fillId="0" borderId="61" xfId="0" applyFont="1" applyBorder="1"/>
    <xf numFmtId="0" fontId="70" fillId="0" borderId="62" xfId="0" applyFont="1" applyBorder="1"/>
    <xf numFmtId="0" fontId="73" fillId="0" borderId="0" xfId="0" applyFont="1" applyBorder="1" applyAlignment="1">
      <alignment horizontal="center" vertical="center"/>
    </xf>
    <xf numFmtId="0" fontId="68" fillId="0" borderId="0" xfId="0" applyFont="1" applyBorder="1" applyAlignment="1">
      <alignment horizontal="center" vertical="top" wrapText="1"/>
    </xf>
    <xf numFmtId="1" fontId="0" fillId="0" borderId="0" xfId="0" applyNumberFormat="1" applyFill="1"/>
    <xf numFmtId="0" fontId="8" fillId="0" borderId="72" xfId="0" applyFont="1" applyBorder="1" applyAlignment="1">
      <alignment horizontal="center"/>
    </xf>
    <xf numFmtId="0" fontId="0" fillId="0" borderId="0" xfId="0" applyNumberFormat="1" applyAlignment="1">
      <alignment horizontal="right" wrapText="1"/>
    </xf>
    <xf numFmtId="0" fontId="0" fillId="0" borderId="0" xfId="0" applyNumberFormat="1" applyFill="1" applyAlignment="1">
      <alignment wrapText="1"/>
    </xf>
    <xf numFmtId="0" fontId="0" fillId="15" borderId="0" xfId="0" quotePrefix="1" applyNumberFormat="1" applyFill="1"/>
    <xf numFmtId="0" fontId="0" fillId="0" borderId="0" xfId="0" applyNumberFormat="1" applyFill="1"/>
    <xf numFmtId="0" fontId="73" fillId="0" borderId="36" xfId="0" applyFont="1" applyBorder="1" applyAlignment="1">
      <alignment vertical="center"/>
    </xf>
    <xf numFmtId="0" fontId="0" fillId="0" borderId="0" xfId="0"/>
    <xf numFmtId="0" fontId="74" fillId="0" borderId="36" xfId="0" applyFont="1" applyBorder="1"/>
    <xf numFmtId="0" fontId="0" fillId="0" borderId="36" xfId="0" applyBorder="1"/>
    <xf numFmtId="0" fontId="74" fillId="0" borderId="0" xfId="0" applyFont="1" applyBorder="1"/>
    <xf numFmtId="0" fontId="73" fillId="0" borderId="0" xfId="0" applyFont="1" applyBorder="1" applyAlignment="1">
      <alignment horizontal="center" vertical="center"/>
    </xf>
    <xf numFmtId="0" fontId="68" fillId="0" borderId="0" xfId="0" applyFont="1" applyBorder="1" applyAlignment="1">
      <alignment horizontal="center" vertical="top" wrapText="1"/>
    </xf>
    <xf numFmtId="0" fontId="78" fillId="0" borderId="0" xfId="0" applyFont="1"/>
    <xf numFmtId="0" fontId="78" fillId="0" borderId="0" xfId="0" applyFont="1" applyBorder="1"/>
    <xf numFmtId="1" fontId="8" fillId="0" borderId="0" xfId="0" applyNumberFormat="1" applyFont="1"/>
    <xf numFmtId="173" fontId="8" fillId="0" borderId="0" xfId="0" applyNumberFormat="1" applyFont="1"/>
    <xf numFmtId="0" fontId="73" fillId="0" borderId="0" xfId="0" applyFont="1" applyBorder="1" applyAlignment="1">
      <alignment horizontal="center" vertical="center"/>
    </xf>
    <xf numFmtId="0" fontId="8" fillId="0" borderId="0" xfId="0" applyFont="1" applyAlignment="1">
      <alignment horizontal="right"/>
    </xf>
    <xf numFmtId="0" fontId="8" fillId="0" borderId="1" xfId="0" applyFont="1" applyBorder="1" applyAlignment="1">
      <alignment horizontal="center"/>
    </xf>
    <xf numFmtId="0" fontId="8" fillId="0" borderId="4" xfId="0" applyFont="1" applyBorder="1" applyAlignment="1">
      <alignment horizontal="right"/>
    </xf>
    <xf numFmtId="0" fontId="8" fillId="0" borderId="11" xfId="0" applyFont="1" applyBorder="1" applyAlignment="1">
      <alignment horizontal="center"/>
    </xf>
    <xf numFmtId="170" fontId="84" fillId="0" borderId="0" xfId="0" applyNumberFormat="1" applyFont="1" applyBorder="1" applyAlignment="1"/>
    <xf numFmtId="0" fontId="68" fillId="0" borderId="0" xfId="0" applyFont="1" applyBorder="1" applyAlignment="1">
      <alignment horizontal="center" vertical="top" wrapText="1"/>
    </xf>
    <xf numFmtId="0" fontId="8" fillId="0" borderId="0" xfId="0" applyFont="1" applyBorder="1" applyAlignment="1">
      <alignment horizontal="center"/>
    </xf>
    <xf numFmtId="0" fontId="70" fillId="0" borderId="59" xfId="0" applyFont="1" applyBorder="1" applyAlignment="1"/>
    <xf numFmtId="0" fontId="70" fillId="0" borderId="0" xfId="0" applyFont="1" applyBorder="1" applyAlignment="1"/>
    <xf numFmtId="2" fontId="0" fillId="0" borderId="0" xfId="0" applyNumberFormat="1" applyFill="1"/>
    <xf numFmtId="0" fontId="0" fillId="0" borderId="0" xfId="0" applyProtection="1">
      <protection hidden="1"/>
    </xf>
    <xf numFmtId="0" fontId="8" fillId="0" borderId="0" xfId="0" applyFont="1" applyBorder="1" applyAlignment="1">
      <alignment horizontal="center"/>
    </xf>
    <xf numFmtId="0" fontId="35" fillId="0" borderId="0" xfId="0" applyFont="1" applyBorder="1" applyAlignment="1">
      <alignment horizontal="left"/>
    </xf>
    <xf numFmtId="0" fontId="25" fillId="0" borderId="0" xfId="0" applyFont="1" applyBorder="1" applyAlignment="1">
      <alignment horizontal="center" vertical="center" wrapText="1"/>
    </xf>
    <xf numFmtId="0" fontId="8" fillId="0" borderId="13" xfId="0" applyFont="1" applyBorder="1" applyProtection="1"/>
    <xf numFmtId="0" fontId="8" fillId="0" borderId="10" xfId="0" applyFont="1" applyBorder="1" applyProtection="1"/>
    <xf numFmtId="0" fontId="8" fillId="0" borderId="3" xfId="0" applyFont="1" applyBorder="1" applyProtection="1"/>
    <xf numFmtId="0" fontId="8" fillId="0" borderId="12" xfId="0" applyFont="1" applyBorder="1" applyProtection="1"/>
    <xf numFmtId="0" fontId="8" fillId="0" borderId="4" xfId="0" applyFont="1" applyBorder="1" applyProtection="1"/>
    <xf numFmtId="0" fontId="46" fillId="22" borderId="0" xfId="0" applyFont="1" applyFill="1" applyAlignment="1" applyProtection="1">
      <alignment vertical="center" wrapText="1"/>
    </xf>
    <xf numFmtId="0" fontId="83" fillId="22" borderId="0" xfId="0" applyFont="1" applyFill="1" applyAlignment="1" applyProtection="1">
      <alignment vertical="top" wrapText="1"/>
    </xf>
    <xf numFmtId="0" fontId="10" fillId="22" borderId="0" xfId="0" applyFont="1" applyFill="1" applyAlignment="1" applyProtection="1">
      <alignment horizontal="left" vertical="top" wrapText="1"/>
    </xf>
    <xf numFmtId="0" fontId="10" fillId="22" borderId="0" xfId="0" applyFont="1" applyFill="1" applyAlignment="1" applyProtection="1">
      <alignment vertical="top" wrapText="1"/>
    </xf>
    <xf numFmtId="172" fontId="10" fillId="22" borderId="0" xfId="0" applyNumberFormat="1" applyFont="1" applyFill="1" applyAlignment="1" applyProtection="1">
      <alignment horizontal="left" vertical="top" wrapText="1"/>
    </xf>
    <xf numFmtId="172" fontId="10" fillId="22" borderId="0" xfId="0" applyNumberFormat="1" applyFont="1" applyFill="1" applyAlignment="1" applyProtection="1">
      <alignment vertical="top" wrapText="1"/>
    </xf>
    <xf numFmtId="0" fontId="8" fillId="0" borderId="0" xfId="0" applyFont="1" applyAlignment="1" applyProtection="1">
      <alignment horizontal="left" vertical="top"/>
    </xf>
    <xf numFmtId="0" fontId="89" fillId="22" borderId="0" xfId="0" applyFont="1" applyFill="1" applyAlignment="1" applyProtection="1">
      <alignment vertical="center" wrapText="1"/>
    </xf>
    <xf numFmtId="0" fontId="7" fillId="22" borderId="0" xfId="0" applyFont="1" applyFill="1" applyAlignment="1" applyProtection="1">
      <alignment vertical="top"/>
    </xf>
    <xf numFmtId="0" fontId="8" fillId="22" borderId="0" xfId="0" applyFont="1" applyFill="1" applyAlignment="1" applyProtection="1">
      <alignment horizontal="left" vertical="top"/>
    </xf>
    <xf numFmtId="0" fontId="7" fillId="22" borderId="0" xfId="0" applyFont="1" applyFill="1" applyAlignment="1" applyProtection="1">
      <alignment horizontal="left" vertical="top"/>
    </xf>
    <xf numFmtId="0" fontId="10" fillId="22" borderId="0" xfId="0" applyFont="1" applyFill="1" applyAlignment="1" applyProtection="1">
      <alignment vertical="top"/>
    </xf>
    <xf numFmtId="172" fontId="8" fillId="22" borderId="0" xfId="0" applyNumberFormat="1" applyFont="1" applyFill="1" applyAlignment="1" applyProtection="1">
      <alignment horizontal="left" vertical="top"/>
    </xf>
    <xf numFmtId="172" fontId="8" fillId="22" borderId="0" xfId="0" applyNumberFormat="1" applyFont="1" applyFill="1" applyAlignment="1" applyProtection="1">
      <alignment vertical="top"/>
    </xf>
    <xf numFmtId="0" fontId="8" fillId="22" borderId="0" xfId="0" applyFont="1" applyFill="1" applyAlignment="1" applyProtection="1">
      <alignment vertical="top"/>
    </xf>
    <xf numFmtId="0" fontId="83" fillId="22" borderId="0" xfId="0" applyFont="1" applyFill="1" applyAlignment="1" applyProtection="1">
      <alignment vertical="top"/>
    </xf>
    <xf numFmtId="0" fontId="83" fillId="22" borderId="0" xfId="0" applyFont="1" applyFill="1" applyAlignment="1" applyProtection="1">
      <alignment horizontal="left" vertical="top"/>
    </xf>
    <xf numFmtId="0" fontId="89" fillId="22" borderId="0" xfId="0" applyFont="1" applyFill="1" applyAlignment="1" applyProtection="1">
      <alignment vertical="top"/>
    </xf>
    <xf numFmtId="0" fontId="91" fillId="22" borderId="0" xfId="2" applyFont="1" applyFill="1" applyBorder="1" applyAlignment="1" applyProtection="1">
      <alignment vertical="center" wrapText="1"/>
    </xf>
    <xf numFmtId="0" fontId="8" fillId="22" borderId="0" xfId="2" applyFont="1" applyFill="1" applyBorder="1" applyAlignment="1" applyProtection="1">
      <alignment vertical="top"/>
      <protection locked="0" hidden="1"/>
    </xf>
    <xf numFmtId="0" fontId="92" fillId="22" borderId="0" xfId="2" applyFont="1" applyFill="1" applyBorder="1" applyAlignment="1" applyProtection="1">
      <alignment vertical="top"/>
      <protection locked="0" hidden="1"/>
    </xf>
    <xf numFmtId="14" fontId="8" fillId="22" borderId="0" xfId="2" applyNumberFormat="1" applyFont="1" applyFill="1" applyBorder="1" applyAlignment="1" applyProtection="1">
      <alignment vertical="top"/>
    </xf>
    <xf numFmtId="0" fontId="0" fillId="22" borderId="0" xfId="0" applyFill="1" applyProtection="1"/>
    <xf numFmtId="0" fontId="8" fillId="22" borderId="0" xfId="0" applyFont="1" applyFill="1" applyAlignment="1" applyProtection="1">
      <alignment vertical="top" wrapText="1"/>
    </xf>
    <xf numFmtId="0" fontId="56" fillId="22" borderId="0" xfId="0" applyFont="1" applyFill="1" applyAlignment="1" applyProtection="1">
      <alignment vertical="center"/>
    </xf>
    <xf numFmtId="0" fontId="0" fillId="0" borderId="0" xfId="0" applyProtection="1"/>
    <xf numFmtId="0" fontId="89" fillId="22" borderId="0" xfId="0" applyFont="1" applyFill="1" applyAlignment="1"/>
    <xf numFmtId="0" fontId="0" fillId="22" borderId="0" xfId="0" applyFill="1"/>
    <xf numFmtId="0" fontId="94" fillId="0" borderId="0" xfId="0" applyFont="1" applyFill="1" applyAlignment="1" applyProtection="1">
      <alignment vertical="top" wrapText="1"/>
    </xf>
    <xf numFmtId="0" fontId="8" fillId="0" borderId="14" xfId="0" applyFont="1" applyBorder="1" applyProtection="1"/>
    <xf numFmtId="0" fontId="8" fillId="0" borderId="11" xfId="0" applyFont="1" applyBorder="1" applyProtection="1"/>
    <xf numFmtId="0" fontId="8" fillId="0" borderId="5" xfId="0" applyFont="1" applyBorder="1" applyProtection="1"/>
    <xf numFmtId="0" fontId="8" fillId="22" borderId="0" xfId="0" applyFont="1" applyFill="1" applyAlignment="1" applyProtection="1">
      <alignment horizontal="left" vertical="top" wrapText="1"/>
    </xf>
    <xf numFmtId="0" fontId="0" fillId="0" borderId="12" xfId="0" applyBorder="1" applyProtection="1"/>
    <xf numFmtId="0" fontId="0" fillId="0" borderId="4" xfId="0" applyBorder="1" applyProtection="1"/>
    <xf numFmtId="0" fontId="56" fillId="0" borderId="0" xfId="0" applyFont="1" applyAlignment="1" applyProtection="1"/>
    <xf numFmtId="0" fontId="56" fillId="0" borderId="0" xfId="0" applyFont="1" applyAlignment="1" applyProtection="1">
      <alignment vertical="center"/>
    </xf>
    <xf numFmtId="0" fontId="8" fillId="22" borderId="0" xfId="0" applyFont="1" applyFill="1" applyBorder="1" applyAlignment="1" applyProtection="1">
      <alignment vertical="top" wrapText="1"/>
    </xf>
    <xf numFmtId="0" fontId="90" fillId="22" borderId="0" xfId="0" applyFont="1" applyFill="1" applyBorder="1" applyAlignment="1" applyProtection="1">
      <alignment vertical="center" wrapText="1"/>
    </xf>
    <xf numFmtId="0" fontId="10" fillId="22" borderId="0" xfId="0" applyFont="1" applyFill="1" applyAlignment="1" applyProtection="1">
      <alignment vertical="top"/>
    </xf>
    <xf numFmtId="0" fontId="8" fillId="22" borderId="0" xfId="0" applyFont="1" applyFill="1" applyProtection="1"/>
    <xf numFmtId="0" fontId="10" fillId="22" borderId="0" xfId="0" applyFont="1" applyFill="1" applyProtection="1"/>
    <xf numFmtId="0" fontId="8" fillId="0" borderId="0" xfId="0" applyFont="1" applyAlignment="1" applyProtection="1">
      <alignment vertical="top" wrapText="1"/>
    </xf>
    <xf numFmtId="0" fontId="56" fillId="0" borderId="0" xfId="0" applyFont="1" applyAlignment="1" applyProtection="1">
      <alignment wrapText="1"/>
    </xf>
    <xf numFmtId="0" fontId="8" fillId="22" borderId="0" xfId="4" applyFont="1" applyFill="1" applyBorder="1" applyProtection="1"/>
    <xf numFmtId="0" fontId="8" fillId="22" borderId="0" xfId="4" applyFont="1" applyFill="1" applyBorder="1" applyAlignment="1" applyProtection="1">
      <alignment vertical="top" wrapText="1"/>
    </xf>
    <xf numFmtId="0" fontId="0" fillId="0" borderId="14" xfId="0" applyBorder="1" applyProtection="1"/>
    <xf numFmtId="0" fontId="95" fillId="0" borderId="11" xfId="2" applyFont="1" applyFill="1" applyBorder="1" applyAlignment="1" applyProtection="1">
      <alignment horizontal="left"/>
    </xf>
    <xf numFmtId="0" fontId="96" fillId="0" borderId="11" xfId="2" applyFont="1" applyFill="1" applyBorder="1" applyProtection="1"/>
    <xf numFmtId="0" fontId="0" fillId="0" borderId="11" xfId="0" applyBorder="1" applyProtection="1"/>
    <xf numFmtId="0" fontId="0" fillId="0" borderId="5" xfId="0" applyBorder="1" applyProtection="1"/>
    <xf numFmtId="0" fontId="8" fillId="0" borderId="0" xfId="0" applyFont="1" applyBorder="1" applyProtection="1"/>
    <xf numFmtId="0" fontId="8" fillId="0" borderId="85" xfId="0" applyFont="1" applyFill="1" applyBorder="1"/>
    <xf numFmtId="0" fontId="8" fillId="0" borderId="86" xfId="0" applyFont="1" applyFill="1" applyBorder="1"/>
    <xf numFmtId="0" fontId="8" fillId="0" borderId="85" xfId="0" applyFont="1" applyFill="1" applyBorder="1" applyAlignment="1">
      <alignment horizontal="right"/>
    </xf>
    <xf numFmtId="0" fontId="0" fillId="0" borderId="85" xfId="0" applyBorder="1"/>
    <xf numFmtId="0" fontId="8" fillId="0" borderId="85" xfId="0" applyFont="1" applyBorder="1"/>
    <xf numFmtId="0" fontId="8" fillId="0" borderId="86" xfId="0" applyFont="1" applyBorder="1"/>
    <xf numFmtId="0" fontId="8" fillId="0" borderId="85" xfId="0" applyFont="1" applyBorder="1" applyAlignment="1">
      <alignment horizontal="right"/>
    </xf>
    <xf numFmtId="0" fontId="8" fillId="0" borderId="86" xfId="0" applyFont="1" applyBorder="1" applyProtection="1"/>
    <xf numFmtId="0" fontId="8" fillId="0" borderId="87" xfId="0" applyFont="1" applyBorder="1"/>
    <xf numFmtId="0" fontId="8" fillId="0" borderId="89" xfId="0" applyFont="1" applyBorder="1"/>
    <xf numFmtId="0" fontId="0" fillId="0" borderId="86" xfId="0" applyBorder="1"/>
    <xf numFmtId="0" fontId="8" fillId="0" borderId="87" xfId="0" applyFont="1" applyFill="1" applyBorder="1" applyAlignment="1">
      <alignment horizontal="right"/>
    </xf>
    <xf numFmtId="0" fontId="0" fillId="0" borderId="96" xfId="0" applyBorder="1"/>
    <xf numFmtId="0" fontId="100" fillId="0" borderId="0" xfId="0" applyFont="1" applyAlignment="1">
      <alignment horizontal="left" vertical="center" wrapText="1" indent="15"/>
    </xf>
    <xf numFmtId="0" fontId="0" fillId="23" borderId="0" xfId="0" applyNumberFormat="1" applyFill="1" applyAlignment="1">
      <alignment wrapText="1"/>
    </xf>
    <xf numFmtId="0" fontId="0" fillId="23" borderId="0" xfId="0" applyFill="1" applyAlignment="1">
      <alignment wrapText="1"/>
    </xf>
    <xf numFmtId="0" fontId="0" fillId="23" borderId="0" xfId="0" applyNumberFormat="1" applyFill="1"/>
    <xf numFmtId="0" fontId="0" fillId="23" borderId="0" xfId="0" applyFill="1"/>
    <xf numFmtId="0" fontId="0" fillId="18" borderId="0" xfId="0" applyNumberFormat="1" applyFill="1" applyAlignment="1">
      <alignment wrapText="1"/>
    </xf>
    <xf numFmtId="0" fontId="0" fillId="24" borderId="0" xfId="0" applyFill="1" applyAlignment="1">
      <alignment wrapText="1"/>
    </xf>
    <xf numFmtId="173" fontId="0" fillId="24" borderId="0" xfId="0" applyNumberFormat="1" applyFill="1" applyAlignment="1">
      <alignment wrapText="1"/>
    </xf>
    <xf numFmtId="0" fontId="0" fillId="18" borderId="0" xfId="0" applyFill="1" applyAlignment="1">
      <alignment wrapText="1"/>
    </xf>
    <xf numFmtId="0" fontId="0" fillId="24" borderId="0" xfId="0" applyNumberFormat="1" applyFill="1" applyAlignment="1">
      <alignment wrapText="1"/>
    </xf>
    <xf numFmtId="3" fontId="0" fillId="18" borderId="0" xfId="0" applyNumberFormat="1" applyFill="1" applyAlignment="1">
      <alignment wrapText="1"/>
    </xf>
    <xf numFmtId="2" fontId="8" fillId="0" borderId="1" xfId="0" applyNumberFormat="1" applyFont="1" applyBorder="1" applyAlignment="1">
      <alignment horizontal="center"/>
    </xf>
    <xf numFmtId="0" fontId="33" fillId="0" borderId="1" xfId="14" applyBorder="1" applyAlignment="1">
      <alignment horizontal="center"/>
    </xf>
    <xf numFmtId="0" fontId="0" fillId="0" borderId="0" xfId="0" applyAlignment="1">
      <alignment horizontal="center"/>
    </xf>
    <xf numFmtId="0" fontId="73" fillId="0" borderId="0" xfId="0" applyFont="1" applyBorder="1" applyAlignment="1">
      <alignment horizontal="center" vertical="center"/>
    </xf>
    <xf numFmtId="0" fontId="8" fillId="0" borderId="0" xfId="0" applyFont="1" applyBorder="1"/>
    <xf numFmtId="0" fontId="8" fillId="0" borderId="0" xfId="0" applyFont="1" applyAlignment="1" applyProtection="1">
      <protection hidden="1"/>
    </xf>
    <xf numFmtId="0" fontId="25" fillId="0" borderId="0" xfId="0" applyFont="1"/>
    <xf numFmtId="0" fontId="42" fillId="0" borderId="0" xfId="1" applyFont="1" applyBorder="1" applyAlignment="1">
      <alignment horizontal="left"/>
    </xf>
    <xf numFmtId="0" fontId="25" fillId="0" borderId="0" xfId="0" applyFont="1" applyBorder="1" applyAlignment="1">
      <alignment vertical="center" wrapText="1"/>
    </xf>
    <xf numFmtId="0" fontId="73" fillId="0" borderId="0" xfId="0" applyFont="1" applyBorder="1" applyAlignment="1">
      <alignment horizontal="center" vertical="center"/>
    </xf>
    <xf numFmtId="0" fontId="68" fillId="0" borderId="0" xfId="0" applyFont="1" applyBorder="1" applyAlignment="1">
      <alignment horizontal="center" vertical="top" wrapText="1"/>
    </xf>
    <xf numFmtId="0" fontId="8" fillId="0" borderId="0" xfId="0" applyFont="1" applyBorder="1"/>
    <xf numFmtId="0" fontId="103" fillId="0" borderId="0" xfId="0" applyFont="1" applyBorder="1" applyAlignment="1">
      <alignment vertical="top" wrapText="1"/>
    </xf>
    <xf numFmtId="0" fontId="51" fillId="0" borderId="0" xfId="0" applyFont="1" applyBorder="1" applyAlignment="1">
      <alignment vertical="center"/>
    </xf>
    <xf numFmtId="0" fontId="37" fillId="0" borderId="0" xfId="0" applyFont="1" applyFill="1" applyBorder="1"/>
    <xf numFmtId="0" fontId="5" fillId="0" borderId="0" xfId="1"/>
    <xf numFmtId="0" fontId="106" fillId="0" borderId="0" xfId="14" applyFont="1" applyFill="1" applyBorder="1"/>
    <xf numFmtId="0" fontId="33" fillId="0" borderId="0" xfId="14" applyFill="1" applyBorder="1"/>
    <xf numFmtId="0" fontId="33" fillId="0" borderId="0" xfId="14" applyAlignment="1"/>
    <xf numFmtId="173" fontId="53" fillId="0" borderId="1" xfId="14" applyNumberFormat="1" applyFont="1" applyFill="1" applyBorder="1" applyAlignment="1"/>
    <xf numFmtId="0" fontId="33" fillId="0" borderId="0" xfId="14" applyFont="1" applyAlignment="1"/>
    <xf numFmtId="173" fontId="53" fillId="13" borderId="1" xfId="14" applyNumberFormat="1" applyFont="1" applyFill="1" applyBorder="1" applyAlignment="1"/>
    <xf numFmtId="0" fontId="33" fillId="0" borderId="0" xfId="14" applyAlignment="1">
      <alignment horizontal="left"/>
    </xf>
    <xf numFmtId="173" fontId="53" fillId="13" borderId="1" xfId="14" applyNumberFormat="1" applyFont="1" applyFill="1" applyBorder="1"/>
    <xf numFmtId="180" fontId="53" fillId="13" borderId="1" xfId="14" applyNumberFormat="1" applyFont="1" applyFill="1" applyBorder="1"/>
    <xf numFmtId="0" fontId="20" fillId="0" borderId="1" xfId="14" applyFont="1" applyBorder="1" applyAlignment="1">
      <alignment horizontal="center"/>
    </xf>
    <xf numFmtId="0" fontId="20" fillId="0" borderId="1" xfId="14" applyFont="1" applyBorder="1" applyAlignment="1">
      <alignment horizontal="center" wrapText="1"/>
    </xf>
    <xf numFmtId="0" fontId="20" fillId="0" borderId="1" xfId="14" applyFont="1" applyFill="1" applyBorder="1" applyAlignment="1">
      <alignment horizontal="center"/>
    </xf>
    <xf numFmtId="0" fontId="33" fillId="0" borderId="1" xfId="14" applyFont="1" applyBorder="1" applyAlignment="1">
      <alignment horizontal="center"/>
    </xf>
    <xf numFmtId="176" fontId="33" fillId="13" borderId="1" xfId="14" applyNumberFormat="1" applyFill="1" applyBorder="1"/>
    <xf numFmtId="10" fontId="0" fillId="0" borderId="1" xfId="6" applyNumberFormat="1" applyFont="1" applyBorder="1"/>
    <xf numFmtId="176" fontId="33" fillId="18" borderId="1" xfId="14" applyNumberFormat="1" applyFill="1" applyBorder="1" applyAlignment="1">
      <alignment horizontal="center"/>
    </xf>
    <xf numFmtId="167" fontId="33" fillId="18" borderId="1" xfId="14" applyNumberFormat="1" applyFill="1" applyBorder="1" applyAlignment="1">
      <alignment horizontal="center"/>
    </xf>
    <xf numFmtId="0" fontId="33" fillId="0" borderId="1" xfId="14" applyBorder="1" applyAlignment="1">
      <alignment horizontal="right"/>
    </xf>
    <xf numFmtId="178" fontId="33" fillId="0" borderId="1" xfId="14" applyNumberFormat="1" applyBorder="1"/>
    <xf numFmtId="178" fontId="20" fillId="0" borderId="1" xfId="14" applyNumberFormat="1" applyFont="1" applyFill="1" applyBorder="1"/>
    <xf numFmtId="178" fontId="33" fillId="13" borderId="1" xfId="14" applyNumberFormat="1" applyFont="1" applyFill="1" applyBorder="1"/>
    <xf numFmtId="178" fontId="20" fillId="13" borderId="1" xfId="14" applyNumberFormat="1" applyFont="1" applyFill="1" applyBorder="1"/>
    <xf numFmtId="176" fontId="0" fillId="0" borderId="0" xfId="0" applyNumberFormat="1" applyAlignment="1"/>
    <xf numFmtId="0" fontId="0" fillId="29" borderId="0" xfId="0" applyNumberFormat="1" applyFill="1"/>
    <xf numFmtId="49" fontId="0" fillId="0" borderId="1" xfId="0" applyNumberFormat="1" applyBorder="1"/>
    <xf numFmtId="0" fontId="19" fillId="30" borderId="0" xfId="0" applyNumberFormat="1" applyFont="1" applyFill="1"/>
    <xf numFmtId="0" fontId="19" fillId="30" borderId="0" xfId="0" quotePrefix="1" applyNumberFormat="1" applyFont="1" applyFill="1"/>
    <xf numFmtId="0" fontId="19" fillId="31" borderId="0" xfId="0" applyNumberFormat="1" applyFont="1" applyFill="1"/>
    <xf numFmtId="0" fontId="19" fillId="31" borderId="0" xfId="0" applyFont="1" applyFill="1"/>
    <xf numFmtId="0" fontId="19" fillId="30" borderId="0" xfId="0" applyFont="1" applyFill="1"/>
    <xf numFmtId="183" fontId="0" fillId="0" borderId="0" xfId="6" applyNumberFormat="1" applyFont="1"/>
    <xf numFmtId="0" fontId="62" fillId="4" borderId="0" xfId="0" applyFont="1" applyFill="1" applyBorder="1" applyAlignment="1" applyProtection="1">
      <alignment horizontal="center" vertical="center" wrapText="1"/>
    </xf>
    <xf numFmtId="0" fontId="0" fillId="0" borderId="0" xfId="0" applyBorder="1" applyProtection="1"/>
    <xf numFmtId="0" fontId="0" fillId="4" borderId="35" xfId="0" applyFill="1" applyBorder="1" applyProtection="1"/>
    <xf numFmtId="0" fontId="74" fillId="0" borderId="0" xfId="0" applyFont="1" applyProtection="1"/>
    <xf numFmtId="0" fontId="73" fillId="0" borderId="0" xfId="0" applyFont="1" applyBorder="1" applyAlignment="1" applyProtection="1">
      <alignment horizontal="center" vertical="center"/>
    </xf>
    <xf numFmtId="0" fontId="76" fillId="0" borderId="0" xfId="0" applyFont="1" applyProtection="1"/>
    <xf numFmtId="0" fontId="70" fillId="0" borderId="0" xfId="0" applyNumberFormat="1" applyFont="1" applyBorder="1" applyAlignment="1" applyProtection="1">
      <alignment horizontal="left"/>
    </xf>
    <xf numFmtId="0" fontId="0" fillId="4" borderId="0" xfId="0" applyFill="1" applyProtection="1"/>
    <xf numFmtId="0" fontId="76" fillId="4" borderId="0" xfId="0" applyFont="1" applyFill="1" applyProtection="1"/>
    <xf numFmtId="0" fontId="70" fillId="4" borderId="0" xfId="0" applyFont="1" applyFill="1" applyAlignment="1" applyProtection="1">
      <alignment horizontal="left"/>
    </xf>
    <xf numFmtId="0" fontId="70" fillId="4" borderId="0" xfId="0" applyFont="1" applyFill="1" applyBorder="1" applyAlignment="1" applyProtection="1">
      <alignment horizontal="left"/>
    </xf>
    <xf numFmtId="0" fontId="73" fillId="0" borderId="0" xfId="0" applyFont="1" applyBorder="1" applyAlignment="1" applyProtection="1">
      <alignment vertical="center"/>
    </xf>
    <xf numFmtId="0" fontId="70" fillId="0" borderId="0" xfId="0" applyFont="1" applyBorder="1" applyAlignment="1" applyProtection="1">
      <alignment horizontal="left"/>
    </xf>
    <xf numFmtId="0" fontId="70" fillId="0" borderId="0" xfId="0" applyFont="1" applyAlignment="1" applyProtection="1"/>
    <xf numFmtId="0" fontId="8" fillId="0" borderId="0" xfId="0" applyFont="1" applyBorder="1" applyAlignment="1" applyProtection="1">
      <alignment horizontal="left" vertical="top" wrapText="1"/>
    </xf>
    <xf numFmtId="0" fontId="64" fillId="0" borderId="0" xfId="0" applyFont="1" applyAlignment="1" applyProtection="1">
      <alignment vertical="center"/>
    </xf>
    <xf numFmtId="0" fontId="103" fillId="0" borderId="0" xfId="0" applyFont="1" applyBorder="1" applyAlignment="1" applyProtection="1">
      <alignment vertical="top" wrapText="1"/>
    </xf>
    <xf numFmtId="0" fontId="8" fillId="0" borderId="0" xfId="0" applyFont="1" applyFill="1" applyBorder="1" applyProtection="1"/>
    <xf numFmtId="0" fontId="8" fillId="0" borderId="74" xfId="0" applyFont="1" applyBorder="1" applyProtection="1"/>
    <xf numFmtId="0" fontId="73" fillId="0" borderId="36" xfId="0" applyFont="1" applyBorder="1" applyAlignment="1" applyProtection="1">
      <alignment vertical="center"/>
    </xf>
    <xf numFmtId="0" fontId="78" fillId="0" borderId="0" xfId="0" applyFont="1" applyProtection="1"/>
    <xf numFmtId="0" fontId="10" fillId="0" borderId="0" xfId="0" applyFont="1" applyProtection="1"/>
    <xf numFmtId="0" fontId="19" fillId="0" borderId="0" xfId="0" applyFont="1" applyProtection="1"/>
    <xf numFmtId="0" fontId="0" fillId="0" borderId="36" xfId="0" applyBorder="1" applyProtection="1"/>
    <xf numFmtId="0" fontId="0" fillId="0" borderId="74" xfId="0" applyBorder="1" applyProtection="1"/>
    <xf numFmtId="0" fontId="69" fillId="0" borderId="0" xfId="0" applyFont="1" applyAlignment="1" applyProtection="1">
      <alignment vertical="center"/>
    </xf>
    <xf numFmtId="0" fontId="10" fillId="0" borderId="0" xfId="0" applyFont="1" applyAlignment="1" applyProtection="1"/>
    <xf numFmtId="0" fontId="0" fillId="0" borderId="0" xfId="0" applyProtection="1">
      <protection locked="0"/>
    </xf>
    <xf numFmtId="0" fontId="0" fillId="3" borderId="1" xfId="0" applyFill="1" applyBorder="1" applyAlignment="1" applyProtection="1">
      <alignment horizontal="right"/>
      <protection locked="0"/>
    </xf>
    <xf numFmtId="0" fontId="0" fillId="2" borderId="1" xfId="0" applyFill="1" applyBorder="1" applyProtection="1">
      <protection locked="0"/>
    </xf>
    <xf numFmtId="0" fontId="0" fillId="8" borderId="1" xfId="0" applyFill="1" applyBorder="1" applyProtection="1">
      <protection locked="0"/>
    </xf>
    <xf numFmtId="0" fontId="0" fillId="0" borderId="1" xfId="0" applyBorder="1" applyProtection="1">
      <protection locked="0"/>
    </xf>
    <xf numFmtId="0" fontId="61" fillId="0" borderId="0" xfId="0" applyFont="1" applyAlignment="1" applyProtection="1">
      <alignment vertical="center"/>
      <protection locked="0"/>
    </xf>
    <xf numFmtId="169" fontId="0" fillId="0" borderId="1" xfId="0" applyNumberFormat="1" applyBorder="1" applyProtection="1">
      <protection locked="0"/>
    </xf>
    <xf numFmtId="0" fontId="0" fillId="3" borderId="1" xfId="0" applyFill="1" applyBorder="1" applyProtection="1">
      <protection locked="0"/>
    </xf>
    <xf numFmtId="0" fontId="0" fillId="3" borderId="2" xfId="0" applyFill="1" applyBorder="1" applyProtection="1">
      <protection locked="0"/>
    </xf>
    <xf numFmtId="0" fontId="0" fillId="9" borderId="1" xfId="0" applyFill="1" applyBorder="1" applyProtection="1">
      <protection locked="0"/>
    </xf>
    <xf numFmtId="0" fontId="0" fillId="2" borderId="6" xfId="0" applyFill="1" applyBorder="1" applyAlignment="1" applyProtection="1">
      <alignment horizontal="right"/>
      <protection locked="0"/>
    </xf>
    <xf numFmtId="0" fontId="0" fillId="2" borderId="3" xfId="0" applyFill="1" applyBorder="1" applyProtection="1">
      <protection locked="0"/>
    </xf>
    <xf numFmtId="0" fontId="5" fillId="9" borderId="1" xfId="1" applyFill="1" applyBorder="1" applyProtection="1">
      <protection locked="0"/>
    </xf>
    <xf numFmtId="1" fontId="0" fillId="0" borderId="1" xfId="0" applyNumberFormat="1" applyFill="1" applyBorder="1" applyProtection="1">
      <protection locked="0"/>
    </xf>
    <xf numFmtId="173" fontId="0" fillId="0" borderId="1" xfId="0" applyNumberFormat="1" applyFill="1" applyBorder="1" applyProtection="1">
      <protection locked="0"/>
    </xf>
    <xf numFmtId="167" fontId="0" fillId="0" borderId="1" xfId="0" applyNumberFormat="1" applyFill="1" applyBorder="1" applyProtection="1">
      <protection locked="0"/>
    </xf>
    <xf numFmtId="0" fontId="0" fillId="0" borderId="1" xfId="0" applyFill="1" applyBorder="1" applyProtection="1">
      <protection locked="0"/>
    </xf>
    <xf numFmtId="0" fontId="0" fillId="2" borderId="7" xfId="0" applyFill="1" applyBorder="1" applyAlignment="1" applyProtection="1">
      <alignment horizontal="right"/>
      <protection locked="0"/>
    </xf>
    <xf numFmtId="0" fontId="0" fillId="2" borderId="4" xfId="0" applyFill="1" applyBorder="1" applyProtection="1">
      <protection locked="0"/>
    </xf>
    <xf numFmtId="0" fontId="0" fillId="2" borderId="8" xfId="0" applyFill="1" applyBorder="1" applyAlignment="1" applyProtection="1">
      <alignment horizontal="right"/>
      <protection locked="0"/>
    </xf>
    <xf numFmtId="0" fontId="0" fillId="2" borderId="5" xfId="0" applyFill="1" applyBorder="1" applyProtection="1">
      <protection locked="0"/>
    </xf>
    <xf numFmtId="0" fontId="0" fillId="2" borderId="4" xfId="0" applyFill="1" applyBorder="1" applyAlignment="1" applyProtection="1">
      <alignment wrapText="1"/>
      <protection locked="0"/>
    </xf>
    <xf numFmtId="0" fontId="0" fillId="7" borderId="1" xfId="0" applyFill="1" applyBorder="1" applyProtection="1">
      <protection locked="0"/>
    </xf>
    <xf numFmtId="0" fontId="0" fillId="2" borderId="0" xfId="0" applyFill="1" applyBorder="1" applyProtection="1">
      <protection locked="0"/>
    </xf>
    <xf numFmtId="1" fontId="0" fillId="10" borderId="1" xfId="0" applyNumberFormat="1" applyFill="1" applyBorder="1" applyProtection="1">
      <protection locked="0"/>
    </xf>
    <xf numFmtId="173" fontId="0" fillId="10" borderId="1" xfId="0" applyNumberFormat="1" applyFill="1" applyBorder="1" applyProtection="1">
      <protection locked="0"/>
    </xf>
    <xf numFmtId="167" fontId="0" fillId="10" borderId="1" xfId="0" applyNumberFormat="1" applyFill="1" applyBorder="1" applyProtection="1">
      <protection locked="0"/>
    </xf>
    <xf numFmtId="2" fontId="0" fillId="10" borderId="1" xfId="0" applyNumberFormat="1" applyFill="1" applyBorder="1" applyProtection="1">
      <protection locked="0"/>
    </xf>
    <xf numFmtId="0" fontId="0" fillId="10" borderId="1" xfId="0" applyFill="1" applyBorder="1" applyProtection="1">
      <protection locked="0"/>
    </xf>
    <xf numFmtId="0" fontId="0" fillId="2" borderId="12" xfId="0" applyFill="1" applyBorder="1" applyAlignment="1" applyProtection="1">
      <alignment horizontal="right"/>
      <protection locked="0"/>
    </xf>
    <xf numFmtId="0" fontId="0" fillId="2" borderId="4" xfId="0" applyFont="1" applyFill="1" applyBorder="1" applyProtection="1">
      <protection locked="0"/>
    </xf>
    <xf numFmtId="0" fontId="36" fillId="0" borderId="0" xfId="0" applyFont="1" applyFill="1" applyBorder="1" applyAlignment="1" applyProtection="1">
      <alignment horizontal="right"/>
      <protection locked="0"/>
    </xf>
    <xf numFmtId="9" fontId="0" fillId="0" borderId="0" xfId="6" applyFont="1" applyProtection="1">
      <protection locked="0"/>
    </xf>
    <xf numFmtId="0" fontId="36" fillId="0" borderId="0" xfId="0" applyFont="1" applyProtection="1">
      <protection locked="0"/>
    </xf>
    <xf numFmtId="0" fontId="73" fillId="0" borderId="0" xfId="0" applyFont="1" applyBorder="1" applyAlignment="1">
      <alignment horizontal="center" vertical="center"/>
    </xf>
    <xf numFmtId="0" fontId="8" fillId="0" borderId="0" xfId="0" applyFont="1" applyBorder="1"/>
    <xf numFmtId="167" fontId="72" fillId="0" borderId="36" xfId="0" applyNumberFormat="1" applyFont="1" applyBorder="1" applyAlignment="1"/>
    <xf numFmtId="0" fontId="78" fillId="0" borderId="36" xfId="0" applyFont="1" applyBorder="1"/>
    <xf numFmtId="0" fontId="73" fillId="0" borderId="0" xfId="0" applyFont="1" applyBorder="1" applyAlignment="1">
      <alignment horizontal="center" vertical="center"/>
    </xf>
    <xf numFmtId="0" fontId="73" fillId="0" borderId="0" xfId="0" applyFont="1" applyBorder="1" applyAlignment="1" applyProtection="1">
      <alignment horizontal="center" vertical="center"/>
    </xf>
    <xf numFmtId="0" fontId="68" fillId="0" borderId="0" xfId="0" applyFont="1" applyBorder="1" applyAlignment="1">
      <alignment horizontal="center" vertical="top" wrapText="1"/>
    </xf>
    <xf numFmtId="0" fontId="8" fillId="0" borderId="0" xfId="0" applyFont="1" applyBorder="1"/>
    <xf numFmtId="2" fontId="0" fillId="18" borderId="0" xfId="0" applyNumberFormat="1" applyFill="1" applyAlignment="1">
      <alignment wrapText="1"/>
    </xf>
    <xf numFmtId="2" fontId="19" fillId="30" borderId="0" xfId="0" applyNumberFormat="1" applyFont="1" applyFill="1"/>
    <xf numFmtId="2" fontId="0" fillId="15" borderId="0" xfId="0" applyNumberFormat="1" applyFill="1"/>
    <xf numFmtId="2" fontId="0" fillId="29" borderId="0" xfId="0" applyNumberFormat="1" applyFill="1"/>
    <xf numFmtId="1" fontId="0" fillId="18" borderId="0" xfId="0" applyNumberFormat="1" applyFill="1" applyAlignment="1">
      <alignment wrapText="1"/>
    </xf>
    <xf numFmtId="1" fontId="19" fillId="30" borderId="0" xfId="0" applyNumberFormat="1" applyFont="1" applyFill="1"/>
    <xf numFmtId="1" fontId="0" fillId="29" borderId="0" xfId="0" applyNumberFormat="1" applyFill="1"/>
    <xf numFmtId="1" fontId="0" fillId="15" borderId="0" xfId="0" applyNumberFormat="1" applyFill="1"/>
    <xf numFmtId="169" fontId="0" fillId="18" borderId="0" xfId="0" applyNumberFormat="1" applyFill="1" applyAlignment="1">
      <alignment wrapText="1"/>
    </xf>
    <xf numFmtId="169" fontId="19" fillId="30" borderId="0" xfId="0" applyNumberFormat="1" applyFont="1" applyFill="1"/>
    <xf numFmtId="169" fontId="0" fillId="15" borderId="0" xfId="0" applyNumberFormat="1" applyFill="1"/>
    <xf numFmtId="173" fontId="0" fillId="18" borderId="0" xfId="0" applyNumberFormat="1" applyFill="1" applyAlignment="1">
      <alignment wrapText="1"/>
    </xf>
    <xf numFmtId="173" fontId="19" fillId="30" borderId="0" xfId="0" applyNumberFormat="1" applyFont="1" applyFill="1"/>
    <xf numFmtId="173" fontId="0" fillId="0" borderId="0" xfId="0" applyNumberFormat="1" applyFill="1"/>
    <xf numFmtId="173" fontId="0" fillId="15" borderId="0" xfId="0" applyNumberFormat="1" applyFill="1"/>
    <xf numFmtId="169" fontId="0" fillId="29" borderId="0" xfId="0" applyNumberFormat="1" applyFill="1"/>
    <xf numFmtId="173" fontId="0" fillId="29" borderId="0" xfId="0" applyNumberFormat="1" applyFill="1"/>
    <xf numFmtId="49" fontId="19" fillId="0" borderId="0" xfId="0" applyNumberFormat="1" applyFont="1" applyFill="1"/>
    <xf numFmtId="49" fontId="0" fillId="0" borderId="0" xfId="0" applyNumberFormat="1" applyFont="1" applyFill="1"/>
    <xf numFmtId="49" fontId="59" fillId="0" borderId="0" xfId="0" applyNumberFormat="1" applyFont="1" applyFill="1" applyBorder="1" applyAlignment="1">
      <alignment horizontal="right" vertical="center"/>
    </xf>
    <xf numFmtId="0" fontId="8" fillId="0" borderId="0" xfId="0" applyFont="1" applyBorder="1"/>
    <xf numFmtId="0" fontId="8" fillId="0" borderId="0" xfId="0" applyFont="1" applyBorder="1"/>
    <xf numFmtId="0" fontId="70" fillId="0" borderId="0" xfId="0" applyFont="1" applyAlignment="1">
      <alignment vertical="top" wrapText="1"/>
    </xf>
    <xf numFmtId="0" fontId="70" fillId="0" borderId="0" xfId="0" applyFont="1" applyAlignment="1" applyProtection="1">
      <alignment vertical="top" wrapText="1"/>
    </xf>
    <xf numFmtId="0" fontId="0" fillId="0" borderId="0" xfId="0" applyAlignment="1">
      <alignment shrinkToFit="1"/>
    </xf>
    <xf numFmtId="0" fontId="8" fillId="0" borderId="0" xfId="0" applyFont="1" applyAlignment="1">
      <alignment shrinkToFit="1"/>
    </xf>
    <xf numFmtId="0" fontId="5" fillId="30" borderId="0" xfId="1" applyNumberFormat="1" applyFill="1"/>
    <xf numFmtId="0" fontId="5" fillId="30" borderId="0" xfId="1" applyNumberFormat="1" applyFill="1" applyAlignment="1">
      <alignment horizontal="left" vertical="top"/>
    </xf>
    <xf numFmtId="0" fontId="5" fillId="15" borderId="0" xfId="1" applyNumberFormat="1" applyFill="1"/>
    <xf numFmtId="0" fontId="0" fillId="0" borderId="114" xfId="0" applyFont="1" applyBorder="1"/>
    <xf numFmtId="0" fontId="0" fillId="0" borderId="114" xfId="0" applyFont="1" applyBorder="1" applyAlignment="1">
      <alignment wrapText="1"/>
    </xf>
    <xf numFmtId="49" fontId="19" fillId="0" borderId="113" xfId="0" applyNumberFormat="1" applyFont="1" applyBorder="1"/>
    <xf numFmtId="49" fontId="0" fillId="0" borderId="114" xfId="0" applyNumberFormat="1" applyFont="1" applyBorder="1"/>
    <xf numFmtId="169" fontId="59" fillId="0" borderId="0" xfId="0" applyNumberFormat="1" applyFont="1" applyFill="1" applyBorder="1" applyAlignment="1">
      <alignment horizontal="right" vertical="center"/>
    </xf>
    <xf numFmtId="169" fontId="17" fillId="0" borderId="0" xfId="0" applyNumberFormat="1" applyFont="1" applyFill="1" applyBorder="1" applyAlignment="1">
      <alignment horizontal="right" vertical="center"/>
    </xf>
    <xf numFmtId="14" fontId="0" fillId="0" borderId="0" xfId="0" applyNumberFormat="1"/>
    <xf numFmtId="49" fontId="19" fillId="0" borderId="120" xfId="0" applyNumberFormat="1" applyFont="1" applyFill="1" applyBorder="1"/>
    <xf numFmtId="49" fontId="0" fillId="0" borderId="119" xfId="0" applyNumberFormat="1" applyFont="1" applyBorder="1"/>
    <xf numFmtId="0" fontId="0" fillId="0" borderId="119" xfId="0" applyFont="1" applyBorder="1" applyAlignment="1">
      <alignment wrapText="1"/>
    </xf>
    <xf numFmtId="0" fontId="0" fillId="0" borderId="119" xfId="0" applyFont="1" applyBorder="1"/>
    <xf numFmtId="0" fontId="0" fillId="0" borderId="119" xfId="0" applyFont="1" applyFill="1" applyBorder="1"/>
    <xf numFmtId="0" fontId="0" fillId="33" borderId="0" xfId="0" applyFill="1"/>
    <xf numFmtId="0" fontId="23" fillId="33" borderId="0" xfId="0" applyFont="1" applyFill="1"/>
    <xf numFmtId="0" fontId="29" fillId="33" borderId="0" xfId="0" applyFont="1" applyFill="1" applyAlignment="1">
      <alignment horizontal="right" vertical="top"/>
    </xf>
    <xf numFmtId="0" fontId="23" fillId="33" borderId="0" xfId="0" applyFont="1" applyFill="1" applyAlignment="1">
      <alignment wrapText="1"/>
    </xf>
    <xf numFmtId="0" fontId="23" fillId="33" borderId="0" xfId="0" applyFont="1" applyFill="1" applyAlignment="1">
      <alignment horizontal="center"/>
    </xf>
    <xf numFmtId="0" fontId="114" fillId="33" borderId="0" xfId="0" applyFont="1" applyFill="1" applyAlignment="1">
      <alignment horizontal="right"/>
    </xf>
    <xf numFmtId="0" fontId="58" fillId="34" borderId="26" xfId="0" applyFont="1" applyFill="1" applyBorder="1" applyAlignment="1">
      <alignment vertical="center"/>
    </xf>
    <xf numFmtId="0" fontId="40" fillId="34" borderId="27" xfId="0" applyFont="1" applyFill="1" applyBorder="1" applyAlignment="1">
      <alignment vertical="center"/>
    </xf>
    <xf numFmtId="0" fontId="41" fillId="34" borderId="27" xfId="0" applyFont="1" applyFill="1" applyBorder="1" applyAlignment="1">
      <alignment vertical="center"/>
    </xf>
    <xf numFmtId="0" fontId="41" fillId="34" borderId="28" xfId="0" applyFont="1" applyFill="1" applyBorder="1" applyAlignment="1">
      <alignment vertical="center"/>
    </xf>
    <xf numFmtId="0" fontId="58" fillId="34" borderId="29" xfId="0" applyFont="1" applyFill="1" applyBorder="1" applyAlignment="1">
      <alignment vertical="center"/>
    </xf>
    <xf numFmtId="0" fontId="41" fillId="34" borderId="30" xfId="0" applyFont="1" applyFill="1" applyBorder="1" applyAlignment="1">
      <alignment vertical="center"/>
    </xf>
    <xf numFmtId="0" fontId="58" fillId="34" borderId="31" xfId="0" applyFont="1" applyFill="1" applyBorder="1" applyAlignment="1">
      <alignment vertical="center"/>
    </xf>
    <xf numFmtId="0" fontId="40" fillId="34" borderId="32" xfId="0" applyFont="1" applyFill="1" applyBorder="1" applyAlignment="1">
      <alignment vertical="center"/>
    </xf>
    <xf numFmtId="0" fontId="41" fillId="34" borderId="32" xfId="0" applyFont="1" applyFill="1" applyBorder="1" applyAlignment="1">
      <alignment vertical="center"/>
    </xf>
    <xf numFmtId="0" fontId="41" fillId="34" borderId="33" xfId="0" applyFont="1" applyFill="1" applyBorder="1" applyAlignment="1">
      <alignment vertical="center"/>
    </xf>
    <xf numFmtId="0" fontId="11" fillId="35" borderId="21" xfId="0" applyFont="1" applyFill="1" applyBorder="1"/>
    <xf numFmtId="0" fontId="11" fillId="35" borderId="22" xfId="0" applyFont="1" applyFill="1" applyBorder="1"/>
    <xf numFmtId="0" fontId="23" fillId="33" borderId="0" xfId="0" applyFont="1" applyFill="1" applyAlignment="1">
      <alignment horizontal="right" vertical="top"/>
    </xf>
    <xf numFmtId="0" fontId="23" fillId="33" borderId="0" xfId="0" applyFont="1" applyFill="1" applyAlignment="1">
      <alignment horizontal="right"/>
    </xf>
    <xf numFmtId="0" fontId="113" fillId="33" borderId="0" xfId="0" applyFont="1" applyFill="1" applyAlignment="1">
      <alignment horizontal="right"/>
    </xf>
    <xf numFmtId="0" fontId="8" fillId="33" borderId="0" xfId="0" applyFont="1" applyFill="1"/>
    <xf numFmtId="0" fontId="8" fillId="33" borderId="0" xfId="0" applyFont="1" applyFill="1" applyProtection="1"/>
    <xf numFmtId="0" fontId="87" fillId="33" borderId="0" xfId="0" applyFont="1" applyFill="1" applyAlignment="1" applyProtection="1">
      <alignment vertical="center"/>
    </xf>
    <xf numFmtId="0" fontId="5" fillId="0" borderId="0" xfId="1" applyBorder="1" applyAlignment="1">
      <alignment horizontal="left"/>
    </xf>
    <xf numFmtId="0" fontId="0" fillId="0" borderId="61" xfId="0" applyBorder="1"/>
    <xf numFmtId="0" fontId="99" fillId="0" borderId="0" xfId="0" applyFont="1" applyAlignment="1">
      <alignment vertical="top" wrapText="1"/>
    </xf>
    <xf numFmtId="0" fontId="10" fillId="22" borderId="0" xfId="0" applyFont="1" applyFill="1" applyBorder="1" applyAlignment="1" applyProtection="1">
      <alignment vertical="top" wrapText="1"/>
    </xf>
    <xf numFmtId="0" fontId="10" fillId="22" borderId="0" xfId="0" applyFont="1" applyFill="1" applyBorder="1" applyAlignment="1" applyProtection="1">
      <alignment wrapText="1"/>
    </xf>
    <xf numFmtId="0" fontId="8" fillId="22" borderId="0" xfId="4" applyFont="1" applyFill="1" applyBorder="1" applyAlignment="1" applyProtection="1">
      <alignment vertical="center" wrapText="1"/>
    </xf>
    <xf numFmtId="0" fontId="8" fillId="22" borderId="0" xfId="4" applyFont="1" applyFill="1" applyBorder="1" applyAlignment="1" applyProtection="1">
      <alignment vertical="center"/>
    </xf>
    <xf numFmtId="0" fontId="8" fillId="22" borderId="0" xfId="0" applyFont="1" applyFill="1" applyAlignment="1" applyProtection="1">
      <alignment horizontal="right" vertical="top" wrapText="1"/>
    </xf>
    <xf numFmtId="0" fontId="0" fillId="22" borderId="0" xfId="0" applyFill="1" applyAlignment="1" applyProtection="1">
      <alignment horizontal="right"/>
    </xf>
    <xf numFmtId="0" fontId="0" fillId="39" borderId="114" xfId="0" applyFont="1" applyFill="1" applyBorder="1"/>
    <xf numFmtId="49" fontId="19" fillId="39" borderId="113" xfId="0" applyNumberFormat="1" applyFont="1" applyFill="1" applyBorder="1"/>
    <xf numFmtId="49" fontId="0" fillId="39" borderId="114" xfId="0" applyNumberFormat="1" applyFont="1" applyFill="1" applyBorder="1"/>
    <xf numFmtId="0" fontId="0" fillId="39" borderId="114" xfId="0" applyFont="1" applyFill="1" applyBorder="1" applyAlignment="1">
      <alignment wrapText="1"/>
    </xf>
    <xf numFmtId="0" fontId="0" fillId="0" borderId="0" xfId="0" applyBorder="1" applyProtection="1">
      <protection locked="0"/>
    </xf>
    <xf numFmtId="0" fontId="70" fillId="0" borderId="149" xfId="0" applyFont="1" applyBorder="1" applyAlignment="1"/>
    <xf numFmtId="0" fontId="19" fillId="0" borderId="0" xfId="0" applyFont="1" applyFill="1" applyBorder="1" applyAlignment="1">
      <alignment horizontal="left"/>
    </xf>
    <xf numFmtId="0" fontId="19" fillId="0" borderId="0" xfId="0" quotePrefix="1" applyFont="1" applyFill="1" applyBorder="1" applyAlignment="1"/>
    <xf numFmtId="167" fontId="19" fillId="0" borderId="0" xfId="0" applyNumberFormat="1" applyFont="1" applyFill="1" applyBorder="1" applyAlignment="1">
      <alignment horizontal="left"/>
    </xf>
    <xf numFmtId="167" fontId="19" fillId="0" borderId="0" xfId="13" applyNumberFormat="1" applyFont="1" applyFill="1" applyBorder="1" applyAlignment="1">
      <alignment horizontal="right"/>
    </xf>
    <xf numFmtId="174" fontId="19" fillId="0" borderId="0" xfId="13" applyNumberFormat="1" applyFont="1" applyFill="1" applyBorder="1" applyAlignment="1">
      <alignment horizontal="right"/>
    </xf>
    <xf numFmtId="0" fontId="19" fillId="0" borderId="0" xfId="0" applyFont="1" applyFill="1" applyBorder="1" applyAlignment="1">
      <alignment horizontal="center"/>
    </xf>
    <xf numFmtId="14" fontId="19" fillId="0" borderId="0" xfId="0" applyNumberFormat="1" applyFont="1" applyFill="1" applyBorder="1" applyAlignment="1">
      <alignment horizontal="center"/>
    </xf>
    <xf numFmtId="0" fontId="0" fillId="0" borderId="0" xfId="0" applyFill="1" applyBorder="1" applyAlignment="1"/>
    <xf numFmtId="0" fontId="80" fillId="0" borderId="0" xfId="0" applyFont="1" applyFill="1" applyBorder="1" applyAlignment="1">
      <alignment horizontal="center" vertical="center"/>
    </xf>
    <xf numFmtId="167" fontId="80" fillId="0" borderId="0" xfId="0" applyNumberFormat="1" applyFont="1" applyFill="1" applyBorder="1" applyAlignment="1">
      <alignment horizontal="center" vertical="center"/>
    </xf>
    <xf numFmtId="0" fontId="0" fillId="0" borderId="0" xfId="0" applyFill="1" applyBorder="1"/>
    <xf numFmtId="0" fontId="0" fillId="0" borderId="0" xfId="0" applyBorder="1" applyAlignment="1">
      <alignment wrapText="1"/>
    </xf>
    <xf numFmtId="167" fontId="0" fillId="0" borderId="0" xfId="0" applyNumberFormat="1" applyFill="1" applyBorder="1"/>
    <xf numFmtId="14" fontId="0" fillId="0" borderId="0" xfId="0" applyNumberFormat="1" applyFill="1" applyBorder="1"/>
    <xf numFmtId="1" fontId="0" fillId="0" borderId="0" xfId="0" applyNumberFormat="1" applyFill="1" applyBorder="1"/>
    <xf numFmtId="0" fontId="0" fillId="0" borderId="0" xfId="0" quotePrefix="1" applyBorder="1"/>
    <xf numFmtId="167" fontId="19" fillId="0" borderId="0" xfId="0" applyNumberFormat="1" applyFont="1" applyFill="1" applyBorder="1" applyAlignment="1"/>
    <xf numFmtId="1" fontId="19" fillId="0" borderId="0" xfId="0" applyNumberFormat="1" applyFont="1" applyFill="1" applyBorder="1" applyAlignment="1">
      <alignment horizontal="center"/>
    </xf>
    <xf numFmtId="3" fontId="19" fillId="0" borderId="0" xfId="13" applyNumberFormat="1" applyFont="1" applyFill="1" applyBorder="1" applyAlignment="1">
      <alignment horizontal="left"/>
    </xf>
    <xf numFmtId="3" fontId="19" fillId="0" borderId="0" xfId="13" applyNumberFormat="1" applyFont="1" applyFill="1" applyBorder="1" applyAlignment="1">
      <alignment horizontal="center"/>
    </xf>
    <xf numFmtId="0" fontId="19" fillId="0" borderId="0" xfId="0" applyFont="1" applyFill="1" applyBorder="1" applyAlignment="1">
      <alignment horizontal="left" wrapText="1"/>
    </xf>
    <xf numFmtId="0" fontId="19" fillId="0" borderId="0" xfId="0" applyFont="1" applyFill="1" applyBorder="1" applyAlignment="1"/>
    <xf numFmtId="167" fontId="19" fillId="0" borderId="0" xfId="0" applyNumberFormat="1" applyFont="1" applyFill="1" applyBorder="1" applyAlignment="1">
      <alignment wrapText="1"/>
    </xf>
    <xf numFmtId="177" fontId="19" fillId="0" borderId="0" xfId="0" applyNumberFormat="1" applyFont="1" applyFill="1" applyBorder="1" applyAlignment="1">
      <alignment horizontal="center"/>
    </xf>
    <xf numFmtId="2" fontId="19" fillId="0" borderId="0" xfId="0" applyNumberFormat="1" applyFont="1" applyFill="1" applyBorder="1" applyAlignment="1">
      <alignment horizontal="left"/>
    </xf>
    <xf numFmtId="0" fontId="0" fillId="0" borderId="0" xfId="0" applyFill="1" applyBorder="1" applyAlignment="1">
      <alignment horizontal="left"/>
    </xf>
    <xf numFmtId="177" fontId="19" fillId="0" borderId="0" xfId="0" quotePrefix="1" applyNumberFormat="1" applyFont="1" applyFill="1" applyBorder="1" applyAlignment="1"/>
    <xf numFmtId="0" fontId="80" fillId="18" borderId="0" xfId="0" applyFont="1" applyFill="1" applyBorder="1" applyAlignment="1">
      <alignment horizontal="center" vertical="center"/>
    </xf>
    <xf numFmtId="167" fontId="80" fillId="18" borderId="0" xfId="0" applyNumberFormat="1" applyFont="1" applyFill="1" applyBorder="1" applyAlignment="1">
      <alignment horizontal="center" vertical="center"/>
    </xf>
    <xf numFmtId="167" fontId="19" fillId="0" borderId="0" xfId="0" applyNumberFormat="1" applyFont="1" applyFill="1" applyBorder="1" applyAlignment="1">
      <alignment horizontal="right"/>
    </xf>
    <xf numFmtId="0" fontId="131" fillId="0" borderId="0" xfId="0" applyFont="1" applyFill="1" applyBorder="1" applyAlignment="1">
      <alignment horizontal="left"/>
    </xf>
    <xf numFmtId="177" fontId="19" fillId="0" borderId="0" xfId="0" applyNumberFormat="1" applyFont="1" applyFill="1" applyBorder="1" applyAlignment="1"/>
    <xf numFmtId="0" fontId="59" fillId="0" borderId="0" xfId="0" applyFont="1" applyFill="1" applyBorder="1" applyAlignment="1"/>
    <xf numFmtId="167" fontId="0" fillId="0" borderId="0" xfId="0" applyNumberFormat="1" applyFill="1" applyBorder="1" applyAlignment="1"/>
    <xf numFmtId="14" fontId="0" fillId="0" borderId="0" xfId="0" applyNumberFormat="1" applyFill="1" applyBorder="1" applyAlignment="1"/>
    <xf numFmtId="1" fontId="0" fillId="0" borderId="0" xfId="0" applyNumberFormat="1" applyFill="1" applyBorder="1" applyAlignment="1"/>
    <xf numFmtId="167" fontId="0" fillId="0" borderId="0" xfId="0" applyNumberFormat="1" applyFill="1"/>
    <xf numFmtId="0" fontId="132"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quotePrefix="1" applyFill="1" applyBorder="1" applyAlignment="1">
      <alignment horizontal="left" vertical="top"/>
    </xf>
    <xf numFmtId="0" fontId="52" fillId="0" borderId="0" xfId="0" applyFont="1" applyFill="1" applyBorder="1"/>
    <xf numFmtId="0" fontId="0" fillId="0" borderId="150" xfId="0" applyFont="1" applyFill="1" applyBorder="1" applyAlignment="1">
      <alignment horizontal="left" vertical="top"/>
    </xf>
    <xf numFmtId="175" fontId="59" fillId="40" borderId="0" xfId="0" applyNumberFormat="1" applyFont="1" applyFill="1" applyBorder="1" applyAlignment="1">
      <alignment horizontal="right" vertical="center"/>
    </xf>
    <xf numFmtId="175" fontId="17" fillId="40" borderId="0" xfId="0" applyNumberFormat="1" applyFont="1" applyFill="1" applyBorder="1" applyAlignment="1">
      <alignment horizontal="right" vertical="center"/>
    </xf>
    <xf numFmtId="175" fontId="0" fillId="40" borderId="0" xfId="0" applyNumberFormat="1" applyFill="1"/>
    <xf numFmtId="49" fontId="19" fillId="0" borderId="120" xfId="0" applyNumberFormat="1" applyFont="1" applyBorder="1"/>
    <xf numFmtId="49" fontId="118" fillId="32" borderId="117" xfId="0" applyNumberFormat="1" applyFont="1" applyFill="1" applyBorder="1" applyAlignment="1"/>
    <xf numFmtId="49" fontId="118" fillId="32" borderId="118" xfId="0" applyNumberFormat="1" applyFont="1" applyFill="1" applyBorder="1" applyAlignment="1"/>
    <xf numFmtId="0" fontId="118" fillId="32" borderId="118" xfId="0" applyFont="1" applyFill="1" applyBorder="1" applyAlignment="1"/>
    <xf numFmtId="49" fontId="19" fillId="0" borderId="113" xfId="0" applyNumberFormat="1" applyFont="1" applyFill="1" applyBorder="1"/>
    <xf numFmtId="0" fontId="0" fillId="0" borderId="114" xfId="0" applyFont="1" applyFill="1" applyBorder="1"/>
    <xf numFmtId="167" fontId="0" fillId="0" borderId="0" xfId="0" applyNumberFormat="1" applyFont="1"/>
    <xf numFmtId="0" fontId="80" fillId="18" borderId="8" xfId="0" applyFont="1" applyFill="1" applyBorder="1" applyAlignment="1">
      <alignment horizontal="center" vertical="center"/>
    </xf>
    <xf numFmtId="0" fontId="0" fillId="0" borderId="0" xfId="0" applyAlignment="1">
      <alignment horizontal="center"/>
    </xf>
    <xf numFmtId="0" fontId="0" fillId="0" borderId="114" xfId="0" applyFont="1" applyFill="1" applyBorder="1" applyAlignment="1">
      <alignment horizontal="left" vertical="top"/>
    </xf>
    <xf numFmtId="1" fontId="0" fillId="0" borderId="114" xfId="0" applyNumberFormat="1" applyFill="1" applyBorder="1" applyAlignment="1"/>
    <xf numFmtId="0" fontId="0" fillId="0" borderId="0" xfId="0" applyFont="1" applyFill="1" applyBorder="1" applyAlignment="1">
      <alignment horizontal="left" vertical="top"/>
    </xf>
    <xf numFmtId="0" fontId="0" fillId="0" borderId="118" xfId="0" applyFont="1" applyFill="1" applyBorder="1" applyAlignment="1">
      <alignment horizontal="left" vertical="top"/>
    </xf>
    <xf numFmtId="0" fontId="0" fillId="0" borderId="119" xfId="0" applyFont="1" applyFill="1" applyBorder="1" applyAlignment="1">
      <alignment horizontal="left" vertical="top"/>
    </xf>
    <xf numFmtId="1" fontId="0" fillId="0" borderId="0" xfId="0" applyNumberFormat="1" applyFill="1" applyAlignment="1"/>
    <xf numFmtId="0" fontId="0" fillId="0" borderId="114" xfId="0" quotePrefix="1" applyFont="1" applyFill="1" applyBorder="1" applyAlignment="1">
      <alignment horizontal="left" vertical="top"/>
    </xf>
    <xf numFmtId="1" fontId="0" fillId="0" borderId="114" xfId="0" applyNumberFormat="1" applyFont="1" applyFill="1" applyBorder="1" applyAlignment="1"/>
    <xf numFmtId="0" fontId="0" fillId="0" borderId="114" xfId="0" applyFill="1" applyBorder="1" applyAlignment="1">
      <alignment horizontal="left" vertical="top"/>
    </xf>
    <xf numFmtId="0" fontId="0" fillId="0" borderId="0" xfId="0" quotePrefix="1" applyFont="1" applyFill="1" applyBorder="1" applyAlignment="1">
      <alignment horizontal="left" vertical="top"/>
    </xf>
    <xf numFmtId="0" fontId="132" fillId="0" borderId="114" xfId="0" applyFont="1" applyFill="1" applyBorder="1" applyAlignment="1">
      <alignment horizontal="left" vertical="top"/>
    </xf>
    <xf numFmtId="0" fontId="0" fillId="0" borderId="114" xfId="0" quotePrefix="1" applyFill="1" applyBorder="1" applyAlignment="1">
      <alignment horizontal="left" vertical="top"/>
    </xf>
    <xf numFmtId="0" fontId="0" fillId="0" borderId="114" xfId="0" applyNumberFormat="1" applyFont="1" applyFill="1" applyBorder="1" applyAlignment="1">
      <alignment horizontal="left" vertical="top"/>
    </xf>
    <xf numFmtId="0" fontId="0" fillId="0" borderId="119" xfId="0" applyNumberFormat="1" applyFont="1" applyFill="1" applyBorder="1" applyAlignment="1">
      <alignment horizontal="left" vertical="top"/>
    </xf>
    <xf numFmtId="0" fontId="0" fillId="0" borderId="119" xfId="0" quotePrefix="1" applyFont="1" applyFill="1" applyBorder="1" applyAlignment="1">
      <alignment horizontal="left" vertical="top"/>
    </xf>
    <xf numFmtId="0" fontId="132" fillId="39" borderId="114" xfId="0" applyFont="1" applyFill="1" applyBorder="1" applyAlignment="1">
      <alignment horizontal="left" vertical="top"/>
    </xf>
    <xf numFmtId="0" fontId="0" fillId="0" borderId="0" xfId="0" applyFont="1" applyFill="1" applyBorder="1"/>
    <xf numFmtId="0" fontId="0" fillId="0" borderId="113" xfId="0" applyFont="1" applyFill="1" applyBorder="1"/>
    <xf numFmtId="0" fontId="19" fillId="39" borderId="0" xfId="0" applyFont="1" applyFill="1" applyBorder="1" applyAlignment="1">
      <alignment horizontal="left" vertical="top"/>
    </xf>
    <xf numFmtId="0" fontId="0" fillId="0" borderId="0" xfId="0" applyNumberFormat="1" applyFont="1" applyFill="1" applyBorder="1" applyAlignment="1">
      <alignment horizontal="left" vertical="top"/>
    </xf>
    <xf numFmtId="0" fontId="19" fillId="0" borderId="114" xfId="0" applyFont="1" applyFill="1" applyBorder="1" applyAlignment="1">
      <alignment horizontal="left" vertical="top"/>
    </xf>
    <xf numFmtId="0" fontId="0" fillId="0" borderId="150" xfId="0" applyFill="1" applyBorder="1" applyAlignment="1">
      <alignment horizontal="left" vertical="top"/>
    </xf>
    <xf numFmtId="0" fontId="0" fillId="0" borderId="150" xfId="0" quotePrefix="1" applyFill="1" applyBorder="1" applyAlignment="1">
      <alignment horizontal="left" vertical="top"/>
    </xf>
    <xf numFmtId="167" fontId="59" fillId="0" borderId="0" xfId="0" applyNumberFormat="1" applyFont="1" applyFill="1" applyBorder="1" applyAlignment="1">
      <alignment horizontal="right" vertical="center"/>
    </xf>
    <xf numFmtId="167" fontId="17" fillId="0" borderId="0" xfId="0" applyNumberFormat="1" applyFont="1" applyFill="1" applyBorder="1" applyAlignment="1">
      <alignment horizontal="right" vertical="center"/>
    </xf>
    <xf numFmtId="0" fontId="30" fillId="0" borderId="0" xfId="0" applyFont="1" applyFill="1"/>
    <xf numFmtId="1" fontId="19" fillId="0" borderId="0" xfId="0" applyNumberFormat="1" applyFont="1" applyFill="1" applyBorder="1" applyAlignment="1">
      <alignment horizontal="left"/>
    </xf>
    <xf numFmtId="0" fontId="80" fillId="0" borderId="8" xfId="0" applyFont="1" applyFill="1" applyBorder="1" applyAlignment="1">
      <alignment horizontal="center" vertical="center"/>
    </xf>
    <xf numFmtId="1" fontId="0" fillId="0" borderId="0" xfId="0" applyNumberFormat="1" applyFill="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19" fillId="39" borderId="114" xfId="0" applyFont="1" applyFill="1" applyBorder="1" applyAlignment="1">
      <alignment horizontal="center"/>
    </xf>
    <xf numFmtId="0" fontId="19" fillId="0" borderId="114" xfId="0" applyFont="1" applyBorder="1" applyAlignment="1">
      <alignment horizontal="center"/>
    </xf>
    <xf numFmtId="177" fontId="19" fillId="0" borderId="0" xfId="0" applyNumberFormat="1" applyFont="1" applyFill="1" applyBorder="1" applyAlignment="1">
      <alignment horizontal="left"/>
    </xf>
    <xf numFmtId="177" fontId="19" fillId="0" borderId="155" xfId="0" applyNumberFormat="1" applyFont="1" applyBorder="1" applyAlignment="1">
      <alignment horizontal="center"/>
    </xf>
    <xf numFmtId="177" fontId="19" fillId="39" borderId="155" xfId="0" applyNumberFormat="1" applyFont="1" applyFill="1" applyBorder="1" applyAlignment="1">
      <alignment horizontal="center"/>
    </xf>
    <xf numFmtId="0" fontId="70" fillId="0" borderId="0" xfId="0" applyFont="1" applyAlignment="1">
      <alignment horizontal="center" vertical="top" wrapText="1"/>
    </xf>
    <xf numFmtId="0" fontId="135" fillId="0" borderId="0" xfId="0" applyFont="1" applyBorder="1" applyAlignment="1">
      <alignment vertical="top" wrapText="1"/>
    </xf>
    <xf numFmtId="0" fontId="135" fillId="0" borderId="0" xfId="0" applyFont="1" applyBorder="1" applyAlignment="1">
      <alignment wrapText="1"/>
    </xf>
    <xf numFmtId="0" fontId="0" fillId="0" borderId="88" xfId="0" applyBorder="1"/>
    <xf numFmtId="0" fontId="70" fillId="0" borderId="0" xfId="0" applyFont="1" applyAlignment="1">
      <alignment horizontal="left"/>
    </xf>
    <xf numFmtId="0" fontId="70" fillId="0" borderId="0" xfId="0" applyFont="1" applyAlignment="1">
      <alignment horizontal="center" vertical="top" wrapText="1"/>
    </xf>
    <xf numFmtId="0" fontId="115" fillId="0" borderId="0" xfId="0" applyFont="1" applyBorder="1" applyAlignment="1">
      <alignment vertical="center" wrapText="1"/>
    </xf>
    <xf numFmtId="0" fontId="132" fillId="0" borderId="119" xfId="0" applyFont="1" applyFill="1" applyBorder="1" applyAlignment="1">
      <alignment horizontal="left" vertical="top"/>
    </xf>
    <xf numFmtId="0" fontId="19" fillId="0" borderId="119" xfId="0" applyFont="1" applyFill="1" applyBorder="1" applyAlignment="1">
      <alignment horizontal="left" vertical="top"/>
    </xf>
    <xf numFmtId="0" fontId="0" fillId="0" borderId="114" xfId="0" applyFill="1" applyBorder="1"/>
    <xf numFmtId="0" fontId="0" fillId="0" borderId="119" xfId="0" applyFill="1" applyBorder="1"/>
    <xf numFmtId="49" fontId="118" fillId="38" borderId="118" xfId="0" applyNumberFormat="1" applyFont="1" applyFill="1" applyBorder="1"/>
    <xf numFmtId="0" fontId="118" fillId="38" borderId="118" xfId="0" applyFont="1" applyFill="1" applyBorder="1"/>
    <xf numFmtId="49" fontId="0" fillId="39" borderId="119" xfId="0" applyNumberFormat="1" applyFont="1" applyFill="1" applyBorder="1"/>
    <xf numFmtId="0" fontId="0" fillId="39" borderId="119" xfId="0" applyFont="1" applyFill="1" applyBorder="1"/>
    <xf numFmtId="49" fontId="131" fillId="39" borderId="119" xfId="0" applyNumberFormat="1" applyFont="1" applyFill="1" applyBorder="1"/>
    <xf numFmtId="49" fontId="17" fillId="0" borderId="0" xfId="0" applyNumberFormat="1" applyFont="1" applyFill="1" applyBorder="1"/>
    <xf numFmtId="0" fontId="0" fillId="18" borderId="0" xfId="0" applyFill="1" applyBorder="1"/>
    <xf numFmtId="0" fontId="0" fillId="40" borderId="0" xfId="0" applyFill="1" applyBorder="1"/>
    <xf numFmtId="0" fontId="19" fillId="40" borderId="0" xfId="0" applyFont="1" applyFill="1" applyBorder="1" applyAlignment="1">
      <alignment horizontal="left"/>
    </xf>
    <xf numFmtId="3" fontId="19" fillId="40" borderId="0" xfId="13" applyNumberFormat="1" applyFont="1" applyFill="1" applyBorder="1" applyAlignment="1">
      <alignment horizontal="left"/>
    </xf>
    <xf numFmtId="49" fontId="19" fillId="40" borderId="0" xfId="0" applyNumberFormat="1" applyFont="1" applyFill="1"/>
    <xf numFmtId="49" fontId="19" fillId="40" borderId="0" xfId="0" applyNumberFormat="1" applyFont="1" applyFill="1" applyBorder="1"/>
    <xf numFmtId="49" fontId="19" fillId="40" borderId="120" xfId="0" applyNumberFormat="1" applyFont="1" applyFill="1" applyBorder="1"/>
    <xf numFmtId="0" fontId="19" fillId="18" borderId="0" xfId="0" applyFont="1" applyFill="1" applyBorder="1" applyAlignment="1">
      <alignment horizontal="left"/>
    </xf>
    <xf numFmtId="0" fontId="131" fillId="4" borderId="0" xfId="0" applyFont="1" applyFill="1" applyBorder="1"/>
    <xf numFmtId="1" fontId="0" fillId="0" borderId="114" xfId="0" applyNumberFormat="1" applyFill="1" applyBorder="1"/>
    <xf numFmtId="173" fontId="8" fillId="0" borderId="0" xfId="0" applyNumberFormat="1" applyFont="1" applyAlignment="1">
      <alignment shrinkToFit="1"/>
    </xf>
    <xf numFmtId="0" fontId="40" fillId="34" borderId="0" xfId="0" applyFont="1" applyFill="1" applyAlignment="1">
      <alignment vertical="center"/>
    </xf>
    <xf numFmtId="0" fontId="41" fillId="34" borderId="0" xfId="0" applyFont="1" applyFill="1" applyAlignment="1">
      <alignment vertical="center"/>
    </xf>
    <xf numFmtId="2" fontId="49" fillId="0" borderId="0" xfId="0" applyNumberFormat="1" applyFont="1" applyAlignment="1">
      <alignment vertical="center" wrapText="1"/>
    </xf>
    <xf numFmtId="181" fontId="49" fillId="0" borderId="0" xfId="0" applyNumberFormat="1" applyFont="1" applyAlignment="1">
      <alignment vertical="center" wrapText="1"/>
    </xf>
    <xf numFmtId="0" fontId="49" fillId="0" borderId="0" xfId="0" applyFont="1" applyAlignment="1">
      <alignment vertical="center" wrapText="1"/>
    </xf>
    <xf numFmtId="0" fontId="49" fillId="0" borderId="0" xfId="0" applyFont="1" applyAlignment="1">
      <alignment vertical="center"/>
    </xf>
    <xf numFmtId="49" fontId="15" fillId="0" borderId="1" xfId="0" applyNumberFormat="1" applyFont="1" applyFill="1" applyBorder="1" applyAlignment="1">
      <alignment horizontal="left" wrapText="1"/>
    </xf>
    <xf numFmtId="167" fontId="0" fillId="0" borderId="0" xfId="0" applyNumberFormat="1" applyAlignment="1">
      <alignment horizontal="left"/>
    </xf>
    <xf numFmtId="9" fontId="0" fillId="0" borderId="0" xfId="6" applyFont="1" applyAlignment="1">
      <alignment horizontal="left"/>
    </xf>
    <xf numFmtId="49" fontId="19" fillId="0" borderId="0" xfId="0" applyNumberFormat="1" applyFont="1" applyFill="1" applyBorder="1"/>
    <xf numFmtId="0" fontId="10" fillId="12" borderId="16" xfId="0" applyFont="1" applyFill="1" applyBorder="1" applyAlignment="1">
      <alignment horizontal="center"/>
    </xf>
    <xf numFmtId="0" fontId="7" fillId="6" borderId="16" xfId="0" applyFont="1" applyFill="1" applyBorder="1" applyAlignment="1">
      <alignment horizontal="center"/>
    </xf>
    <xf numFmtId="0" fontId="7" fillId="6" borderId="16" xfId="0" applyFont="1" applyFill="1" applyBorder="1" applyAlignment="1"/>
    <xf numFmtId="9" fontId="0" fillId="0" borderId="0" xfId="0" applyNumberFormat="1" applyAlignment="1">
      <alignment horizontal="left"/>
    </xf>
    <xf numFmtId="180"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0" fillId="0" borderId="0" xfId="0" applyAlignment="1">
      <alignment horizontal="center"/>
    </xf>
    <xf numFmtId="0" fontId="161" fillId="0" borderId="184" xfId="66" applyFont="1" applyFill="1" applyAlignment="1">
      <alignment wrapText="1"/>
    </xf>
    <xf numFmtId="173" fontId="0" fillId="0" borderId="0" xfId="0" applyNumberFormat="1" applyFill="1" applyBorder="1" applyAlignment="1"/>
    <xf numFmtId="0" fontId="19" fillId="39" borderId="114" xfId="0" applyFont="1" applyFill="1" applyBorder="1" applyAlignment="1">
      <alignment horizontal="left" vertical="top"/>
    </xf>
    <xf numFmtId="0" fontId="132" fillId="39" borderId="0" xfId="0" applyFont="1" applyFill="1" applyBorder="1" applyAlignment="1">
      <alignment horizontal="left" vertical="top"/>
    </xf>
    <xf numFmtId="0" fontId="19" fillId="0" borderId="0" xfId="0" applyFont="1" applyFill="1" applyBorder="1" applyAlignment="1">
      <alignment horizontal="left" vertical="top"/>
    </xf>
    <xf numFmtId="0" fontId="0" fillId="0" borderId="119" xfId="0" applyFill="1" applyBorder="1" applyAlignment="1">
      <alignment horizontal="left" vertical="top"/>
    </xf>
    <xf numFmtId="0" fontId="0" fillId="0" borderId="1" xfId="0" applyBorder="1" applyAlignment="1">
      <alignment horizontal="left"/>
    </xf>
    <xf numFmtId="14" fontId="0" fillId="0" borderId="1" xfId="0" applyNumberFormat="1" applyBorder="1" applyAlignment="1">
      <alignment horizontal="left"/>
    </xf>
    <xf numFmtId="0" fontId="0" fillId="0" borderId="0" xfId="0" applyAlignment="1">
      <alignment horizontal="center"/>
    </xf>
    <xf numFmtId="0" fontId="0" fillId="3" borderId="1" xfId="0" applyFill="1" applyBorder="1" applyAlignment="1" applyProtection="1">
      <alignment horizontal="center"/>
      <protection locked="0"/>
    </xf>
    <xf numFmtId="0" fontId="0" fillId="72" borderId="0" xfId="0" applyFill="1"/>
    <xf numFmtId="0" fontId="15" fillId="0" borderId="1" xfId="0" applyFont="1" applyBorder="1" applyAlignment="1">
      <alignment horizontal="left" vertical="top" wrapText="1"/>
    </xf>
    <xf numFmtId="0" fontId="0" fillId="0" borderId="0" xfId="0" applyAlignment="1">
      <alignment horizontal="center"/>
    </xf>
    <xf numFmtId="0" fontId="15" fillId="0" borderId="1" xfId="0" applyFont="1" applyBorder="1" applyAlignment="1">
      <alignment horizontal="left" wrapText="1"/>
    </xf>
    <xf numFmtId="0" fontId="162" fillId="0" borderId="0" xfId="0" applyFont="1" applyBorder="1"/>
    <xf numFmtId="0" fontId="162" fillId="0" borderId="0" xfId="0" applyFont="1" applyFill="1" applyBorder="1" applyAlignment="1">
      <alignment horizontal="left"/>
    </xf>
    <xf numFmtId="0" fontId="162" fillId="0" borderId="0" xfId="0" quotePrefix="1" applyFont="1" applyFill="1" applyBorder="1" applyAlignment="1"/>
    <xf numFmtId="174" fontId="162" fillId="0" borderId="0" xfId="13" applyNumberFormat="1" applyFont="1" applyFill="1" applyBorder="1" applyAlignment="1">
      <alignment horizontal="right"/>
    </xf>
    <xf numFmtId="0" fontId="162" fillId="0" borderId="0" xfId="0" applyFont="1" applyFill="1" applyBorder="1" applyAlignment="1">
      <alignment horizontal="center"/>
    </xf>
    <xf numFmtId="1" fontId="162" fillId="0" borderId="0" xfId="0" applyNumberFormat="1" applyFont="1" applyFill="1" applyBorder="1" applyAlignment="1">
      <alignment horizontal="left"/>
    </xf>
    <xf numFmtId="14" fontId="162" fillId="0" borderId="0" xfId="0" applyNumberFormat="1" applyFont="1" applyFill="1" applyBorder="1" applyAlignment="1">
      <alignment horizontal="center"/>
    </xf>
    <xf numFmtId="0" fontId="162" fillId="0" borderId="0" xfId="0" applyFont="1"/>
    <xf numFmtId="0" fontId="162" fillId="0" borderId="0" xfId="0" applyFont="1" applyFill="1" applyBorder="1"/>
    <xf numFmtId="167" fontId="162" fillId="0" borderId="0" xfId="0" applyNumberFormat="1" applyFont="1" applyFill="1"/>
    <xf numFmtId="173" fontId="162" fillId="0" borderId="0" xfId="0" applyNumberFormat="1" applyFont="1" applyFill="1" applyBorder="1" applyAlignment="1"/>
    <xf numFmtId="0" fontId="162" fillId="0" borderId="0" xfId="0" applyFont="1" applyFill="1"/>
    <xf numFmtId="14" fontId="162" fillId="0" borderId="0" xfId="0" applyNumberFormat="1" applyFont="1" applyFill="1" applyBorder="1" applyAlignment="1"/>
    <xf numFmtId="167" fontId="162" fillId="0" borderId="0" xfId="0" applyNumberFormat="1" applyFont="1" applyFill="1" applyBorder="1"/>
    <xf numFmtId="167" fontId="162" fillId="0" borderId="0" xfId="0" applyNumberFormat="1" applyFont="1" applyFill="1" applyBorder="1" applyAlignment="1"/>
    <xf numFmtId="0" fontId="162" fillId="0" borderId="0" xfId="0" applyFont="1" applyFill="1" applyBorder="1" applyAlignment="1"/>
    <xf numFmtId="1" fontId="162" fillId="0" borderId="0" xfId="0" applyNumberFormat="1" applyFont="1" applyFill="1" applyBorder="1" applyAlignment="1">
      <alignment horizontal="center"/>
    </xf>
    <xf numFmtId="167" fontId="162" fillId="0" borderId="0" xfId="0" applyNumberFormat="1" applyFont="1" applyFill="1" applyBorder="1" applyAlignment="1">
      <alignment horizontal="left"/>
    </xf>
    <xf numFmtId="167" fontId="162" fillId="0" borderId="0" xfId="13" applyNumberFormat="1" applyFont="1" applyFill="1" applyBorder="1" applyAlignment="1">
      <alignment horizontal="right"/>
    </xf>
    <xf numFmtId="3" fontId="162" fillId="0" borderId="0" xfId="13" applyNumberFormat="1" applyFont="1" applyFill="1" applyBorder="1" applyAlignment="1">
      <alignment horizontal="center"/>
    </xf>
    <xf numFmtId="1" fontId="162" fillId="0" borderId="0" xfId="15" applyNumberFormat="1" applyFont="1" applyFill="1" applyBorder="1" applyAlignment="1">
      <alignment horizontal="center"/>
    </xf>
    <xf numFmtId="177" fontId="162" fillId="0" borderId="0" xfId="0" applyNumberFormat="1" applyFont="1"/>
    <xf numFmtId="0" fontId="3" fillId="0" borderId="0" xfId="0" applyFont="1"/>
    <xf numFmtId="49" fontId="131" fillId="0" borderId="0" xfId="0" applyNumberFormat="1" applyFont="1" applyFill="1"/>
    <xf numFmtId="0" fontId="2" fillId="0" borderId="114" xfId="0" quotePrefix="1" applyNumberFormat="1" applyFont="1" applyFill="1" applyBorder="1" applyAlignment="1">
      <alignment horizontal="left" vertical="top"/>
    </xf>
    <xf numFmtId="167" fontId="0" fillId="13" borderId="0" xfId="0" applyNumberFormat="1" applyFill="1" applyBorder="1"/>
    <xf numFmtId="167" fontId="0" fillId="13" borderId="0" xfId="0" applyNumberFormat="1" applyFill="1"/>
    <xf numFmtId="167" fontId="19" fillId="13" borderId="0" xfId="0" applyNumberFormat="1" applyFont="1" applyFill="1" applyBorder="1" applyAlignment="1">
      <alignment horizontal="right"/>
    </xf>
    <xf numFmtId="49" fontId="166" fillId="0" borderId="0" xfId="0" applyNumberFormat="1" applyFont="1"/>
    <xf numFmtId="0" fontId="166" fillId="0" borderId="0" xfId="0" applyFont="1" applyFill="1"/>
    <xf numFmtId="0" fontId="166" fillId="0" borderId="0" xfId="0" applyFont="1"/>
    <xf numFmtId="164" fontId="8" fillId="0" borderId="0" xfId="0" applyNumberFormat="1" applyFont="1" applyBorder="1" applyAlignment="1">
      <alignment horizontal="right" vertical="center"/>
    </xf>
    <xf numFmtId="0" fontId="108" fillId="0" borderId="0" xfId="0" applyFont="1" applyBorder="1" applyAlignment="1" applyProtection="1">
      <alignment horizontal="center" wrapText="1"/>
      <protection locked="0"/>
    </xf>
    <xf numFmtId="0" fontId="108" fillId="11" borderId="0" xfId="0" applyFont="1" applyFill="1" applyBorder="1" applyAlignment="1" applyProtection="1">
      <alignment horizontal="center" shrinkToFit="1"/>
      <protection hidden="1"/>
    </xf>
    <xf numFmtId="177" fontId="108" fillId="11" borderId="0" xfId="0" applyNumberFormat="1" applyFont="1" applyFill="1" applyBorder="1" applyAlignment="1" applyProtection="1">
      <alignment horizontal="center" shrinkToFit="1"/>
      <protection hidden="1"/>
    </xf>
    <xf numFmtId="186" fontId="108" fillId="0" borderId="0" xfId="0" applyNumberFormat="1" applyFont="1" applyBorder="1" applyAlignment="1" applyProtection="1">
      <alignment horizontal="center" shrinkToFit="1"/>
      <protection locked="0"/>
    </xf>
    <xf numFmtId="186" fontId="108" fillId="0" borderId="0" xfId="0" applyNumberFormat="1" applyFont="1" applyBorder="1" applyAlignment="1" applyProtection="1">
      <alignment horizontal="center" shrinkToFit="1"/>
      <protection locked="0" hidden="1"/>
    </xf>
    <xf numFmtId="167" fontId="108" fillId="0" borderId="0" xfId="0" applyNumberFormat="1" applyFont="1" applyBorder="1" applyAlignment="1" applyProtection="1">
      <alignment horizontal="center" shrinkToFit="1"/>
      <protection locked="0"/>
    </xf>
    <xf numFmtId="0" fontId="108" fillId="11" borderId="0" xfId="0" applyFont="1" applyFill="1" applyBorder="1" applyAlignment="1">
      <alignment horizontal="center" wrapText="1" shrinkToFit="1"/>
    </xf>
    <xf numFmtId="167" fontId="109" fillId="11" borderId="0" xfId="0" applyNumberFormat="1" applyFont="1" applyFill="1" applyBorder="1" applyAlignment="1">
      <alignment horizontal="center" wrapText="1"/>
    </xf>
    <xf numFmtId="170" fontId="109" fillId="11" borderId="0" xfId="0" applyNumberFormat="1" applyFont="1" applyFill="1" applyBorder="1" applyAlignment="1">
      <alignment horizontal="center" shrinkToFit="1"/>
    </xf>
    <xf numFmtId="167" fontId="109" fillId="11" borderId="0" xfId="0" applyNumberFormat="1" applyFont="1" applyFill="1" applyBorder="1" applyAlignment="1" applyProtection="1">
      <alignment horizontal="center" wrapText="1"/>
    </xf>
    <xf numFmtId="167" fontId="8" fillId="0" borderId="0" xfId="0" applyNumberFormat="1" applyFont="1" applyBorder="1" applyAlignment="1" applyProtection="1">
      <alignment horizontal="center" shrinkToFit="1"/>
    </xf>
    <xf numFmtId="0" fontId="120" fillId="0" borderId="0" xfId="0" applyFont="1" applyBorder="1" applyAlignment="1">
      <alignment horizontal="center" wrapText="1"/>
    </xf>
    <xf numFmtId="173" fontId="8" fillId="0" borderId="0" xfId="0" applyNumberFormat="1" applyFont="1" applyBorder="1" applyAlignment="1">
      <alignment horizontal="center" shrinkToFit="1"/>
    </xf>
    <xf numFmtId="0" fontId="0" fillId="21" borderId="0" xfId="0" applyFill="1" applyBorder="1" applyAlignment="1">
      <alignment horizontal="center"/>
    </xf>
    <xf numFmtId="0" fontId="8" fillId="0" borderId="0" xfId="0" applyFont="1" applyBorder="1" applyAlignment="1">
      <alignment horizontal="center" shrinkToFit="1"/>
    </xf>
    <xf numFmtId="0" fontId="0" fillId="0" borderId="0" xfId="0" applyFill="1" applyBorder="1" applyAlignment="1">
      <alignment horizontal="center" shrinkToFit="1"/>
    </xf>
    <xf numFmtId="1" fontId="10" fillId="0" borderId="0" xfId="0" applyNumberFormat="1" applyFont="1" applyBorder="1" applyAlignment="1">
      <alignment horizontal="center" shrinkToFit="1"/>
    </xf>
    <xf numFmtId="167" fontId="10" fillId="0" borderId="0" xfId="0" applyNumberFormat="1" applyFont="1" applyBorder="1" applyAlignment="1">
      <alignment horizontal="center" shrinkToFit="1"/>
    </xf>
    <xf numFmtId="1" fontId="8" fillId="0" borderId="0" xfId="0" applyNumberFormat="1" applyFont="1" applyBorder="1" applyAlignment="1">
      <alignment horizontal="center"/>
    </xf>
    <xf numFmtId="0" fontId="0" fillId="0" borderId="0" xfId="0" applyBorder="1" applyAlignment="1" applyProtection="1">
      <alignment horizontal="center"/>
      <protection locked="0"/>
    </xf>
    <xf numFmtId="0" fontId="1" fillId="0" borderId="119" xfId="0" applyFont="1" applyFill="1" applyBorder="1"/>
    <xf numFmtId="0" fontId="70" fillId="0" borderId="0" xfId="0" applyFont="1" applyBorder="1" applyAlignment="1" applyProtection="1">
      <protection hidden="1"/>
    </xf>
    <xf numFmtId="0" fontId="8" fillId="0" borderId="0" xfId="0" applyFont="1" applyBorder="1" applyAlignment="1" applyProtection="1">
      <protection hidden="1"/>
    </xf>
    <xf numFmtId="0" fontId="70" fillId="0" borderId="0" xfId="0" applyFont="1" applyFill="1" applyBorder="1" applyAlignment="1" applyProtection="1">
      <alignment wrapText="1"/>
      <protection hidden="1"/>
    </xf>
    <xf numFmtId="0" fontId="70" fillId="0" borderId="0" xfId="0" applyFont="1" applyBorder="1" applyProtection="1">
      <protection hidden="1"/>
    </xf>
    <xf numFmtId="0" fontId="8" fillId="0" borderId="0" xfId="0" applyFont="1" applyBorder="1" applyProtection="1">
      <protection hidden="1"/>
    </xf>
    <xf numFmtId="0" fontId="135" fillId="0" borderId="0" xfId="0" applyFont="1" applyBorder="1" applyAlignment="1" applyProtection="1">
      <alignment vertical="center" wrapText="1"/>
      <protection hidden="1"/>
    </xf>
    <xf numFmtId="0" fontId="13" fillId="0" borderId="0" xfId="0" applyFont="1" applyAlignment="1">
      <alignment horizontal="center" vertical="center"/>
    </xf>
    <xf numFmtId="173" fontId="54" fillId="0" borderId="15" xfId="14" applyNumberFormat="1" applyFont="1" applyBorder="1" applyAlignment="1">
      <alignment horizontal="center"/>
    </xf>
    <xf numFmtId="0" fontId="20" fillId="0" borderId="20" xfId="14" applyFont="1" applyBorder="1" applyAlignment="1">
      <alignment horizontal="center"/>
    </xf>
    <xf numFmtId="0" fontId="20" fillId="0" borderId="2" xfId="14" applyFont="1" applyBorder="1" applyAlignment="1">
      <alignment horizontal="center"/>
    </xf>
    <xf numFmtId="0" fontId="33" fillId="0" borderId="14" xfId="14" applyBorder="1" applyAlignment="1">
      <alignment horizontal="center"/>
    </xf>
    <xf numFmtId="0" fontId="33" fillId="0" borderId="11" xfId="14" applyBorder="1" applyAlignment="1">
      <alignment horizontal="center"/>
    </xf>
    <xf numFmtId="0" fontId="20" fillId="0" borderId="15" xfId="14" applyFont="1" applyBorder="1" applyAlignment="1">
      <alignment horizontal="center"/>
    </xf>
    <xf numFmtId="0" fontId="33" fillId="0" borderId="1" xfId="14" applyBorder="1" applyAlignment="1">
      <alignment horizontal="center"/>
    </xf>
    <xf numFmtId="0" fontId="33" fillId="0" borderId="15" xfId="14" applyFont="1" applyBorder="1" applyAlignment="1">
      <alignment horizontal="center"/>
    </xf>
    <xf numFmtId="0" fontId="33" fillId="0" borderId="2" xfId="14" applyFont="1" applyBorder="1" applyAlignment="1">
      <alignment horizontal="center"/>
    </xf>
    <xf numFmtId="0" fontId="0" fillId="0" borderId="0" xfId="0" applyAlignment="1">
      <alignment horizontal="center"/>
    </xf>
    <xf numFmtId="0" fontId="124" fillId="0" borderId="0" xfId="0" applyFont="1" applyAlignment="1">
      <alignment horizontal="right" wrapText="1"/>
    </xf>
    <xf numFmtId="0" fontId="26" fillId="33" borderId="0" xfId="0" applyFont="1" applyFill="1" applyAlignment="1">
      <alignment horizontal="center" vertical="top" wrapText="1"/>
    </xf>
    <xf numFmtId="165" fontId="8" fillId="0" borderId="0" xfId="0" applyNumberFormat="1" applyFont="1" applyAlignment="1">
      <alignment horizontal="left"/>
    </xf>
    <xf numFmtId="0" fontId="8" fillId="0" borderId="0" xfId="0" applyFont="1" applyAlignment="1">
      <alignment horizontal="left"/>
    </xf>
    <xf numFmtId="0" fontId="86" fillId="0" borderId="0" xfId="0" applyFont="1" applyFill="1" applyAlignment="1">
      <alignment horizontal="left"/>
    </xf>
    <xf numFmtId="0" fontId="66" fillId="4" borderId="0" xfId="1" applyFont="1" applyFill="1" applyBorder="1" applyAlignment="1" applyProtection="1">
      <alignment horizontal="center" vertical="center" wrapText="1"/>
      <protection hidden="1"/>
    </xf>
    <xf numFmtId="0" fontId="5" fillId="4" borderId="0" xfId="1" applyFill="1" applyBorder="1" applyAlignment="1" applyProtection="1">
      <alignment horizontal="center" vertical="center" wrapText="1"/>
      <protection hidden="1"/>
    </xf>
    <xf numFmtId="0" fontId="5" fillId="4" borderId="35" xfId="1" applyFill="1" applyBorder="1" applyAlignment="1" applyProtection="1">
      <alignment horizontal="center" vertical="center" wrapText="1"/>
      <protection hidden="1"/>
    </xf>
    <xf numFmtId="0" fontId="126" fillId="17" borderId="36" xfId="1" applyFont="1" applyFill="1" applyBorder="1" applyAlignment="1" applyProtection="1">
      <alignment horizontal="center" vertical="center" wrapText="1"/>
      <protection hidden="1"/>
    </xf>
    <xf numFmtId="0" fontId="126" fillId="17" borderId="0" xfId="1" applyFont="1" applyFill="1" applyBorder="1" applyAlignment="1" applyProtection="1">
      <alignment horizontal="center" vertical="center" wrapText="1"/>
      <protection hidden="1"/>
    </xf>
    <xf numFmtId="0" fontId="126" fillId="17" borderId="73" xfId="1" applyFont="1" applyFill="1" applyBorder="1" applyAlignment="1" applyProtection="1">
      <alignment horizontal="center" vertical="center" wrapText="1"/>
      <protection hidden="1"/>
    </xf>
    <xf numFmtId="0" fontId="111" fillId="4" borderId="0" xfId="1" applyFont="1" applyFill="1" applyBorder="1" applyAlignment="1" applyProtection="1">
      <alignment horizontal="center" vertical="center" wrapText="1"/>
      <protection hidden="1"/>
    </xf>
    <xf numFmtId="0" fontId="112" fillId="4" borderId="0" xfId="1" applyFont="1" applyFill="1" applyBorder="1" applyAlignment="1" applyProtection="1">
      <alignment horizontal="center" vertical="center" wrapText="1"/>
      <protection hidden="1"/>
    </xf>
    <xf numFmtId="0" fontId="112" fillId="4" borderId="35" xfId="1" applyFont="1" applyFill="1" applyBorder="1" applyAlignment="1" applyProtection="1">
      <alignment horizontal="center" vertical="center" wrapText="1"/>
      <protection hidden="1"/>
    </xf>
    <xf numFmtId="0" fontId="107" fillId="4" borderId="0" xfId="1" applyFont="1" applyFill="1" applyBorder="1" applyAlignment="1" applyProtection="1">
      <alignment horizontal="center" vertical="center" wrapText="1"/>
      <protection hidden="1"/>
    </xf>
    <xf numFmtId="0" fontId="107" fillId="4" borderId="35" xfId="1" applyFont="1" applyFill="1" applyBorder="1" applyAlignment="1" applyProtection="1">
      <alignment horizontal="center" vertical="center" wrapText="1"/>
      <protection hidden="1"/>
    </xf>
    <xf numFmtId="0" fontId="22" fillId="0" borderId="0" xfId="0" applyFont="1" applyAlignment="1" applyProtection="1">
      <alignment horizontal="center" vertical="center" wrapText="1"/>
    </xf>
    <xf numFmtId="0" fontId="22" fillId="0" borderId="35" xfId="0" applyFont="1" applyBorder="1" applyAlignment="1" applyProtection="1">
      <alignment horizontal="center" vertical="center" wrapText="1"/>
    </xf>
    <xf numFmtId="0" fontId="122" fillId="0" borderId="36" xfId="0" applyFont="1" applyBorder="1" applyAlignment="1">
      <alignment horizontal="center" vertical="center"/>
    </xf>
    <xf numFmtId="0" fontId="122" fillId="0" borderId="0" xfId="0" applyFont="1" applyBorder="1" applyAlignment="1">
      <alignment horizontal="center" vertical="center"/>
    </xf>
    <xf numFmtId="0" fontId="35" fillId="0" borderId="0" xfId="0" applyFont="1" applyBorder="1" applyAlignment="1">
      <alignment horizontal="center" vertical="center" wrapText="1"/>
    </xf>
    <xf numFmtId="0" fontId="102" fillId="0" borderId="0" xfId="0" applyFont="1" applyBorder="1" applyAlignment="1">
      <alignment horizontal="center"/>
    </xf>
    <xf numFmtId="167" fontId="121" fillId="0" borderId="0" xfId="0" applyNumberFormat="1" applyFont="1" applyBorder="1" applyAlignment="1">
      <alignment horizontal="center"/>
    </xf>
    <xf numFmtId="0" fontId="68" fillId="0" borderId="0" xfId="0" applyFont="1" applyFill="1" applyBorder="1" applyAlignment="1">
      <alignment horizontal="center" vertical="top"/>
    </xf>
    <xf numFmtId="0" fontId="70" fillId="0" borderId="0" xfId="0" applyFont="1" applyAlignment="1">
      <alignment horizontal="left"/>
    </xf>
    <xf numFmtId="0" fontId="122" fillId="0" borderId="36" xfId="0" applyFont="1" applyBorder="1" applyAlignment="1" applyProtection="1">
      <alignment horizontal="center" vertical="center"/>
    </xf>
    <xf numFmtId="0" fontId="122" fillId="0" borderId="0" xfId="0" applyFont="1" applyBorder="1" applyAlignment="1" applyProtection="1">
      <alignment horizontal="center" vertical="center"/>
    </xf>
    <xf numFmtId="0" fontId="70" fillId="2" borderId="47" xfId="0" applyFont="1" applyFill="1" applyBorder="1" applyAlignment="1">
      <alignment horizontal="left" vertical="center" wrapText="1"/>
    </xf>
    <xf numFmtId="0" fontId="70" fillId="2" borderId="48" xfId="0" applyFont="1" applyFill="1" applyBorder="1" applyAlignment="1">
      <alignment horizontal="left" vertical="center" wrapText="1"/>
    </xf>
    <xf numFmtId="0" fontId="70" fillId="2" borderId="49" xfId="0" applyFont="1" applyFill="1" applyBorder="1" applyAlignment="1">
      <alignment horizontal="left" vertical="center" wrapText="1"/>
    </xf>
    <xf numFmtId="0" fontId="70" fillId="2" borderId="50" xfId="0" applyFont="1" applyFill="1" applyBorder="1" applyAlignment="1">
      <alignment horizontal="left" vertical="center" wrapText="1"/>
    </xf>
    <xf numFmtId="0" fontId="70" fillId="2" borderId="0" xfId="0" applyFont="1" applyFill="1" applyBorder="1" applyAlignment="1">
      <alignment horizontal="left" vertical="center" wrapText="1"/>
    </xf>
    <xf numFmtId="0" fontId="70" fillId="2" borderId="51" xfId="0" applyFont="1" applyFill="1" applyBorder="1" applyAlignment="1">
      <alignment horizontal="left" vertical="center" wrapText="1"/>
    </xf>
    <xf numFmtId="0" fontId="70" fillId="2" borderId="52" xfId="0" applyFont="1" applyFill="1" applyBorder="1" applyAlignment="1">
      <alignment horizontal="left" vertical="center" wrapText="1"/>
    </xf>
    <xf numFmtId="0" fontId="70" fillId="2" borderId="53" xfId="0" applyFont="1" applyFill="1" applyBorder="1" applyAlignment="1">
      <alignment horizontal="left" vertical="center" wrapText="1"/>
    </xf>
    <xf numFmtId="0" fontId="70" fillId="2" borderId="54" xfId="0" applyFont="1" applyFill="1" applyBorder="1" applyAlignment="1">
      <alignment horizontal="left" vertical="center" wrapText="1"/>
    </xf>
    <xf numFmtId="0" fontId="70" fillId="2" borderId="47" xfId="0" applyFont="1" applyFill="1" applyBorder="1" applyAlignment="1">
      <alignment horizontal="left" wrapText="1"/>
    </xf>
    <xf numFmtId="0" fontId="70" fillId="2" borderId="48" xfId="0" applyFont="1" applyFill="1" applyBorder="1" applyAlignment="1">
      <alignment horizontal="left" wrapText="1"/>
    </xf>
    <xf numFmtId="0" fontId="70" fillId="2" borderId="49" xfId="0" applyFont="1" applyFill="1" applyBorder="1" applyAlignment="1" applyProtection="1">
      <alignment horizontal="left" wrapText="1"/>
    </xf>
    <xf numFmtId="0" fontId="70" fillId="2" borderId="50" xfId="0" applyFont="1" applyFill="1" applyBorder="1" applyAlignment="1">
      <alignment horizontal="left" wrapText="1"/>
    </xf>
    <xf numFmtId="0" fontId="70" fillId="2" borderId="0" xfId="0" applyFont="1" applyFill="1" applyBorder="1" applyAlignment="1">
      <alignment horizontal="left" wrapText="1"/>
    </xf>
    <xf numFmtId="0" fontId="70" fillId="2" borderId="51" xfId="0" applyFont="1" applyFill="1" applyBorder="1" applyAlignment="1" applyProtection="1">
      <alignment horizontal="left" wrapText="1"/>
    </xf>
    <xf numFmtId="0" fontId="70" fillId="2" borderId="52" xfId="0" applyFont="1" applyFill="1" applyBorder="1" applyAlignment="1">
      <alignment horizontal="left" wrapText="1"/>
    </xf>
    <xf numFmtId="0" fontId="70" fillId="2" borderId="53" xfId="0" applyFont="1" applyFill="1" applyBorder="1" applyAlignment="1">
      <alignment horizontal="left" wrapText="1"/>
    </xf>
    <xf numFmtId="0" fontId="70" fillId="2" borderId="54" xfId="0" applyFont="1" applyFill="1" applyBorder="1" applyAlignment="1" applyProtection="1">
      <alignment horizontal="left" wrapText="1"/>
    </xf>
    <xf numFmtId="0" fontId="70" fillId="2" borderId="49" xfId="0" applyFont="1" applyFill="1" applyBorder="1" applyAlignment="1" applyProtection="1">
      <alignment horizontal="left" vertical="center" wrapText="1"/>
    </xf>
    <xf numFmtId="0" fontId="70" fillId="2" borderId="54" xfId="0" applyFont="1" applyFill="1" applyBorder="1" applyAlignment="1" applyProtection="1">
      <alignment horizontal="left" vertical="center" wrapText="1"/>
    </xf>
    <xf numFmtId="0" fontId="68" fillId="0" borderId="35" xfId="0" applyFont="1" applyFill="1" applyBorder="1" applyAlignment="1">
      <alignment horizontal="center" vertical="center"/>
    </xf>
    <xf numFmtId="9" fontId="121" fillId="0" borderId="0" xfId="0" applyNumberFormat="1" applyFont="1" applyBorder="1" applyAlignment="1">
      <alignment horizontal="center" vertical="center"/>
    </xf>
    <xf numFmtId="0" fontId="77" fillId="0" borderId="0" xfId="0" applyFont="1" applyAlignment="1">
      <alignment horizontal="center" vertical="center"/>
    </xf>
    <xf numFmtId="0" fontId="70" fillId="0" borderId="37" xfId="0" applyFont="1" applyBorder="1" applyAlignment="1" applyProtection="1">
      <alignment horizontal="left"/>
      <protection locked="0"/>
    </xf>
    <xf numFmtId="0" fontId="70" fillId="0" borderId="38" xfId="0" applyFont="1" applyBorder="1" applyAlignment="1" applyProtection="1">
      <alignment horizontal="left"/>
      <protection locked="0"/>
    </xf>
    <xf numFmtId="0" fontId="70" fillId="0" borderId="39" xfId="0" applyFont="1" applyBorder="1" applyAlignment="1" applyProtection="1">
      <alignment horizontal="left"/>
      <protection locked="0"/>
    </xf>
    <xf numFmtId="0" fontId="70" fillId="0" borderId="0" xfId="0" applyFont="1" applyBorder="1" applyAlignment="1">
      <alignment horizontal="left"/>
    </xf>
    <xf numFmtId="0" fontId="70" fillId="0" borderId="0" xfId="0" applyFont="1" applyBorder="1" applyAlignment="1" applyProtection="1">
      <alignment horizontal="left"/>
    </xf>
    <xf numFmtId="14" fontId="70" fillId="0" borderId="37" xfId="0" applyNumberFormat="1" applyFont="1" applyBorder="1" applyAlignment="1" applyProtection="1">
      <alignment horizontal="left"/>
      <protection locked="0"/>
    </xf>
    <xf numFmtId="14" fontId="70" fillId="0" borderId="38" xfId="0" applyNumberFormat="1" applyFont="1" applyBorder="1" applyAlignment="1" applyProtection="1">
      <alignment horizontal="left"/>
      <protection locked="0"/>
    </xf>
    <xf numFmtId="14" fontId="70" fillId="0" borderId="39" xfId="0" applyNumberFormat="1" applyFont="1" applyBorder="1" applyAlignment="1" applyProtection="1">
      <alignment horizontal="left"/>
      <protection locked="0"/>
    </xf>
    <xf numFmtId="0" fontId="5" fillId="0" borderId="37" xfId="1" applyBorder="1" applyAlignment="1" applyProtection="1">
      <alignment horizontal="left"/>
      <protection locked="0"/>
    </xf>
    <xf numFmtId="0" fontId="70" fillId="0" borderId="0" xfId="0" applyFont="1" applyAlignment="1">
      <alignment horizontal="center" vertical="top"/>
    </xf>
    <xf numFmtId="0" fontId="70" fillId="0" borderId="37" xfId="0" applyFont="1" applyBorder="1" applyAlignment="1" applyProtection="1">
      <alignment horizontal="center"/>
      <protection locked="0"/>
    </xf>
    <xf numFmtId="0" fontId="70" fillId="0" borderId="38" xfId="0" applyFont="1" applyBorder="1" applyAlignment="1" applyProtection="1">
      <alignment horizontal="center"/>
      <protection locked="0"/>
    </xf>
    <xf numFmtId="0" fontId="70" fillId="0" borderId="39" xfId="0" applyFont="1" applyBorder="1" applyAlignment="1" applyProtection="1">
      <alignment horizontal="center"/>
      <protection locked="0"/>
    </xf>
    <xf numFmtId="172" fontId="70" fillId="0" borderId="37" xfId="0" applyNumberFormat="1" applyFont="1" applyBorder="1" applyAlignment="1" applyProtection="1">
      <alignment horizontal="left"/>
      <protection locked="0"/>
    </xf>
    <xf numFmtId="172" fontId="70" fillId="0" borderId="38" xfId="0" applyNumberFormat="1" applyFont="1" applyBorder="1" applyAlignment="1" applyProtection="1">
      <alignment horizontal="left"/>
      <protection locked="0"/>
    </xf>
    <xf numFmtId="172" fontId="70" fillId="0" borderId="39" xfId="0" applyNumberFormat="1" applyFont="1" applyBorder="1" applyAlignment="1" applyProtection="1">
      <alignment horizontal="left"/>
      <protection locked="0"/>
    </xf>
    <xf numFmtId="0" fontId="70" fillId="0" borderId="0" xfId="0" applyFont="1" applyBorder="1" applyAlignment="1">
      <alignment horizontal="right"/>
    </xf>
    <xf numFmtId="0" fontId="70" fillId="0" borderId="37" xfId="0" applyFont="1" applyBorder="1" applyAlignment="1" applyProtection="1">
      <alignment horizontal="center"/>
      <protection locked="0" hidden="1"/>
    </xf>
    <xf numFmtId="0" fontId="70" fillId="0" borderId="38" xfId="0" applyFont="1" applyBorder="1" applyAlignment="1" applyProtection="1">
      <alignment horizontal="center"/>
      <protection locked="0" hidden="1"/>
    </xf>
    <xf numFmtId="0" fontId="70" fillId="0" borderId="39" xfId="0" applyFont="1" applyBorder="1" applyAlignment="1" applyProtection="1">
      <alignment horizontal="center"/>
      <protection locked="0" hidden="1"/>
    </xf>
    <xf numFmtId="0" fontId="70" fillId="0" borderId="0" xfId="0" applyFont="1" applyAlignment="1">
      <alignment horizontal="left" vertical="center"/>
    </xf>
    <xf numFmtId="167" fontId="72" fillId="0" borderId="36" xfId="0" applyNumberFormat="1" applyFont="1" applyBorder="1" applyAlignment="1">
      <alignment horizontal="center"/>
    </xf>
    <xf numFmtId="0" fontId="68" fillId="0" borderId="35" xfId="0" applyFont="1" applyFill="1" applyBorder="1" applyAlignment="1">
      <alignment horizontal="center" vertical="top"/>
    </xf>
    <xf numFmtId="0" fontId="70" fillId="0" borderId="0" xfId="0" applyFont="1" applyAlignment="1">
      <alignment horizontal="center" wrapText="1"/>
    </xf>
    <xf numFmtId="166" fontId="70" fillId="0" borderId="37" xfId="0" applyNumberFormat="1" applyFont="1" applyBorder="1" applyAlignment="1" applyProtection="1">
      <alignment horizontal="left"/>
      <protection locked="0"/>
    </xf>
    <xf numFmtId="166" fontId="70" fillId="0" borderId="38" xfId="0" applyNumberFormat="1" applyFont="1" applyBorder="1" applyAlignment="1" applyProtection="1">
      <alignment horizontal="left"/>
      <protection locked="0"/>
    </xf>
    <xf numFmtId="166" fontId="70" fillId="0" borderId="39" xfId="0" applyNumberFormat="1" applyFont="1" applyBorder="1" applyAlignment="1" applyProtection="1">
      <alignment horizontal="left"/>
      <protection locked="0"/>
    </xf>
    <xf numFmtId="0" fontId="70" fillId="0" borderId="37" xfId="0" applyNumberFormat="1" applyFont="1" applyBorder="1" applyAlignment="1" applyProtection="1">
      <alignment horizontal="left"/>
      <protection locked="0"/>
    </xf>
    <xf numFmtId="0" fontId="70" fillId="0" borderId="38" xfId="0" applyNumberFormat="1" applyFont="1" applyBorder="1" applyAlignment="1" applyProtection="1">
      <alignment horizontal="left"/>
      <protection locked="0"/>
    </xf>
    <xf numFmtId="0" fontId="70" fillId="0" borderId="39" xfId="0" applyNumberFormat="1" applyFont="1" applyBorder="1" applyAlignment="1" applyProtection="1">
      <alignment horizontal="left"/>
      <protection locked="0"/>
    </xf>
    <xf numFmtId="0" fontId="70" fillId="4" borderId="37" xfId="0" applyFont="1" applyFill="1" applyBorder="1" applyAlignment="1" applyProtection="1">
      <alignment horizontal="left"/>
      <protection locked="0" hidden="1"/>
    </xf>
    <xf numFmtId="0" fontId="70" fillId="4" borderId="38" xfId="0" applyFont="1" applyFill="1" applyBorder="1" applyAlignment="1" applyProtection="1">
      <alignment horizontal="left"/>
      <protection locked="0" hidden="1"/>
    </xf>
    <xf numFmtId="0" fontId="70" fillId="4" borderId="39" xfId="0" applyFont="1" applyFill="1" applyBorder="1" applyAlignment="1" applyProtection="1">
      <alignment horizontal="left"/>
      <protection locked="0" hidden="1"/>
    </xf>
    <xf numFmtId="0" fontId="70" fillId="0" borderId="37" xfId="0" applyFont="1" applyBorder="1" applyAlignment="1" applyProtection="1">
      <alignment horizontal="left"/>
    </xf>
    <xf numFmtId="0" fontId="70" fillId="0" borderId="38" xfId="0" applyFont="1" applyBorder="1" applyAlignment="1" applyProtection="1">
      <alignment horizontal="left"/>
    </xf>
    <xf numFmtId="0" fontId="70" fillId="0" borderId="39" xfId="0" applyFont="1" applyBorder="1" applyAlignment="1" applyProtection="1">
      <alignment horizontal="left"/>
    </xf>
    <xf numFmtId="0" fontId="70" fillId="4" borderId="0" xfId="0" applyFont="1" applyFill="1" applyAlignment="1" applyProtection="1">
      <alignment horizontal="left"/>
    </xf>
    <xf numFmtId="0" fontId="70" fillId="0" borderId="0" xfId="0" applyFont="1" applyAlignment="1" applyProtection="1">
      <alignment horizontal="left"/>
    </xf>
    <xf numFmtId="0" fontId="70" fillId="0" borderId="40" xfId="0" applyFont="1" applyBorder="1" applyAlignment="1" applyProtection="1">
      <alignment horizontal="left" vertical="top" wrapText="1"/>
      <protection locked="0"/>
    </xf>
    <xf numFmtId="0" fontId="70" fillId="0" borderId="41" xfId="0" applyFont="1" applyBorder="1" applyAlignment="1" applyProtection="1">
      <alignment horizontal="left" vertical="top" wrapText="1"/>
      <protection locked="0"/>
    </xf>
    <xf numFmtId="0" fontId="70" fillId="0" borderId="42" xfId="0" applyFont="1" applyBorder="1" applyAlignment="1" applyProtection="1">
      <alignment horizontal="left" vertical="top" wrapText="1"/>
      <protection locked="0"/>
    </xf>
    <xf numFmtId="0" fontId="70" fillId="0" borderId="43" xfId="0" applyFont="1" applyBorder="1" applyAlignment="1" applyProtection="1">
      <alignment horizontal="left" vertical="top" wrapText="1"/>
      <protection locked="0"/>
    </xf>
    <xf numFmtId="0" fontId="70" fillId="0" borderId="0" xfId="0" applyFont="1" applyBorder="1" applyAlignment="1" applyProtection="1">
      <alignment horizontal="left" vertical="top" wrapText="1"/>
      <protection locked="0"/>
    </xf>
    <xf numFmtId="0" fontId="70" fillId="0" borderId="44" xfId="0" applyFont="1" applyBorder="1" applyAlignment="1" applyProtection="1">
      <alignment horizontal="left" vertical="top" wrapText="1"/>
      <protection locked="0"/>
    </xf>
    <xf numFmtId="0" fontId="70" fillId="0" borderId="45" xfId="0" applyFont="1" applyBorder="1" applyAlignment="1" applyProtection="1">
      <alignment horizontal="left" vertical="top" wrapText="1"/>
      <protection locked="0"/>
    </xf>
    <xf numFmtId="0" fontId="70" fillId="0" borderId="35" xfId="0" applyFont="1" applyBorder="1" applyAlignment="1" applyProtection="1">
      <alignment horizontal="left" vertical="top" wrapText="1"/>
      <protection locked="0"/>
    </xf>
    <xf numFmtId="0" fontId="70" fillId="0" borderId="46" xfId="0" applyFont="1" applyBorder="1" applyAlignment="1" applyProtection="1">
      <alignment horizontal="left" vertical="top" wrapText="1"/>
      <protection locked="0"/>
    </xf>
    <xf numFmtId="3" fontId="70" fillId="0" borderId="37" xfId="0" applyNumberFormat="1" applyFont="1" applyBorder="1" applyAlignment="1" applyProtection="1">
      <alignment horizontal="left"/>
      <protection locked="0"/>
    </xf>
    <xf numFmtId="3" fontId="70" fillId="0" borderId="38" xfId="0" applyNumberFormat="1" applyFont="1" applyBorder="1" applyAlignment="1" applyProtection="1">
      <alignment horizontal="left"/>
      <protection locked="0"/>
    </xf>
    <xf numFmtId="3" fontId="70" fillId="0" borderId="39" xfId="0" applyNumberFormat="1" applyFont="1" applyBorder="1" applyAlignment="1" applyProtection="1">
      <alignment horizontal="left"/>
      <protection locked="0"/>
    </xf>
    <xf numFmtId="176" fontId="70" fillId="5" borderId="37" xfId="0" applyNumberFormat="1" applyFont="1" applyFill="1" applyBorder="1" applyAlignment="1" applyProtection="1">
      <alignment horizontal="left"/>
      <protection locked="0" hidden="1"/>
    </xf>
    <xf numFmtId="176" fontId="70" fillId="5" borderId="38" xfId="0" applyNumberFormat="1" applyFont="1" applyFill="1" applyBorder="1" applyAlignment="1" applyProtection="1">
      <alignment horizontal="left"/>
      <protection locked="0" hidden="1"/>
    </xf>
    <xf numFmtId="176" fontId="70" fillId="5" borderId="39" xfId="0" applyNumberFormat="1" applyFont="1" applyFill="1" applyBorder="1" applyAlignment="1" applyProtection="1">
      <alignment horizontal="left"/>
      <protection locked="0" hidden="1"/>
    </xf>
    <xf numFmtId="172" fontId="70" fillId="4" borderId="37" xfId="0" applyNumberFormat="1" applyFont="1" applyFill="1" applyBorder="1" applyAlignment="1" applyProtection="1">
      <alignment horizontal="left"/>
      <protection locked="0" hidden="1"/>
    </xf>
    <xf numFmtId="172" fontId="70" fillId="4" borderId="38" xfId="0" applyNumberFormat="1" applyFont="1" applyFill="1" applyBorder="1" applyAlignment="1" applyProtection="1">
      <alignment horizontal="left"/>
      <protection locked="0" hidden="1"/>
    </xf>
    <xf numFmtId="172" fontId="70" fillId="4" borderId="39" xfId="0" applyNumberFormat="1" applyFont="1" applyFill="1" applyBorder="1" applyAlignment="1" applyProtection="1">
      <alignment horizontal="left"/>
      <protection locked="0" hidden="1"/>
    </xf>
    <xf numFmtId="0" fontId="5" fillId="0" borderId="37" xfId="1" applyBorder="1" applyAlignment="1" applyProtection="1">
      <alignment horizontal="left"/>
      <protection locked="0" hidden="1"/>
    </xf>
    <xf numFmtId="0" fontId="70" fillId="0" borderId="38" xfId="0" applyFont="1" applyBorder="1" applyAlignment="1" applyProtection="1">
      <alignment horizontal="left"/>
      <protection locked="0" hidden="1"/>
    </xf>
    <xf numFmtId="0" fontId="70" fillId="0" borderId="39" xfId="0" applyFont="1" applyBorder="1" applyAlignment="1" applyProtection="1">
      <alignment horizontal="left"/>
      <protection locked="0" hidden="1"/>
    </xf>
    <xf numFmtId="0" fontId="70" fillId="0" borderId="0" xfId="0" applyFont="1" applyAlignment="1" applyProtection="1">
      <alignment horizontal="center" vertical="top"/>
    </xf>
    <xf numFmtId="0" fontId="70" fillId="0" borderId="0" xfId="0" applyFont="1" applyBorder="1" applyAlignment="1" applyProtection="1">
      <alignment horizontal="center" vertical="top"/>
    </xf>
    <xf numFmtId="0" fontId="70" fillId="5" borderId="37" xfId="0" applyFont="1" applyFill="1" applyBorder="1" applyAlignment="1" applyProtection="1">
      <alignment horizontal="left"/>
      <protection hidden="1"/>
    </xf>
    <xf numFmtId="0" fontId="70" fillId="5" borderId="38" xfId="0" applyFont="1" applyFill="1" applyBorder="1" applyAlignment="1" applyProtection="1">
      <alignment horizontal="left"/>
      <protection hidden="1"/>
    </xf>
    <xf numFmtId="0" fontId="70" fillId="5" borderId="39" xfId="0" applyFont="1" applyFill="1" applyBorder="1" applyAlignment="1" applyProtection="1">
      <alignment horizontal="left"/>
      <protection hidden="1"/>
    </xf>
    <xf numFmtId="0" fontId="70" fillId="4" borderId="37" xfId="0" applyFont="1" applyFill="1" applyBorder="1" applyAlignment="1" applyProtection="1">
      <alignment horizontal="left"/>
      <protection locked="0"/>
    </xf>
    <xf numFmtId="0" fontId="70" fillId="4" borderId="38" xfId="0" applyFont="1" applyFill="1" applyBorder="1" applyAlignment="1" applyProtection="1">
      <alignment horizontal="left"/>
      <protection locked="0"/>
    </xf>
    <xf numFmtId="0" fontId="70" fillId="4" borderId="39" xfId="0" applyFont="1" applyFill="1" applyBorder="1" applyAlignment="1" applyProtection="1">
      <alignment horizontal="left"/>
      <protection locked="0"/>
    </xf>
    <xf numFmtId="0" fontId="70" fillId="0" borderId="0" xfId="0" applyFont="1" applyAlignment="1" applyProtection="1">
      <alignment horizontal="center" wrapText="1"/>
    </xf>
    <xf numFmtId="0" fontId="70" fillId="4" borderId="0" xfId="0" applyFont="1" applyFill="1" applyBorder="1" applyAlignment="1" applyProtection="1">
      <alignment horizontal="left"/>
    </xf>
    <xf numFmtId="167" fontId="72" fillId="0" borderId="36" xfId="0" applyNumberFormat="1" applyFont="1" applyBorder="1" applyAlignment="1" applyProtection="1">
      <alignment horizontal="center"/>
    </xf>
    <xf numFmtId="167" fontId="121" fillId="0" borderId="0" xfId="0" applyNumberFormat="1" applyFont="1" applyBorder="1" applyAlignment="1" applyProtection="1">
      <alignment horizontal="center"/>
    </xf>
    <xf numFmtId="0" fontId="68" fillId="0" borderId="0" xfId="0" applyFont="1" applyFill="1" applyBorder="1" applyAlignment="1" applyProtection="1">
      <alignment horizontal="center" vertical="top"/>
    </xf>
    <xf numFmtId="0" fontId="68" fillId="0" borderId="35" xfId="0" applyFont="1" applyFill="1" applyBorder="1" applyAlignment="1" applyProtection="1">
      <alignment horizontal="center" vertical="top"/>
    </xf>
    <xf numFmtId="0" fontId="81" fillId="0" borderId="0" xfId="1" applyFont="1" applyAlignment="1">
      <alignment horizontal="center" vertical="center" wrapText="1"/>
    </xf>
    <xf numFmtId="0" fontId="70" fillId="0" borderId="0" xfId="0" applyFont="1" applyBorder="1" applyAlignment="1">
      <alignment horizontal="center" vertical="top"/>
    </xf>
    <xf numFmtId="0" fontId="108" fillId="0" borderId="111" xfId="0" applyFont="1" applyBorder="1" applyAlignment="1" applyProtection="1">
      <alignment horizontal="center" wrapText="1"/>
      <protection locked="0"/>
    </xf>
    <xf numFmtId="0" fontId="108" fillId="0" borderId="115" xfId="0" applyFont="1" applyBorder="1" applyAlignment="1" applyProtection="1">
      <alignment horizontal="center" wrapText="1"/>
      <protection locked="0"/>
    </xf>
    <xf numFmtId="0" fontId="108" fillId="0" borderId="112" xfId="0" applyFont="1" applyBorder="1" applyAlignment="1" applyProtection="1">
      <alignment horizontal="center" wrapText="1"/>
      <protection locked="0"/>
    </xf>
    <xf numFmtId="0" fontId="108" fillId="0" borderId="108" xfId="0" applyFont="1" applyBorder="1" applyAlignment="1" applyProtection="1">
      <alignment horizontal="center" wrapText="1"/>
      <protection locked="0"/>
    </xf>
    <xf numFmtId="0" fontId="108" fillId="0" borderId="109" xfId="0" applyFont="1" applyBorder="1" applyAlignment="1" applyProtection="1">
      <alignment horizontal="center" wrapText="1"/>
      <protection locked="0"/>
    </xf>
    <xf numFmtId="0" fontId="108" fillId="0" borderId="110" xfId="0" applyFont="1" applyBorder="1" applyAlignment="1" applyProtection="1">
      <alignment horizontal="center" wrapText="1"/>
      <protection locked="0"/>
    </xf>
    <xf numFmtId="0" fontId="108" fillId="0" borderId="105" xfId="0" applyFont="1" applyBorder="1" applyAlignment="1" applyProtection="1">
      <alignment horizontal="center" wrapText="1"/>
      <protection locked="0"/>
    </xf>
    <xf numFmtId="0" fontId="108" fillId="0" borderId="106" xfId="0" applyFont="1" applyBorder="1" applyAlignment="1" applyProtection="1">
      <alignment horizontal="center" wrapText="1"/>
      <protection locked="0"/>
    </xf>
    <xf numFmtId="0" fontId="108" fillId="0" borderId="107" xfId="0" applyFont="1" applyBorder="1" applyAlignment="1" applyProtection="1">
      <alignment horizontal="center" wrapText="1"/>
      <protection locked="0"/>
    </xf>
    <xf numFmtId="0" fontId="108" fillId="0" borderId="0" xfId="0" applyFont="1" applyBorder="1" applyAlignment="1">
      <alignment horizontal="center" wrapText="1"/>
    </xf>
    <xf numFmtId="0" fontId="108" fillId="0" borderId="72" xfId="0" applyFont="1" applyBorder="1" applyAlignment="1">
      <alignment horizontal="center" wrapText="1"/>
    </xf>
    <xf numFmtId="0" fontId="134" fillId="0" borderId="111" xfId="0" applyFont="1" applyBorder="1" applyAlignment="1" applyProtection="1">
      <alignment horizontal="center" wrapText="1"/>
      <protection locked="0"/>
    </xf>
    <xf numFmtId="0" fontId="134" fillId="0" borderId="115" xfId="0" applyFont="1" applyBorder="1" applyAlignment="1" applyProtection="1">
      <alignment horizontal="center" wrapText="1"/>
      <protection locked="0"/>
    </xf>
    <xf numFmtId="0" fontId="134" fillId="0" borderId="105" xfId="0" applyFont="1" applyBorder="1" applyAlignment="1" applyProtection="1">
      <alignment horizontal="center" wrapText="1"/>
      <protection locked="0"/>
    </xf>
    <xf numFmtId="0" fontId="134" fillId="0" borderId="106" xfId="0" applyFont="1" applyBorder="1" applyAlignment="1" applyProtection="1">
      <alignment horizontal="center" wrapText="1"/>
      <protection locked="0"/>
    </xf>
    <xf numFmtId="0" fontId="134" fillId="0" borderId="108" xfId="0" applyFont="1" applyBorder="1" applyAlignment="1" applyProtection="1">
      <alignment horizontal="center" wrapText="1"/>
      <protection locked="0"/>
    </xf>
    <xf numFmtId="0" fontId="134" fillId="0" borderId="109" xfId="0" applyFont="1" applyBorder="1" applyAlignment="1" applyProtection="1">
      <alignment horizontal="center" wrapText="1"/>
      <protection locked="0"/>
    </xf>
    <xf numFmtId="0" fontId="134" fillId="0" borderId="110" xfId="0" applyFont="1" applyBorder="1" applyAlignment="1" applyProtection="1">
      <alignment horizontal="center" wrapText="1"/>
      <protection locked="0"/>
    </xf>
    <xf numFmtId="0" fontId="134" fillId="0" borderId="107" xfId="0" applyFont="1" applyBorder="1" applyAlignment="1" applyProtection="1">
      <alignment horizontal="center" wrapText="1"/>
      <protection locked="0"/>
    </xf>
    <xf numFmtId="173" fontId="8" fillId="0" borderId="71" xfId="0" applyNumberFormat="1" applyFont="1" applyFill="1" applyBorder="1" applyAlignment="1">
      <alignment horizontal="center" shrinkToFit="1"/>
    </xf>
    <xf numFmtId="173" fontId="8" fillId="0" borderId="70" xfId="0" applyNumberFormat="1" applyFont="1" applyFill="1" applyBorder="1" applyAlignment="1">
      <alignment horizontal="center" shrinkToFit="1"/>
    </xf>
    <xf numFmtId="1" fontId="8" fillId="0" borderId="71" xfId="0" applyNumberFormat="1" applyFont="1" applyBorder="1" applyAlignment="1">
      <alignment horizontal="center" shrinkToFit="1"/>
    </xf>
    <xf numFmtId="1" fontId="8" fillId="0" borderId="70" xfId="0" applyNumberFormat="1" applyFont="1" applyBorder="1" applyAlignment="1">
      <alignment horizontal="center" shrinkToFit="1"/>
    </xf>
    <xf numFmtId="173" fontId="8" fillId="0" borderId="71" xfId="0" applyNumberFormat="1" applyFont="1" applyBorder="1" applyAlignment="1">
      <alignment horizontal="center" shrinkToFit="1"/>
    </xf>
    <xf numFmtId="173" fontId="8" fillId="0" borderId="70" xfId="0" applyNumberFormat="1" applyFont="1" applyBorder="1" applyAlignment="1">
      <alignment horizontal="center" shrinkToFit="1"/>
    </xf>
    <xf numFmtId="167" fontId="8" fillId="0" borderId="71" xfId="0" applyNumberFormat="1" applyFont="1" applyBorder="1" applyAlignment="1">
      <alignment horizontal="center" shrinkToFit="1"/>
    </xf>
    <xf numFmtId="167" fontId="8" fillId="0" borderId="70" xfId="0" applyNumberFormat="1" applyFont="1" applyBorder="1" applyAlignment="1">
      <alignment horizontal="center" shrinkToFit="1"/>
    </xf>
    <xf numFmtId="0" fontId="8" fillId="0" borderId="71" xfId="0" applyFont="1" applyBorder="1" applyAlignment="1">
      <alignment horizontal="center"/>
    </xf>
    <xf numFmtId="0" fontId="8" fillId="0" borderId="70" xfId="0" applyFont="1" applyBorder="1" applyAlignment="1">
      <alignment horizontal="center"/>
    </xf>
    <xf numFmtId="0" fontId="8" fillId="0" borderId="0" xfId="0" applyFont="1" applyBorder="1" applyAlignment="1">
      <alignment horizontal="center" wrapText="1"/>
    </xf>
    <xf numFmtId="0" fontId="8" fillId="0" borderId="72" xfId="0" applyFont="1" applyBorder="1" applyAlignment="1">
      <alignment horizontal="center" wrapText="1"/>
    </xf>
    <xf numFmtId="0" fontId="10" fillId="0" borderId="0" xfId="0" applyFont="1" applyBorder="1" applyAlignment="1" applyProtection="1">
      <alignment horizontal="center" wrapText="1"/>
    </xf>
    <xf numFmtId="0" fontId="10" fillId="0" borderId="72" xfId="0" applyFont="1" applyBorder="1" applyAlignment="1" applyProtection="1">
      <alignment horizontal="center" wrapText="1"/>
    </xf>
    <xf numFmtId="0" fontId="68" fillId="0" borderId="0" xfId="0" applyFont="1" applyBorder="1" applyAlignment="1">
      <alignment horizontal="center" vertical="top" wrapText="1"/>
    </xf>
    <xf numFmtId="0" fontId="8" fillId="0" borderId="0" xfId="0" applyFont="1" applyBorder="1" applyAlignment="1">
      <alignment horizontal="center"/>
    </xf>
    <xf numFmtId="167" fontId="0" fillId="0" borderId="70" xfId="0" applyNumberFormat="1" applyBorder="1" applyAlignment="1">
      <alignment horizontal="center"/>
    </xf>
    <xf numFmtId="1" fontId="0" fillId="0" borderId="70" xfId="0" applyNumberFormat="1" applyBorder="1" applyAlignment="1">
      <alignment horizontal="center"/>
    </xf>
    <xf numFmtId="173" fontId="0" fillId="0" borderId="70" xfId="0" applyNumberFormat="1" applyBorder="1" applyAlignment="1">
      <alignment horizontal="center"/>
    </xf>
    <xf numFmtId="0" fontId="108" fillId="0" borderId="71" xfId="0" applyFont="1" applyBorder="1" applyAlignment="1" applyProtection="1">
      <alignment horizontal="center"/>
      <protection locked="0"/>
    </xf>
    <xf numFmtId="0" fontId="108" fillId="0" borderId="70" xfId="0" applyFont="1" applyBorder="1" applyAlignment="1" applyProtection="1">
      <alignment horizontal="center"/>
      <protection locked="0"/>
    </xf>
    <xf numFmtId="167" fontId="108" fillId="0" borderId="135" xfId="0" applyNumberFormat="1" applyFont="1" applyBorder="1" applyAlignment="1" applyProtection="1">
      <alignment horizontal="center" shrinkToFit="1"/>
      <protection locked="0"/>
    </xf>
    <xf numFmtId="167" fontId="108" fillId="0" borderId="70" xfId="0" applyNumberFormat="1" applyFont="1" applyBorder="1" applyAlignment="1" applyProtection="1">
      <alignment horizontal="center" shrinkToFit="1"/>
      <protection locked="0"/>
    </xf>
    <xf numFmtId="167" fontId="108" fillId="0" borderId="138" xfId="0" applyNumberFormat="1" applyFont="1" applyBorder="1" applyAlignment="1" applyProtection="1">
      <alignment horizontal="center" shrinkToFit="1"/>
      <protection locked="0"/>
    </xf>
    <xf numFmtId="0" fontId="108" fillId="0" borderId="108" xfId="0" applyFont="1" applyBorder="1" applyAlignment="1" applyProtection="1">
      <alignment horizontal="center"/>
      <protection locked="0"/>
    </xf>
    <xf numFmtId="0" fontId="108" fillId="0" borderId="110" xfId="0" applyFont="1" applyBorder="1" applyAlignment="1" applyProtection="1">
      <alignment horizontal="center"/>
      <protection locked="0"/>
    </xf>
    <xf numFmtId="0" fontId="108" fillId="0" borderId="105" xfId="0" applyFont="1" applyBorder="1" applyAlignment="1" applyProtection="1">
      <alignment horizontal="center"/>
      <protection locked="0"/>
    </xf>
    <xf numFmtId="0" fontId="108" fillId="0" borderId="107" xfId="0" applyFont="1" applyBorder="1" applyAlignment="1" applyProtection="1">
      <alignment horizontal="center"/>
      <protection locked="0"/>
    </xf>
    <xf numFmtId="167" fontId="108" fillId="0" borderId="162" xfId="0" applyNumberFormat="1" applyFont="1" applyBorder="1" applyAlignment="1" applyProtection="1">
      <alignment horizontal="center" shrinkToFit="1"/>
      <protection locked="0"/>
    </xf>
    <xf numFmtId="167" fontId="108" fillId="0" borderId="110" xfId="0" applyNumberFormat="1" applyFont="1" applyBorder="1" applyAlignment="1" applyProtection="1">
      <alignment horizontal="center" shrinkToFit="1"/>
      <protection locked="0"/>
    </xf>
    <xf numFmtId="167" fontId="108" fillId="0" borderId="163" xfId="0" applyNumberFormat="1" applyFont="1" applyBorder="1" applyAlignment="1" applyProtection="1">
      <alignment horizontal="center" shrinkToFit="1"/>
      <protection locked="0"/>
    </xf>
    <xf numFmtId="167" fontId="108" fillId="0" borderId="107" xfId="0" applyNumberFormat="1" applyFont="1" applyBorder="1" applyAlignment="1" applyProtection="1">
      <alignment horizontal="center" shrinkToFit="1"/>
      <protection locked="0"/>
    </xf>
    <xf numFmtId="167" fontId="108" fillId="0" borderId="108" xfId="0" applyNumberFormat="1" applyFont="1" applyBorder="1" applyAlignment="1" applyProtection="1">
      <alignment horizontal="center" shrinkToFit="1"/>
      <protection locked="0"/>
    </xf>
    <xf numFmtId="167" fontId="108" fillId="0" borderId="160" xfId="0" applyNumberFormat="1" applyFont="1" applyBorder="1" applyAlignment="1" applyProtection="1">
      <alignment horizontal="center" shrinkToFit="1"/>
      <protection locked="0"/>
    </xf>
    <xf numFmtId="167" fontId="108" fillId="0" borderId="105" xfId="0" applyNumberFormat="1" applyFont="1" applyBorder="1" applyAlignment="1" applyProtection="1">
      <alignment horizontal="center" shrinkToFit="1"/>
      <protection locked="0"/>
    </xf>
    <xf numFmtId="167" fontId="108" fillId="0" borderId="161" xfId="0" applyNumberFormat="1" applyFont="1" applyBorder="1" applyAlignment="1" applyProtection="1">
      <alignment horizontal="center" shrinkToFit="1"/>
      <protection locked="0"/>
    </xf>
    <xf numFmtId="0" fontId="108" fillId="0" borderId="160" xfId="0" applyFont="1" applyBorder="1" applyAlignment="1" applyProtection="1">
      <alignment horizontal="center" wrapText="1"/>
      <protection locked="0"/>
    </xf>
    <xf numFmtId="0" fontId="108" fillId="0" borderId="161" xfId="0" applyFont="1" applyBorder="1" applyAlignment="1" applyProtection="1">
      <alignment horizontal="center" wrapText="1"/>
      <protection locked="0"/>
    </xf>
    <xf numFmtId="184" fontId="108" fillId="0" borderId="71" xfId="0" applyNumberFormat="1" applyFont="1" applyBorder="1" applyAlignment="1" applyProtection="1">
      <alignment horizontal="center" shrinkToFit="1"/>
      <protection locked="0" hidden="1"/>
    </xf>
    <xf numFmtId="184" fontId="108" fillId="0" borderId="70" xfId="0" applyNumberFormat="1" applyFont="1" applyBorder="1" applyAlignment="1" applyProtection="1">
      <alignment horizontal="center" shrinkToFit="1"/>
      <protection locked="0" hidden="1"/>
    </xf>
    <xf numFmtId="185" fontId="108" fillId="0" borderId="70" xfId="0" applyNumberFormat="1" applyFont="1" applyBorder="1" applyAlignment="1" applyProtection="1">
      <alignment horizontal="center" shrinkToFit="1"/>
      <protection locked="0" hidden="1"/>
    </xf>
    <xf numFmtId="0" fontId="108" fillId="0" borderId="71" xfId="0" applyFont="1" applyBorder="1" applyAlignment="1" applyProtection="1">
      <alignment horizontal="center" shrinkToFit="1"/>
      <protection locked="0"/>
    </xf>
    <xf numFmtId="0" fontId="108" fillId="0" borderId="70" xfId="0" applyFont="1" applyBorder="1" applyAlignment="1" applyProtection="1">
      <alignment horizontal="center" shrinkToFit="1"/>
      <protection locked="0"/>
    </xf>
    <xf numFmtId="167" fontId="108" fillId="0" borderId="153" xfId="0" applyNumberFormat="1" applyFont="1" applyBorder="1" applyAlignment="1" applyProtection="1">
      <alignment horizontal="center" shrinkToFit="1"/>
      <protection locked="0"/>
    </xf>
    <xf numFmtId="167" fontId="108" fillId="0" borderId="71" xfId="0" applyNumberFormat="1" applyFont="1" applyBorder="1" applyAlignment="1" applyProtection="1">
      <alignment horizontal="center" shrinkToFit="1"/>
      <protection locked="0"/>
    </xf>
    <xf numFmtId="167" fontId="108" fillId="0" borderId="154" xfId="0" applyNumberFormat="1" applyFont="1" applyBorder="1" applyAlignment="1" applyProtection="1">
      <alignment horizontal="center" shrinkToFit="1"/>
      <protection locked="0"/>
    </xf>
    <xf numFmtId="0" fontId="108" fillId="0" borderId="108" xfId="0" applyFont="1" applyBorder="1" applyAlignment="1" applyProtection="1">
      <alignment horizontal="center" shrinkToFit="1"/>
      <protection locked="0"/>
    </xf>
    <xf numFmtId="0" fontId="108" fillId="0" borderId="110" xfId="0" applyFont="1" applyBorder="1" applyAlignment="1" applyProtection="1">
      <alignment horizontal="center" shrinkToFit="1"/>
      <protection locked="0"/>
    </xf>
    <xf numFmtId="0" fontId="108" fillId="0" borderId="105" xfId="0" applyFont="1" applyBorder="1" applyAlignment="1" applyProtection="1">
      <alignment horizontal="center" shrinkToFit="1"/>
      <protection locked="0"/>
    </xf>
    <xf numFmtId="0" fontId="108" fillId="0" borderId="107" xfId="0" applyFont="1" applyBorder="1" applyAlignment="1" applyProtection="1">
      <alignment horizontal="center" shrinkToFit="1"/>
      <protection locked="0"/>
    </xf>
    <xf numFmtId="167" fontId="109" fillId="11" borderId="153" xfId="0" applyNumberFormat="1" applyFont="1" applyFill="1" applyBorder="1" applyAlignment="1">
      <alignment horizontal="center" wrapText="1"/>
    </xf>
    <xf numFmtId="167" fontId="109" fillId="11" borderId="71" xfId="0" applyNumberFormat="1" applyFont="1" applyFill="1" applyBorder="1" applyAlignment="1">
      <alignment horizontal="center" wrapText="1"/>
    </xf>
    <xf numFmtId="167" fontId="109" fillId="11" borderId="135" xfId="0" applyNumberFormat="1" applyFont="1" applyFill="1" applyBorder="1" applyAlignment="1">
      <alignment horizontal="center" wrapText="1"/>
    </xf>
    <xf numFmtId="167" fontId="109" fillId="11" borderId="70" xfId="0" applyNumberFormat="1" applyFont="1" applyFill="1" applyBorder="1" applyAlignment="1">
      <alignment horizontal="center" wrapText="1"/>
    </xf>
    <xf numFmtId="170" fontId="109" fillId="11" borderId="71" xfId="0" applyNumberFormat="1" applyFont="1" applyFill="1" applyBorder="1" applyAlignment="1">
      <alignment horizontal="center" shrinkToFit="1"/>
    </xf>
    <xf numFmtId="170" fontId="109" fillId="11" borderId="70" xfId="0" applyNumberFormat="1" applyFont="1" applyFill="1" applyBorder="1" applyAlignment="1">
      <alignment horizontal="center" shrinkToFit="1"/>
    </xf>
    <xf numFmtId="167" fontId="109" fillId="11" borderId="71" xfId="0" applyNumberFormat="1" applyFont="1" applyFill="1" applyBorder="1" applyAlignment="1" applyProtection="1">
      <alignment horizontal="center" wrapText="1"/>
    </xf>
    <xf numFmtId="167" fontId="109" fillId="11" borderId="70" xfId="0" applyNumberFormat="1" applyFont="1" applyFill="1" applyBorder="1" applyAlignment="1" applyProtection="1">
      <alignment horizontal="center" wrapText="1"/>
    </xf>
    <xf numFmtId="0" fontId="108" fillId="0" borderId="70" xfId="0" applyFont="1" applyBorder="1" applyAlignment="1" applyProtection="1">
      <alignment horizontal="center" wrapText="1"/>
      <protection locked="0"/>
    </xf>
    <xf numFmtId="164" fontId="8" fillId="0" borderId="0" xfId="0" applyNumberFormat="1" applyFont="1" applyBorder="1" applyAlignment="1">
      <alignment horizontal="right" vertical="center"/>
    </xf>
    <xf numFmtId="0" fontId="108" fillId="0" borderId="71" xfId="0" applyFont="1" applyBorder="1" applyAlignment="1" applyProtection="1">
      <alignment horizontal="center" wrapText="1"/>
      <protection locked="0"/>
    </xf>
    <xf numFmtId="0" fontId="108" fillId="0" borderId="0" xfId="0" applyFont="1" applyBorder="1" applyAlignment="1">
      <alignment horizontal="center"/>
    </xf>
    <xf numFmtId="0" fontId="108" fillId="0" borderId="0" xfId="0" applyFont="1" applyBorder="1" applyAlignment="1" applyProtection="1">
      <alignment horizontal="center" wrapText="1"/>
    </xf>
    <xf numFmtId="0" fontId="108" fillId="0" borderId="72" xfId="0" applyFont="1" applyBorder="1" applyAlignment="1" applyProtection="1">
      <alignment horizontal="center" wrapText="1"/>
    </xf>
    <xf numFmtId="0" fontId="124" fillId="17" borderId="36" xfId="0" applyFont="1" applyFill="1" applyBorder="1" applyAlignment="1" applyProtection="1">
      <alignment horizontal="center" vertical="center" wrapText="1"/>
      <protection hidden="1"/>
    </xf>
    <xf numFmtId="0" fontId="125" fillId="17" borderId="36" xfId="0" applyFont="1" applyFill="1" applyBorder="1" applyAlignment="1" applyProtection="1">
      <alignment horizontal="center" vertical="center" wrapText="1"/>
      <protection hidden="1"/>
    </xf>
    <xf numFmtId="0" fontId="125" fillId="17" borderId="0" xfId="0" applyFont="1" applyFill="1" applyBorder="1" applyAlignment="1" applyProtection="1">
      <alignment horizontal="center" vertical="center" wrapText="1"/>
      <protection hidden="1"/>
    </xf>
    <xf numFmtId="0" fontId="85" fillId="37" borderId="36" xfId="1" applyFont="1" applyFill="1" applyBorder="1" applyAlignment="1" applyProtection="1">
      <alignment horizontal="center" vertical="center" wrapText="1"/>
      <protection hidden="1"/>
    </xf>
    <xf numFmtId="0" fontId="85" fillId="37" borderId="0" xfId="1" applyFont="1" applyFill="1" applyBorder="1" applyAlignment="1" applyProtection="1">
      <alignment horizontal="center" vertical="center" wrapText="1"/>
      <protection hidden="1"/>
    </xf>
    <xf numFmtId="170" fontId="128" fillId="0" borderId="0" xfId="0" applyNumberFormat="1" applyFont="1" applyBorder="1" applyAlignment="1">
      <alignment horizontal="center"/>
    </xf>
    <xf numFmtId="167" fontId="128" fillId="0" borderId="0" xfId="0" applyNumberFormat="1" applyFont="1" applyBorder="1" applyAlignment="1">
      <alignment horizontal="center"/>
    </xf>
    <xf numFmtId="0" fontId="108" fillId="0" borderId="158" xfId="0" applyFont="1" applyBorder="1" applyAlignment="1" applyProtection="1">
      <alignment horizontal="center" wrapText="1"/>
      <protection locked="0"/>
    </xf>
    <xf numFmtId="0" fontId="108" fillId="0" borderId="0" xfId="0" applyFont="1" applyBorder="1" applyAlignment="1" applyProtection="1">
      <alignment horizontal="center" wrapText="1"/>
      <protection locked="0"/>
    </xf>
    <xf numFmtId="0" fontId="108" fillId="0" borderId="159" xfId="0" applyFont="1" applyBorder="1" applyAlignment="1" applyProtection="1">
      <alignment horizontal="center" wrapText="1"/>
      <protection locked="0"/>
    </xf>
    <xf numFmtId="184" fontId="108" fillId="0" borderId="108" xfId="0" applyNumberFormat="1" applyFont="1" applyBorder="1" applyAlignment="1" applyProtection="1">
      <alignment horizontal="center" shrinkToFit="1"/>
      <protection locked="0" hidden="1"/>
    </xf>
    <xf numFmtId="184" fontId="108" fillId="0" borderId="110" xfId="0" applyNumberFormat="1" applyFont="1" applyBorder="1" applyAlignment="1" applyProtection="1">
      <alignment horizontal="center" shrinkToFit="1"/>
      <protection locked="0" hidden="1"/>
    </xf>
    <xf numFmtId="184" fontId="108" fillId="0" borderId="105" xfId="0" applyNumberFormat="1" applyFont="1" applyBorder="1" applyAlignment="1" applyProtection="1">
      <alignment horizontal="center" shrinkToFit="1"/>
      <protection locked="0" hidden="1"/>
    </xf>
    <xf numFmtId="184" fontId="108" fillId="0" borderId="107" xfId="0" applyNumberFormat="1" applyFont="1" applyBorder="1" applyAlignment="1" applyProtection="1">
      <alignment horizontal="center" shrinkToFit="1"/>
      <protection locked="0" hidden="1"/>
    </xf>
    <xf numFmtId="185" fontId="108" fillId="0" borderId="108" xfId="0" applyNumberFormat="1" applyFont="1" applyBorder="1" applyAlignment="1" applyProtection="1">
      <alignment horizontal="center" shrinkToFit="1"/>
      <protection locked="0" hidden="1"/>
    </xf>
    <xf numFmtId="185" fontId="108" fillId="0" borderId="110" xfId="0" applyNumberFormat="1" applyFont="1" applyBorder="1" applyAlignment="1" applyProtection="1">
      <alignment horizontal="center" shrinkToFit="1"/>
      <protection locked="0" hidden="1"/>
    </xf>
    <xf numFmtId="185" fontId="108" fillId="0" borderId="105" xfId="0" applyNumberFormat="1" applyFont="1" applyBorder="1" applyAlignment="1" applyProtection="1">
      <alignment horizontal="center" shrinkToFit="1"/>
      <protection locked="0" hidden="1"/>
    </xf>
    <xf numFmtId="185" fontId="108" fillId="0" borderId="107" xfId="0" applyNumberFormat="1" applyFont="1" applyBorder="1" applyAlignment="1" applyProtection="1">
      <alignment horizontal="center" shrinkToFit="1"/>
      <protection locked="0" hidden="1"/>
    </xf>
    <xf numFmtId="1" fontId="10" fillId="0" borderId="75" xfId="0" applyNumberFormat="1" applyFont="1" applyBorder="1" applyAlignment="1">
      <alignment horizontal="center" shrinkToFit="1"/>
    </xf>
    <xf numFmtId="1" fontId="10" fillId="0" borderId="76" xfId="0" applyNumberFormat="1" applyFont="1" applyBorder="1" applyAlignment="1">
      <alignment horizontal="center" shrinkToFit="1"/>
    </xf>
    <xf numFmtId="167" fontId="10" fillId="0" borderId="75" xfId="0" applyNumberFormat="1" applyFont="1" applyBorder="1" applyAlignment="1">
      <alignment horizontal="center" shrinkToFit="1"/>
    </xf>
    <xf numFmtId="167" fontId="10" fillId="0" borderId="76" xfId="0" applyNumberFormat="1" applyFont="1" applyBorder="1" applyAlignment="1">
      <alignment horizontal="center" shrinkToFit="1"/>
    </xf>
    <xf numFmtId="0" fontId="10" fillId="0" borderId="61" xfId="0" applyFont="1" applyBorder="1" applyAlignment="1">
      <alignment horizontal="center" wrapText="1"/>
    </xf>
    <xf numFmtId="0" fontId="10" fillId="0" borderId="103" xfId="0" applyFont="1" applyBorder="1" applyAlignment="1">
      <alignment horizontal="center" wrapText="1"/>
    </xf>
    <xf numFmtId="0" fontId="0" fillId="0" borderId="76" xfId="0" applyBorder="1" applyAlignment="1">
      <alignment horizontal="center"/>
    </xf>
    <xf numFmtId="0" fontId="99" fillId="0" borderId="0" xfId="0" applyFont="1" applyBorder="1" applyAlignment="1">
      <alignment horizontal="center" wrapText="1"/>
    </xf>
    <xf numFmtId="0" fontId="99" fillId="0" borderId="72" xfId="0" applyFont="1" applyBorder="1" applyAlignment="1">
      <alignment horizontal="center" wrapText="1"/>
    </xf>
    <xf numFmtId="1" fontId="8" fillId="0" borderId="75" xfId="0" applyNumberFormat="1" applyFont="1" applyBorder="1" applyAlignment="1">
      <alignment horizontal="center"/>
    </xf>
    <xf numFmtId="1" fontId="8" fillId="0" borderId="76" xfId="0" applyNumberFormat="1" applyFont="1" applyBorder="1" applyAlignment="1">
      <alignment horizontal="center"/>
    </xf>
    <xf numFmtId="0" fontId="0" fillId="0" borderId="76" xfId="0" applyBorder="1" applyAlignment="1" applyProtection="1">
      <alignment horizontal="center"/>
      <protection locked="0"/>
    </xf>
    <xf numFmtId="0" fontId="0" fillId="21" borderId="76" xfId="0" applyFill="1" applyBorder="1" applyAlignment="1">
      <alignment horizontal="center"/>
    </xf>
    <xf numFmtId="0" fontId="0" fillId="0" borderId="75" xfId="0" applyFill="1" applyBorder="1" applyAlignment="1">
      <alignment horizontal="center" shrinkToFit="1"/>
    </xf>
    <xf numFmtId="0" fontId="0" fillId="0" borderId="76" xfId="0" applyFill="1" applyBorder="1" applyAlignment="1">
      <alignment horizontal="center" shrinkToFit="1"/>
    </xf>
    <xf numFmtId="167" fontId="8" fillId="0" borderId="76" xfId="0" applyNumberFormat="1" applyFont="1" applyBorder="1" applyAlignment="1" applyProtection="1">
      <alignment horizontal="center" shrinkToFit="1"/>
    </xf>
    <xf numFmtId="173" fontId="8" fillId="0" borderId="75" xfId="0" applyNumberFormat="1" applyFont="1" applyBorder="1" applyAlignment="1">
      <alignment horizontal="center" shrinkToFit="1"/>
    </xf>
    <xf numFmtId="173" fontId="8" fillId="0" borderId="76" xfId="0" applyNumberFormat="1" applyFont="1" applyBorder="1" applyAlignment="1">
      <alignment horizontal="center" shrinkToFit="1"/>
    </xf>
    <xf numFmtId="167" fontId="109" fillId="11" borderId="112" xfId="0" applyNumberFormat="1" applyFont="1" applyFill="1" applyBorder="1" applyAlignment="1">
      <alignment horizontal="center" wrapText="1"/>
    </xf>
    <xf numFmtId="184" fontId="108" fillId="0" borderId="108" xfId="0" applyNumberFormat="1" applyFont="1" applyBorder="1" applyAlignment="1" applyProtection="1">
      <alignment horizontal="center" shrinkToFit="1"/>
      <protection locked="0"/>
    </xf>
    <xf numFmtId="184" fontId="108" fillId="0" borderId="109" xfId="0" applyNumberFormat="1" applyFont="1" applyBorder="1" applyAlignment="1" applyProtection="1">
      <alignment horizontal="center" shrinkToFit="1"/>
      <protection locked="0"/>
    </xf>
    <xf numFmtId="184" fontId="108" fillId="0" borderId="110" xfId="0" applyNumberFormat="1" applyFont="1" applyBorder="1" applyAlignment="1" applyProtection="1">
      <alignment horizontal="center" shrinkToFit="1"/>
      <protection locked="0"/>
    </xf>
    <xf numFmtId="184" fontId="108" fillId="0" borderId="105" xfId="0" applyNumberFormat="1" applyFont="1" applyBorder="1" applyAlignment="1" applyProtection="1">
      <alignment horizontal="center" shrinkToFit="1"/>
      <protection locked="0"/>
    </xf>
    <xf numFmtId="184" fontId="108" fillId="0" borderId="106" xfId="0" applyNumberFormat="1" applyFont="1" applyBorder="1" applyAlignment="1" applyProtection="1">
      <alignment horizontal="center" shrinkToFit="1"/>
      <protection locked="0"/>
    </xf>
    <xf numFmtId="184" fontId="108" fillId="0" borderId="107" xfId="0" applyNumberFormat="1" applyFont="1" applyBorder="1" applyAlignment="1" applyProtection="1">
      <alignment horizontal="center" shrinkToFit="1"/>
      <protection locked="0"/>
    </xf>
    <xf numFmtId="0" fontId="8" fillId="0" borderId="75" xfId="0" applyFont="1" applyBorder="1" applyAlignment="1">
      <alignment horizontal="center"/>
    </xf>
    <xf numFmtId="0" fontId="8" fillId="0" borderId="76" xfId="0" applyFont="1" applyBorder="1" applyAlignment="1">
      <alignment horizontal="center"/>
    </xf>
    <xf numFmtId="173" fontId="0" fillId="0" borderId="75" xfId="0" applyNumberFormat="1" applyFill="1" applyBorder="1" applyAlignment="1">
      <alignment horizontal="center" shrinkToFit="1"/>
    </xf>
    <xf numFmtId="173" fontId="0" fillId="0" borderId="76" xfId="0" applyNumberFormat="1" applyFill="1" applyBorder="1" applyAlignment="1">
      <alignment horizontal="center" shrinkToFit="1"/>
    </xf>
    <xf numFmtId="184" fontId="108" fillId="0" borderId="70" xfId="0" applyNumberFormat="1" applyFont="1" applyBorder="1" applyAlignment="1" applyProtection="1">
      <alignment horizontal="center" shrinkToFit="1"/>
      <protection locked="0"/>
    </xf>
    <xf numFmtId="3" fontId="108" fillId="11" borderId="151" xfId="0" applyNumberFormat="1" applyFont="1" applyFill="1" applyBorder="1" applyAlignment="1" applyProtection="1">
      <alignment horizontal="center" shrinkToFit="1"/>
      <protection hidden="1"/>
    </xf>
    <xf numFmtId="3" fontId="108" fillId="11" borderId="152" xfId="0" applyNumberFormat="1" applyFont="1" applyFill="1" applyBorder="1" applyAlignment="1" applyProtection="1">
      <alignment horizontal="center" shrinkToFit="1"/>
      <protection hidden="1"/>
    </xf>
    <xf numFmtId="0" fontId="8" fillId="0" borderId="116" xfId="0" applyFont="1" applyBorder="1" applyAlignment="1">
      <alignment horizontal="center"/>
    </xf>
    <xf numFmtId="0" fontId="8" fillId="0" borderId="101" xfId="0" applyFont="1" applyBorder="1" applyAlignment="1">
      <alignment horizontal="center"/>
    </xf>
    <xf numFmtId="3" fontId="108" fillId="0" borderId="70" xfId="0" applyNumberFormat="1" applyFont="1" applyBorder="1" applyAlignment="1" applyProtection="1">
      <alignment horizontal="center" shrinkToFit="1"/>
      <protection locked="0"/>
    </xf>
    <xf numFmtId="167" fontId="8" fillId="0" borderId="75" xfId="0" applyNumberFormat="1" applyFont="1" applyBorder="1" applyAlignment="1" applyProtection="1">
      <alignment horizontal="center" shrinkToFit="1"/>
    </xf>
    <xf numFmtId="3" fontId="108" fillId="0" borderId="71" xfId="0" applyNumberFormat="1" applyFont="1" applyBorder="1" applyAlignment="1" applyProtection="1">
      <alignment horizontal="center" shrinkToFit="1"/>
      <protection locked="0"/>
    </xf>
    <xf numFmtId="0" fontId="0" fillId="21" borderId="75" xfId="0" applyFill="1" applyBorder="1" applyAlignment="1">
      <alignment horizontal="center"/>
    </xf>
    <xf numFmtId="184" fontId="108" fillId="0" borderId="71" xfId="0" applyNumberFormat="1" applyFont="1" applyBorder="1" applyAlignment="1" applyProtection="1">
      <alignment horizontal="center" shrinkToFit="1"/>
      <protection locked="0"/>
    </xf>
    <xf numFmtId="3" fontId="108" fillId="11" borderId="156" xfId="0" applyNumberFormat="1" applyFont="1" applyFill="1" applyBorder="1" applyAlignment="1" applyProtection="1">
      <alignment horizontal="center" shrinkToFit="1"/>
      <protection hidden="1"/>
    </xf>
    <xf numFmtId="3" fontId="108" fillId="11" borderId="157" xfId="0" applyNumberFormat="1" applyFont="1" applyFill="1" applyBorder="1" applyAlignment="1" applyProtection="1">
      <alignment horizontal="center" shrinkToFit="1"/>
      <protection hidden="1"/>
    </xf>
    <xf numFmtId="0" fontId="108" fillId="11" borderId="70" xfId="0" applyFont="1" applyFill="1" applyBorder="1" applyAlignment="1">
      <alignment horizontal="center"/>
    </xf>
    <xf numFmtId="0" fontId="0" fillId="21" borderId="70" xfId="0" applyFill="1" applyBorder="1" applyAlignment="1">
      <alignment horizontal="center"/>
    </xf>
    <xf numFmtId="0" fontId="108" fillId="11" borderId="71" xfId="0" applyFont="1" applyFill="1" applyBorder="1" applyAlignment="1">
      <alignment horizontal="center"/>
    </xf>
    <xf numFmtId="167" fontId="8" fillId="0" borderId="59" xfId="0" applyNumberFormat="1" applyFont="1" applyBorder="1" applyAlignment="1" applyProtection="1">
      <alignment horizontal="center" shrinkToFit="1"/>
    </xf>
    <xf numFmtId="167" fontId="8" fillId="0" borderId="60" xfId="0" applyNumberFormat="1" applyFont="1" applyBorder="1" applyAlignment="1" applyProtection="1">
      <alignment horizontal="center" shrinkToFit="1"/>
    </xf>
    <xf numFmtId="167" fontId="109" fillId="11" borderId="107" xfId="0" applyNumberFormat="1" applyFont="1" applyFill="1" applyBorder="1" applyAlignment="1">
      <alignment horizontal="center" wrapText="1"/>
    </xf>
    <xf numFmtId="0" fontId="0" fillId="21" borderId="77" xfId="0" applyFill="1" applyBorder="1" applyAlignment="1">
      <alignment horizontal="center"/>
    </xf>
    <xf numFmtId="0" fontId="8" fillId="0" borderId="71" xfId="0" applyFont="1" applyBorder="1" applyAlignment="1">
      <alignment horizontal="center" shrinkToFit="1"/>
    </xf>
    <xf numFmtId="0" fontId="8" fillId="0" borderId="70" xfId="0" applyFont="1" applyBorder="1" applyAlignment="1">
      <alignment horizontal="center" shrinkToFit="1"/>
    </xf>
    <xf numFmtId="0" fontId="0" fillId="0" borderId="71" xfId="0" applyFill="1" applyBorder="1" applyAlignment="1">
      <alignment horizontal="center" shrinkToFit="1"/>
    </xf>
    <xf numFmtId="0" fontId="0" fillId="0" borderId="70" xfId="0" applyFill="1" applyBorder="1" applyAlignment="1">
      <alignment horizontal="center" shrinkToFit="1"/>
    </xf>
    <xf numFmtId="0" fontId="108" fillId="11" borderId="111" xfId="0" applyFont="1" applyFill="1" applyBorder="1" applyAlignment="1" applyProtection="1">
      <alignment horizontal="center" shrinkToFit="1"/>
      <protection hidden="1"/>
    </xf>
    <xf numFmtId="0" fontId="108" fillId="11" borderId="112" xfId="0" applyFont="1" applyFill="1" applyBorder="1" applyAlignment="1" applyProtection="1">
      <alignment horizontal="center" shrinkToFit="1"/>
      <protection hidden="1"/>
    </xf>
    <xf numFmtId="177" fontId="108" fillId="11" borderId="111" xfId="0" applyNumberFormat="1" applyFont="1" applyFill="1" applyBorder="1" applyAlignment="1" applyProtection="1">
      <alignment horizontal="center" shrinkToFit="1"/>
      <protection hidden="1"/>
    </xf>
    <xf numFmtId="177" fontId="108" fillId="11" borderId="112" xfId="0" applyNumberFormat="1" applyFont="1" applyFill="1" applyBorder="1" applyAlignment="1" applyProtection="1">
      <alignment horizontal="center" shrinkToFit="1"/>
      <protection hidden="1"/>
    </xf>
    <xf numFmtId="186" fontId="108" fillId="0" borderId="111" xfId="0" applyNumberFormat="1" applyFont="1" applyBorder="1" applyAlignment="1" applyProtection="1">
      <alignment horizontal="center" shrinkToFit="1"/>
      <protection locked="0"/>
    </xf>
    <xf numFmtId="186" fontId="108" fillId="0" borderId="112" xfId="0" applyNumberFormat="1" applyFont="1" applyBorder="1" applyAlignment="1" applyProtection="1">
      <alignment horizontal="center" shrinkToFit="1"/>
      <protection locked="0"/>
    </xf>
    <xf numFmtId="0" fontId="108" fillId="11" borderId="105" xfId="0" applyFont="1" applyFill="1" applyBorder="1" applyAlignment="1" applyProtection="1">
      <alignment horizontal="center" shrinkToFit="1"/>
      <protection hidden="1"/>
    </xf>
    <xf numFmtId="0" fontId="108" fillId="11" borderId="107" xfId="0" applyFont="1" applyFill="1" applyBorder="1" applyAlignment="1" applyProtection="1">
      <alignment horizontal="center" shrinkToFit="1"/>
      <protection hidden="1"/>
    </xf>
    <xf numFmtId="177" fontId="108" fillId="11" borderId="105" xfId="0" applyNumberFormat="1" applyFont="1" applyFill="1" applyBorder="1" applyAlignment="1" applyProtection="1">
      <alignment horizontal="center" shrinkToFit="1"/>
      <protection hidden="1"/>
    </xf>
    <xf numFmtId="177" fontId="108" fillId="11" borderId="107" xfId="0" applyNumberFormat="1" applyFont="1" applyFill="1" applyBorder="1" applyAlignment="1" applyProtection="1">
      <alignment horizontal="center" shrinkToFit="1"/>
      <protection hidden="1"/>
    </xf>
    <xf numFmtId="186" fontId="108" fillId="0" borderId="111" xfId="0" applyNumberFormat="1" applyFont="1" applyBorder="1" applyAlignment="1" applyProtection="1">
      <alignment horizontal="center" shrinkToFit="1"/>
      <protection locked="0" hidden="1"/>
    </xf>
    <xf numFmtId="186" fontId="108" fillId="0" borderId="112" xfId="0" applyNumberFormat="1" applyFont="1" applyBorder="1" applyAlignment="1" applyProtection="1">
      <alignment horizontal="center" shrinkToFit="1"/>
      <protection locked="0" hidden="1"/>
    </xf>
    <xf numFmtId="186" fontId="108" fillId="0" borderId="70" xfId="0" applyNumberFormat="1" applyFont="1" applyBorder="1" applyAlignment="1" applyProtection="1">
      <alignment horizontal="center" shrinkToFit="1"/>
      <protection locked="0"/>
    </xf>
    <xf numFmtId="0" fontId="108" fillId="11" borderId="115" xfId="0" applyFont="1" applyFill="1" applyBorder="1" applyAlignment="1">
      <alignment horizontal="center" wrapText="1" shrinkToFit="1"/>
    </xf>
    <xf numFmtId="0" fontId="108" fillId="11" borderId="112" xfId="0" applyFont="1" applyFill="1" applyBorder="1" applyAlignment="1">
      <alignment horizontal="center" wrapText="1" shrinkToFit="1"/>
    </xf>
    <xf numFmtId="0" fontId="120" fillId="0" borderId="71" xfId="0" applyFont="1" applyBorder="1" applyAlignment="1">
      <alignment horizontal="center" wrapText="1"/>
    </xf>
    <xf numFmtId="0" fontId="120" fillId="0" borderId="70" xfId="0" applyFont="1" applyBorder="1" applyAlignment="1">
      <alignment horizontal="center" wrapText="1"/>
    </xf>
    <xf numFmtId="0" fontId="119" fillId="0" borderId="72" xfId="0" applyFont="1" applyBorder="1" applyAlignment="1">
      <alignment horizontal="center" shrinkToFit="1"/>
    </xf>
    <xf numFmtId="0" fontId="119" fillId="0" borderId="72" xfId="0" applyFont="1" applyBorder="1" applyAlignment="1">
      <alignment horizontal="center"/>
    </xf>
    <xf numFmtId="0" fontId="119" fillId="0" borderId="72" xfId="0" applyFont="1" applyBorder="1" applyAlignment="1">
      <alignment horizontal="center" wrapText="1"/>
    </xf>
    <xf numFmtId="186" fontId="108" fillId="0" borderId="71" xfId="0" applyNumberFormat="1" applyFont="1" applyBorder="1" applyAlignment="1" applyProtection="1">
      <alignment horizontal="center" shrinkToFit="1"/>
      <protection locked="0"/>
    </xf>
    <xf numFmtId="0" fontId="0" fillId="21" borderId="71" xfId="0" applyFill="1" applyBorder="1" applyAlignment="1">
      <alignment horizontal="center"/>
    </xf>
    <xf numFmtId="0" fontId="68" fillId="0" borderId="0" xfId="0" applyFont="1" applyBorder="1" applyAlignment="1" applyProtection="1">
      <alignment horizontal="center" vertical="top" wrapText="1"/>
    </xf>
    <xf numFmtId="186" fontId="108" fillId="0" borderId="105" xfId="0" applyNumberFormat="1" applyFont="1" applyBorder="1" applyAlignment="1" applyProtection="1">
      <alignment horizontal="center" shrinkToFit="1"/>
      <protection locked="0"/>
    </xf>
    <xf numFmtId="186" fontId="108" fillId="0" borderId="107" xfId="0" applyNumberFormat="1" applyFont="1" applyBorder="1" applyAlignment="1" applyProtection="1">
      <alignment horizontal="center" shrinkToFit="1"/>
      <protection locked="0"/>
    </xf>
    <xf numFmtId="0" fontId="108" fillId="11" borderId="106" xfId="0" applyFont="1" applyFill="1" applyBorder="1" applyAlignment="1">
      <alignment horizontal="center" wrapText="1" shrinkToFit="1"/>
    </xf>
    <xf numFmtId="0" fontId="108" fillId="11" borderId="107" xfId="0" applyFont="1" applyFill="1" applyBorder="1" applyAlignment="1">
      <alignment horizontal="center" wrapText="1" shrinkToFit="1"/>
    </xf>
    <xf numFmtId="167" fontId="109" fillId="11" borderId="108" xfId="0" applyNumberFormat="1" applyFont="1" applyFill="1" applyBorder="1" applyAlignment="1">
      <alignment horizontal="center" wrapText="1"/>
    </xf>
    <xf numFmtId="167" fontId="109" fillId="11" borderId="109" xfId="0" applyNumberFormat="1" applyFont="1" applyFill="1" applyBorder="1" applyAlignment="1">
      <alignment horizontal="center" wrapText="1"/>
    </xf>
    <xf numFmtId="167" fontId="109" fillId="11" borderId="110" xfId="0" applyNumberFormat="1" applyFont="1" applyFill="1" applyBorder="1" applyAlignment="1">
      <alignment horizontal="center" wrapText="1"/>
    </xf>
    <xf numFmtId="167" fontId="109" fillId="11" borderId="105" xfId="0" applyNumberFormat="1" applyFont="1" applyFill="1" applyBorder="1" applyAlignment="1">
      <alignment horizontal="center" wrapText="1"/>
    </xf>
    <xf numFmtId="167" fontId="109" fillId="11" borderId="106" xfId="0" applyNumberFormat="1" applyFont="1" applyFill="1" applyBorder="1" applyAlignment="1">
      <alignment horizontal="center" wrapText="1"/>
    </xf>
    <xf numFmtId="167" fontId="108" fillId="0" borderId="77" xfId="0" applyNumberFormat="1" applyFont="1" applyBorder="1" applyAlignment="1" applyProtection="1">
      <alignment horizontal="center" shrinkToFit="1"/>
      <protection locked="0"/>
    </xf>
    <xf numFmtId="167" fontId="108" fillId="0" borderId="137" xfId="0" applyNumberFormat="1" applyFont="1" applyBorder="1" applyAlignment="1" applyProtection="1">
      <alignment horizontal="center" shrinkToFit="1"/>
      <protection locked="0"/>
    </xf>
    <xf numFmtId="167" fontId="108" fillId="0" borderId="134" xfId="0" applyNumberFormat="1" applyFont="1" applyBorder="1" applyAlignment="1" applyProtection="1">
      <alignment horizontal="center" shrinkToFit="1"/>
      <protection locked="0"/>
    </xf>
    <xf numFmtId="167" fontId="109" fillId="11" borderId="136" xfId="0" applyNumberFormat="1" applyFont="1" applyFill="1" applyBorder="1" applyAlignment="1">
      <alignment horizontal="center" wrapText="1"/>
    </xf>
    <xf numFmtId="167" fontId="109" fillId="11" borderId="77" xfId="0" applyNumberFormat="1" applyFont="1" applyFill="1" applyBorder="1" applyAlignment="1">
      <alignment horizontal="center" wrapText="1"/>
    </xf>
    <xf numFmtId="170" fontId="109" fillId="11" borderId="77" xfId="0" applyNumberFormat="1" applyFont="1" applyFill="1" applyBorder="1" applyAlignment="1">
      <alignment horizontal="center" shrinkToFit="1"/>
    </xf>
    <xf numFmtId="167" fontId="109" fillId="11" borderId="187" xfId="0" applyNumberFormat="1" applyFont="1" applyFill="1" applyBorder="1" applyAlignment="1">
      <alignment horizontal="center" wrapText="1"/>
    </xf>
    <xf numFmtId="167" fontId="109" fillId="11" borderId="104" xfId="0" applyNumberFormat="1" applyFont="1" applyFill="1" applyBorder="1" applyAlignment="1">
      <alignment horizontal="center" wrapText="1"/>
    </xf>
    <xf numFmtId="167" fontId="109" fillId="11" borderId="188" xfId="0" applyNumberFormat="1" applyFont="1" applyFill="1" applyBorder="1" applyAlignment="1">
      <alignment horizontal="center" wrapText="1"/>
    </xf>
    <xf numFmtId="167" fontId="109" fillId="11" borderId="112" xfId="0" applyNumberFormat="1" applyFont="1" applyFill="1" applyBorder="1" applyAlignment="1">
      <alignment horizontal="center" shrinkToFit="1"/>
    </xf>
    <xf numFmtId="167" fontId="109" fillId="11" borderId="70" xfId="0" applyNumberFormat="1" applyFont="1" applyFill="1" applyBorder="1" applyAlignment="1">
      <alignment horizontal="center" shrinkToFit="1"/>
    </xf>
    <xf numFmtId="167" fontId="109" fillId="11" borderId="136" xfId="0" applyNumberFormat="1" applyFont="1" applyFill="1" applyBorder="1" applyAlignment="1">
      <alignment horizontal="center" shrinkToFit="1"/>
    </xf>
    <xf numFmtId="167" fontId="109" fillId="11" borderId="77" xfId="0" applyNumberFormat="1" applyFont="1" applyFill="1" applyBorder="1" applyAlignment="1">
      <alignment horizontal="center" shrinkToFit="1"/>
    </xf>
    <xf numFmtId="0" fontId="10" fillId="0" borderId="76" xfId="0" applyFont="1" applyBorder="1" applyAlignment="1">
      <alignment horizontal="center" shrinkToFit="1"/>
    </xf>
    <xf numFmtId="173" fontId="10" fillId="0" borderId="102" xfId="0" applyNumberFormat="1" applyFont="1" applyBorder="1" applyAlignment="1">
      <alignment horizontal="center" shrinkToFit="1"/>
    </xf>
    <xf numFmtId="173" fontId="10" fillId="0" borderId="75" xfId="0" applyNumberFormat="1" applyFont="1" applyBorder="1" applyAlignment="1">
      <alignment horizontal="center" shrinkToFit="1"/>
    </xf>
    <xf numFmtId="0" fontId="10" fillId="0" borderId="61" xfId="0" applyFont="1" applyBorder="1" applyAlignment="1" applyProtection="1">
      <alignment horizontal="center" wrapText="1"/>
    </xf>
    <xf numFmtId="0" fontId="10" fillId="0" borderId="103" xfId="0" applyFont="1" applyBorder="1" applyAlignment="1" applyProtection="1">
      <alignment horizontal="center" wrapText="1"/>
    </xf>
    <xf numFmtId="0" fontId="10" fillId="0" borderId="61" xfId="0" applyFont="1" applyFill="1" applyBorder="1" applyAlignment="1" applyProtection="1">
      <alignment horizontal="center" wrapText="1"/>
    </xf>
    <xf numFmtId="0" fontId="10" fillId="0" borderId="103" xfId="0" applyFont="1" applyFill="1" applyBorder="1" applyAlignment="1" applyProtection="1">
      <alignment horizontal="center" wrapText="1"/>
    </xf>
    <xf numFmtId="0" fontId="108" fillId="0" borderId="61" xfId="0" applyFont="1" applyBorder="1" applyAlignment="1">
      <alignment horizontal="center" wrapText="1"/>
    </xf>
    <xf numFmtId="0" fontId="108" fillId="0" borderId="103" xfId="0" applyFont="1" applyBorder="1" applyAlignment="1">
      <alignment horizontal="center" wrapText="1"/>
    </xf>
    <xf numFmtId="0" fontId="108" fillId="0" borderId="61" xfId="0" applyFont="1" applyBorder="1" applyAlignment="1" applyProtection="1">
      <alignment horizontal="center" wrapText="1"/>
    </xf>
    <xf numFmtId="0" fontId="108" fillId="0" borderId="103" xfId="0" applyFont="1" applyBorder="1" applyAlignment="1" applyProtection="1">
      <alignment horizontal="center" wrapText="1"/>
    </xf>
    <xf numFmtId="0" fontId="108" fillId="0" borderId="75" xfId="0" applyFont="1" applyBorder="1" applyAlignment="1" applyProtection="1">
      <alignment horizontal="center" wrapText="1"/>
      <protection locked="0"/>
    </xf>
    <xf numFmtId="0" fontId="108" fillId="0" borderId="76" xfId="0" applyFont="1" applyBorder="1" applyAlignment="1" applyProtection="1">
      <alignment horizontal="center" wrapText="1"/>
      <protection locked="0"/>
    </xf>
    <xf numFmtId="0" fontId="108" fillId="0" borderId="60" xfId="0" applyFont="1" applyBorder="1" applyAlignment="1" applyProtection="1">
      <alignment horizontal="center" wrapText="1"/>
      <protection locked="0"/>
    </xf>
    <xf numFmtId="0" fontId="108" fillId="0" borderId="127" xfId="0" applyFont="1" applyBorder="1" applyAlignment="1" applyProtection="1">
      <alignment horizontal="center" wrapText="1"/>
      <protection locked="0"/>
    </xf>
    <xf numFmtId="0" fontId="108" fillId="0" borderId="132" xfId="0" applyFont="1" applyBorder="1" applyAlignment="1" applyProtection="1">
      <alignment horizontal="center" wrapText="1"/>
      <protection locked="0"/>
    </xf>
    <xf numFmtId="3" fontId="108" fillId="0" borderId="76" xfId="0" applyNumberFormat="1" applyFont="1" applyBorder="1" applyAlignment="1" applyProtection="1">
      <alignment horizontal="center" shrinkToFit="1"/>
      <protection locked="0"/>
    </xf>
    <xf numFmtId="184" fontId="108" fillId="0" borderId="75" xfId="0" applyNumberFormat="1" applyFont="1" applyBorder="1" applyAlignment="1" applyProtection="1">
      <alignment horizontal="center" shrinkToFit="1"/>
      <protection locked="0"/>
    </xf>
    <xf numFmtId="184" fontId="108" fillId="0" borderId="60" xfId="0" applyNumberFormat="1" applyFont="1" applyBorder="1" applyAlignment="1" applyProtection="1">
      <alignment horizontal="center" shrinkToFit="1"/>
      <protection locked="0"/>
    </xf>
    <xf numFmtId="184" fontId="108" fillId="0" borderId="76" xfId="0" applyNumberFormat="1" applyFont="1" applyBorder="1" applyAlignment="1" applyProtection="1">
      <alignment horizontal="center" shrinkToFit="1"/>
      <protection locked="0"/>
    </xf>
    <xf numFmtId="184" fontId="108" fillId="0" borderId="127" xfId="0" applyNumberFormat="1" applyFont="1" applyBorder="1" applyAlignment="1" applyProtection="1">
      <alignment horizontal="center" shrinkToFit="1"/>
      <protection locked="0"/>
    </xf>
    <xf numFmtId="167" fontId="72" fillId="0" borderId="0" xfId="0" applyNumberFormat="1" applyFont="1" applyBorder="1" applyAlignment="1">
      <alignment horizontal="center"/>
    </xf>
    <xf numFmtId="167" fontId="109" fillId="5" borderId="75" xfId="0" applyNumberFormat="1" applyFont="1" applyFill="1" applyBorder="1" applyAlignment="1">
      <alignment horizontal="center" wrapText="1"/>
    </xf>
    <xf numFmtId="167" fontId="109" fillId="5" borderId="75" xfId="0" applyNumberFormat="1" applyFont="1" applyFill="1" applyBorder="1" applyAlignment="1" applyProtection="1">
      <alignment horizontal="center" wrapText="1"/>
    </xf>
    <xf numFmtId="167" fontId="109" fillId="5" borderId="76" xfId="0" applyNumberFormat="1" applyFont="1" applyFill="1" applyBorder="1" applyAlignment="1">
      <alignment horizontal="center" wrapText="1"/>
    </xf>
    <xf numFmtId="167" fontId="109" fillId="5" borderId="76" xfId="0" applyNumberFormat="1" applyFont="1" applyFill="1" applyBorder="1" applyAlignment="1" applyProtection="1">
      <alignment horizontal="center" wrapText="1"/>
    </xf>
    <xf numFmtId="167" fontId="108" fillId="0" borderId="139" xfId="0" applyNumberFormat="1" applyFont="1" applyBorder="1" applyAlignment="1" applyProtection="1">
      <alignment horizontal="center" shrinkToFit="1"/>
      <protection locked="0"/>
    </xf>
    <xf numFmtId="167" fontId="108" fillId="0" borderId="75" xfId="0" applyNumberFormat="1" applyFont="1" applyBorder="1" applyAlignment="1" applyProtection="1">
      <alignment horizontal="center" shrinkToFit="1"/>
      <protection locked="0"/>
    </xf>
    <xf numFmtId="167" fontId="108" fillId="0" borderId="132" xfId="0" applyNumberFormat="1" applyFont="1" applyBorder="1" applyAlignment="1" applyProtection="1">
      <alignment horizontal="center" shrinkToFit="1"/>
      <protection locked="0"/>
    </xf>
    <xf numFmtId="167" fontId="108" fillId="0" borderId="76" xfId="0" applyNumberFormat="1" applyFont="1" applyBorder="1" applyAlignment="1" applyProtection="1">
      <alignment horizontal="center" shrinkToFit="1"/>
      <protection locked="0"/>
    </xf>
    <xf numFmtId="184" fontId="108" fillId="0" borderId="76" xfId="0" applyNumberFormat="1" applyFont="1" applyBorder="1" applyAlignment="1" applyProtection="1">
      <alignment horizontal="center" shrinkToFit="1"/>
      <protection locked="0" hidden="1"/>
    </xf>
    <xf numFmtId="3" fontId="108" fillId="0" borderId="75" xfId="0" applyNumberFormat="1" applyFont="1" applyBorder="1" applyAlignment="1" applyProtection="1">
      <alignment horizontal="center" wrapText="1"/>
      <protection locked="0"/>
    </xf>
    <xf numFmtId="3" fontId="108" fillId="0" borderId="140" xfId="0" applyNumberFormat="1" applyFont="1" applyBorder="1" applyAlignment="1" applyProtection="1">
      <alignment horizontal="center" wrapText="1"/>
      <protection locked="0"/>
    </xf>
    <xf numFmtId="3" fontId="108" fillId="0" borderId="76" xfId="0" applyNumberFormat="1" applyFont="1" applyBorder="1" applyAlignment="1" applyProtection="1">
      <alignment horizontal="center" wrapText="1"/>
      <protection locked="0"/>
    </xf>
    <xf numFmtId="3" fontId="108" fillId="0" borderId="133" xfId="0" applyNumberFormat="1" applyFont="1" applyBorder="1" applyAlignment="1" applyProtection="1">
      <alignment horizontal="center" wrapText="1"/>
      <protection locked="0"/>
    </xf>
    <xf numFmtId="0" fontId="108" fillId="0" borderId="62" xfId="0" applyFont="1" applyBorder="1" applyAlignment="1" applyProtection="1">
      <alignment horizontal="center" wrapText="1"/>
      <protection locked="0"/>
    </xf>
    <xf numFmtId="0" fontId="108" fillId="0" borderId="128" xfId="0" applyFont="1" applyBorder="1" applyAlignment="1" applyProtection="1">
      <alignment horizontal="center" wrapText="1"/>
      <protection locked="0"/>
    </xf>
    <xf numFmtId="3" fontId="108" fillId="0" borderId="75" xfId="0" applyNumberFormat="1" applyFont="1" applyBorder="1" applyAlignment="1" applyProtection="1">
      <alignment horizontal="center" shrinkToFit="1"/>
      <protection locked="0"/>
    </xf>
    <xf numFmtId="0" fontId="108" fillId="0" borderId="139" xfId="0" applyFont="1" applyBorder="1" applyAlignment="1" applyProtection="1">
      <alignment horizontal="center" wrapText="1"/>
      <protection locked="0"/>
    </xf>
    <xf numFmtId="167" fontId="109" fillId="5" borderId="128" xfId="0" applyNumberFormat="1" applyFont="1" applyFill="1" applyBorder="1" applyAlignment="1">
      <alignment horizontal="center" shrinkToFit="1"/>
    </xf>
    <xf numFmtId="167" fontId="109" fillId="5" borderId="76" xfId="0" applyNumberFormat="1" applyFont="1" applyFill="1" applyBorder="1" applyAlignment="1">
      <alignment horizontal="center" shrinkToFit="1"/>
    </xf>
    <xf numFmtId="170" fontId="109" fillId="19" borderId="76" xfId="0" applyNumberFormat="1" applyFont="1" applyFill="1" applyBorder="1" applyAlignment="1">
      <alignment horizontal="center" shrinkToFit="1"/>
    </xf>
    <xf numFmtId="167" fontId="109" fillId="5" borderId="62" xfId="0" applyNumberFormat="1" applyFont="1" applyFill="1" applyBorder="1" applyAlignment="1">
      <alignment horizontal="center" shrinkToFit="1"/>
    </xf>
    <xf numFmtId="167" fontId="109" fillId="5" borderId="75" xfId="0" applyNumberFormat="1" applyFont="1" applyFill="1" applyBorder="1" applyAlignment="1">
      <alignment horizontal="center" shrinkToFit="1"/>
    </xf>
    <xf numFmtId="0" fontId="108" fillId="0" borderId="56" xfId="0" applyFont="1" applyBorder="1" applyAlignment="1" applyProtection="1">
      <alignment horizontal="center" wrapText="1"/>
      <protection locked="0"/>
    </xf>
    <xf numFmtId="0" fontId="108" fillId="0" borderId="164" xfId="0" applyFont="1" applyBorder="1" applyAlignment="1" applyProtection="1">
      <alignment horizontal="center" wrapText="1"/>
      <protection locked="0"/>
    </xf>
    <xf numFmtId="0" fontId="108" fillId="0" borderId="165" xfId="0" applyFont="1" applyBorder="1" applyAlignment="1" applyProtection="1">
      <alignment horizontal="center" wrapText="1"/>
      <protection locked="0"/>
    </xf>
    <xf numFmtId="0" fontId="108" fillId="0" borderId="166" xfId="0" applyFont="1" applyBorder="1" applyAlignment="1" applyProtection="1">
      <alignment horizontal="center" wrapText="1"/>
      <protection locked="0"/>
    </xf>
    <xf numFmtId="0" fontId="108" fillId="0" borderId="57" xfId="0" applyFont="1" applyBorder="1" applyAlignment="1" applyProtection="1">
      <alignment horizontal="center" wrapText="1"/>
      <protection locked="0"/>
    </xf>
    <xf numFmtId="0" fontId="108" fillId="0" borderId="58" xfId="0" applyFont="1" applyBorder="1" applyAlignment="1" applyProtection="1">
      <alignment horizontal="center" wrapText="1"/>
      <protection locked="0"/>
    </xf>
    <xf numFmtId="0" fontId="108" fillId="0" borderId="167" xfId="0" applyFont="1" applyBorder="1" applyAlignment="1" applyProtection="1">
      <alignment horizontal="center" wrapText="1"/>
      <protection locked="0"/>
    </xf>
    <xf numFmtId="0" fontId="108" fillId="0" borderId="61" xfId="0" applyFont="1" applyBorder="1" applyAlignment="1" applyProtection="1">
      <alignment horizontal="center" wrapText="1"/>
      <protection locked="0"/>
    </xf>
    <xf numFmtId="3" fontId="108" fillId="0" borderId="56" xfId="0" applyNumberFormat="1" applyFont="1" applyBorder="1" applyAlignment="1" applyProtection="1">
      <alignment horizontal="center" shrinkToFit="1"/>
      <protection locked="0"/>
    </xf>
    <xf numFmtId="3" fontId="108" fillId="0" borderId="58" xfId="0" applyNumberFormat="1" applyFont="1" applyBorder="1" applyAlignment="1" applyProtection="1">
      <alignment horizontal="center" shrinkToFit="1"/>
      <protection locked="0"/>
    </xf>
    <xf numFmtId="3" fontId="108" fillId="0" borderId="60" xfId="0" applyNumberFormat="1" applyFont="1" applyBorder="1" applyAlignment="1" applyProtection="1">
      <alignment horizontal="center" shrinkToFit="1"/>
      <protection locked="0"/>
    </xf>
    <xf numFmtId="3" fontId="108" fillId="0" borderId="62" xfId="0" applyNumberFormat="1" applyFont="1" applyBorder="1" applyAlignment="1" applyProtection="1">
      <alignment horizontal="center" shrinkToFit="1"/>
      <protection locked="0"/>
    </xf>
    <xf numFmtId="170" fontId="109" fillId="19" borderId="75" xfId="0" applyNumberFormat="1" applyFont="1" applyFill="1" applyBorder="1" applyAlignment="1">
      <alignment horizontal="center" shrinkToFit="1"/>
    </xf>
    <xf numFmtId="167" fontId="108" fillId="0" borderId="140" xfId="0" applyNumberFormat="1" applyFont="1" applyBorder="1" applyAlignment="1" applyProtection="1">
      <alignment horizontal="center" shrinkToFit="1"/>
      <protection locked="0"/>
    </xf>
    <xf numFmtId="167" fontId="108" fillId="0" borderId="133" xfId="0" applyNumberFormat="1" applyFont="1" applyBorder="1" applyAlignment="1" applyProtection="1">
      <alignment horizontal="center" shrinkToFit="1"/>
      <protection locked="0"/>
    </xf>
    <xf numFmtId="167" fontId="108" fillId="0" borderId="166" xfId="0" applyNumberFormat="1" applyFont="1" applyBorder="1" applyAlignment="1" applyProtection="1">
      <alignment horizontal="center" shrinkToFit="1"/>
      <protection locked="0"/>
    </xf>
    <xf numFmtId="167" fontId="108" fillId="0" borderId="58" xfId="0" applyNumberFormat="1" applyFont="1" applyBorder="1" applyAlignment="1" applyProtection="1">
      <alignment horizontal="center" shrinkToFit="1"/>
      <protection locked="0"/>
    </xf>
    <xf numFmtId="167" fontId="108" fillId="0" borderId="167" xfId="0" applyNumberFormat="1" applyFont="1" applyBorder="1" applyAlignment="1" applyProtection="1">
      <alignment horizontal="center" shrinkToFit="1"/>
      <protection locked="0"/>
    </xf>
    <xf numFmtId="167" fontId="108" fillId="0" borderId="62" xfId="0" applyNumberFormat="1" applyFont="1" applyBorder="1" applyAlignment="1" applyProtection="1">
      <alignment horizontal="center" shrinkToFit="1"/>
      <protection locked="0"/>
    </xf>
    <xf numFmtId="167" fontId="108" fillId="0" borderId="56" xfId="0" applyNumberFormat="1" applyFont="1" applyBorder="1" applyAlignment="1" applyProtection="1">
      <alignment horizontal="center" shrinkToFit="1"/>
      <protection locked="0"/>
    </xf>
    <xf numFmtId="167" fontId="108" fillId="0" borderId="164" xfId="0" applyNumberFormat="1" applyFont="1" applyBorder="1" applyAlignment="1" applyProtection="1">
      <alignment horizontal="center" shrinkToFit="1"/>
      <protection locked="0"/>
    </xf>
    <xf numFmtId="167" fontId="108" fillId="0" borderId="60" xfId="0" applyNumberFormat="1" applyFont="1" applyBorder="1" applyAlignment="1" applyProtection="1">
      <alignment horizontal="center" shrinkToFit="1"/>
      <protection locked="0"/>
    </xf>
    <xf numFmtId="167" fontId="108" fillId="0" borderId="165" xfId="0" applyNumberFormat="1" applyFont="1" applyBorder="1" applyAlignment="1" applyProtection="1">
      <alignment horizontal="center" shrinkToFit="1"/>
      <protection locked="0"/>
    </xf>
    <xf numFmtId="184" fontId="108" fillId="0" borderId="56" xfId="0" applyNumberFormat="1" applyFont="1" applyBorder="1" applyAlignment="1" applyProtection="1">
      <alignment horizontal="center" shrinkToFit="1"/>
      <protection locked="0" hidden="1"/>
    </xf>
    <xf numFmtId="184" fontId="108" fillId="0" borderId="58" xfId="0" applyNumberFormat="1" applyFont="1" applyBorder="1" applyAlignment="1" applyProtection="1">
      <alignment horizontal="center" shrinkToFit="1"/>
      <protection locked="0" hidden="1"/>
    </xf>
    <xf numFmtId="184" fontId="108" fillId="0" borderId="60" xfId="0" applyNumberFormat="1" applyFont="1" applyBorder="1" applyAlignment="1" applyProtection="1">
      <alignment horizontal="center" shrinkToFit="1"/>
      <protection locked="0" hidden="1"/>
    </xf>
    <xf numFmtId="184" fontId="108" fillId="0" borderId="62" xfId="0" applyNumberFormat="1" applyFont="1" applyBorder="1" applyAlignment="1" applyProtection="1">
      <alignment horizontal="center" shrinkToFit="1"/>
      <protection locked="0" hidden="1"/>
    </xf>
    <xf numFmtId="3" fontId="108" fillId="0" borderId="56" xfId="0" applyNumberFormat="1" applyFont="1" applyBorder="1" applyAlignment="1" applyProtection="1">
      <alignment horizontal="center" wrapText="1"/>
      <protection locked="0"/>
    </xf>
    <xf numFmtId="3" fontId="108" fillId="0" borderId="164" xfId="0" applyNumberFormat="1" applyFont="1" applyBorder="1" applyAlignment="1" applyProtection="1">
      <alignment horizontal="center" wrapText="1"/>
      <protection locked="0"/>
    </xf>
    <xf numFmtId="3" fontId="108" fillId="0" borderId="60" xfId="0" applyNumberFormat="1" applyFont="1" applyBorder="1" applyAlignment="1" applyProtection="1">
      <alignment horizontal="center" wrapText="1"/>
      <protection locked="0"/>
    </xf>
    <xf numFmtId="3" fontId="108" fillId="0" borderId="165" xfId="0" applyNumberFormat="1" applyFont="1" applyBorder="1" applyAlignment="1" applyProtection="1">
      <alignment horizontal="center" wrapText="1"/>
      <protection locked="0"/>
    </xf>
    <xf numFmtId="184" fontId="108" fillId="0" borderId="56" xfId="0" applyNumberFormat="1" applyFont="1" applyBorder="1" applyAlignment="1" applyProtection="1">
      <alignment horizontal="center" shrinkToFit="1"/>
      <protection locked="0"/>
    </xf>
    <xf numFmtId="184" fontId="108" fillId="0" borderId="164" xfId="0" applyNumberFormat="1" applyFont="1" applyBorder="1" applyAlignment="1" applyProtection="1">
      <alignment horizontal="center" shrinkToFit="1"/>
      <protection locked="0"/>
    </xf>
    <xf numFmtId="184" fontId="108" fillId="0" borderId="165" xfId="0" applyNumberFormat="1" applyFont="1" applyBorder="1" applyAlignment="1" applyProtection="1">
      <alignment horizontal="center" shrinkToFit="1"/>
      <protection locked="0"/>
    </xf>
    <xf numFmtId="0" fontId="10" fillId="0" borderId="75" xfId="0" applyFont="1" applyBorder="1" applyAlignment="1">
      <alignment horizontal="center" shrinkToFit="1"/>
    </xf>
    <xf numFmtId="2" fontId="10" fillId="0" borderId="76" xfId="0" applyNumberFormat="1" applyFont="1" applyBorder="1" applyAlignment="1">
      <alignment horizontal="center"/>
    </xf>
    <xf numFmtId="0" fontId="10" fillId="0" borderId="76" xfId="0" applyFont="1" applyBorder="1" applyAlignment="1">
      <alignment horizontal="center" wrapText="1"/>
    </xf>
    <xf numFmtId="0" fontId="10" fillId="0" borderId="75" xfId="0" applyFont="1" applyBorder="1" applyAlignment="1">
      <alignment horizontal="center"/>
    </xf>
    <xf numFmtId="0" fontId="10" fillId="0" borderId="76" xfId="0" applyFont="1" applyBorder="1" applyAlignment="1">
      <alignment horizontal="center"/>
    </xf>
    <xf numFmtId="0" fontId="10" fillId="0" borderId="75" xfId="0" applyFont="1" applyBorder="1" applyAlignment="1">
      <alignment horizontal="center" wrapText="1"/>
    </xf>
    <xf numFmtId="173" fontId="10" fillId="0" borderId="76" xfId="0" applyNumberFormat="1" applyFont="1" applyBorder="1" applyAlignment="1">
      <alignment horizontal="center" shrinkToFit="1"/>
    </xf>
    <xf numFmtId="173" fontId="10" fillId="0" borderId="75" xfId="0" applyNumberFormat="1" applyFont="1" applyFill="1" applyBorder="1" applyAlignment="1">
      <alignment horizontal="center" shrinkToFit="1"/>
    </xf>
    <xf numFmtId="173" fontId="10" fillId="0" borderId="76" xfId="0" applyNumberFormat="1" applyFont="1" applyFill="1" applyBorder="1" applyAlignment="1">
      <alignment horizontal="center" shrinkToFit="1"/>
    </xf>
    <xf numFmtId="2" fontId="10" fillId="0" borderId="75" xfId="0" applyNumberFormat="1" applyFont="1" applyBorder="1" applyAlignment="1">
      <alignment horizontal="center"/>
    </xf>
    <xf numFmtId="0" fontId="10" fillId="0" borderId="75" xfId="0" applyFont="1" applyBorder="1" applyAlignment="1" applyProtection="1">
      <alignment horizontal="center"/>
      <protection locked="0" hidden="1"/>
    </xf>
    <xf numFmtId="0" fontId="10" fillId="0" borderId="76" xfId="0" applyFont="1" applyBorder="1" applyAlignment="1" applyProtection="1">
      <alignment horizontal="center"/>
      <protection locked="0" hidden="1"/>
    </xf>
    <xf numFmtId="0" fontId="10" fillId="0" borderId="75" xfId="0" applyFont="1" applyBorder="1" applyAlignment="1" applyProtection="1">
      <alignment horizontal="center" wrapText="1"/>
      <protection locked="0" hidden="1"/>
    </xf>
    <xf numFmtId="0" fontId="10" fillId="0" borderId="76" xfId="0" applyFont="1" applyBorder="1" applyAlignment="1" applyProtection="1">
      <alignment horizontal="center" wrapText="1"/>
      <protection locked="0" hidden="1"/>
    </xf>
    <xf numFmtId="9" fontId="72" fillId="0" borderId="0" xfId="0" applyNumberFormat="1" applyFont="1" applyBorder="1" applyAlignment="1">
      <alignment horizontal="center" vertical="center"/>
    </xf>
    <xf numFmtId="167" fontId="10" fillId="0" borderId="75" xfId="0" applyNumberFormat="1" applyFont="1" applyBorder="1" applyAlignment="1" applyProtection="1">
      <alignment horizontal="center" shrinkToFit="1"/>
      <protection locked="0"/>
    </xf>
    <xf numFmtId="167" fontId="10" fillId="0" borderId="76" xfId="0" applyNumberFormat="1" applyFont="1" applyBorder="1" applyAlignment="1" applyProtection="1">
      <alignment horizontal="center" shrinkToFit="1"/>
      <protection locked="0"/>
    </xf>
    <xf numFmtId="0" fontId="10" fillId="20" borderId="75" xfId="0" applyFont="1" applyFill="1" applyBorder="1" applyAlignment="1">
      <alignment horizontal="center"/>
    </xf>
    <xf numFmtId="0" fontId="10" fillId="20" borderId="76" xfId="0" applyFont="1" applyFill="1" applyBorder="1" applyAlignment="1">
      <alignment horizontal="center"/>
    </xf>
    <xf numFmtId="0" fontId="10" fillId="0" borderId="0" xfId="0" applyFont="1" applyFill="1" applyBorder="1" applyAlignment="1" applyProtection="1">
      <alignment horizontal="center" wrapText="1"/>
    </xf>
    <xf numFmtId="0" fontId="10" fillId="0" borderId="72" xfId="0" applyFont="1" applyFill="1" applyBorder="1" applyAlignment="1" applyProtection="1">
      <alignment horizontal="center" wrapText="1"/>
    </xf>
    <xf numFmtId="167" fontId="108" fillId="0" borderId="129" xfId="0" applyNumberFormat="1" applyFont="1" applyBorder="1" applyAlignment="1" applyProtection="1">
      <alignment horizontal="center" shrinkToFit="1"/>
      <protection locked="0"/>
    </xf>
    <xf numFmtId="167" fontId="108" fillId="0" borderId="129" xfId="0" applyNumberFormat="1" applyFont="1" applyBorder="1" applyAlignment="1" applyProtection="1">
      <alignment horizontal="center" shrinkToFit="1"/>
      <protection locked="0" hidden="1"/>
    </xf>
    <xf numFmtId="167" fontId="108" fillId="0" borderId="131" xfId="0" applyNumberFormat="1" applyFont="1" applyBorder="1" applyAlignment="1" applyProtection="1">
      <alignment horizontal="center" shrinkToFit="1"/>
      <protection locked="0" hidden="1"/>
    </xf>
    <xf numFmtId="167" fontId="108" fillId="0" borderId="76" xfId="0" applyNumberFormat="1" applyFont="1" applyBorder="1" applyAlignment="1" applyProtection="1">
      <alignment horizontal="center" shrinkToFit="1"/>
      <protection locked="0" hidden="1"/>
    </xf>
    <xf numFmtId="167" fontId="108" fillId="0" borderId="133" xfId="0" applyNumberFormat="1" applyFont="1" applyBorder="1" applyAlignment="1" applyProtection="1">
      <alignment horizontal="center" shrinkToFit="1"/>
      <protection locked="0" hidden="1"/>
    </xf>
    <xf numFmtId="0" fontId="63" fillId="0" borderId="36" xfId="1" applyFont="1" applyFill="1" applyBorder="1" applyAlignment="1" applyProtection="1">
      <alignment horizontal="center" vertical="center" wrapText="1"/>
      <protection hidden="1"/>
    </xf>
    <xf numFmtId="0" fontId="63" fillId="0" borderId="0" xfId="1" applyFont="1" applyFill="1" applyBorder="1" applyAlignment="1" applyProtection="1">
      <alignment horizontal="center" vertical="center" wrapText="1"/>
      <protection hidden="1"/>
    </xf>
    <xf numFmtId="0" fontId="63" fillId="0" borderId="73" xfId="1" applyFont="1" applyFill="1" applyBorder="1" applyAlignment="1" applyProtection="1">
      <alignment horizontal="center" vertical="center" wrapText="1"/>
      <protection hidden="1"/>
    </xf>
    <xf numFmtId="0" fontId="10" fillId="0" borderId="0" xfId="0" applyFont="1" applyBorder="1" applyAlignment="1">
      <alignment horizontal="center" wrapText="1"/>
    </xf>
    <xf numFmtId="0" fontId="10" fillId="0" borderId="72" xfId="0" applyFont="1" applyBorder="1" applyAlignment="1">
      <alignment horizontal="center" wrapText="1"/>
    </xf>
    <xf numFmtId="0" fontId="108" fillId="0" borderId="0" xfId="0" applyFont="1" applyBorder="1" applyAlignment="1">
      <alignment horizontal="center" vertical="center" wrapText="1"/>
    </xf>
    <xf numFmtId="167" fontId="109" fillId="5" borderId="56" xfId="0" applyNumberFormat="1" applyFont="1" applyFill="1" applyBorder="1" applyAlignment="1">
      <alignment horizontal="center" wrapText="1"/>
    </xf>
    <xf numFmtId="167" fontId="109" fillId="5" borderId="57" xfId="0" applyNumberFormat="1" applyFont="1" applyFill="1" applyBorder="1" applyAlignment="1">
      <alignment horizontal="center" wrapText="1"/>
    </xf>
    <xf numFmtId="167" fontId="109" fillId="5" borderId="58" xfId="0" applyNumberFormat="1" applyFont="1" applyFill="1" applyBorder="1" applyAlignment="1">
      <alignment horizontal="center" wrapText="1"/>
    </xf>
    <xf numFmtId="167" fontId="109" fillId="5" borderId="60" xfId="0" applyNumberFormat="1" applyFont="1" applyFill="1" applyBorder="1" applyAlignment="1">
      <alignment horizontal="center" wrapText="1"/>
    </xf>
    <xf numFmtId="167" fontId="109" fillId="5" borderId="61" xfId="0" applyNumberFormat="1" applyFont="1" applyFill="1" applyBorder="1" applyAlignment="1">
      <alignment horizontal="center" wrapText="1"/>
    </xf>
    <xf numFmtId="167" fontId="109" fillId="5" borderId="62" xfId="0" applyNumberFormat="1" applyFont="1" applyFill="1" applyBorder="1" applyAlignment="1">
      <alignment horizontal="center" wrapText="1"/>
    </xf>
    <xf numFmtId="3" fontId="108" fillId="11" borderId="76" xfId="0" applyNumberFormat="1" applyFont="1" applyFill="1" applyBorder="1" applyAlignment="1" applyProtection="1">
      <alignment horizontal="center" shrinkToFit="1"/>
      <protection hidden="1"/>
    </xf>
    <xf numFmtId="3" fontId="108" fillId="0" borderId="129" xfId="0" applyNumberFormat="1" applyFont="1" applyBorder="1" applyAlignment="1" applyProtection="1">
      <alignment horizontal="center" shrinkToFit="1"/>
      <protection locked="0"/>
    </xf>
    <xf numFmtId="0" fontId="108" fillId="0" borderId="59" xfId="0" applyFont="1" applyBorder="1" applyAlignment="1" applyProtection="1">
      <alignment horizontal="center" wrapText="1"/>
      <protection locked="0"/>
    </xf>
    <xf numFmtId="184" fontId="108" fillId="0" borderId="129" xfId="0" applyNumberFormat="1" applyFont="1" applyBorder="1" applyAlignment="1" applyProtection="1">
      <alignment horizontal="center" shrinkToFit="1"/>
      <protection locked="0"/>
    </xf>
    <xf numFmtId="0" fontId="108" fillId="0" borderId="129" xfId="0" applyFont="1" applyBorder="1" applyAlignment="1" applyProtection="1">
      <alignment horizontal="center" wrapText="1"/>
      <protection locked="0"/>
    </xf>
    <xf numFmtId="0" fontId="108" fillId="0" borderId="130" xfId="0" applyFont="1" applyBorder="1" applyAlignment="1" applyProtection="1">
      <alignment horizontal="center" wrapText="1"/>
      <protection locked="0"/>
    </xf>
    <xf numFmtId="3" fontId="108" fillId="11" borderId="75" xfId="0" applyNumberFormat="1" applyFont="1" applyFill="1" applyBorder="1" applyAlignment="1" applyProtection="1">
      <alignment horizontal="center" shrinkToFit="1"/>
      <protection hidden="1"/>
    </xf>
    <xf numFmtId="0" fontId="108" fillId="0" borderId="133" xfId="0" applyFont="1" applyBorder="1" applyAlignment="1" applyProtection="1">
      <alignment horizontal="center" wrapText="1"/>
      <protection locked="0"/>
    </xf>
    <xf numFmtId="0" fontId="108" fillId="0" borderId="131" xfId="0" applyFont="1" applyBorder="1" applyAlignment="1" applyProtection="1">
      <alignment horizontal="center" wrapText="1"/>
      <protection locked="0"/>
    </xf>
    <xf numFmtId="0" fontId="10" fillId="0" borderId="102" xfId="0" applyFont="1" applyBorder="1" applyAlignment="1">
      <alignment horizontal="center"/>
    </xf>
    <xf numFmtId="3" fontId="108" fillId="0" borderId="131" xfId="0" applyNumberFormat="1" applyFont="1" applyBorder="1" applyAlignment="1" applyProtection="1">
      <alignment horizontal="center" shrinkToFit="1"/>
      <protection locked="0"/>
    </xf>
    <xf numFmtId="3" fontId="108" fillId="0" borderId="133" xfId="0" applyNumberFormat="1" applyFont="1" applyBorder="1" applyAlignment="1" applyProtection="1">
      <alignment horizontal="center" shrinkToFit="1"/>
      <protection locked="0"/>
    </xf>
    <xf numFmtId="3" fontId="108" fillId="0" borderId="127" xfId="0" applyNumberFormat="1" applyFont="1" applyBorder="1" applyAlignment="1" applyProtection="1">
      <alignment horizontal="center" shrinkToFit="1"/>
      <protection locked="0"/>
    </xf>
    <xf numFmtId="0" fontId="108" fillId="0" borderId="130" xfId="0" applyNumberFormat="1" applyFont="1" applyBorder="1" applyAlignment="1" applyProtection="1">
      <alignment horizontal="center" shrinkToFit="1"/>
      <protection locked="0" hidden="1"/>
    </xf>
    <xf numFmtId="0" fontId="108" fillId="0" borderId="129" xfId="0" applyNumberFormat="1" applyFont="1" applyBorder="1" applyAlignment="1" applyProtection="1">
      <alignment horizontal="center" shrinkToFit="1"/>
      <protection locked="0" hidden="1"/>
    </xf>
    <xf numFmtId="0" fontId="108" fillId="0" borderId="132" xfId="0" applyNumberFormat="1" applyFont="1" applyBorder="1" applyAlignment="1" applyProtection="1">
      <alignment horizontal="center" shrinkToFit="1"/>
      <protection locked="0" hidden="1"/>
    </xf>
    <xf numFmtId="0" fontId="108" fillId="0" borderId="76" xfId="0" applyNumberFormat="1" applyFont="1" applyBorder="1" applyAlignment="1" applyProtection="1">
      <alignment horizontal="center" shrinkToFit="1"/>
      <protection locked="0" hidden="1"/>
    </xf>
    <xf numFmtId="3" fontId="108" fillId="0" borderId="140" xfId="0" applyNumberFormat="1" applyFont="1" applyBorder="1" applyAlignment="1" applyProtection="1">
      <alignment horizontal="center" shrinkToFit="1"/>
      <protection locked="0"/>
    </xf>
    <xf numFmtId="0" fontId="10" fillId="0" borderId="0" xfId="0" applyFont="1" applyBorder="1" applyAlignment="1" applyProtection="1">
      <alignment horizontal="center" shrinkToFit="1"/>
    </xf>
    <xf numFmtId="0" fontId="10" fillId="0" borderId="72" xfId="0" applyFont="1" applyBorder="1" applyAlignment="1" applyProtection="1">
      <alignment horizontal="center" shrinkToFit="1"/>
    </xf>
    <xf numFmtId="167" fontId="108" fillId="0" borderId="75" xfId="0" applyNumberFormat="1" applyFont="1" applyBorder="1" applyAlignment="1" applyProtection="1">
      <alignment horizontal="center" shrinkToFit="1"/>
      <protection locked="0" hidden="1"/>
    </xf>
    <xf numFmtId="167" fontId="108" fillId="0" borderId="140" xfId="0" applyNumberFormat="1" applyFont="1" applyBorder="1" applyAlignment="1" applyProtection="1">
      <alignment horizontal="center" shrinkToFit="1"/>
      <protection locked="0" hidden="1"/>
    </xf>
    <xf numFmtId="0" fontId="108" fillId="0" borderId="168" xfId="0" applyFont="1" applyBorder="1" applyAlignment="1" applyProtection="1">
      <alignment horizontal="center" wrapText="1"/>
      <protection locked="0"/>
    </xf>
    <xf numFmtId="0" fontId="108" fillId="0" borderId="9" xfId="0" applyFont="1" applyBorder="1" applyAlignment="1" applyProtection="1">
      <alignment horizontal="center" wrapText="1"/>
      <protection locked="0"/>
    </xf>
    <xf numFmtId="4" fontId="108" fillId="0" borderId="169" xfId="0" applyNumberFormat="1" applyFont="1" applyBorder="1" applyAlignment="1" applyProtection="1">
      <alignment horizontal="center" shrinkToFit="1"/>
      <protection locked="0"/>
    </xf>
    <xf numFmtId="4" fontId="108" fillId="0" borderId="170" xfId="0" applyNumberFormat="1" applyFont="1" applyBorder="1" applyAlignment="1" applyProtection="1">
      <alignment horizontal="center" shrinkToFit="1"/>
      <protection locked="0"/>
    </xf>
    <xf numFmtId="4" fontId="108" fillId="0" borderId="139" xfId="0" applyNumberFormat="1" applyFont="1" applyBorder="1" applyAlignment="1" applyProtection="1">
      <alignment horizontal="center" shrinkToFit="1"/>
      <protection locked="0"/>
    </xf>
    <xf numFmtId="4" fontId="108" fillId="0" borderId="75" xfId="0" applyNumberFormat="1" applyFont="1" applyBorder="1" applyAlignment="1" applyProtection="1">
      <alignment horizontal="center" shrinkToFit="1"/>
      <protection locked="0"/>
    </xf>
    <xf numFmtId="167" fontId="8" fillId="0" borderId="170" xfId="0" applyNumberFormat="1" applyFont="1" applyBorder="1" applyAlignment="1" applyProtection="1">
      <alignment horizontal="center"/>
      <protection locked="0"/>
    </xf>
    <xf numFmtId="167" fontId="8" fillId="0" borderId="171" xfId="0" applyNumberFormat="1" applyFont="1" applyBorder="1" applyAlignment="1" applyProtection="1">
      <alignment horizontal="center"/>
      <protection locked="0"/>
    </xf>
    <xf numFmtId="167" fontId="8" fillId="0" borderId="75" xfId="0" applyNumberFormat="1" applyFont="1" applyBorder="1" applyAlignment="1" applyProtection="1">
      <alignment horizontal="center"/>
      <protection locked="0"/>
    </xf>
    <xf numFmtId="167" fontId="8" fillId="0" borderId="140" xfId="0" applyNumberFormat="1" applyFont="1" applyBorder="1" applyAlignment="1" applyProtection="1">
      <alignment horizontal="center"/>
      <protection locked="0"/>
    </xf>
    <xf numFmtId="0" fontId="10" fillId="20" borderId="76" xfId="0" applyFont="1" applyFill="1" applyBorder="1" applyAlignment="1">
      <alignment horizontal="center" shrinkToFit="1"/>
    </xf>
    <xf numFmtId="167" fontId="10" fillId="0" borderId="76" xfId="0" applyNumberFormat="1" applyFont="1" applyFill="1" applyBorder="1" applyAlignment="1">
      <alignment horizontal="center" shrinkToFit="1"/>
    </xf>
    <xf numFmtId="4" fontId="10" fillId="0" borderId="76" xfId="0" applyNumberFormat="1" applyFont="1" applyFill="1" applyBorder="1" applyAlignment="1">
      <alignment horizontal="center" shrinkToFit="1"/>
    </xf>
    <xf numFmtId="0" fontId="10" fillId="0" borderId="76" xfId="0" applyFont="1" applyFill="1" applyBorder="1" applyAlignment="1">
      <alignment horizontal="center" shrinkToFit="1"/>
    </xf>
    <xf numFmtId="0" fontId="10" fillId="0" borderId="61" xfId="0" applyFont="1" applyFill="1" applyBorder="1" applyAlignment="1" applyProtection="1">
      <alignment horizontal="center" shrinkToFit="1"/>
    </xf>
    <xf numFmtId="0" fontId="10" fillId="0" borderId="103" xfId="0" applyFont="1" applyFill="1" applyBorder="1" applyAlignment="1" applyProtection="1">
      <alignment horizontal="center" shrinkToFit="1"/>
    </xf>
    <xf numFmtId="0" fontId="108" fillId="0" borderId="139" xfId="0" applyNumberFormat="1" applyFont="1" applyBorder="1" applyAlignment="1" applyProtection="1">
      <alignment horizontal="center" shrinkToFit="1"/>
      <protection locked="0" hidden="1"/>
    </xf>
    <xf numFmtId="0" fontId="108" fillId="0" borderId="75" xfId="0" applyNumberFormat="1" applyFont="1" applyBorder="1" applyAlignment="1" applyProtection="1">
      <alignment horizontal="center" shrinkToFit="1"/>
      <protection locked="0" hidden="1"/>
    </xf>
    <xf numFmtId="0" fontId="8" fillId="5" borderId="40" xfId="0" applyFont="1" applyFill="1" applyBorder="1" applyAlignment="1">
      <alignment horizontal="left" vertical="top" wrapText="1"/>
    </xf>
    <xf numFmtId="0" fontId="8" fillId="5" borderId="41" xfId="0" applyFont="1" applyFill="1" applyBorder="1" applyAlignment="1">
      <alignment horizontal="left" vertical="top" wrapText="1"/>
    </xf>
    <xf numFmtId="0" fontId="8" fillId="5" borderId="42" xfId="0" applyFont="1" applyFill="1" applyBorder="1" applyAlignment="1">
      <alignment horizontal="left" vertical="top" wrapText="1"/>
    </xf>
    <xf numFmtId="0" fontId="8" fillId="5" borderId="43"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44" xfId="0" applyFont="1" applyFill="1" applyBorder="1" applyAlignment="1">
      <alignment horizontal="left" vertical="top" wrapText="1"/>
    </xf>
    <xf numFmtId="0" fontId="8" fillId="5" borderId="45" xfId="0" applyFont="1" applyFill="1" applyBorder="1" applyAlignment="1">
      <alignment horizontal="left" vertical="top" wrapText="1"/>
    </xf>
    <xf numFmtId="0" fontId="8" fillId="5" borderId="35" xfId="0" applyFont="1" applyFill="1" applyBorder="1" applyAlignment="1">
      <alignment horizontal="left" vertical="top" wrapText="1"/>
    </xf>
    <xf numFmtId="0" fontId="8" fillId="5" borderId="46" xfId="0" applyFont="1" applyFill="1" applyBorder="1" applyAlignment="1">
      <alignment horizontal="left" vertical="top" wrapText="1"/>
    </xf>
    <xf numFmtId="0" fontId="70" fillId="0" borderId="0" xfId="0" applyFont="1" applyAlignment="1">
      <alignment horizontal="center" vertical="top" wrapText="1"/>
    </xf>
    <xf numFmtId="49" fontId="8" fillId="0" borderId="37" xfId="0" applyNumberFormat="1" applyFont="1" applyBorder="1" applyAlignment="1" applyProtection="1">
      <alignment horizontal="left"/>
      <protection locked="0"/>
    </xf>
    <xf numFmtId="49" fontId="8" fillId="0" borderId="38" xfId="0" applyNumberFormat="1" applyFont="1" applyBorder="1" applyAlignment="1" applyProtection="1">
      <alignment horizontal="left"/>
      <protection locked="0"/>
    </xf>
    <xf numFmtId="49" fontId="8" fillId="0" borderId="39" xfId="0" applyNumberFormat="1" applyFont="1" applyBorder="1" applyAlignment="1" applyProtection="1">
      <alignment horizontal="left"/>
      <protection locked="0"/>
    </xf>
    <xf numFmtId="0" fontId="70" fillId="0" borderId="0" xfId="0" applyFont="1" applyBorder="1" applyAlignment="1">
      <alignment horizontal="center"/>
    </xf>
    <xf numFmtId="0" fontId="81" fillId="0" borderId="0" xfId="0" applyFont="1" applyAlignment="1">
      <alignment horizontal="left" wrapText="1"/>
    </xf>
    <xf numFmtId="0" fontId="70" fillId="0" borderId="63" xfId="0" applyFont="1" applyBorder="1" applyAlignment="1">
      <alignment horizontal="center"/>
    </xf>
    <xf numFmtId="0" fontId="136" fillId="2" borderId="59" xfId="0" applyFont="1" applyFill="1" applyBorder="1" applyAlignment="1"/>
    <xf numFmtId="0" fontId="136" fillId="2" borderId="0" xfId="0" applyFont="1" applyFill="1" applyBorder="1" applyAlignment="1"/>
    <xf numFmtId="0" fontId="82" fillId="0" borderId="65" xfId="1" applyFont="1" applyBorder="1" applyAlignment="1" applyProtection="1">
      <protection hidden="1"/>
    </xf>
    <xf numFmtId="0" fontId="82" fillId="0" borderId="66" xfId="1" applyFont="1" applyBorder="1" applyAlignment="1" applyProtection="1">
      <protection hidden="1"/>
    </xf>
    <xf numFmtId="0" fontId="101" fillId="5" borderId="57" xfId="1" applyFont="1" applyFill="1" applyBorder="1" applyAlignment="1" applyProtection="1">
      <alignment horizontal="right" vertical="center"/>
      <protection hidden="1"/>
    </xf>
    <xf numFmtId="0" fontId="101" fillId="5" borderId="58" xfId="1" applyFont="1" applyFill="1" applyBorder="1" applyAlignment="1" applyProtection="1">
      <alignment horizontal="right" vertical="center"/>
      <protection hidden="1"/>
    </xf>
    <xf numFmtId="0" fontId="136" fillId="2" borderId="0" xfId="0" applyFont="1" applyFill="1" applyBorder="1" applyAlignment="1">
      <alignment horizontal="right"/>
    </xf>
    <xf numFmtId="0" fontId="136" fillId="2" borderId="9" xfId="0" applyFont="1" applyFill="1" applyBorder="1" applyAlignment="1">
      <alignment horizontal="right"/>
    </xf>
    <xf numFmtId="167" fontId="121" fillId="0" borderId="36" xfId="0" applyNumberFormat="1" applyFont="1" applyBorder="1" applyAlignment="1">
      <alignment horizontal="center"/>
    </xf>
    <xf numFmtId="0" fontId="22" fillId="5" borderId="57" xfId="0" applyFont="1" applyFill="1" applyBorder="1" applyAlignment="1">
      <alignment horizontal="right" vertical="center"/>
    </xf>
    <xf numFmtId="0" fontId="22" fillId="5" borderId="58" xfId="0" applyFont="1" applyFill="1" applyBorder="1" applyAlignment="1" applyProtection="1">
      <alignment horizontal="right" vertical="center"/>
    </xf>
    <xf numFmtId="0" fontId="136" fillId="2" borderId="0" xfId="0" applyFont="1" applyFill="1" applyBorder="1" applyAlignment="1">
      <alignment horizontal="center"/>
    </xf>
    <xf numFmtId="0" fontId="70" fillId="0" borderId="9" xfId="0" applyFont="1" applyBorder="1" applyAlignment="1">
      <alignment horizontal="left"/>
    </xf>
    <xf numFmtId="0" fontId="70" fillId="0" borderId="59" xfId="0" applyFont="1" applyBorder="1" applyAlignment="1">
      <alignment horizontal="left"/>
    </xf>
    <xf numFmtId="172" fontId="70" fillId="0" borderId="0" xfId="0" applyNumberFormat="1" applyFont="1" applyBorder="1" applyAlignment="1">
      <alignment horizontal="left"/>
    </xf>
    <xf numFmtId="0" fontId="22" fillId="5" borderId="0" xfId="0" applyFont="1" applyFill="1" applyBorder="1" applyAlignment="1">
      <alignment horizontal="right" vertical="center"/>
    </xf>
    <xf numFmtId="0" fontId="75" fillId="5" borderId="59" xfId="0" applyFont="1" applyFill="1" applyBorder="1" applyAlignment="1">
      <alignment horizontal="left" vertical="center"/>
    </xf>
    <xf numFmtId="0" fontId="75" fillId="5" borderId="0" xfId="0" applyFont="1" applyFill="1" applyBorder="1" applyAlignment="1">
      <alignment horizontal="left" vertical="center"/>
    </xf>
    <xf numFmtId="172" fontId="70" fillId="0" borderId="9" xfId="0" applyNumberFormat="1" applyFont="1" applyBorder="1" applyAlignment="1">
      <alignment horizontal="left"/>
    </xf>
    <xf numFmtId="0" fontId="101" fillId="5" borderId="0" xfId="1" applyFont="1" applyFill="1" applyBorder="1" applyAlignment="1" applyProtection="1">
      <alignment horizontal="right" vertical="center"/>
      <protection hidden="1"/>
    </xf>
    <xf numFmtId="0" fontId="101" fillId="5" borderId="9" xfId="1" applyFont="1" applyFill="1" applyBorder="1" applyAlignment="1" applyProtection="1">
      <alignment horizontal="right" vertical="center"/>
      <protection hidden="1"/>
    </xf>
    <xf numFmtId="0" fontId="70" fillId="0" borderId="66" xfId="0" applyFont="1" applyBorder="1" applyAlignment="1">
      <alignment horizontal="center"/>
    </xf>
    <xf numFmtId="0" fontId="70" fillId="0" borderId="68" xfId="0" applyFont="1" applyBorder="1" applyAlignment="1">
      <alignment horizontal="center"/>
    </xf>
    <xf numFmtId="0" fontId="68" fillId="0" borderId="60" xfId="0" applyFont="1" applyBorder="1" applyAlignment="1">
      <alignment horizontal="left"/>
    </xf>
    <xf numFmtId="0" fontId="68" fillId="0" borderId="61" xfId="0" applyFont="1" applyBorder="1" applyAlignment="1">
      <alignment horizontal="left"/>
    </xf>
    <xf numFmtId="0" fontId="75" fillId="5" borderId="56" xfId="0" applyFont="1" applyFill="1" applyBorder="1" applyAlignment="1">
      <alignment horizontal="left" vertical="center"/>
    </xf>
    <xf numFmtId="0" fontId="75" fillId="5" borderId="57" xfId="0" applyFont="1" applyFill="1" applyBorder="1" applyAlignment="1">
      <alignment horizontal="left" vertical="center"/>
    </xf>
    <xf numFmtId="0" fontId="70" fillId="0" borderId="0" xfId="0" applyFont="1" applyBorder="1" applyAlignment="1">
      <alignment horizontal="left" shrinkToFit="1"/>
    </xf>
    <xf numFmtId="0" fontId="70" fillId="0" borderId="9" xfId="0" applyFont="1" applyBorder="1" applyAlignment="1">
      <alignment horizontal="left" shrinkToFit="1"/>
    </xf>
    <xf numFmtId="14" fontId="70" fillId="0" borderId="0" xfId="0" applyNumberFormat="1" applyFont="1" applyBorder="1" applyAlignment="1">
      <alignment horizontal="left"/>
    </xf>
    <xf numFmtId="14" fontId="70" fillId="0" borderId="9" xfId="0" applyNumberFormat="1" applyFont="1" applyBorder="1" applyAlignment="1">
      <alignment horizontal="left"/>
    </xf>
    <xf numFmtId="0" fontId="70" fillId="0" borderId="59" xfId="0" applyNumberFormat="1" applyFont="1" applyBorder="1" applyAlignment="1">
      <alignment horizontal="left"/>
    </xf>
    <xf numFmtId="0" fontId="70" fillId="0" borderId="0" xfId="0" applyNumberFormat="1" applyFont="1" applyBorder="1" applyAlignment="1">
      <alignment horizontal="left"/>
    </xf>
    <xf numFmtId="167" fontId="70" fillId="0" borderId="66" xfId="0" applyNumberFormat="1" applyFont="1" applyBorder="1" applyAlignment="1"/>
    <xf numFmtId="167" fontId="70" fillId="0" borderId="67" xfId="0" applyNumberFormat="1" applyFont="1" applyBorder="1" applyAlignment="1"/>
    <xf numFmtId="14" fontId="8" fillId="0" borderId="82" xfId="0" applyNumberFormat="1" applyFont="1" applyBorder="1" applyAlignment="1" applyProtection="1">
      <alignment horizontal="left"/>
      <protection locked="0" hidden="1"/>
    </xf>
    <xf numFmtId="14" fontId="8" fillId="0" borderId="83" xfId="0" applyNumberFormat="1" applyFont="1" applyBorder="1" applyAlignment="1" applyProtection="1">
      <alignment horizontal="left"/>
      <protection locked="0" hidden="1"/>
    </xf>
    <xf numFmtId="14" fontId="8" fillId="0" borderId="84" xfId="0" applyNumberFormat="1" applyFont="1" applyBorder="1" applyAlignment="1" applyProtection="1">
      <alignment horizontal="left"/>
      <protection locked="0" hidden="1"/>
    </xf>
    <xf numFmtId="0" fontId="135" fillId="0" borderId="57" xfId="0" applyFont="1" applyBorder="1" applyAlignment="1" applyProtection="1">
      <alignment horizontal="center" vertical="top" wrapText="1"/>
      <protection hidden="1"/>
    </xf>
    <xf numFmtId="0" fontId="135" fillId="0" borderId="0" xfId="0" applyFont="1" applyBorder="1" applyAlignment="1" applyProtection="1">
      <alignment horizontal="center" vertical="top" wrapText="1"/>
      <protection hidden="1"/>
    </xf>
    <xf numFmtId="0" fontId="70" fillId="0" borderId="0" xfId="0" applyFont="1" applyAlignment="1">
      <alignment horizontal="left" vertical="top" wrapText="1"/>
    </xf>
    <xf numFmtId="167" fontId="70" fillId="0" borderId="68" xfId="0" applyNumberFormat="1" applyFont="1" applyBorder="1" applyAlignment="1"/>
    <xf numFmtId="167" fontId="70" fillId="0" borderId="69" xfId="0" applyNumberFormat="1" applyFont="1" applyBorder="1" applyAlignment="1"/>
    <xf numFmtId="167" fontId="68" fillId="0" borderId="61" xfId="0" applyNumberFormat="1" applyFont="1" applyBorder="1" applyAlignment="1"/>
    <xf numFmtId="167" fontId="68" fillId="0" borderId="62" xfId="0" applyNumberFormat="1" applyFont="1" applyBorder="1" applyAlignment="1"/>
    <xf numFmtId="0" fontId="75" fillId="5" borderId="56" xfId="0" applyFont="1" applyFill="1" applyBorder="1" applyAlignment="1">
      <alignment horizontal="left"/>
    </xf>
    <xf numFmtId="0" fontId="75" fillId="5" borderId="57" xfId="0" applyFont="1" applyFill="1" applyBorder="1" applyAlignment="1">
      <alignment horizontal="left"/>
    </xf>
    <xf numFmtId="167" fontId="70" fillId="0" borderId="63" xfId="0" applyNumberFormat="1" applyFont="1" applyBorder="1" applyAlignment="1"/>
    <xf numFmtId="167" fontId="70" fillId="0" borderId="64" xfId="0" applyNumberFormat="1" applyFont="1" applyBorder="1" applyAlignment="1"/>
    <xf numFmtId="0" fontId="136" fillId="2" borderId="63" xfId="0" applyFont="1" applyFill="1" applyBorder="1" applyAlignment="1">
      <alignment horizontal="right"/>
    </xf>
    <xf numFmtId="0" fontId="136" fillId="2" borderId="64" xfId="0" applyFont="1" applyFill="1" applyBorder="1" applyAlignment="1">
      <alignment horizontal="right"/>
    </xf>
    <xf numFmtId="0" fontId="98" fillId="34" borderId="93" xfId="0" applyFont="1" applyFill="1" applyBorder="1" applyAlignment="1">
      <alignment horizontal="left"/>
    </xf>
    <xf numFmtId="0" fontId="98" fillId="34" borderId="94" xfId="0" applyFont="1" applyFill="1" applyBorder="1" applyAlignment="1">
      <alignment horizontal="left"/>
    </xf>
    <xf numFmtId="0" fontId="98" fillId="34" borderId="95" xfId="0" applyFont="1" applyFill="1" applyBorder="1" applyAlignment="1">
      <alignment horizontal="left"/>
    </xf>
    <xf numFmtId="0" fontId="98" fillId="34" borderId="90" xfId="0" applyFont="1" applyFill="1" applyBorder="1" applyAlignment="1">
      <alignment horizontal="left"/>
    </xf>
    <xf numFmtId="0" fontId="98" fillId="34" borderId="91" xfId="0" applyFont="1" applyFill="1" applyBorder="1" applyAlignment="1">
      <alignment horizontal="left"/>
    </xf>
    <xf numFmtId="0" fontId="98" fillId="34" borderId="92" xfId="0" applyFont="1" applyFill="1" applyBorder="1" applyAlignment="1">
      <alignment horizontal="left"/>
    </xf>
    <xf numFmtId="0" fontId="99" fillId="0" borderId="0" xfId="0" applyFont="1" applyAlignment="1">
      <alignment horizontal="left" vertical="top" wrapText="1"/>
    </xf>
    <xf numFmtId="0" fontId="99" fillId="0" borderId="0" xfId="0" applyFont="1" applyAlignment="1" applyProtection="1">
      <alignment horizontal="left" vertical="top" wrapText="1"/>
    </xf>
    <xf numFmtId="0" fontId="8" fillId="0" borderId="0" xfId="0" applyFont="1" applyFill="1" applyBorder="1" applyAlignment="1">
      <alignment horizontal="left" vertical="top" wrapText="1"/>
    </xf>
    <xf numFmtId="0" fontId="8" fillId="0" borderId="86" xfId="0" applyFont="1" applyFill="1" applyBorder="1" applyAlignment="1">
      <alignment horizontal="left" vertical="top" wrapText="1"/>
    </xf>
    <xf numFmtId="0" fontId="79" fillId="36" borderId="0" xfId="1" applyFont="1" applyFill="1" applyAlignment="1" applyProtection="1">
      <alignment horizontal="left" vertical="center" indent="6"/>
      <protection locked="0" hidden="1"/>
    </xf>
    <xf numFmtId="0" fontId="8" fillId="0" borderId="0" xfId="0" applyFont="1" applyFill="1" applyBorder="1" applyAlignment="1">
      <alignment vertical="top"/>
    </xf>
    <xf numFmtId="0" fontId="8" fillId="0" borderId="86" xfId="0" applyFont="1" applyFill="1" applyBorder="1" applyAlignment="1">
      <alignment vertical="top"/>
    </xf>
    <xf numFmtId="0" fontId="8" fillId="0" borderId="0" xfId="0" applyFont="1" applyBorder="1"/>
    <xf numFmtId="0" fontId="8" fillId="0" borderId="0" xfId="0" applyFont="1" applyFill="1" applyBorder="1"/>
    <xf numFmtId="0" fontId="8" fillId="0" borderId="86" xfId="0" applyFont="1" applyFill="1" applyBorder="1"/>
    <xf numFmtId="0" fontId="8" fillId="0" borderId="88" xfId="0" applyFont="1" applyFill="1" applyBorder="1" applyAlignment="1">
      <alignment horizontal="left" vertical="top" wrapText="1"/>
    </xf>
    <xf numFmtId="0" fontId="8" fillId="0" borderId="89" xfId="0" applyFont="1" applyFill="1" applyBorder="1" applyAlignment="1">
      <alignment horizontal="left" vertical="top" wrapText="1"/>
    </xf>
    <xf numFmtId="0" fontId="123" fillId="0" borderId="24" xfId="0" applyFont="1" applyFill="1" applyBorder="1" applyAlignment="1">
      <alignment horizontal="left"/>
    </xf>
    <xf numFmtId="0" fontId="123" fillId="0" borderId="0" xfId="0" applyFont="1" applyFill="1" applyBorder="1" applyAlignment="1">
      <alignment horizontal="left"/>
    </xf>
    <xf numFmtId="0" fontId="105" fillId="35" borderId="16" xfId="0" applyFont="1" applyFill="1" applyBorder="1" applyAlignment="1">
      <alignment horizontal="center" vertical="center"/>
    </xf>
    <xf numFmtId="167" fontId="105" fillId="35" borderId="16" xfId="0" applyNumberFormat="1" applyFont="1" applyFill="1" applyBorder="1" applyAlignment="1">
      <alignment horizontal="center" vertical="center"/>
    </xf>
    <xf numFmtId="9" fontId="105" fillId="35" borderId="16" xfId="0" applyNumberFormat="1" applyFont="1" applyFill="1" applyBorder="1" applyAlignment="1">
      <alignment horizontal="center" vertical="center"/>
    </xf>
    <xf numFmtId="0" fontId="45" fillId="0" borderId="25" xfId="0" applyFont="1" applyFill="1" applyBorder="1" applyAlignment="1">
      <alignment horizontal="right" vertical="center" indent="1"/>
    </xf>
    <xf numFmtId="0" fontId="45" fillId="0" borderId="23" xfId="0" applyFont="1" applyFill="1" applyBorder="1" applyAlignment="1">
      <alignment horizontal="right" vertical="center" indent="1"/>
    </xf>
    <xf numFmtId="0" fontId="35" fillId="16" borderId="16" xfId="0" applyFont="1" applyFill="1" applyBorder="1" applyAlignment="1">
      <alignment horizontal="center" vertical="center"/>
    </xf>
    <xf numFmtId="167" fontId="35" fillId="16" borderId="16" xfId="0" applyNumberFormat="1" applyFont="1" applyFill="1" applyBorder="1" applyAlignment="1">
      <alignment horizontal="center" vertical="center"/>
    </xf>
    <xf numFmtId="9" fontId="35" fillId="16" borderId="16" xfId="0" applyNumberFormat="1" applyFont="1" applyFill="1" applyBorder="1" applyAlignment="1">
      <alignment horizontal="center" vertical="center"/>
    </xf>
    <xf numFmtId="170" fontId="46" fillId="0" borderId="0" xfId="0" applyNumberFormat="1" applyFont="1" applyFill="1" applyAlignment="1">
      <alignment horizontal="center" vertical="top"/>
    </xf>
    <xf numFmtId="0" fontId="57" fillId="0" borderId="0" xfId="0" applyFont="1" applyFill="1" applyAlignment="1">
      <alignment horizontal="center"/>
    </xf>
    <xf numFmtId="0" fontId="56" fillId="0" borderId="0" xfId="0" applyFont="1" applyBorder="1" applyAlignment="1">
      <alignment horizontal="center" vertical="center"/>
    </xf>
    <xf numFmtId="0" fontId="32" fillId="0" borderId="0" xfId="0" applyFont="1" applyBorder="1" applyAlignment="1">
      <alignment horizontal="center"/>
    </xf>
    <xf numFmtId="0" fontId="11" fillId="36" borderId="121" xfId="0" applyFont="1" applyFill="1" applyBorder="1" applyAlignment="1">
      <alignment horizontal="left" vertical="center" indent="1"/>
    </xf>
    <xf numFmtId="0" fontId="11" fillId="36" borderId="122" xfId="0" applyFont="1" applyFill="1" applyBorder="1" applyAlignment="1">
      <alignment horizontal="left" vertical="center" indent="1"/>
    </xf>
    <xf numFmtId="0" fontId="11" fillId="36" borderId="123" xfId="0" applyFont="1" applyFill="1" applyBorder="1" applyAlignment="1">
      <alignment horizontal="left" vertical="center" indent="1"/>
    </xf>
    <xf numFmtId="0" fontId="11" fillId="36" borderId="124" xfId="0" applyFont="1" applyFill="1" applyBorder="1" applyAlignment="1">
      <alignment horizontal="left" vertical="center" indent="1"/>
    </xf>
    <xf numFmtId="0" fontId="11" fillId="36" borderId="125" xfId="0" applyFont="1" applyFill="1" applyBorder="1" applyAlignment="1">
      <alignment horizontal="left" vertical="center" indent="1"/>
    </xf>
    <xf numFmtId="0" fontId="11" fillId="36" borderId="126" xfId="0" applyFont="1" applyFill="1" applyBorder="1" applyAlignment="1">
      <alignment horizontal="left" vertical="center" indent="1"/>
    </xf>
    <xf numFmtId="0" fontId="25" fillId="0" borderId="0" xfId="0" applyFont="1" applyBorder="1" applyAlignment="1">
      <alignment horizontal="center" vertical="center" wrapText="1"/>
    </xf>
    <xf numFmtId="2" fontId="105" fillId="35" borderId="16" xfId="0" applyNumberFormat="1" applyFont="1" applyFill="1" applyBorder="1" applyAlignment="1">
      <alignment horizontal="center" vertical="center"/>
    </xf>
    <xf numFmtId="0" fontId="45" fillId="0" borderId="0" xfId="0" applyFont="1" applyFill="1" applyBorder="1" applyAlignment="1">
      <alignment horizontal="right" vertical="center" indent="1"/>
    </xf>
    <xf numFmtId="2" fontId="35" fillId="16" borderId="16" xfId="0" applyNumberFormat="1" applyFont="1" applyFill="1" applyBorder="1" applyAlignment="1">
      <alignment horizontal="center" vertical="center"/>
    </xf>
    <xf numFmtId="0" fontId="49" fillId="0" borderId="0" xfId="0" applyFont="1" applyAlignment="1">
      <alignment horizontal="center"/>
    </xf>
    <xf numFmtId="177" fontId="55" fillId="0" borderId="0" xfId="0" applyNumberFormat="1" applyFont="1" applyAlignment="1">
      <alignment horizontal="center" vertical="center" wrapText="1"/>
    </xf>
    <xf numFmtId="0" fontId="49" fillId="0" borderId="0" xfId="0" applyFont="1" applyAlignment="1">
      <alignment horizontal="center" vertical="center" wrapText="1"/>
    </xf>
    <xf numFmtId="2" fontId="49" fillId="0" borderId="0" xfId="0" applyNumberFormat="1" applyFont="1" applyAlignment="1">
      <alignment horizontal="center" vertical="center"/>
    </xf>
    <xf numFmtId="0" fontId="49" fillId="0" borderId="0" xfId="0" applyFont="1" applyAlignment="1">
      <alignment horizontal="center" vertical="center"/>
    </xf>
    <xf numFmtId="0" fontId="8" fillId="0" borderId="0" xfId="0" applyFont="1" applyAlignment="1">
      <alignment horizontal="center"/>
    </xf>
    <xf numFmtId="0" fontId="58" fillId="4" borderId="0" xfId="0" applyFont="1" applyFill="1" applyBorder="1" applyAlignment="1">
      <alignment horizontal="left" vertical="center"/>
    </xf>
    <xf numFmtId="0" fontId="47" fillId="0" borderId="0" xfId="0" applyFont="1" applyBorder="1" applyAlignment="1">
      <alignment horizontal="center" vertical="center"/>
    </xf>
    <xf numFmtId="167" fontId="46" fillId="0" borderId="0" xfId="0" applyNumberFormat="1" applyFont="1" applyBorder="1" applyAlignment="1">
      <alignment horizontal="center"/>
    </xf>
    <xf numFmtId="172" fontId="35" fillId="0" borderId="0" xfId="0" applyNumberFormat="1" applyFont="1" applyBorder="1" applyAlignment="1">
      <alignment horizontal="left"/>
    </xf>
    <xf numFmtId="0" fontId="35" fillId="0" borderId="0" xfId="0" applyFont="1" applyBorder="1" applyAlignment="1">
      <alignment horizontal="left"/>
    </xf>
    <xf numFmtId="0" fontId="104" fillId="0" borderId="0" xfId="0" applyFont="1" applyBorder="1" applyAlignment="1">
      <alignment horizontal="left" vertical="center"/>
    </xf>
    <xf numFmtId="0" fontId="115" fillId="0" borderId="0" xfId="0" applyFont="1" applyBorder="1" applyAlignment="1">
      <alignment horizontal="center" vertical="center" wrapText="1"/>
    </xf>
    <xf numFmtId="0" fontId="105" fillId="35" borderId="19" xfId="0" applyFont="1" applyFill="1" applyBorder="1" applyAlignment="1">
      <alignment horizontal="left" vertical="center"/>
    </xf>
    <xf numFmtId="0" fontId="105" fillId="35" borderId="16" xfId="0" applyFont="1" applyFill="1" applyBorder="1" applyAlignment="1">
      <alignment horizontal="left" vertical="center"/>
    </xf>
    <xf numFmtId="0" fontId="138" fillId="34" borderId="0" xfId="0" applyFont="1" applyFill="1" applyAlignment="1" applyProtection="1">
      <alignment horizontal="right" vertical="center" wrapText="1" indent="1"/>
      <protection hidden="1"/>
    </xf>
    <xf numFmtId="0" fontId="89" fillId="22" borderId="0" xfId="0" applyFont="1" applyFill="1" applyAlignment="1" applyProtection="1">
      <alignment horizontal="center" vertical="center" wrapText="1"/>
    </xf>
    <xf numFmtId="0" fontId="8" fillId="22" borderId="0" xfId="2" applyFont="1" applyFill="1" applyBorder="1" applyAlignment="1" applyProtection="1">
      <alignment horizontal="left" vertical="top"/>
      <protection locked="0"/>
    </xf>
    <xf numFmtId="0" fontId="129" fillId="22" borderId="0" xfId="0" applyFont="1" applyFill="1" applyBorder="1" applyAlignment="1" applyProtection="1">
      <alignment horizontal="left" vertical="top" wrapText="1"/>
    </xf>
    <xf numFmtId="0" fontId="10" fillId="22" borderId="0" xfId="0" applyFont="1" applyFill="1" applyBorder="1" applyAlignment="1" applyProtection="1">
      <alignment horizontal="left" wrapText="1"/>
    </xf>
    <xf numFmtId="0" fontId="79" fillId="35" borderId="0" xfId="1" applyFont="1" applyFill="1" applyAlignment="1" applyProtection="1">
      <alignment horizontal="center" vertical="center"/>
      <protection locked="0" hidden="1"/>
    </xf>
    <xf numFmtId="0" fontId="92" fillId="22" borderId="0" xfId="2" applyFont="1" applyFill="1" applyBorder="1" applyAlignment="1" applyProtection="1">
      <alignment horizontal="left" vertical="top"/>
      <protection locked="0"/>
    </xf>
    <xf numFmtId="14" fontId="8" fillId="22" borderId="0" xfId="2" applyNumberFormat="1" applyFont="1" applyFill="1" applyBorder="1" applyAlignment="1" applyProtection="1">
      <alignment horizontal="left" vertical="top"/>
      <protection locked="0"/>
    </xf>
    <xf numFmtId="0" fontId="91" fillId="22" borderId="0" xfId="2" applyFont="1" applyFill="1" applyBorder="1" applyAlignment="1" applyProtection="1">
      <alignment horizontal="left" vertical="center" wrapText="1"/>
      <protection hidden="1"/>
    </xf>
    <xf numFmtId="49" fontId="89" fillId="22" borderId="0" xfId="0" applyNumberFormat="1" applyFont="1" applyFill="1" applyAlignment="1">
      <alignment horizontal="center" vertical="center" wrapText="1"/>
    </xf>
    <xf numFmtId="0" fontId="89" fillId="22" borderId="0" xfId="0" applyFont="1" applyFill="1" applyAlignment="1">
      <alignment horizontal="center" vertical="center" wrapText="1"/>
    </xf>
    <xf numFmtId="0" fontId="23" fillId="33" borderId="0" xfId="0" applyFont="1" applyFill="1" applyAlignment="1" applyProtection="1">
      <alignment horizontal="center" vertical="center"/>
    </xf>
    <xf numFmtId="0" fontId="89" fillId="22" borderId="0" xfId="0" applyFont="1" applyFill="1" applyAlignment="1" applyProtection="1">
      <alignment horizontal="center"/>
    </xf>
    <xf numFmtId="0" fontId="8" fillId="22" borderId="0" xfId="0" applyFont="1" applyFill="1" applyAlignment="1" applyProtection="1">
      <alignment horizontal="left" vertical="top" wrapText="1"/>
    </xf>
    <xf numFmtId="14" fontId="93" fillId="22" borderId="0" xfId="0" applyNumberFormat="1" applyFont="1" applyFill="1" applyBorder="1" applyAlignment="1" applyProtection="1">
      <alignment horizontal="center" wrapText="1"/>
      <protection locked="0"/>
    </xf>
    <xf numFmtId="14" fontId="93" fillId="22" borderId="11" xfId="0" applyNumberFormat="1" applyFont="1" applyFill="1" applyBorder="1" applyAlignment="1" applyProtection="1">
      <alignment horizontal="center" wrapText="1"/>
      <protection locked="0"/>
    </xf>
    <xf numFmtId="0" fontId="93" fillId="22" borderId="0" xfId="0" applyNumberFormat="1" applyFont="1" applyFill="1" applyBorder="1" applyAlignment="1" applyProtection="1">
      <alignment horizontal="center" wrapText="1"/>
      <protection locked="0"/>
    </xf>
    <xf numFmtId="0" fontId="93" fillId="22" borderId="11" xfId="0" applyNumberFormat="1" applyFont="1" applyFill="1" applyBorder="1" applyAlignment="1" applyProtection="1">
      <alignment horizontal="center" wrapText="1"/>
      <protection locked="0"/>
    </xf>
    <xf numFmtId="0" fontId="130" fillId="0" borderId="0" xfId="0" applyFont="1" applyAlignment="1" applyProtection="1">
      <alignment horizontal="center" vertical="center"/>
    </xf>
    <xf numFmtId="0" fontId="94" fillId="0" borderId="0" xfId="0" applyFont="1" applyFill="1" applyAlignment="1" applyProtection="1">
      <alignment horizontal="left" vertical="center" wrapText="1"/>
    </xf>
    <xf numFmtId="170" fontId="10" fillId="22" borderId="98" xfId="0" applyNumberFormat="1" applyFont="1" applyFill="1" applyBorder="1" applyAlignment="1" applyProtection="1">
      <alignment vertical="top"/>
    </xf>
    <xf numFmtId="170" fontId="83" fillId="22" borderId="99" xfId="0" applyNumberFormat="1" applyFont="1" applyFill="1" applyBorder="1" applyAlignment="1" applyProtection="1">
      <alignment vertical="top"/>
    </xf>
    <xf numFmtId="167" fontId="10" fillId="22" borderId="98" xfId="0" applyNumberFormat="1" applyFont="1" applyFill="1" applyBorder="1" applyAlignment="1" applyProtection="1">
      <alignment vertical="top"/>
    </xf>
    <xf numFmtId="167" fontId="10" fillId="22" borderId="81" xfId="0" applyNumberFormat="1" applyFont="1" applyFill="1" applyBorder="1" applyAlignment="1" applyProtection="1">
      <alignment vertical="top"/>
    </xf>
    <xf numFmtId="167" fontId="83" fillId="22" borderId="99" xfId="0" applyNumberFormat="1" applyFont="1" applyFill="1" applyBorder="1" applyAlignment="1" applyProtection="1">
      <alignment vertical="top"/>
    </xf>
    <xf numFmtId="167" fontId="83" fillId="22" borderId="80" xfId="0" applyNumberFormat="1" applyFont="1" applyFill="1" applyBorder="1" applyAlignment="1" applyProtection="1">
      <alignment vertical="top"/>
    </xf>
    <xf numFmtId="0" fontId="89" fillId="22" borderId="0" xfId="0" applyFont="1" applyFill="1" applyBorder="1" applyAlignment="1" applyProtection="1">
      <alignment horizontal="center" vertical="center" wrapText="1"/>
    </xf>
    <xf numFmtId="0" fontId="83" fillId="22" borderId="0" xfId="0" applyFont="1" applyFill="1" applyBorder="1" applyAlignment="1" applyProtection="1">
      <alignment horizontal="left" vertical="top"/>
    </xf>
    <xf numFmtId="0" fontId="83" fillId="22" borderId="0" xfId="0" applyFont="1" applyFill="1" applyBorder="1" applyAlignment="1" applyProtection="1">
      <alignment horizontal="center" vertical="top"/>
    </xf>
    <xf numFmtId="167" fontId="10" fillId="22" borderId="97" xfId="0" applyNumberFormat="1" applyFont="1" applyFill="1" applyBorder="1" applyAlignment="1" applyProtection="1">
      <alignment vertical="top"/>
    </xf>
    <xf numFmtId="0" fontId="10" fillId="22" borderId="78" xfId="0" applyFont="1" applyFill="1" applyBorder="1" applyAlignment="1" applyProtection="1">
      <alignment horizontal="left" vertical="top"/>
    </xf>
    <xf numFmtId="0" fontId="10" fillId="22" borderId="97" xfId="0" applyFont="1" applyFill="1" applyBorder="1" applyAlignment="1" applyProtection="1">
      <alignment horizontal="left" vertical="top"/>
    </xf>
    <xf numFmtId="0" fontId="83" fillId="22" borderId="78" xfId="0" applyFont="1" applyFill="1" applyBorder="1" applyAlignment="1" applyProtection="1">
      <alignment horizontal="left" vertical="top"/>
    </xf>
    <xf numFmtId="0" fontId="83" fillId="22" borderId="97" xfId="0" applyFont="1" applyFill="1" applyBorder="1" applyAlignment="1" applyProtection="1">
      <alignment horizontal="left" vertical="top"/>
    </xf>
    <xf numFmtId="167" fontId="10" fillId="22" borderId="79" xfId="0" applyNumberFormat="1" applyFont="1" applyFill="1" applyBorder="1" applyAlignment="1" applyProtection="1">
      <alignment vertical="top"/>
    </xf>
    <xf numFmtId="0" fontId="7" fillId="22" borderId="0" xfId="0" applyFont="1" applyFill="1" applyAlignment="1" applyProtection="1">
      <alignment vertical="top"/>
    </xf>
    <xf numFmtId="0" fontId="7" fillId="22" borderId="0" xfId="0" applyFont="1" applyFill="1" applyAlignment="1" applyProtection="1">
      <alignment horizontal="left" vertical="top"/>
    </xf>
    <xf numFmtId="0" fontId="8" fillId="22" borderId="0" xfId="0" applyFont="1" applyFill="1" applyAlignment="1" applyProtection="1">
      <alignment horizontal="left" vertical="top"/>
    </xf>
    <xf numFmtId="172" fontId="8" fillId="22" borderId="0" xfId="0" applyNumberFormat="1" applyFont="1" applyFill="1" applyAlignment="1" applyProtection="1">
      <alignment horizontal="left" vertical="top"/>
    </xf>
    <xf numFmtId="0" fontId="87" fillId="33" borderId="0" xfId="0" applyFont="1" applyFill="1" applyAlignment="1" applyProtection="1">
      <alignment horizontal="left"/>
    </xf>
    <xf numFmtId="0" fontId="87" fillId="33" borderId="0" xfId="0" applyFont="1" applyFill="1" applyAlignment="1" applyProtection="1">
      <alignment horizontal="right"/>
    </xf>
    <xf numFmtId="0" fontId="35" fillId="0" borderId="0" xfId="0" applyFont="1" applyBorder="1" applyAlignment="1">
      <alignment horizontal="center" vertical="top" wrapText="1"/>
    </xf>
    <xf numFmtId="0" fontId="35" fillId="0" borderId="0" xfId="0" applyFont="1" applyBorder="1" applyAlignment="1" applyProtection="1">
      <alignment horizontal="center" vertical="top" wrapText="1"/>
    </xf>
    <xf numFmtId="170" fontId="10" fillId="22" borderId="97" xfId="0" applyNumberFormat="1" applyFont="1" applyFill="1" applyBorder="1" applyAlignment="1" applyProtection="1">
      <alignment vertical="top"/>
    </xf>
    <xf numFmtId="0" fontId="88" fillId="35" borderId="0" xfId="0" applyFont="1" applyFill="1" applyAlignment="1" applyProtection="1">
      <alignment horizontal="left" vertical="center"/>
    </xf>
    <xf numFmtId="0" fontId="88" fillId="35" borderId="0" xfId="0" applyFont="1" applyFill="1" applyAlignment="1" applyProtection="1">
      <alignment horizontal="right" vertical="center"/>
    </xf>
    <xf numFmtId="0" fontId="46" fillId="22" borderId="0" xfId="0" applyFont="1" applyFill="1" applyAlignment="1" applyProtection="1">
      <alignment horizontal="center" vertical="center" wrapText="1"/>
    </xf>
    <xf numFmtId="0" fontId="83" fillId="22" borderId="0" xfId="0" applyFont="1" applyFill="1" applyAlignment="1" applyProtection="1">
      <alignment vertical="top" wrapText="1"/>
    </xf>
    <xf numFmtId="0" fontId="83" fillId="22" borderId="0" xfId="0" applyFont="1" applyFill="1" applyAlignment="1" applyProtection="1">
      <alignment horizontal="left" vertical="top" wrapText="1"/>
    </xf>
    <xf numFmtId="0" fontId="10" fillId="22" borderId="0" xfId="0" applyFont="1" applyFill="1" applyAlignment="1" applyProtection="1">
      <alignment horizontal="left" vertical="top" wrapText="1"/>
    </xf>
    <xf numFmtId="172" fontId="10" fillId="22" borderId="0" xfId="0" applyNumberFormat="1" applyFont="1" applyFill="1" applyAlignment="1" applyProtection="1">
      <alignment horizontal="left" vertical="top" wrapText="1"/>
    </xf>
    <xf numFmtId="0" fontId="10" fillId="22" borderId="0" xfId="0" applyFont="1" applyFill="1" applyAlignment="1" applyProtection="1">
      <alignment horizontal="left" vertical="top"/>
    </xf>
    <xf numFmtId="0" fontId="89" fillId="22" borderId="0" xfId="0" applyFont="1" applyFill="1" applyAlignment="1" applyProtection="1">
      <alignment horizontal="center" wrapText="1"/>
    </xf>
    <xf numFmtId="0" fontId="90" fillId="22" borderId="0" xfId="0" applyFont="1" applyFill="1" applyBorder="1" applyAlignment="1" applyProtection="1">
      <alignment horizontal="left" vertical="center" wrapText="1"/>
    </xf>
    <xf numFmtId="0" fontId="10" fillId="22" borderId="0" xfId="0" applyFont="1" applyFill="1" applyAlignment="1" applyProtection="1">
      <alignment vertical="top"/>
    </xf>
    <xf numFmtId="0" fontId="10" fillId="22" borderId="0" xfId="0" applyFont="1" applyFill="1" applyBorder="1" applyAlignment="1" applyProtection="1">
      <alignment horizontal="left" vertical="top" wrapText="1"/>
    </xf>
    <xf numFmtId="0" fontId="90" fillId="22" borderId="0" xfId="0" applyFont="1" applyFill="1" applyBorder="1" applyAlignment="1" applyProtection="1">
      <alignment horizontal="left" vertical="top" wrapText="1"/>
    </xf>
    <xf numFmtId="0" fontId="8" fillId="8" borderId="16" xfId="0" applyFont="1" applyFill="1" applyBorder="1" applyAlignment="1" applyProtection="1">
      <protection hidden="1"/>
    </xf>
    <xf numFmtId="0" fontId="8" fillId="26" borderId="17" xfId="0" applyFont="1" applyFill="1" applyBorder="1" applyAlignment="1" applyProtection="1">
      <alignment horizontal="left" vertical="top"/>
    </xf>
    <xf numFmtId="0" fontId="8" fillId="26" borderId="18" xfId="0" applyFont="1" applyFill="1" applyBorder="1" applyAlignment="1" applyProtection="1">
      <alignment horizontal="left" vertical="top"/>
    </xf>
    <xf numFmtId="0" fontId="8" fillId="26" borderId="19" xfId="0" applyFont="1" applyFill="1" applyBorder="1" applyAlignment="1" applyProtection="1">
      <alignment horizontal="left" vertical="top"/>
    </xf>
    <xf numFmtId="0" fontId="24" fillId="6" borderId="16" xfId="0" applyFont="1" applyFill="1" applyBorder="1" applyAlignment="1" applyProtection="1">
      <alignment vertical="center"/>
      <protection hidden="1"/>
    </xf>
    <xf numFmtId="0" fontId="8" fillId="25" borderId="16" xfId="0" applyFont="1" applyFill="1" applyBorder="1" applyAlignment="1" applyProtection="1">
      <protection hidden="1"/>
    </xf>
    <xf numFmtId="0" fontId="8" fillId="25" borderId="16" xfId="0" applyFont="1" applyFill="1" applyBorder="1" applyAlignment="1" applyProtection="1">
      <alignment horizontal="left" vertical="top"/>
    </xf>
    <xf numFmtId="0" fontId="8" fillId="26" borderId="17" xfId="0" applyFont="1" applyFill="1" applyBorder="1" applyAlignment="1" applyProtection="1">
      <protection hidden="1"/>
    </xf>
    <xf numFmtId="0" fontId="8" fillId="26" borderId="18" xfId="0" applyFont="1" applyFill="1" applyBorder="1" applyAlignment="1" applyProtection="1">
      <protection hidden="1"/>
    </xf>
    <xf numFmtId="0" fontId="8" fillId="26" borderId="19" xfId="0" applyFont="1" applyFill="1" applyBorder="1" applyAlignment="1" applyProtection="1">
      <protection hidden="1"/>
    </xf>
    <xf numFmtId="0" fontId="8" fillId="8" borderId="17" xfId="0" applyFont="1" applyFill="1" applyBorder="1" applyAlignment="1" applyProtection="1">
      <protection hidden="1"/>
    </xf>
    <xf numFmtId="0" fontId="8" fillId="27" borderId="16" xfId="0" applyFont="1" applyFill="1" applyBorder="1" applyAlignment="1" applyProtection="1">
      <protection hidden="1"/>
    </xf>
    <xf numFmtId="0" fontId="24" fillId="6" borderId="17" xfId="0" applyFont="1" applyFill="1" applyBorder="1" applyAlignment="1" applyProtection="1">
      <alignment vertical="center"/>
      <protection hidden="1"/>
    </xf>
    <xf numFmtId="0" fontId="24" fillId="6" borderId="18" xfId="0" applyFont="1" applyFill="1" applyBorder="1" applyAlignment="1" applyProtection="1">
      <alignment vertical="center"/>
      <protection hidden="1"/>
    </xf>
    <xf numFmtId="0" fontId="8" fillId="12" borderId="17" xfId="0" applyFont="1" applyFill="1" applyBorder="1" applyAlignment="1" applyProtection="1">
      <alignment horizontal="left"/>
      <protection hidden="1"/>
    </xf>
    <xf numFmtId="0" fontId="8" fillId="12" borderId="18" xfId="0" applyFont="1" applyFill="1" applyBorder="1" applyAlignment="1" applyProtection="1">
      <alignment horizontal="left"/>
      <protection hidden="1"/>
    </xf>
    <xf numFmtId="0" fontId="8" fillId="12" borderId="19" xfId="0" applyFont="1" applyFill="1" applyBorder="1" applyAlignment="1" applyProtection="1">
      <alignment horizontal="left"/>
      <protection hidden="1"/>
    </xf>
    <xf numFmtId="166" fontId="8" fillId="25" borderId="16" xfId="0" applyNumberFormat="1" applyFont="1" applyFill="1" applyBorder="1" applyAlignment="1" applyProtection="1">
      <alignment horizontal="left" vertical="top"/>
    </xf>
    <xf numFmtId="0" fontId="8" fillId="26" borderId="16" xfId="0" applyFont="1" applyFill="1" applyBorder="1" applyAlignment="1" applyProtection="1">
      <protection hidden="1"/>
    </xf>
    <xf numFmtId="0" fontId="8" fillId="12" borderId="16" xfId="0" applyFont="1" applyFill="1" applyBorder="1" applyAlignment="1" applyProtection="1">
      <alignment horizontal="left" vertical="top"/>
    </xf>
    <xf numFmtId="0" fontId="8" fillId="28" borderId="16" xfId="0" applyFont="1" applyFill="1" applyBorder="1" applyAlignment="1" applyProtection="1">
      <protection hidden="1"/>
    </xf>
    <xf numFmtId="0" fontId="8" fillId="28" borderId="16" xfId="0" applyFont="1" applyFill="1" applyBorder="1" applyAlignment="1" applyProtection="1">
      <alignment horizontal="left" vertical="top"/>
    </xf>
    <xf numFmtId="0" fontId="10" fillId="5" borderId="16" xfId="0" applyFont="1" applyFill="1" applyBorder="1" applyAlignment="1" applyProtection="1">
      <protection hidden="1"/>
    </xf>
    <xf numFmtId="172" fontId="8" fillId="25" borderId="17" xfId="0" applyNumberFormat="1" applyFont="1" applyFill="1" applyBorder="1" applyAlignment="1" applyProtection="1">
      <alignment horizontal="left" vertical="top"/>
    </xf>
    <xf numFmtId="172" fontId="8" fillId="25" borderId="18" xfId="0" applyNumberFormat="1" applyFont="1" applyFill="1" applyBorder="1" applyAlignment="1" applyProtection="1">
      <alignment horizontal="left" vertical="top"/>
    </xf>
    <xf numFmtId="172" fontId="8" fillId="25" borderId="19" xfId="0" applyNumberFormat="1" applyFont="1" applyFill="1" applyBorder="1" applyAlignment="1" applyProtection="1">
      <alignment horizontal="left" vertical="top"/>
    </xf>
    <xf numFmtId="0" fontId="8" fillId="26" borderId="16" xfId="0" applyFont="1" applyFill="1" applyBorder="1" applyAlignment="1" applyProtection="1">
      <alignment horizontal="left" vertical="top"/>
    </xf>
    <xf numFmtId="166" fontId="8" fillId="26" borderId="16" xfId="0" applyNumberFormat="1" applyFont="1" applyFill="1" applyBorder="1" applyAlignment="1" applyProtection="1">
      <alignment horizontal="left" vertical="top"/>
    </xf>
    <xf numFmtId="3" fontId="8" fillId="12" borderId="17" xfId="0" applyNumberFormat="1" applyFont="1" applyFill="1" applyBorder="1" applyAlignment="1" applyProtection="1">
      <alignment horizontal="left" vertical="top"/>
    </xf>
    <xf numFmtId="3" fontId="8" fillId="12" borderId="18" xfId="0" applyNumberFormat="1" applyFont="1" applyFill="1" applyBorder="1" applyAlignment="1" applyProtection="1">
      <alignment horizontal="left" vertical="top"/>
    </xf>
    <xf numFmtId="3" fontId="8" fillId="12" borderId="19" xfId="0" applyNumberFormat="1" applyFont="1" applyFill="1" applyBorder="1" applyAlignment="1" applyProtection="1">
      <alignment horizontal="left" vertical="top"/>
    </xf>
    <xf numFmtId="166" fontId="8" fillId="28" borderId="16" xfId="0" applyNumberFormat="1" applyFont="1" applyFill="1" applyBorder="1" applyAlignment="1" applyProtection="1">
      <alignment horizontal="left" vertical="top"/>
    </xf>
    <xf numFmtId="0" fontId="8" fillId="12" borderId="16" xfId="0" applyFont="1" applyFill="1" applyBorder="1" applyAlignment="1" applyProtection="1">
      <protection hidden="1"/>
    </xf>
    <xf numFmtId="0" fontId="10" fillId="5" borderId="17" xfId="0" applyFont="1" applyFill="1" applyBorder="1" applyAlignment="1" applyProtection="1">
      <protection hidden="1"/>
    </xf>
    <xf numFmtId="0" fontId="10" fillId="5" borderId="18" xfId="0" applyFont="1" applyFill="1" applyBorder="1" applyAlignment="1" applyProtection="1">
      <protection hidden="1"/>
    </xf>
    <xf numFmtId="0" fontId="10" fillId="5" borderId="19" xfId="0" applyFont="1" applyFill="1" applyBorder="1" applyAlignment="1" applyProtection="1">
      <protection hidden="1"/>
    </xf>
    <xf numFmtId="167" fontId="10" fillId="5" borderId="16" xfId="0" applyNumberFormat="1" applyFont="1" applyFill="1" applyBorder="1" applyAlignment="1" applyProtection="1">
      <alignment horizontal="left" vertical="top"/>
      <protection hidden="1"/>
    </xf>
    <xf numFmtId="174" fontId="10" fillId="5" borderId="16" xfId="0" applyNumberFormat="1" applyFont="1" applyFill="1" applyBorder="1" applyAlignment="1" applyProtection="1">
      <alignment horizontal="left" vertical="top"/>
      <protection hidden="1"/>
    </xf>
    <xf numFmtId="172" fontId="8" fillId="28" borderId="16" xfId="0" applyNumberFormat="1" applyFont="1" applyFill="1" applyBorder="1" applyAlignment="1" applyProtection="1">
      <alignment horizontal="left" vertical="top"/>
    </xf>
    <xf numFmtId="0" fontId="8" fillId="27" borderId="16" xfId="0" applyFont="1" applyFill="1" applyBorder="1" applyAlignment="1" applyProtection="1">
      <alignment horizontal="left" vertical="top"/>
    </xf>
    <xf numFmtId="172" fontId="8" fillId="26" borderId="17" xfId="0" applyNumberFormat="1" applyFont="1" applyFill="1" applyBorder="1" applyAlignment="1" applyProtection="1">
      <alignment horizontal="left" vertical="top"/>
    </xf>
    <xf numFmtId="172" fontId="8" fillId="26" borderId="18" xfId="0" applyNumberFormat="1" applyFont="1" applyFill="1" applyBorder="1" applyAlignment="1" applyProtection="1">
      <alignment horizontal="left" vertical="top"/>
    </xf>
    <xf numFmtId="172" fontId="8" fillId="26" borderId="19" xfId="0" applyNumberFormat="1" applyFont="1" applyFill="1" applyBorder="1" applyAlignment="1" applyProtection="1">
      <alignment horizontal="left" vertical="top"/>
    </xf>
    <xf numFmtId="169" fontId="10" fillId="5" borderId="16" xfId="0" applyNumberFormat="1" applyFont="1" applyFill="1" applyBorder="1" applyAlignment="1" applyProtection="1">
      <alignment horizontal="left" vertical="top"/>
      <protection hidden="1"/>
    </xf>
    <xf numFmtId="0" fontId="8" fillId="28" borderId="17" xfId="0" applyFont="1" applyFill="1" applyBorder="1" applyAlignment="1" applyProtection="1">
      <alignment horizontal="left" vertical="top"/>
    </xf>
    <xf numFmtId="0" fontId="8" fillId="28" borderId="18" xfId="0" applyFont="1" applyFill="1" applyBorder="1" applyAlignment="1" applyProtection="1">
      <alignment horizontal="left" vertical="top"/>
    </xf>
    <xf numFmtId="0" fontId="8" fillId="28" borderId="19" xfId="0" applyFont="1" applyFill="1" applyBorder="1" applyAlignment="1" applyProtection="1">
      <alignment horizontal="left" vertical="top"/>
    </xf>
    <xf numFmtId="0" fontId="8" fillId="7" borderId="100" xfId="0" applyFont="1" applyFill="1" applyBorder="1" applyAlignment="1" applyProtection="1">
      <alignment horizontal="left" vertical="top" wrapText="1"/>
      <protection hidden="1"/>
    </xf>
    <xf numFmtId="0" fontId="8" fillId="7" borderId="0" xfId="0" applyFont="1" applyFill="1" applyBorder="1" applyAlignment="1" applyProtection="1">
      <alignment horizontal="left" vertical="top" wrapText="1"/>
      <protection hidden="1"/>
    </xf>
    <xf numFmtId="0" fontId="24" fillId="6" borderId="17"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167" fontId="10" fillId="5" borderId="17" xfId="0" applyNumberFormat="1" applyFont="1" applyFill="1" applyBorder="1" applyAlignment="1" applyProtection="1">
      <alignment horizontal="left" vertical="top"/>
      <protection hidden="1"/>
    </xf>
    <xf numFmtId="167" fontId="10" fillId="5" borderId="18" xfId="0" applyNumberFormat="1" applyFont="1" applyFill="1" applyBorder="1" applyAlignment="1" applyProtection="1">
      <alignment horizontal="left" vertical="top"/>
      <protection hidden="1"/>
    </xf>
    <xf numFmtId="167" fontId="10" fillId="5" borderId="19" xfId="0" applyNumberFormat="1" applyFont="1" applyFill="1" applyBorder="1" applyAlignment="1" applyProtection="1">
      <alignment horizontal="left" vertical="top"/>
      <protection hidden="1"/>
    </xf>
    <xf numFmtId="172" fontId="8" fillId="27" borderId="17" xfId="0" applyNumberFormat="1" applyFont="1" applyFill="1" applyBorder="1" applyAlignment="1" applyProtection="1">
      <alignment horizontal="left" vertical="top"/>
    </xf>
    <xf numFmtId="172" fontId="8" fillId="27" borderId="18" xfId="0" applyNumberFormat="1" applyFont="1" applyFill="1" applyBorder="1" applyAlignment="1" applyProtection="1">
      <alignment horizontal="left" vertical="top"/>
    </xf>
    <xf numFmtId="172" fontId="8" fillId="27" borderId="19" xfId="0" applyNumberFormat="1" applyFont="1" applyFill="1" applyBorder="1" applyAlignment="1" applyProtection="1">
      <alignment horizontal="left" vertical="top"/>
    </xf>
    <xf numFmtId="166" fontId="8" fillId="27" borderId="16" xfId="0" applyNumberFormat="1" applyFont="1" applyFill="1" applyBorder="1" applyAlignment="1" applyProtection="1">
      <alignment horizontal="left" vertical="top"/>
    </xf>
    <xf numFmtId="0" fontId="8" fillId="0" borderId="17" xfId="0" applyFont="1" applyFill="1" applyBorder="1" applyAlignment="1" applyProtection="1">
      <alignment horizontal="left" vertical="top"/>
      <protection locked="0"/>
    </xf>
    <xf numFmtId="0" fontId="8" fillId="0" borderId="18" xfId="0" applyFont="1" applyFill="1" applyBorder="1" applyAlignment="1" applyProtection="1">
      <alignment horizontal="left" vertical="top"/>
      <protection locked="0"/>
    </xf>
    <xf numFmtId="0" fontId="8" fillId="0" borderId="19" xfId="0" applyFont="1" applyFill="1" applyBorder="1" applyAlignment="1" applyProtection="1">
      <alignment horizontal="left" vertical="top"/>
      <protection locked="0"/>
    </xf>
    <xf numFmtId="49" fontId="8" fillId="0" borderId="17" xfId="0" applyNumberFormat="1" applyFont="1" applyFill="1" applyBorder="1" applyAlignment="1" applyProtection="1">
      <alignment horizontal="left" vertical="top"/>
      <protection locked="0"/>
    </xf>
    <xf numFmtId="49" fontId="8" fillId="0" borderId="18" xfId="0" applyNumberFormat="1" applyFont="1" applyFill="1" applyBorder="1" applyAlignment="1" applyProtection="1">
      <alignment horizontal="left" vertical="top"/>
      <protection locked="0"/>
    </xf>
    <xf numFmtId="49" fontId="8" fillId="0" borderId="19" xfId="0" applyNumberFormat="1" applyFont="1" applyFill="1" applyBorder="1" applyAlignment="1" applyProtection="1">
      <alignment horizontal="left" vertical="top"/>
      <protection locked="0"/>
    </xf>
    <xf numFmtId="168" fontId="8" fillId="0" borderId="17" xfId="0" applyNumberFormat="1" applyFont="1" applyFill="1" applyBorder="1" applyAlignment="1" applyProtection="1">
      <alignment horizontal="left" vertical="top"/>
      <protection locked="0"/>
    </xf>
    <xf numFmtId="168" fontId="8" fillId="0" borderId="18" xfId="0" applyNumberFormat="1" applyFont="1" applyFill="1" applyBorder="1" applyAlignment="1" applyProtection="1">
      <alignment horizontal="left" vertical="top"/>
      <protection locked="0"/>
    </xf>
    <xf numFmtId="168" fontId="8" fillId="0" borderId="19" xfId="0" applyNumberFormat="1" applyFont="1" applyFill="1" applyBorder="1" applyAlignment="1" applyProtection="1">
      <alignment horizontal="left" vertical="top"/>
      <protection locked="0"/>
    </xf>
    <xf numFmtId="0" fontId="8" fillId="0" borderId="17" xfId="0" applyNumberFormat="1" applyFont="1" applyFill="1" applyBorder="1" applyAlignment="1" applyProtection="1">
      <alignment horizontal="left" vertical="top"/>
    </xf>
    <xf numFmtId="0" fontId="8" fillId="0" borderId="18" xfId="0" applyNumberFormat="1" applyFont="1" applyFill="1" applyBorder="1" applyAlignment="1" applyProtection="1">
      <alignment horizontal="left" vertical="top"/>
    </xf>
    <xf numFmtId="0" fontId="8" fillId="0" borderId="19" xfId="0" applyNumberFormat="1" applyFont="1" applyFill="1" applyBorder="1" applyAlignment="1" applyProtection="1">
      <alignment horizontal="left" vertical="top"/>
    </xf>
    <xf numFmtId="0" fontId="8" fillId="11" borderId="17" xfId="0" applyFont="1" applyFill="1" applyBorder="1" applyAlignment="1" applyProtection="1"/>
    <xf numFmtId="0" fontId="8" fillId="11" borderId="18" xfId="0" applyFont="1" applyFill="1" applyBorder="1" applyAlignment="1" applyProtection="1"/>
    <xf numFmtId="0" fontId="8" fillId="11" borderId="19" xfId="0" applyFont="1" applyFill="1" applyBorder="1" applyAlignment="1" applyProtection="1"/>
    <xf numFmtId="0" fontId="8" fillId="8" borderId="144" xfId="0" applyFont="1" applyFill="1" applyBorder="1" applyAlignment="1" applyProtection="1">
      <alignment horizontal="left" vertical="top"/>
    </xf>
    <xf numFmtId="0" fontId="8" fillId="8" borderId="145" xfId="0" applyFont="1" applyFill="1" applyBorder="1" applyAlignment="1" applyProtection="1">
      <alignment horizontal="left" vertical="top"/>
    </xf>
    <xf numFmtId="0" fontId="8" fillId="8" borderId="146" xfId="0" applyFont="1" applyFill="1" applyBorder="1" applyAlignment="1" applyProtection="1">
      <alignment horizontal="left" vertical="top"/>
    </xf>
    <xf numFmtId="0" fontId="8" fillId="0" borderId="17" xfId="0" applyFont="1" applyFill="1" applyBorder="1" applyAlignment="1" applyProtection="1">
      <alignment vertical="top"/>
      <protection locked="0"/>
    </xf>
    <xf numFmtId="0" fontId="8" fillId="0" borderId="18" xfId="0" applyFont="1" applyFill="1" applyBorder="1" applyAlignment="1" applyProtection="1">
      <alignment vertical="top"/>
      <protection locked="0"/>
    </xf>
    <xf numFmtId="0" fontId="8" fillId="0" borderId="19" xfId="0" applyFont="1" applyFill="1" applyBorder="1" applyAlignment="1" applyProtection="1">
      <alignment vertical="top"/>
      <protection locked="0"/>
    </xf>
    <xf numFmtId="0" fontId="24" fillId="6" borderId="17" xfId="0" applyFont="1" applyFill="1" applyBorder="1" applyAlignment="1" applyProtection="1">
      <alignment horizontal="center" vertical="center"/>
      <protection hidden="1"/>
    </xf>
    <xf numFmtId="0" fontId="24" fillId="6" borderId="18" xfId="0" applyFont="1" applyFill="1" applyBorder="1" applyAlignment="1" applyProtection="1">
      <alignment horizontal="center" vertical="center"/>
      <protection hidden="1"/>
    </xf>
    <xf numFmtId="0" fontId="24" fillId="6" borderId="19" xfId="0" applyFont="1" applyFill="1" applyBorder="1" applyAlignment="1" applyProtection="1">
      <alignment horizontal="center" vertical="center"/>
      <protection hidden="1"/>
    </xf>
    <xf numFmtId="49" fontId="8" fillId="0" borderId="21" xfId="0" applyNumberFormat="1" applyFont="1" applyFill="1" applyBorder="1" applyAlignment="1" applyProtection="1">
      <alignment horizontal="left" vertical="top" wrapText="1"/>
      <protection locked="0"/>
    </xf>
    <xf numFmtId="49" fontId="8" fillId="0" borderId="100" xfId="0" applyNumberFormat="1" applyFont="1" applyFill="1" applyBorder="1" applyAlignment="1" applyProtection="1">
      <alignment horizontal="left" vertical="top" wrapText="1"/>
      <protection locked="0"/>
    </xf>
    <xf numFmtId="49" fontId="8" fillId="0" borderId="142" xfId="0" applyNumberFormat="1" applyFont="1" applyFill="1" applyBorder="1" applyAlignment="1" applyProtection="1">
      <alignment horizontal="left" vertical="top" wrapText="1"/>
      <protection locked="0"/>
    </xf>
    <xf numFmtId="49" fontId="8" fillId="0" borderId="147" xfId="0" applyNumberFormat="1" applyFont="1" applyFill="1" applyBorder="1" applyAlignment="1" applyProtection="1">
      <alignment horizontal="left" vertical="top" wrapText="1"/>
      <protection locked="0"/>
    </xf>
    <xf numFmtId="49" fontId="8" fillId="0" borderId="0" xfId="0" applyNumberFormat="1" applyFont="1" applyFill="1" applyBorder="1" applyAlignment="1" applyProtection="1">
      <alignment horizontal="left" vertical="top" wrapText="1"/>
      <protection locked="0"/>
    </xf>
    <xf numFmtId="49" fontId="8" fillId="0" borderId="148" xfId="0" applyNumberFormat="1" applyFont="1" applyFill="1" applyBorder="1" applyAlignment="1" applyProtection="1">
      <alignment horizontal="left" vertical="top" wrapText="1"/>
      <protection locked="0"/>
    </xf>
    <xf numFmtId="49" fontId="8" fillId="0" borderId="22" xfId="0" applyNumberFormat="1" applyFont="1" applyFill="1" applyBorder="1" applyAlignment="1" applyProtection="1">
      <alignment horizontal="left" vertical="top" wrapText="1"/>
      <protection locked="0"/>
    </xf>
    <xf numFmtId="49" fontId="8" fillId="0" borderId="141" xfId="0" applyNumberFormat="1" applyFont="1" applyFill="1" applyBorder="1" applyAlignment="1" applyProtection="1">
      <alignment horizontal="left" vertical="top" wrapText="1"/>
      <protection locked="0"/>
    </xf>
    <xf numFmtId="49" fontId="8" fillId="0" borderId="143" xfId="0" applyNumberFormat="1" applyFont="1" applyFill="1" applyBorder="1" applyAlignment="1" applyProtection="1">
      <alignment horizontal="left" vertical="top" wrapText="1"/>
      <protection locked="0"/>
    </xf>
    <xf numFmtId="0" fontId="8" fillId="0" borderId="13" xfId="0" applyFont="1" applyBorder="1" applyAlignment="1" applyProtection="1">
      <alignment horizontal="left" vertical="top" wrapText="1"/>
      <protection hidden="1"/>
    </xf>
    <xf numFmtId="0" fontId="8" fillId="0" borderId="10" xfId="0" applyFont="1" applyBorder="1" applyAlignment="1" applyProtection="1">
      <alignment horizontal="left" vertical="top" wrapText="1"/>
      <protection hidden="1"/>
    </xf>
    <xf numFmtId="0" fontId="8" fillId="0" borderId="3" xfId="0" applyFont="1" applyBorder="1" applyAlignment="1" applyProtection="1">
      <alignment horizontal="left" vertical="top" wrapText="1"/>
      <protection hidden="1"/>
    </xf>
    <xf numFmtId="0" fontId="8" fillId="0" borderId="14" xfId="0" applyFont="1" applyBorder="1" applyAlignment="1" applyProtection="1">
      <alignment horizontal="left" vertical="top" wrapText="1"/>
      <protection hidden="1"/>
    </xf>
    <xf numFmtId="0" fontId="8" fillId="0" borderId="11" xfId="0" applyFont="1" applyBorder="1" applyAlignment="1" applyProtection="1">
      <alignment horizontal="left" vertical="top" wrapText="1"/>
      <protection hidden="1"/>
    </xf>
    <xf numFmtId="0" fontId="8" fillId="0" borderId="5" xfId="0" applyFont="1" applyBorder="1" applyAlignment="1" applyProtection="1">
      <alignment horizontal="left" vertical="top" wrapText="1"/>
      <protection hidden="1"/>
    </xf>
    <xf numFmtId="167" fontId="10" fillId="5" borderId="17" xfId="0" applyNumberFormat="1" applyFont="1" applyFill="1" applyBorder="1" applyAlignment="1" applyProtection="1">
      <alignment horizontal="left" vertical="top"/>
    </xf>
    <xf numFmtId="167" fontId="10" fillId="5" borderId="18" xfId="0" applyNumberFormat="1" applyFont="1" applyFill="1" applyBorder="1" applyAlignment="1" applyProtection="1">
      <alignment horizontal="left" vertical="top"/>
    </xf>
    <xf numFmtId="167" fontId="10" fillId="5" borderId="19" xfId="0" applyNumberFormat="1" applyFont="1" applyFill="1" applyBorder="1" applyAlignment="1" applyProtection="1">
      <alignment horizontal="left" vertical="top"/>
    </xf>
    <xf numFmtId="0" fontId="10" fillId="5" borderId="17" xfId="0" applyNumberFormat="1" applyFont="1" applyFill="1" applyBorder="1" applyAlignment="1" applyProtection="1">
      <alignment horizontal="left" vertical="top" shrinkToFit="1"/>
    </xf>
    <xf numFmtId="0" fontId="10" fillId="5" borderId="18" xfId="0" applyNumberFormat="1" applyFont="1" applyFill="1" applyBorder="1" applyAlignment="1" applyProtection="1">
      <alignment horizontal="left" vertical="top" shrinkToFit="1"/>
    </xf>
    <xf numFmtId="0" fontId="10" fillId="5" borderId="19" xfId="0" applyNumberFormat="1" applyFont="1" applyFill="1" applyBorder="1" applyAlignment="1" applyProtection="1">
      <alignment horizontal="left" vertical="top" shrinkToFit="1"/>
    </xf>
    <xf numFmtId="0" fontId="10" fillId="5" borderId="17" xfId="0" applyFont="1" applyFill="1" applyBorder="1" applyAlignment="1" applyProtection="1">
      <alignment horizontal="left"/>
    </xf>
    <xf numFmtId="0" fontId="10" fillId="5" borderId="18" xfId="0" applyFont="1" applyFill="1" applyBorder="1" applyAlignment="1" applyProtection="1">
      <alignment horizontal="left"/>
    </xf>
    <xf numFmtId="0" fontId="10" fillId="5" borderId="19" xfId="0" applyFont="1" applyFill="1" applyBorder="1" applyAlignment="1" applyProtection="1">
      <alignment horizontal="left"/>
    </xf>
    <xf numFmtId="14" fontId="8" fillId="8" borderId="17" xfId="0" applyNumberFormat="1" applyFont="1" applyFill="1" applyBorder="1" applyAlignment="1" applyProtection="1">
      <alignment horizontal="left" vertical="top"/>
    </xf>
    <xf numFmtId="14" fontId="8" fillId="8" borderId="18" xfId="0" applyNumberFormat="1" applyFont="1" applyFill="1" applyBorder="1" applyAlignment="1" applyProtection="1">
      <alignment horizontal="left" vertical="top"/>
    </xf>
    <xf numFmtId="14" fontId="8" fillId="8" borderId="19" xfId="0" applyNumberFormat="1" applyFont="1" applyFill="1" applyBorder="1" applyAlignment="1" applyProtection="1">
      <alignment horizontal="left" vertical="top"/>
    </xf>
    <xf numFmtId="0" fontId="164" fillId="0" borderId="4" xfId="0" applyFont="1" applyBorder="1" applyAlignment="1" applyProtection="1">
      <alignment horizontal="center" vertical="center"/>
    </xf>
    <xf numFmtId="0" fontId="165" fillId="0" borderId="4" xfId="0" applyFont="1" applyBorder="1" applyAlignment="1" applyProtection="1">
      <alignment horizontal="center" vertical="center"/>
    </xf>
    <xf numFmtId="0" fontId="163" fillId="0" borderId="11" xfId="0" applyFont="1" applyBorder="1" applyAlignment="1" applyProtection="1">
      <alignment horizontal="left"/>
    </xf>
    <xf numFmtId="3" fontId="10" fillId="5" borderId="17" xfId="0" applyNumberFormat="1" applyFont="1" applyFill="1" applyBorder="1" applyAlignment="1" applyProtection="1">
      <alignment horizontal="left" vertical="top"/>
    </xf>
    <xf numFmtId="3" fontId="10" fillId="5" borderId="18" xfId="0" applyNumberFormat="1" applyFont="1" applyFill="1" applyBorder="1" applyAlignment="1" applyProtection="1">
      <alignment horizontal="left" vertical="top"/>
    </xf>
    <xf numFmtId="3" fontId="10" fillId="5" borderId="19" xfId="0" applyNumberFormat="1" applyFont="1" applyFill="1" applyBorder="1" applyAlignment="1" applyProtection="1">
      <alignment horizontal="left" vertical="top"/>
    </xf>
    <xf numFmtId="174" fontId="10" fillId="5" borderId="17" xfId="0" applyNumberFormat="1" applyFont="1" applyFill="1" applyBorder="1" applyAlignment="1" applyProtection="1">
      <alignment horizontal="left" vertical="top"/>
    </xf>
    <xf numFmtId="174" fontId="10" fillId="5" borderId="18" xfId="0" applyNumberFormat="1" applyFont="1" applyFill="1" applyBorder="1" applyAlignment="1" applyProtection="1">
      <alignment horizontal="left" vertical="top"/>
    </xf>
    <xf numFmtId="174" fontId="10" fillId="5" borderId="19" xfId="0" applyNumberFormat="1" applyFont="1" applyFill="1" applyBorder="1" applyAlignment="1" applyProtection="1">
      <alignment horizontal="left" vertical="top"/>
    </xf>
    <xf numFmtId="1" fontId="10" fillId="5" borderId="17" xfId="0" applyNumberFormat="1" applyFont="1" applyFill="1" applyBorder="1" applyAlignment="1" applyProtection="1">
      <alignment horizontal="left" vertical="top"/>
    </xf>
    <xf numFmtId="1" fontId="10" fillId="5" borderId="18" xfId="0" applyNumberFormat="1" applyFont="1" applyFill="1" applyBorder="1" applyAlignment="1" applyProtection="1">
      <alignment horizontal="left" vertical="top"/>
    </xf>
    <xf numFmtId="1" fontId="10" fillId="5" borderId="19" xfId="0" applyNumberFormat="1" applyFont="1" applyFill="1" applyBorder="1" applyAlignment="1" applyProtection="1">
      <alignment horizontal="left" vertical="top"/>
    </xf>
    <xf numFmtId="0" fontId="10" fillId="5" borderId="22" xfId="0" applyFont="1" applyFill="1" applyBorder="1" applyAlignment="1" applyProtection="1">
      <alignment horizontal="left"/>
    </xf>
    <xf numFmtId="0" fontId="10" fillId="5" borderId="141" xfId="0" applyFont="1" applyFill="1" applyBorder="1" applyAlignment="1" applyProtection="1">
      <alignment horizontal="left"/>
    </xf>
    <xf numFmtId="0" fontId="10" fillId="5" borderId="143" xfId="0" applyFont="1" applyFill="1" applyBorder="1" applyAlignment="1" applyProtection="1">
      <alignment horizontal="left"/>
    </xf>
    <xf numFmtId="0" fontId="8" fillId="8" borderId="21" xfId="0" applyFont="1" applyFill="1" applyBorder="1" applyAlignment="1" applyProtection="1">
      <alignment horizontal="left" vertical="top" shrinkToFit="1"/>
    </xf>
    <xf numFmtId="0" fontId="8" fillId="8" borderId="100" xfId="0" applyFont="1" applyFill="1" applyBorder="1" applyAlignment="1" applyProtection="1">
      <alignment horizontal="left" vertical="top" shrinkToFit="1"/>
    </xf>
    <xf numFmtId="0" fontId="8" fillId="8" borderId="142" xfId="0" applyFont="1" applyFill="1" applyBorder="1" applyAlignment="1" applyProtection="1">
      <alignment horizontal="left" vertical="top" shrinkToFit="1"/>
    </xf>
    <xf numFmtId="0" fontId="8" fillId="8" borderId="22" xfId="0" applyFont="1" applyFill="1" applyBorder="1" applyAlignment="1" applyProtection="1">
      <alignment horizontal="left" vertical="top"/>
    </xf>
    <xf numFmtId="0" fontId="8" fillId="8" borderId="141" xfId="0" applyFont="1" applyFill="1" applyBorder="1" applyAlignment="1" applyProtection="1">
      <alignment horizontal="left" vertical="top"/>
    </xf>
    <xf numFmtId="0" fontId="8" fillId="8" borderId="143" xfId="0" applyFont="1" applyFill="1" applyBorder="1" applyAlignment="1" applyProtection="1">
      <alignment horizontal="left" vertical="top"/>
    </xf>
    <xf numFmtId="0" fontId="8" fillId="8" borderId="17" xfId="0" applyFont="1" applyFill="1" applyBorder="1" applyAlignment="1" applyProtection="1">
      <alignment horizontal="left" vertical="top"/>
    </xf>
    <xf numFmtId="0" fontId="8" fillId="8" borderId="18" xfId="0" applyFont="1" applyFill="1" applyBorder="1" applyAlignment="1" applyProtection="1">
      <alignment horizontal="left" vertical="top"/>
    </xf>
    <xf numFmtId="0" fontId="8" fillId="8" borderId="19" xfId="0" applyFont="1" applyFill="1" applyBorder="1" applyAlignment="1" applyProtection="1">
      <alignment horizontal="left" vertical="top"/>
    </xf>
  </cellXfs>
  <cellStyles count="71">
    <cellStyle name="20% - Accent1" xfId="31" builtinId="30" customBuiltin="1"/>
    <cellStyle name="20% - Accent2" xfId="34" builtinId="34" customBuiltin="1"/>
    <cellStyle name="20% - Accent3" xfId="37" builtinId="38" customBuiltin="1"/>
    <cellStyle name="20% - Accent4" xfId="39" builtinId="42" customBuiltin="1"/>
    <cellStyle name="20% - Accent5" xfId="42" builtinId="46" customBuiltin="1"/>
    <cellStyle name="20% - Accent6" xfId="45" builtinId="50" customBuiltin="1"/>
    <cellStyle name="40% - Accent1" xfId="32" builtinId="31" customBuiltin="1"/>
    <cellStyle name="40% - Accent2" xfId="35" builtinId="35" customBuiltin="1"/>
    <cellStyle name="40% - Accent3 2" xfId="48" xr:uid="{3387B0A9-4D0B-46B2-B5BE-11DDFAA51861}"/>
    <cellStyle name="40% - Accent4" xfId="40" builtinId="43" customBuiltin="1"/>
    <cellStyle name="40% - Accent5" xfId="43" builtinId="47" customBuiltin="1"/>
    <cellStyle name="40% - Accent6" xfId="46" builtinId="51" customBuiltin="1"/>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urrency" xfId="13" builtinId="4"/>
    <cellStyle name="Currency 2" xfId="11" xr:uid="{00000000-0005-0000-0000-000002000000}"/>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2" xfId="5" xr:uid="{00000000-0005-0000-0000-000007000000}"/>
    <cellStyle name="Normal 2 2" xfId="64" xr:uid="{466722AB-EB7D-4F1C-9FBB-213367A2C328}"/>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4" xfId="9" xr:uid="{00000000-0005-0000-0000-00000C000000}"/>
    <cellStyle name="Normal 5" xfId="47" xr:uid="{7442B75E-EAC8-4C59-B30C-21B3A8F64EF0}"/>
    <cellStyle name="Note 2" xfId="65" xr:uid="{188C56FC-D3EE-433F-B556-6BDCBFDFCBF1}"/>
    <cellStyle name="Output" xfId="23" builtinId="21" customBuiltin="1"/>
    <cellStyle name="Parent row" xfId="66" xr:uid="{D3607C2E-BEAA-403E-A6D0-06E8B7959F8A}"/>
    <cellStyle name="Percent" xfId="6" builtinId="5"/>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661">
    <dxf>
      <font>
        <color theme="1"/>
      </font>
    </dxf>
    <dxf>
      <font>
        <color theme="0"/>
      </font>
    </dxf>
    <dxf>
      <fill>
        <patternFill>
          <bgColor theme="5" tint="0.59996337778862885"/>
        </patternFill>
      </fill>
    </dxf>
    <dxf>
      <fill>
        <patternFill>
          <bgColor theme="5" tint="0.59996337778862885"/>
        </patternFill>
      </fill>
    </dxf>
    <dxf>
      <font>
        <color rgb="FFFF0000"/>
      </font>
    </dxf>
    <dxf>
      <font>
        <color theme="5"/>
      </font>
    </dxf>
    <dxf>
      <font>
        <color rgb="FFFF0000"/>
      </font>
    </dxf>
    <dxf>
      <fill>
        <patternFill>
          <bgColor theme="5" tint="0.59996337778862885"/>
        </patternFill>
      </fil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rgb="FFFF0000"/>
      </font>
    </dxf>
    <dxf>
      <font>
        <color theme="0"/>
      </font>
    </dxf>
    <dxf>
      <font>
        <color theme="0"/>
      </font>
      <border>
        <left/>
        <right/>
        <top/>
        <bottom/>
      </border>
    </dxf>
    <dxf>
      <font>
        <color rgb="FFFF0000"/>
      </font>
    </dxf>
    <dxf>
      <fill>
        <patternFill>
          <bgColor theme="5" tint="0.79998168889431442"/>
        </patternFill>
      </fill>
    </dxf>
    <dxf>
      <font>
        <color theme="0"/>
      </font>
      <border>
        <left/>
        <right/>
        <top/>
        <bottom/>
      </border>
    </dxf>
    <dxf>
      <font>
        <color rgb="FFFF0000"/>
      </font>
    </dxf>
    <dxf>
      <font>
        <color rgb="FFFF0000"/>
      </font>
    </dxf>
    <dxf>
      <font>
        <color theme="0"/>
      </font>
      <fill>
        <patternFill patternType="none">
          <bgColor auto="1"/>
        </patternFill>
      </fill>
      <border>
        <left/>
        <right/>
        <top/>
        <bottom/>
        <vertical/>
        <horizontal/>
      </border>
    </dxf>
    <dxf>
      <font>
        <color rgb="FFFF0000"/>
      </font>
    </dxf>
    <dxf>
      <fill>
        <patternFill>
          <bgColor theme="5" tint="0.79998168889431442"/>
        </patternFill>
      </fill>
    </dxf>
    <dxf>
      <fill>
        <patternFill>
          <bgColor theme="5" tint="0.79998168889431442"/>
        </patternFill>
      </fill>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0" tint="-0.14996795556505021"/>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0" tint="-0.14996795556505021"/>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0" tint="-0.14996795556505021"/>
        </patternFill>
      </fill>
    </dxf>
    <dxf>
      <fill>
        <patternFill>
          <bgColor theme="5" tint="0.79998168889431442"/>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0" tint="-0.14996795556505021"/>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ont>
        <color rgb="FFFF0000"/>
      </font>
      <fill>
        <patternFill>
          <bgColor theme="0" tint="-0.14996795556505021"/>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color rgb="FFFF0000"/>
      </font>
      <fill>
        <patternFill>
          <bgColor theme="0" tint="-0.14996795556505021"/>
        </patternFill>
      </fill>
    </dxf>
    <dxf>
      <fill>
        <patternFill>
          <bgColor theme="9" tint="0.79998168889431442"/>
        </patternFill>
      </fill>
    </dxf>
    <dxf>
      <fill>
        <patternFill>
          <bgColor theme="5" tint="0.79998168889431442"/>
        </patternFill>
      </fill>
    </dxf>
    <dxf>
      <font>
        <color rgb="FFFF0000"/>
      </font>
    </dxf>
    <dxf>
      <font>
        <color rgb="FFFF0000"/>
      </font>
      <fill>
        <patternFill>
          <bgColor theme="0" tint="-0.14996795556505021"/>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ont>
        <color rgb="FFFF0000"/>
      </font>
    </dxf>
    <dxf>
      <font>
        <color rgb="FFFF0000"/>
      </font>
    </dxf>
    <dxf>
      <fill>
        <patternFill>
          <bgColor theme="5" tint="0.79998168889431442"/>
        </patternFill>
      </fill>
    </dxf>
    <dxf>
      <font>
        <color rgb="FFFF0000"/>
      </font>
    </dxf>
    <dxf>
      <font>
        <color rgb="FFFF0000"/>
      </font>
    </dxf>
    <dxf>
      <fill>
        <patternFill>
          <bgColor theme="5" tint="0.79998168889431442"/>
        </patternFill>
      </fill>
    </dxf>
    <dxf>
      <font>
        <color rgb="FFFF0000"/>
      </font>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ill>
        <patternFill>
          <bgColor theme="5" tint="0.79998168889431442"/>
        </patternFill>
      </fill>
    </dxf>
    <dxf>
      <fill>
        <patternFill>
          <bgColor theme="5" tint="0.79998168889431442"/>
        </patternFill>
      </fill>
    </dxf>
    <dxf>
      <font>
        <color rgb="FFFF0000"/>
      </font>
    </dxf>
    <dxf>
      <fill>
        <patternFill>
          <bgColor theme="5" tint="0.79998168889431442"/>
        </patternFill>
      </fill>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2" formatCode="0.00"/>
      <fill>
        <patternFill patternType="none">
          <fgColor indexed="64"/>
          <bgColor auto="1"/>
        </patternFill>
      </fill>
    </dxf>
    <dxf>
      <numFmt numFmtId="0" formatCode="General"/>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quot;$&quot;#,##0.00"/>
    </dxf>
    <dxf>
      <numFmt numFmtId="176" formatCode="&quot;$&quot;#,##0.0000"/>
      <alignment horizontal="general" vertical="bottom" textRotation="0" wrapText="0" indent="0" justifyLastLine="0" shrinkToFit="0" readingOrder="0"/>
    </dxf>
    <dxf>
      <numFmt numFmtId="169" formatCode="0.00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rgb="FFFF0000"/>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30" formatCode="@"/>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30" formatCode="@"/>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auto="1"/>
        <name val="Calibri"/>
        <family val="2"/>
        <scheme val="minor"/>
      </font>
      <numFmt numFmtId="30" formatCode="@"/>
      <border diagonalUp="0" diagonalDown="0">
        <left style="thin">
          <color theme="4" tint="0.39997558519241921"/>
        </left>
        <right/>
        <top style="thin">
          <color theme="4" tint="0.39997558519241921"/>
        </top>
        <bottom style="thin">
          <color theme="4" tint="0.39997558519241921"/>
        </bottom>
        <vertical/>
        <horizontal/>
      </border>
    </dxf>
    <dxf>
      <border outline="0">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family val="2"/>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rgb="FFFF0000"/>
        </patternFill>
      </fill>
      <alignment horizontal="general" vertical="bottom" textRotation="0" wrapText="0" indent="0" justifyLastLine="0" shrinkToFit="0" readingOrder="0"/>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167" formatCode="&quot;$&quot;#,##0.0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rgb="FFFF0000"/>
      </font>
      <numFmt numFmtId="30" formatCode="@"/>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lightUp"/>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4" formatCode="#,##0.0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7"/>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7" formatCode="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7"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4" formatCode="#,##0.0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7" formatCode="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 formatCode="0"/>
      <fill>
        <patternFill patternType="none">
          <fgColor indexed="64"/>
          <bgColor indexed="65"/>
        </patternFill>
      </fill>
      <alignment horizontal="center" vertical="bottom" textRotation="0" wrapText="0" indent="0" justifyLastLine="0" shrinkToFit="0" readingOrder="0"/>
    </dxf>
    <dxf>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4" formatCode="#,##0.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4" formatCode="#,##0.0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4" formatCode="#,##0.0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solid">
          <fgColor indexed="64"/>
          <bgColor theme="7"/>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alignment vertical="bottom" textRotation="0" wrapText="0"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numFmt numFmtId="174" formatCode="#,##0.0000"/>
      <fill>
        <patternFill patternType="none">
          <fgColor indexed="64"/>
          <bgColor auto="1"/>
        </patternFill>
      </fill>
      <alignment vertical="bottom" textRotation="0" wrapText="0" indent="0" justifyLastLine="0" shrinkToFit="0" readingOrder="0"/>
    </dxf>
    <dxf>
      <numFmt numFmtId="3" formatCode="#,##0"/>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vertical="bottom" textRotation="0" wrapText="0" indent="0" justifyLastLine="0" shrinkToFit="0" readingOrder="0"/>
    </dxf>
    <dxf>
      <font>
        <color auto="1"/>
      </font>
      <fill>
        <patternFill patternType="none">
          <fgColor indexed="64"/>
          <bgColor indexed="65"/>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ont>
        <color auto="1"/>
      </font>
      <numFmt numFmtId="177" formatCode="0.0"/>
      <fill>
        <patternFill patternType="none">
          <fgColor indexed="64"/>
          <bgColor indexed="65"/>
        </patternFill>
      </fill>
      <alignment horizontal="general" vertical="bottom" textRotation="0" wrapText="0" indent="0" justifyLastLine="0" shrinkToFit="0" readingOrder="0"/>
    </dxf>
    <dxf>
      <fill>
        <patternFill patternType="none">
          <fgColor indexed="64"/>
          <bgColor auto="1"/>
        </patternFill>
      </fill>
    </dxf>
    <dxf>
      <font>
        <strike val="0"/>
        <outline val="0"/>
        <shadow val="0"/>
        <u val="none"/>
        <vertAlign val="baseline"/>
        <sz val="11"/>
        <color rgb="FFFF0000"/>
        <name val="Calibri"/>
        <family val="2"/>
        <scheme val="minor"/>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 formatCode="0"/>
      <fill>
        <patternFill patternType="none">
          <fgColor indexed="64"/>
          <bgColor indexed="65"/>
        </patternFill>
      </fill>
    </dxf>
    <dxf>
      <numFmt numFmtId="1" formatCode="0"/>
      <fill>
        <patternFill patternType="none">
          <fgColor indexed="64"/>
          <bgColor indexed="65"/>
        </patternFill>
      </fill>
    </dxf>
    <dxf>
      <numFmt numFmtId="1" formatCode="0"/>
      <fill>
        <patternFill patternType="none">
          <fgColor indexed="64"/>
          <bgColor indexed="65"/>
        </patternFill>
      </fill>
    </dxf>
    <dxf>
      <numFmt numFmtId="1" formatCode="0"/>
      <fill>
        <patternFill patternType="none">
          <fgColor indexed="64"/>
          <bgColor indexed="65"/>
        </patternFill>
      </fill>
    </dxf>
    <dxf>
      <numFmt numFmtId="1" formatCode="0"/>
      <fill>
        <patternFill patternType="none">
          <fgColor indexed="64"/>
          <bgColor indexed="65"/>
        </patternFill>
      </fill>
    </dxf>
    <dxf>
      <numFmt numFmtId="1" formatCode="0"/>
      <fill>
        <patternFill patternType="none">
          <fgColor indexed="64"/>
          <bgColor auto="1"/>
        </patternFill>
      </fill>
    </dxf>
    <dxf>
      <numFmt numFmtId="1" formatCode="0"/>
      <fill>
        <patternFill patternType="none">
          <fgColor indexed="64"/>
          <bgColor indexed="65"/>
        </patternFill>
      </fill>
    </dxf>
    <dxf>
      <numFmt numFmtId="1" formatCode="0"/>
      <fill>
        <patternFill patternType="none">
          <fgColor indexed="64"/>
          <bgColor indexed="65"/>
        </patternFill>
      </fill>
    </dxf>
    <dxf>
      <numFmt numFmtId="1" formatCode="0"/>
      <fill>
        <patternFill patternType="none">
          <fgColor indexed="64"/>
          <bgColor indexed="65"/>
        </patternFill>
      </fill>
      <alignment horizontal="center" vertical="bottom" textRotation="0" wrapText="0" indent="0" justifyLastLine="0" shrinkToFit="0" readingOrder="0"/>
    </dxf>
    <dxf>
      <numFmt numFmtId="1" formatCode="0"/>
      <fill>
        <patternFill patternType="none">
          <fgColor indexed="64"/>
          <bgColor indexed="65"/>
        </patternFill>
      </fill>
      <alignment horizontal="center" textRotation="0" wrapText="0" indent="0" justifyLastLine="0" shrinkToFit="0" readingOrder="0"/>
    </dxf>
    <dxf>
      <numFmt numFmtId="19" formatCode="m/d/yyyy"/>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7" formatCode="&quot;$&quot;#,##0.00"/>
      <fill>
        <patternFill patternType="none">
          <fgColor indexed="64"/>
          <bgColor indexed="65"/>
        </patternFill>
      </fill>
    </dxf>
    <dxf>
      <numFmt numFmtId="167" formatCode="&quot;$&quot;#,##0.00"/>
      <fill>
        <patternFill patternType="none">
          <fgColor indexed="64"/>
          <bgColor indexed="65"/>
        </patternFill>
      </fill>
    </dxf>
    <dxf>
      <numFmt numFmtId="167" formatCode="&quot;$&quot;#,##0.00"/>
      <fill>
        <patternFill patternType="none">
          <fgColor indexed="64"/>
          <bgColor indexed="65"/>
        </patternFill>
      </fill>
    </dxf>
    <dxf>
      <fill>
        <patternFill patternType="none">
          <fgColor indexed="64"/>
          <bgColor indexed="65"/>
        </patternFill>
      </fill>
    </dxf>
    <dxf>
      <font>
        <color rgb="FF000000"/>
      </font>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outline="0">
        <top style="thin">
          <color indexed="64"/>
        </top>
      </border>
    </dxf>
    <dxf>
      <border outline="0">
        <right style="thin">
          <color indexed="64"/>
        </right>
        <bottom style="thin">
          <color indexed="64"/>
        </bottom>
      </border>
    </dxf>
    <dxf>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lightUp"/>
      </fill>
    </dxf>
    <dxf>
      <fill>
        <patternFill patternType="lightUp"/>
      </fill>
    </dxf>
    <dxf>
      <fill>
        <patternFill patternType="lightUp"/>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9" formatCode="0.000"/>
      <fill>
        <patternFill patternType="none">
          <fgColor indexed="64"/>
          <bgColor indexed="65"/>
        </patternFill>
      </fill>
      <alignment horizontal="right" vertical="center" textRotation="0" wrapText="0" indent="0" justifyLastLine="0" shrinkToFit="0" readingOrder="0"/>
    </dxf>
    <dxf>
      <numFmt numFmtId="167" formatCode="&quot;$&quot;#,##0.00"/>
    </dxf>
    <dxf>
      <numFmt numFmtId="175" formatCode="0.0000000000"/>
    </dxf>
    <dxf>
      <numFmt numFmtId="0" formatCode="General"/>
    </dxf>
    <dxf>
      <numFmt numFmtId="0" formatCode="General"/>
    </dxf>
    <dxf>
      <fill>
        <patternFill patternType="lightUp"/>
      </fill>
    </dxf>
    <dxf>
      <fill>
        <patternFill patternType="lightUp"/>
      </fill>
    </dxf>
    <dxf>
      <fill>
        <patternFill patternType="lightUp"/>
      </fill>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660"/>
      <tableStyleElement type="headerRow" dxfId="659"/>
    </tableStyle>
  </tableStyles>
  <colors>
    <mruColors>
      <color rgb="FF004E9A"/>
      <color rgb="FF003353"/>
      <color rgb="FF7BC143"/>
      <color rgb="FF1188FF"/>
      <color rgb="FFEEBBF3"/>
      <color rgb="FFACB1BA"/>
      <color rgb="FF317CC0"/>
      <color rgb="FFFFB7B7"/>
      <color rgb="FF4FA7FF"/>
      <color rgb="FF69B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PayeeCh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s://www.evergy.com/ways-to-save/incentives/businessenergysavings" TargetMode="External"/><Relationship Id="rId13" Type="http://schemas.openxmlformats.org/officeDocument/2006/relationships/hyperlink" Target="https://www.evergy.com/partner-with-us/trade-allies" TargetMode="External"/><Relationship Id="rId3" Type="http://schemas.openxmlformats.org/officeDocument/2006/relationships/hyperlink" Target="#'M01-S01'!A1"/><Relationship Id="rId7" Type="http://schemas.openxmlformats.org/officeDocument/2006/relationships/image" Target="../media/image2.png"/><Relationship Id="rId12" Type="http://schemas.openxmlformats.org/officeDocument/2006/relationships/hyperlink" Target="http://www.lmenergyefficiency.com/wp-content/uploads/Evergy-TERMS-FINAL.pdf" TargetMode="External"/><Relationship Id="rId17" Type="http://schemas.openxmlformats.org/officeDocument/2006/relationships/hyperlink" Target="https://library.cee1.org/content/commercial-lighting-qualifying-products-lists" TargetMode="External"/><Relationship Id="rId2" Type="http://schemas.openxmlformats.org/officeDocument/2006/relationships/hyperlink" Target="#'M01-S02'!A1"/><Relationship Id="rId16" Type="http://schemas.openxmlformats.org/officeDocument/2006/relationships/hyperlink" Target="https://www.designlights.org/search/" TargetMode="External"/><Relationship Id="rId1" Type="http://schemas.openxmlformats.org/officeDocument/2006/relationships/image" Target="../media/image1.png"/><Relationship Id="rId6" Type="http://schemas.openxmlformats.org/officeDocument/2006/relationships/hyperlink" Target="#'M05-S05'!A1"/><Relationship Id="rId11" Type="http://schemas.openxmlformats.org/officeDocument/2006/relationships/hyperlink" Target="https://www.evergy.com/log-in" TargetMode="External"/><Relationship Id="rId5" Type="http://schemas.openxmlformats.org/officeDocument/2006/relationships/hyperlink" Target="#'M05-S04'!A1"/><Relationship Id="rId15" Type="http://schemas.openxmlformats.org/officeDocument/2006/relationships/hyperlink" Target="https://www.energystar.gov/products/certified-products/detail/water-heater-gas-condensing" TargetMode="External"/><Relationship Id="rId10" Type="http://schemas.openxmlformats.org/officeDocument/2006/relationships/hyperlink" Target="http://www.lmenergyefficiency.com/wp-content/uploads/Evergy-Custom-Incentive-Rates.pdf" TargetMode="External"/><Relationship Id="rId4" Type="http://schemas.openxmlformats.org/officeDocument/2006/relationships/hyperlink" Target="#'M01-S03'!A1"/><Relationship Id="rId9" Type="http://schemas.openxmlformats.org/officeDocument/2006/relationships/hyperlink" Target="http://www.lmenergyefficiency.com/wp-content/uploads/Evergy-Standard-Incentives-Brochure.pdf" TargetMode="External"/><Relationship Id="rId14" Type="http://schemas.openxmlformats.org/officeDocument/2006/relationships/hyperlink" Target="https://energy.mo.gov/assistance-programs/pace"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4'!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2'!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3'!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3'!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1.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5'!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3'!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4'!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4'!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2.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8'!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4'!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5'!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5'!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3.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6'!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5'!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8'!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8'!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4.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7'!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8'!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6'!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6'!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5.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4-S09'!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6'!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7'!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7'!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6.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3-S03'!C18"/><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1'!H6"/><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image" Target="../media/image12.png"/><Relationship Id="rId6" Type="http://schemas.openxmlformats.org/officeDocument/2006/relationships/hyperlink" Target="#M02S03F01"/><Relationship Id="rId11" Type="http://schemas.openxmlformats.org/officeDocument/2006/relationships/hyperlink" Target="#'M01-S03'!A1"/><Relationship Id="rId24" Type="http://schemas.openxmlformats.org/officeDocument/2006/relationships/hyperlink" Target="#'M04-S02'!C18"/><Relationship Id="rId5" Type="http://schemas.openxmlformats.org/officeDocument/2006/relationships/hyperlink" Target="#M02S02F01"/><Relationship Id="rId15" Type="http://schemas.openxmlformats.org/officeDocument/2006/relationships/hyperlink" Target="#'M03-S03'!A1"/><Relationship Id="rId23" Type="http://schemas.openxmlformats.org/officeDocument/2006/relationships/hyperlink" Target="#'M03-S02'!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1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7.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4'!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2'!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3'!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3'!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8.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5'!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3'!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4'!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4'!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19.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8'!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4'!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5'!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5'!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M01-S03'!A1"/><Relationship Id="rId7" Type="http://schemas.openxmlformats.org/officeDocument/2006/relationships/image" Target="../media/image2.png"/><Relationship Id="rId2" Type="http://schemas.openxmlformats.org/officeDocument/2006/relationships/hyperlink" Target="#M02S01F01"/><Relationship Id="rId1" Type="http://schemas.openxmlformats.org/officeDocument/2006/relationships/hyperlink" Target="#'M01-S01'!A1"/><Relationship Id="rId6" Type="http://schemas.openxmlformats.org/officeDocument/2006/relationships/hyperlink" Target="mailto:businessrebates@evergy.com" TargetMode="External"/><Relationship Id="rId5" Type="http://schemas.openxmlformats.org/officeDocument/2006/relationships/hyperlink" Target="#'M05-S05'!A1"/><Relationship Id="rId4" Type="http://schemas.openxmlformats.org/officeDocument/2006/relationships/hyperlink" Target="#'M05-S04'!A1"/></Relationships>
</file>

<file path=xl/drawings/_rels/drawing20.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6'!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5'!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8'!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8'!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21.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3-S07'!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8'!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6'!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6'!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22.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2S01F01"/><Relationship Id="rId21" Type="http://schemas.openxmlformats.org/officeDocument/2006/relationships/hyperlink" Target="#'M04-S09'!A1"/><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image" Target="../media/image2.png"/><Relationship Id="rId2" Type="http://schemas.openxmlformats.org/officeDocument/2006/relationships/hyperlink" Target="#'M04-S09'!C18"/><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6'!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4-S07'!C18"/><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3-S07'!C18"/><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23.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hyperlink" Target="#'M03-S08'!A1"/><Relationship Id="rId3" Type="http://schemas.openxmlformats.org/officeDocument/2006/relationships/hyperlink" Target="#'M04-S09'!C18"/><Relationship Id="rId21" Type="http://schemas.openxmlformats.org/officeDocument/2006/relationships/hyperlink" Target="#'M04-S09'!A1"/><Relationship Id="rId7" Type="http://schemas.openxmlformats.org/officeDocument/2006/relationships/hyperlink" Target="#'M03-S01'!H6"/><Relationship Id="rId12" Type="http://schemas.openxmlformats.org/officeDocument/2006/relationships/hyperlink" Target="#'M05-S04'!A1"/><Relationship Id="rId17" Type="http://schemas.openxmlformats.org/officeDocument/2006/relationships/hyperlink" Target="#'M03-S05'!A1"/><Relationship Id="rId2" Type="http://schemas.openxmlformats.org/officeDocument/2006/relationships/hyperlink" Target="#M05S01F01"/><Relationship Id="rId16" Type="http://schemas.openxmlformats.org/officeDocument/2006/relationships/hyperlink" Target="#'M03-S04'!A1"/><Relationship Id="rId20" Type="http://schemas.openxmlformats.org/officeDocument/2006/relationships/hyperlink" Target="#'M03-S07'!A1"/><Relationship Id="rId1" Type="http://schemas.openxmlformats.org/officeDocument/2006/relationships/hyperlink" Target="#'M03-S07'!C18"/><Relationship Id="rId6" Type="http://schemas.openxmlformats.org/officeDocument/2006/relationships/hyperlink" Target="#M02S03F01"/><Relationship Id="rId11" Type="http://schemas.openxmlformats.org/officeDocument/2006/relationships/hyperlink" Target="#'M01-S03'!A1"/><Relationship Id="rId5" Type="http://schemas.openxmlformats.org/officeDocument/2006/relationships/hyperlink" Target="#M02S02F01"/><Relationship Id="rId15" Type="http://schemas.openxmlformats.org/officeDocument/2006/relationships/hyperlink" Target="#'M03-S03'!A1"/><Relationship Id="rId23" Type="http://schemas.openxmlformats.org/officeDocument/2006/relationships/image" Target="../media/image2.png"/><Relationship Id="rId10" Type="http://schemas.openxmlformats.org/officeDocument/2006/relationships/hyperlink" Target="#'M01-S02'!A1"/><Relationship Id="rId19" Type="http://schemas.openxmlformats.org/officeDocument/2006/relationships/hyperlink" Target="#'M03-S06'!A1"/><Relationship Id="rId4" Type="http://schemas.openxmlformats.org/officeDocument/2006/relationships/hyperlink" Target="#M02S01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2S04F03"/></Relationships>
</file>

<file path=xl/drawings/_rels/drawing24.xml.rels><?xml version="1.0" encoding="UTF-8" standalone="yes"?>
<Relationships xmlns="http://schemas.openxmlformats.org/package/2006/relationships"><Relationship Id="rId8" Type="http://schemas.openxmlformats.org/officeDocument/2006/relationships/hyperlink" Target="#M05S01F01"/><Relationship Id="rId13" Type="http://schemas.openxmlformats.org/officeDocument/2006/relationships/hyperlink" Target="#'M05-S04'!A1"/><Relationship Id="rId3" Type="http://schemas.openxmlformats.org/officeDocument/2006/relationships/hyperlink" Target="#M02S01F01"/><Relationship Id="rId7" Type="http://schemas.openxmlformats.org/officeDocument/2006/relationships/hyperlink" Target="#'M03-S01'!H6"/><Relationship Id="rId12" Type="http://schemas.openxmlformats.org/officeDocument/2006/relationships/hyperlink" Target="#'M01-S03'!A1"/><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2S03F01"/><Relationship Id="rId15" Type="http://schemas.openxmlformats.org/officeDocument/2006/relationships/image" Target="../media/image2.png"/><Relationship Id="rId10" Type="http://schemas.openxmlformats.org/officeDocument/2006/relationships/hyperlink" Target="#'M01-S01'!A1"/><Relationship Id="rId4" Type="http://schemas.openxmlformats.org/officeDocument/2006/relationships/hyperlink" Target="#M02S02F01"/><Relationship Id="rId9" Type="http://schemas.openxmlformats.org/officeDocument/2006/relationships/hyperlink" Target="#M05S02HIDE"/><Relationship Id="rId14" Type="http://schemas.openxmlformats.org/officeDocument/2006/relationships/hyperlink" Target="#'M05-S05'!A1"/></Relationships>
</file>

<file path=xl/drawings/_rels/drawing25.xml.rels><?xml version="1.0" encoding="UTF-8" standalone="yes"?>
<Relationships xmlns="http://schemas.openxmlformats.org/package/2006/relationships"><Relationship Id="rId13" Type="http://schemas.openxmlformats.org/officeDocument/2006/relationships/hyperlink" Target="#'M05-S05'!A1"/><Relationship Id="rId18" Type="http://schemas.openxmlformats.org/officeDocument/2006/relationships/hyperlink" Target="#'M03-S08'!A1"/><Relationship Id="rId26" Type="http://schemas.openxmlformats.org/officeDocument/2006/relationships/hyperlink" Target="#'M04-S07'!A1"/><Relationship Id="rId21" Type="http://schemas.openxmlformats.org/officeDocument/2006/relationships/hyperlink" Target="#'M04-S02'!A1"/><Relationship Id="rId34" Type="http://schemas.openxmlformats.org/officeDocument/2006/relationships/hyperlink" Target="#'M05-S03'!K12"/><Relationship Id="rId7" Type="http://schemas.openxmlformats.org/officeDocument/2006/relationships/hyperlink" Target="#'M03-S01'!H6"/><Relationship Id="rId12" Type="http://schemas.openxmlformats.org/officeDocument/2006/relationships/hyperlink" Target="#'M05-S04'!A1"/><Relationship Id="rId17" Type="http://schemas.openxmlformats.org/officeDocument/2006/relationships/hyperlink" Target="#'M03-S05'!A1"/><Relationship Id="rId25" Type="http://schemas.openxmlformats.org/officeDocument/2006/relationships/hyperlink" Target="#'M04-S06'!A1"/><Relationship Id="rId33" Type="http://schemas.openxmlformats.org/officeDocument/2006/relationships/hyperlink" Target="#'M05-S02-1'!H6"/><Relationship Id="rId2" Type="http://schemas.openxmlformats.org/officeDocument/2006/relationships/hyperlink" Target="#M05S01F01"/><Relationship Id="rId16" Type="http://schemas.openxmlformats.org/officeDocument/2006/relationships/hyperlink" Target="#'M03-S04'!A1"/><Relationship Id="rId20" Type="http://schemas.openxmlformats.org/officeDocument/2006/relationships/hyperlink" Target="#'M03-S07'!A1"/><Relationship Id="rId29" Type="http://schemas.openxmlformats.org/officeDocument/2006/relationships/hyperlink" Target="#'M02-S02'!A1"/><Relationship Id="rId1" Type="http://schemas.openxmlformats.org/officeDocument/2006/relationships/hyperlink" Target="#'M04-S05'!A1"/><Relationship Id="rId6" Type="http://schemas.openxmlformats.org/officeDocument/2006/relationships/hyperlink" Target="#M02S04F03"/><Relationship Id="rId11" Type="http://schemas.openxmlformats.org/officeDocument/2006/relationships/hyperlink" Target="#'M01-S03'!A1"/><Relationship Id="rId24" Type="http://schemas.openxmlformats.org/officeDocument/2006/relationships/hyperlink" Target="#'M04-S08'!A1"/><Relationship Id="rId32" Type="http://schemas.openxmlformats.org/officeDocument/2006/relationships/hyperlink" Target="#'M05-S01'!A1"/><Relationship Id="rId37" Type="http://schemas.openxmlformats.org/officeDocument/2006/relationships/image" Target="../media/image2.png"/><Relationship Id="rId5" Type="http://schemas.openxmlformats.org/officeDocument/2006/relationships/hyperlink" Target="#M02S03F01"/><Relationship Id="rId15" Type="http://schemas.openxmlformats.org/officeDocument/2006/relationships/hyperlink" Target="#'M03-S03'!A1"/><Relationship Id="rId23" Type="http://schemas.openxmlformats.org/officeDocument/2006/relationships/hyperlink" Target="#'M04-S04'!A1"/><Relationship Id="rId28" Type="http://schemas.openxmlformats.org/officeDocument/2006/relationships/hyperlink" Target="#'M02-S01'!A1"/><Relationship Id="rId36" Type="http://schemas.openxmlformats.org/officeDocument/2006/relationships/image" Target="../media/image14.svg"/><Relationship Id="rId10" Type="http://schemas.openxmlformats.org/officeDocument/2006/relationships/hyperlink" Target="#'M01-S02'!A1"/><Relationship Id="rId19" Type="http://schemas.openxmlformats.org/officeDocument/2006/relationships/hyperlink" Target="#'M03-S06'!A1"/><Relationship Id="rId31" Type="http://schemas.openxmlformats.org/officeDocument/2006/relationships/hyperlink" Target="#'M02-S04'!A1"/><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4-S03'!A1"/><Relationship Id="rId27" Type="http://schemas.openxmlformats.org/officeDocument/2006/relationships/hyperlink" Target="#'M04-S09'!A1"/><Relationship Id="rId30" Type="http://schemas.openxmlformats.org/officeDocument/2006/relationships/hyperlink" Target="#'M02-S03'!A1"/><Relationship Id="rId35" Type="http://schemas.openxmlformats.org/officeDocument/2006/relationships/image" Target="../media/image13.png"/><Relationship Id="rId8" Type="http://schemas.openxmlformats.org/officeDocument/2006/relationships/hyperlink" Target="#M05S02HIDE"/><Relationship Id="rId3" Type="http://schemas.openxmlformats.org/officeDocument/2006/relationships/hyperlink" Target="#M02S01F01"/></Relationships>
</file>

<file path=xl/drawings/_rels/drawing26.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hyperlink" Target="#'M05-S05'!A1"/><Relationship Id="rId18" Type="http://schemas.openxmlformats.org/officeDocument/2006/relationships/image" Target="../media/image2.png"/><Relationship Id="rId3" Type="http://schemas.openxmlformats.org/officeDocument/2006/relationships/hyperlink" Target="#M02S02F01"/><Relationship Id="rId7" Type="http://schemas.openxmlformats.org/officeDocument/2006/relationships/hyperlink" Target="#M05S02HIDE"/><Relationship Id="rId12" Type="http://schemas.openxmlformats.org/officeDocument/2006/relationships/hyperlink" Target="#'M05-S04'!A1"/><Relationship Id="rId17" Type="http://schemas.openxmlformats.org/officeDocument/2006/relationships/image" Target="../media/image14.svg"/><Relationship Id="rId2" Type="http://schemas.openxmlformats.org/officeDocument/2006/relationships/hyperlink" Target="#M02S01F01"/><Relationship Id="rId16" Type="http://schemas.openxmlformats.org/officeDocument/2006/relationships/image" Target="../media/image13.png"/><Relationship Id="rId1" Type="http://schemas.openxmlformats.org/officeDocument/2006/relationships/hyperlink" Target="mailto:businessrebates@evergy.com" TargetMode="External"/><Relationship Id="rId6" Type="http://schemas.openxmlformats.org/officeDocument/2006/relationships/hyperlink" Target="#M05S01F01"/><Relationship Id="rId11" Type="http://schemas.openxmlformats.org/officeDocument/2006/relationships/hyperlink" Target="#'M01-S03'!A1"/><Relationship Id="rId5" Type="http://schemas.openxmlformats.org/officeDocument/2006/relationships/hyperlink" Target="#'M03-S01'!H6"/><Relationship Id="rId15" Type="http://schemas.openxmlformats.org/officeDocument/2006/relationships/hyperlink" Target="#'M05-S03'!K12"/><Relationship Id="rId10" Type="http://schemas.openxmlformats.org/officeDocument/2006/relationships/hyperlink" Target="#'M01-S02'!A1"/><Relationship Id="rId4" Type="http://schemas.openxmlformats.org/officeDocument/2006/relationships/hyperlink" Target="#M02S03F01"/><Relationship Id="rId9" Type="http://schemas.openxmlformats.org/officeDocument/2006/relationships/hyperlink" Target="#'M01-S01'!A1"/><Relationship Id="rId14" Type="http://schemas.openxmlformats.org/officeDocument/2006/relationships/hyperlink" Target="#M02S04F03"/></Relationships>
</file>

<file path=xl/drawings/_rels/drawing27.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2S04F03"/><Relationship Id="rId18" Type="http://schemas.openxmlformats.org/officeDocument/2006/relationships/image" Target="../media/image17.png"/><Relationship Id="rId3" Type="http://schemas.openxmlformats.org/officeDocument/2006/relationships/hyperlink" Target="#M02S02F01"/><Relationship Id="rId21" Type="http://schemas.openxmlformats.org/officeDocument/2006/relationships/image" Target="../media/image20.png"/><Relationship Id="rId7" Type="http://schemas.openxmlformats.org/officeDocument/2006/relationships/hyperlink" Target="#'M05-S02'!AL37"/><Relationship Id="rId12" Type="http://schemas.openxmlformats.org/officeDocument/2006/relationships/hyperlink" Target="#'M05-S05'!A1"/><Relationship Id="rId17" Type="http://schemas.openxmlformats.org/officeDocument/2006/relationships/image" Target="../media/image2.png"/><Relationship Id="rId2" Type="http://schemas.openxmlformats.org/officeDocument/2006/relationships/hyperlink" Target="#M02S01F01"/><Relationship Id="rId16" Type="http://schemas.openxmlformats.org/officeDocument/2006/relationships/image" Target="../media/image16.svg"/><Relationship Id="rId20" Type="http://schemas.openxmlformats.org/officeDocument/2006/relationships/image" Target="../media/image19.png"/><Relationship Id="rId1" Type="http://schemas.openxmlformats.org/officeDocument/2006/relationships/hyperlink" Target="#'M05-S02'!A1"/><Relationship Id="rId6" Type="http://schemas.openxmlformats.org/officeDocument/2006/relationships/hyperlink" Target="#M05S01F01"/><Relationship Id="rId11" Type="http://schemas.openxmlformats.org/officeDocument/2006/relationships/hyperlink" Target="#'M05-S04'!A1"/><Relationship Id="rId24" Type="http://schemas.openxmlformats.org/officeDocument/2006/relationships/image" Target="../media/image23.png"/><Relationship Id="rId5" Type="http://schemas.openxmlformats.org/officeDocument/2006/relationships/hyperlink" Target="#'M03-S01'!H6"/><Relationship Id="rId15" Type="http://schemas.openxmlformats.org/officeDocument/2006/relationships/image" Target="../media/image15.png"/><Relationship Id="rId23" Type="http://schemas.openxmlformats.org/officeDocument/2006/relationships/image" Target="../media/image22.png"/><Relationship Id="rId10" Type="http://schemas.openxmlformats.org/officeDocument/2006/relationships/hyperlink" Target="#'M01-S03'!A1"/><Relationship Id="rId19" Type="http://schemas.openxmlformats.org/officeDocument/2006/relationships/image" Target="../media/image18.png"/><Relationship Id="rId4" Type="http://schemas.openxmlformats.org/officeDocument/2006/relationships/hyperlink" Target="#M02S03F01"/><Relationship Id="rId9" Type="http://schemas.openxmlformats.org/officeDocument/2006/relationships/hyperlink" Target="#'M01-S02'!A1"/><Relationship Id="rId14" Type="http://schemas.openxmlformats.org/officeDocument/2006/relationships/hyperlink" Target="#'M05-S02-1'!H6"/><Relationship Id="rId22"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8" Type="http://schemas.openxmlformats.org/officeDocument/2006/relationships/hyperlink" Target="#'M01-S02'!A1"/><Relationship Id="rId13" Type="http://schemas.openxmlformats.org/officeDocument/2006/relationships/image" Target="../media/image2.png"/><Relationship Id="rId3" Type="http://schemas.openxmlformats.org/officeDocument/2006/relationships/hyperlink" Target="#M02S03F01"/><Relationship Id="rId7" Type="http://schemas.openxmlformats.org/officeDocument/2006/relationships/hyperlink" Target="#'M01-S01'!A1"/><Relationship Id="rId12" Type="http://schemas.openxmlformats.org/officeDocument/2006/relationships/hyperlink" Target="#M02S04F03"/><Relationship Id="rId2" Type="http://schemas.openxmlformats.org/officeDocument/2006/relationships/hyperlink" Target="#M02S02F01"/><Relationship Id="rId1" Type="http://schemas.openxmlformats.org/officeDocument/2006/relationships/hyperlink" Target="#M02S01F01"/><Relationship Id="rId6" Type="http://schemas.openxmlformats.org/officeDocument/2006/relationships/hyperlink" Target="#M05S02HIDE"/><Relationship Id="rId11" Type="http://schemas.openxmlformats.org/officeDocument/2006/relationships/hyperlink" Target="#'M05-S05'!A1"/><Relationship Id="rId5" Type="http://schemas.openxmlformats.org/officeDocument/2006/relationships/hyperlink" Target="#M05S01F01"/><Relationship Id="rId10" Type="http://schemas.openxmlformats.org/officeDocument/2006/relationships/hyperlink" Target="#'M05-S04'!A1"/><Relationship Id="rId4" Type="http://schemas.openxmlformats.org/officeDocument/2006/relationships/hyperlink" Target="#'M03-S01'!H6"/><Relationship Id="rId9" Type="http://schemas.openxmlformats.org/officeDocument/2006/relationships/hyperlink" Target="#'M01-S03'!A1"/><Relationship Id="rId14" Type="http://schemas.openxmlformats.org/officeDocument/2006/relationships/image" Target="../media/image24.png"/></Relationships>
</file>

<file path=xl/drawings/_rels/drawing2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2S04F03"/><Relationship Id="rId3" Type="http://schemas.openxmlformats.org/officeDocument/2006/relationships/hyperlink" Target="#M02S02F01"/><Relationship Id="rId7" Type="http://schemas.openxmlformats.org/officeDocument/2006/relationships/hyperlink" Target="#M05S02HIDE"/><Relationship Id="rId12" Type="http://schemas.openxmlformats.org/officeDocument/2006/relationships/hyperlink" Target="#'M05-S05'!A1"/><Relationship Id="rId2" Type="http://schemas.openxmlformats.org/officeDocument/2006/relationships/hyperlink" Target="#M02S01F01"/><Relationship Id="rId16" Type="http://schemas.openxmlformats.org/officeDocument/2006/relationships/hyperlink" Target="#'M03-S01'!A1"/><Relationship Id="rId1" Type="http://schemas.openxmlformats.org/officeDocument/2006/relationships/hyperlink" Target="#'M05-S01'!A1"/><Relationship Id="rId6" Type="http://schemas.openxmlformats.org/officeDocument/2006/relationships/hyperlink" Target="#M05S01F01"/><Relationship Id="rId11" Type="http://schemas.openxmlformats.org/officeDocument/2006/relationships/hyperlink" Target="#'M05-S04'!A1"/><Relationship Id="rId5" Type="http://schemas.openxmlformats.org/officeDocument/2006/relationships/hyperlink" Target="#'M03-S01'!H6"/><Relationship Id="rId15" Type="http://schemas.openxmlformats.org/officeDocument/2006/relationships/image" Target="../media/image24.png"/><Relationship Id="rId10" Type="http://schemas.openxmlformats.org/officeDocument/2006/relationships/hyperlink" Target="#'M01-S03'!A1"/><Relationship Id="rId4" Type="http://schemas.openxmlformats.org/officeDocument/2006/relationships/hyperlink" Target="#M02S03F01"/><Relationship Id="rId9" Type="http://schemas.openxmlformats.org/officeDocument/2006/relationships/hyperlink" Target="#'M01-S02'!A1"/><Relationship Id="rId1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M01-S03'!A1"/><Relationship Id="rId7" Type="http://schemas.openxmlformats.org/officeDocument/2006/relationships/image" Target="../media/image2.png"/><Relationship Id="rId2" Type="http://schemas.openxmlformats.org/officeDocument/2006/relationships/hyperlink" Target="#'M01-S02'!A1"/><Relationship Id="rId1" Type="http://schemas.openxmlformats.org/officeDocument/2006/relationships/hyperlink" Target="#'M01-S01'!A1"/><Relationship Id="rId6" Type="http://schemas.openxmlformats.org/officeDocument/2006/relationships/hyperlink" Target="mailto:businessrebates@evergy.com" TargetMode="External"/><Relationship Id="rId5" Type="http://schemas.openxmlformats.org/officeDocument/2006/relationships/hyperlink" Target="#'M05-S05'!A1"/><Relationship Id="rId4" Type="http://schemas.openxmlformats.org/officeDocument/2006/relationships/hyperlink" Target="#'M05-S04'!A1"/></Relationships>
</file>

<file path=xl/drawings/_rels/drawing30.xml.rels><?xml version="1.0" encoding="UTF-8" standalone="yes"?>
<Relationships xmlns="http://schemas.openxmlformats.org/package/2006/relationships"><Relationship Id="rId8" Type="http://schemas.openxmlformats.org/officeDocument/2006/relationships/hyperlink" Target="#'M01-S02'!A1"/><Relationship Id="rId13" Type="http://schemas.openxmlformats.org/officeDocument/2006/relationships/image" Target="../media/image2.png"/><Relationship Id="rId3" Type="http://schemas.openxmlformats.org/officeDocument/2006/relationships/hyperlink" Target="#M02S03F01"/><Relationship Id="rId7" Type="http://schemas.openxmlformats.org/officeDocument/2006/relationships/hyperlink" Target="#'M01-S01'!A1"/><Relationship Id="rId12" Type="http://schemas.openxmlformats.org/officeDocument/2006/relationships/hyperlink" Target="#M02S04F03"/><Relationship Id="rId2" Type="http://schemas.openxmlformats.org/officeDocument/2006/relationships/hyperlink" Target="#M02S02F01"/><Relationship Id="rId1" Type="http://schemas.openxmlformats.org/officeDocument/2006/relationships/hyperlink" Target="#M02S01F01"/><Relationship Id="rId6" Type="http://schemas.openxmlformats.org/officeDocument/2006/relationships/hyperlink" Target="#M05S02HIDE"/><Relationship Id="rId11" Type="http://schemas.openxmlformats.org/officeDocument/2006/relationships/hyperlink" Target="#'M05-S05'!A1"/><Relationship Id="rId5" Type="http://schemas.openxmlformats.org/officeDocument/2006/relationships/hyperlink" Target="#M05S01F01"/><Relationship Id="rId10" Type="http://schemas.openxmlformats.org/officeDocument/2006/relationships/hyperlink" Target="#'M05-S04'!A1"/><Relationship Id="rId4" Type="http://schemas.openxmlformats.org/officeDocument/2006/relationships/hyperlink" Target="#'M03-S01'!H6"/><Relationship Id="rId9" Type="http://schemas.openxmlformats.org/officeDocument/2006/relationships/hyperlink" Target="#'M01-S03'!A1"/></Relationships>
</file>

<file path=xl/drawings/_rels/drawing4.xml.rels><?xml version="1.0" encoding="UTF-8" standalone="yes"?>
<Relationships xmlns="http://schemas.openxmlformats.org/package/2006/relationships"><Relationship Id="rId8" Type="http://schemas.openxmlformats.org/officeDocument/2006/relationships/hyperlink" Target="http://www.lmenergyefficiency.com/wp-content/uploads/Evergy-TERMS-FINAL.pdf" TargetMode="External"/><Relationship Id="rId13" Type="http://schemas.openxmlformats.org/officeDocument/2006/relationships/hyperlink" Target="#'M05-S05'!A1"/><Relationship Id="rId3" Type="http://schemas.openxmlformats.org/officeDocument/2006/relationships/hyperlink" Target="#M02S03F01"/><Relationship Id="rId7" Type="http://schemas.openxmlformats.org/officeDocument/2006/relationships/hyperlink" Target="#M05S02HIDE"/><Relationship Id="rId12" Type="http://schemas.openxmlformats.org/officeDocument/2006/relationships/hyperlink" Target="#'M05-S04'!A1"/><Relationship Id="rId2" Type="http://schemas.openxmlformats.org/officeDocument/2006/relationships/hyperlink" Target="#M02S02F01"/><Relationship Id="rId1" Type="http://schemas.openxmlformats.org/officeDocument/2006/relationships/hyperlink" Target="#M02S01F01"/><Relationship Id="rId6" Type="http://schemas.openxmlformats.org/officeDocument/2006/relationships/hyperlink" Target="#M05S01F01"/><Relationship Id="rId11" Type="http://schemas.openxmlformats.org/officeDocument/2006/relationships/hyperlink" Target="#'M01-S03'!A1"/><Relationship Id="rId5" Type="http://schemas.openxmlformats.org/officeDocument/2006/relationships/hyperlink" Target="#'M03-S01'!H6"/><Relationship Id="rId10" Type="http://schemas.openxmlformats.org/officeDocument/2006/relationships/hyperlink" Target="#'M01-S02'!A1"/><Relationship Id="rId4" Type="http://schemas.openxmlformats.org/officeDocument/2006/relationships/hyperlink" Target="#M02S04F03"/><Relationship Id="rId9" Type="http://schemas.openxmlformats.org/officeDocument/2006/relationships/hyperlink" Target="#'M01-S01'!A1"/><Relationship Id="rId14"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image" Target="../media/image2.png"/><Relationship Id="rId3" Type="http://schemas.openxmlformats.org/officeDocument/2006/relationships/hyperlink" Target="#M02S02F01"/><Relationship Id="rId7" Type="http://schemas.openxmlformats.org/officeDocument/2006/relationships/hyperlink" Target="#M05S02HIDE"/><Relationship Id="rId12" Type="http://schemas.openxmlformats.org/officeDocument/2006/relationships/hyperlink" Target="#'M05-S05'!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5S01F01"/><Relationship Id="rId11" Type="http://schemas.openxmlformats.org/officeDocument/2006/relationships/hyperlink" Target="#'M05-S04'!A1"/><Relationship Id="rId5" Type="http://schemas.openxmlformats.org/officeDocument/2006/relationships/hyperlink" Target="#'M03-S01'!H6"/><Relationship Id="rId10" Type="http://schemas.openxmlformats.org/officeDocument/2006/relationships/hyperlink" Target="#'M01-S03'!A1"/><Relationship Id="rId4" Type="http://schemas.openxmlformats.org/officeDocument/2006/relationships/hyperlink" Target="#M02S04F03"/><Relationship Id="rId9" Type="http://schemas.openxmlformats.org/officeDocument/2006/relationships/hyperlink" Target="#'M01-S02'!A1"/></Relationships>
</file>

<file path=xl/drawings/_rels/drawing6.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image" Target="../media/image2.png"/><Relationship Id="rId3" Type="http://schemas.openxmlformats.org/officeDocument/2006/relationships/hyperlink" Target="#M02S01F01"/><Relationship Id="rId7" Type="http://schemas.openxmlformats.org/officeDocument/2006/relationships/hyperlink" Target="#M05S02HIDE"/><Relationship Id="rId12" Type="http://schemas.openxmlformats.org/officeDocument/2006/relationships/hyperlink" Target="#'M05-S05'!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5S01F01"/><Relationship Id="rId11" Type="http://schemas.openxmlformats.org/officeDocument/2006/relationships/hyperlink" Target="#'M05-S04'!A1"/><Relationship Id="rId5" Type="http://schemas.openxmlformats.org/officeDocument/2006/relationships/hyperlink" Target="#'M03-S01'!H6"/><Relationship Id="rId10" Type="http://schemas.openxmlformats.org/officeDocument/2006/relationships/hyperlink" Target="#'M01-S03'!A1"/><Relationship Id="rId4" Type="http://schemas.openxmlformats.org/officeDocument/2006/relationships/hyperlink" Target="#M02S03F01"/><Relationship Id="rId9" Type="http://schemas.openxmlformats.org/officeDocument/2006/relationships/hyperlink" Target="#'M01-S02'!A1"/></Relationships>
</file>

<file path=xl/drawings/_rels/drawing7.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image" Target="../media/image2.png"/><Relationship Id="rId3" Type="http://schemas.openxmlformats.org/officeDocument/2006/relationships/hyperlink" Target="#M02S01F01"/><Relationship Id="rId7" Type="http://schemas.openxmlformats.org/officeDocument/2006/relationships/hyperlink" Target="#M05S02HIDE"/><Relationship Id="rId12" Type="http://schemas.openxmlformats.org/officeDocument/2006/relationships/hyperlink" Target="#'M05-S05'!A1"/><Relationship Id="rId2" Type="http://schemas.openxmlformats.org/officeDocument/2006/relationships/hyperlink" Target="#M02S03F01"/><Relationship Id="rId1" Type="http://schemas.openxmlformats.org/officeDocument/2006/relationships/hyperlink" Target="#'M03-S01'!H6"/><Relationship Id="rId6" Type="http://schemas.openxmlformats.org/officeDocument/2006/relationships/hyperlink" Target="#M05S01F01"/><Relationship Id="rId11" Type="http://schemas.openxmlformats.org/officeDocument/2006/relationships/hyperlink" Target="#'M05-S04'!A1"/><Relationship Id="rId5" Type="http://schemas.openxmlformats.org/officeDocument/2006/relationships/hyperlink" Target="#M02S04F03"/><Relationship Id="rId10" Type="http://schemas.openxmlformats.org/officeDocument/2006/relationships/hyperlink" Target="#'M01-S03'!A1"/><Relationship Id="rId4" Type="http://schemas.openxmlformats.org/officeDocument/2006/relationships/hyperlink" Target="#M02S02F01"/><Relationship Id="rId9" Type="http://schemas.openxmlformats.org/officeDocument/2006/relationships/hyperlink" Target="#'M01-S02'!A1"/></Relationships>
</file>

<file path=xl/drawings/_rels/drawing8.xml.rels><?xml version="1.0" encoding="UTF-8" standalone="yes"?>
<Relationships xmlns="http://schemas.openxmlformats.org/package/2006/relationships"><Relationship Id="rId8" Type="http://schemas.openxmlformats.org/officeDocument/2006/relationships/hyperlink" Target="#M05S02HIDE"/><Relationship Id="rId13" Type="http://schemas.openxmlformats.org/officeDocument/2006/relationships/hyperlink" Target="#'M05-S05'!A1"/><Relationship Id="rId18" Type="http://schemas.openxmlformats.org/officeDocument/2006/relationships/image" Target="../media/image4.png"/><Relationship Id="rId26" Type="http://schemas.openxmlformats.org/officeDocument/2006/relationships/hyperlink" Target="#'M03-S08'!C18"/><Relationship Id="rId3" Type="http://schemas.openxmlformats.org/officeDocument/2006/relationships/hyperlink" Target="#M02S01F01"/><Relationship Id="rId21" Type="http://schemas.openxmlformats.org/officeDocument/2006/relationships/image" Target="../media/image6.png"/><Relationship Id="rId7" Type="http://schemas.openxmlformats.org/officeDocument/2006/relationships/hyperlink" Target="#M05S01F01"/><Relationship Id="rId12" Type="http://schemas.openxmlformats.org/officeDocument/2006/relationships/hyperlink" Target="#'M05-S04'!A1"/><Relationship Id="rId17" Type="http://schemas.openxmlformats.org/officeDocument/2006/relationships/hyperlink" Target="#'M03-S05'!C18"/><Relationship Id="rId25" Type="http://schemas.openxmlformats.org/officeDocument/2006/relationships/image" Target="../media/image8.png"/><Relationship Id="rId2" Type="http://schemas.openxmlformats.org/officeDocument/2006/relationships/hyperlink" Target="#M02S04F03"/><Relationship Id="rId16" Type="http://schemas.openxmlformats.org/officeDocument/2006/relationships/image" Target="../media/image2.png"/><Relationship Id="rId20" Type="http://schemas.openxmlformats.org/officeDocument/2006/relationships/image" Target="../media/image5.png"/><Relationship Id="rId29" Type="http://schemas.openxmlformats.org/officeDocument/2006/relationships/image" Target="../media/image10.png"/><Relationship Id="rId1" Type="http://schemas.openxmlformats.org/officeDocument/2006/relationships/hyperlink" Target="#'M03-S02'!C18"/><Relationship Id="rId6" Type="http://schemas.openxmlformats.org/officeDocument/2006/relationships/hyperlink" Target="#'M03-S01'!H6"/><Relationship Id="rId11" Type="http://schemas.openxmlformats.org/officeDocument/2006/relationships/hyperlink" Target="#'M01-S03'!A1"/><Relationship Id="rId24" Type="http://schemas.openxmlformats.org/officeDocument/2006/relationships/hyperlink" Target="#'M03-S06'!C18"/><Relationship Id="rId5" Type="http://schemas.openxmlformats.org/officeDocument/2006/relationships/hyperlink" Target="#M02S03F01"/><Relationship Id="rId15" Type="http://schemas.openxmlformats.org/officeDocument/2006/relationships/hyperlink" Target="#'M02-S04'!A1"/><Relationship Id="rId23" Type="http://schemas.openxmlformats.org/officeDocument/2006/relationships/image" Target="../media/image7.png"/><Relationship Id="rId28" Type="http://schemas.openxmlformats.org/officeDocument/2006/relationships/hyperlink" Target="#'M03-S07'!C18"/><Relationship Id="rId10" Type="http://schemas.openxmlformats.org/officeDocument/2006/relationships/hyperlink" Target="#'M01-S02'!A1"/><Relationship Id="rId19" Type="http://schemas.openxmlformats.org/officeDocument/2006/relationships/hyperlink" Target="#'M03-S03'!C18"/><Relationship Id="rId31" Type="http://schemas.openxmlformats.org/officeDocument/2006/relationships/image" Target="../media/image11.png"/><Relationship Id="rId4" Type="http://schemas.openxmlformats.org/officeDocument/2006/relationships/hyperlink" Target="#M02S02F01"/><Relationship Id="rId9" Type="http://schemas.openxmlformats.org/officeDocument/2006/relationships/hyperlink" Target="#'M01-S01'!A1"/><Relationship Id="rId14" Type="http://schemas.openxmlformats.org/officeDocument/2006/relationships/hyperlink" Target="#'M03-S02'!A1"/><Relationship Id="rId22" Type="http://schemas.openxmlformats.org/officeDocument/2006/relationships/hyperlink" Target="#'M03-S04'!C18"/><Relationship Id="rId27" Type="http://schemas.openxmlformats.org/officeDocument/2006/relationships/image" Target="../media/image9.png"/><Relationship Id="rId30" Type="http://schemas.openxmlformats.org/officeDocument/2006/relationships/hyperlink" Target="#'M04-S09'!C18"/></Relationships>
</file>

<file path=xl/drawings/_rels/drawing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3-S02'!A1"/><Relationship Id="rId18" Type="http://schemas.openxmlformats.org/officeDocument/2006/relationships/hyperlink" Target="#'M03-S06'!A1"/><Relationship Id="rId3" Type="http://schemas.openxmlformats.org/officeDocument/2006/relationships/hyperlink" Target="#M02S01F01"/><Relationship Id="rId21" Type="http://schemas.openxmlformats.org/officeDocument/2006/relationships/hyperlink" Target="#M02S04F03"/><Relationship Id="rId7" Type="http://schemas.openxmlformats.org/officeDocument/2006/relationships/hyperlink" Target="#M05S02HIDE"/><Relationship Id="rId12" Type="http://schemas.openxmlformats.org/officeDocument/2006/relationships/hyperlink" Target="#'M05-S05'!A1"/><Relationship Id="rId17" Type="http://schemas.openxmlformats.org/officeDocument/2006/relationships/hyperlink" Target="#'M03-S08'!A1"/><Relationship Id="rId2" Type="http://schemas.openxmlformats.org/officeDocument/2006/relationships/hyperlink" Target="#'M03-S03'!C18"/><Relationship Id="rId16" Type="http://schemas.openxmlformats.org/officeDocument/2006/relationships/hyperlink" Target="#'M03-S05'!A1"/><Relationship Id="rId20" Type="http://schemas.openxmlformats.org/officeDocument/2006/relationships/hyperlink" Target="#'M04-S09'!A1"/><Relationship Id="rId1" Type="http://schemas.openxmlformats.org/officeDocument/2006/relationships/hyperlink" Target="#'M03-S01'!H6"/><Relationship Id="rId6" Type="http://schemas.openxmlformats.org/officeDocument/2006/relationships/hyperlink" Target="#M05S01F01"/><Relationship Id="rId11" Type="http://schemas.openxmlformats.org/officeDocument/2006/relationships/hyperlink" Target="#'M05-S04'!A1"/><Relationship Id="rId24" Type="http://schemas.openxmlformats.org/officeDocument/2006/relationships/image" Target="../media/image2.png"/><Relationship Id="rId5" Type="http://schemas.openxmlformats.org/officeDocument/2006/relationships/hyperlink" Target="#M02S03F01"/><Relationship Id="rId15" Type="http://schemas.openxmlformats.org/officeDocument/2006/relationships/hyperlink" Target="#'M03-S04'!A1"/><Relationship Id="rId23" Type="http://schemas.openxmlformats.org/officeDocument/2006/relationships/hyperlink" Target="#'M04-S02'!C18"/><Relationship Id="rId10" Type="http://schemas.openxmlformats.org/officeDocument/2006/relationships/hyperlink" Target="#'M01-S03'!A1"/><Relationship Id="rId19" Type="http://schemas.openxmlformats.org/officeDocument/2006/relationships/hyperlink" Target="#'M03-S07'!A1"/><Relationship Id="rId4" Type="http://schemas.openxmlformats.org/officeDocument/2006/relationships/hyperlink" Target="#M02S02F01"/><Relationship Id="rId9" Type="http://schemas.openxmlformats.org/officeDocument/2006/relationships/hyperlink" Target="#'M01-S02'!A1"/><Relationship Id="rId14" Type="http://schemas.openxmlformats.org/officeDocument/2006/relationships/hyperlink" Target="#'M03-S03'!A1"/><Relationship Id="rId22" Type="http://schemas.openxmlformats.org/officeDocument/2006/relationships/hyperlink" Target="#'M03-S02'!C18"/></Relationships>
</file>

<file path=xl/drawings/drawing1.xml><?xml version="1.0" encoding="utf-8"?>
<xdr:wsDr xmlns:xdr="http://schemas.openxmlformats.org/drawingml/2006/spreadsheetDrawing" xmlns:a="http://schemas.openxmlformats.org/drawingml/2006/main">
  <xdr:twoCellAnchor editAs="oneCell">
    <xdr:from>
      <xdr:col>4</xdr:col>
      <xdr:colOff>246529</xdr:colOff>
      <xdr:row>4</xdr:row>
      <xdr:rowOff>56028</xdr:rowOff>
    </xdr:from>
    <xdr:to>
      <xdr:col>41</xdr:col>
      <xdr:colOff>122099</xdr:colOff>
      <xdr:row>38</xdr:row>
      <xdr:rowOff>168085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1588" y="862852"/>
          <a:ext cx="11484864" cy="6970057"/>
        </a:xfrm>
        <a:prstGeom prst="rect">
          <a:avLst/>
        </a:prstGeom>
      </xdr:spPr>
    </xdr:pic>
    <xdr:clientData/>
  </xdr:twoCellAnchor>
  <xdr:twoCellAnchor>
    <xdr:from>
      <xdr:col>0</xdr:col>
      <xdr:colOff>17928</xdr:colOff>
      <xdr:row>0</xdr:row>
      <xdr:rowOff>17931</xdr:rowOff>
    </xdr:from>
    <xdr:to>
      <xdr:col>4</xdr:col>
      <xdr:colOff>268941</xdr:colOff>
      <xdr:row>2</xdr:row>
      <xdr:rowOff>179294</xdr:rowOff>
    </xdr:to>
    <xdr:sp macro="" textlink="">
      <xdr:nvSpPr>
        <xdr:cNvPr id="33" name="Rectangle 32">
          <a:extLst>
            <a:ext uri="{FF2B5EF4-FFF2-40B4-BE49-F238E27FC236}">
              <a16:creationId xmlns:a16="http://schemas.microsoft.com/office/drawing/2014/main" id="{00000000-0008-0000-0900-000021000000}"/>
            </a:ext>
          </a:extLst>
        </xdr:cNvPr>
        <xdr:cNvSpPr/>
      </xdr:nvSpPr>
      <xdr:spPr>
        <a:xfrm>
          <a:off x="17928" y="17931"/>
          <a:ext cx="1506072" cy="56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7" name="Straight Connector 6">
          <a:extLst>
            <a:ext uri="{FF2B5EF4-FFF2-40B4-BE49-F238E27FC236}">
              <a16:creationId xmlns:a16="http://schemas.microsoft.com/office/drawing/2014/main" id="{00000000-0008-0000-0900-000007000000}"/>
            </a:ext>
          </a:extLst>
        </xdr:cNvPr>
        <xdr:cNvCxnSpPr/>
      </xdr:nvCxnSpPr>
      <xdr:spPr>
        <a:xfrm>
          <a:off x="1531284" y="85725"/>
          <a:ext cx="9525" cy="43198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0</xdr:row>
      <xdr:rowOff>85725</xdr:rowOff>
    </xdr:from>
    <xdr:to>
      <xdr:col>41</xdr:col>
      <xdr:colOff>9525</xdr:colOff>
      <xdr:row>2</xdr:row>
      <xdr:rowOff>114300</xdr:rowOff>
    </xdr:to>
    <xdr:cxnSp macro="">
      <xdr:nvCxnSpPr>
        <xdr:cNvPr id="52" name="Straight Connector 51">
          <a:extLst>
            <a:ext uri="{FF2B5EF4-FFF2-40B4-BE49-F238E27FC236}">
              <a16:creationId xmlns:a16="http://schemas.microsoft.com/office/drawing/2014/main" id="{00000000-0008-0000-0900-000034000000}"/>
            </a:ext>
          </a:extLst>
        </xdr:cNvPr>
        <xdr:cNvCxnSpPr/>
      </xdr:nvCxnSpPr>
      <xdr:spPr>
        <a:xfrm>
          <a:off x="12573000" y="85725"/>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54" name="Straight Connector 53">
          <a:extLst>
            <a:ext uri="{FF2B5EF4-FFF2-40B4-BE49-F238E27FC236}">
              <a16:creationId xmlns:a16="http://schemas.microsoft.com/office/drawing/2014/main" id="{00000000-0008-0000-0900-000036000000}"/>
            </a:ext>
          </a:extLst>
        </xdr:cNvPr>
        <xdr:cNvCxnSpPr/>
      </xdr:nvCxnSpPr>
      <xdr:spPr>
        <a:xfrm>
          <a:off x="12887325" y="85725"/>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55" name="Straight Connector 54">
          <a:extLst>
            <a:ext uri="{FF2B5EF4-FFF2-40B4-BE49-F238E27FC236}">
              <a16:creationId xmlns:a16="http://schemas.microsoft.com/office/drawing/2014/main" id="{00000000-0008-0000-0900-000037000000}"/>
            </a:ext>
          </a:extLst>
        </xdr:cNvPr>
        <xdr:cNvCxnSpPr/>
      </xdr:nvCxnSpPr>
      <xdr:spPr>
        <a:xfrm>
          <a:off x="12887325" y="85725"/>
          <a:ext cx="9525"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123264</xdr:colOff>
      <xdr:row>3</xdr:row>
      <xdr:rowOff>100854</xdr:rowOff>
    </xdr:from>
    <xdr:to>
      <xdr:col>44</xdr:col>
      <xdr:colOff>26087</xdr:colOff>
      <xdr:row>5</xdr:row>
      <xdr:rowOff>108922</xdr:rowOff>
    </xdr:to>
    <xdr:sp macro="" textlink="">
      <xdr:nvSpPr>
        <xdr:cNvPr id="31" name="Arrow: Right 30">
          <a:hlinkClick xmlns:r="http://schemas.openxmlformats.org/officeDocument/2006/relationships" r:id="rId2" tooltip="Forward: Instructions"/>
          <a:extLst>
            <a:ext uri="{FF2B5EF4-FFF2-40B4-BE49-F238E27FC236}">
              <a16:creationId xmlns:a16="http://schemas.microsoft.com/office/drawing/2014/main" id="{00000000-0008-0000-0900-00001F000000}"/>
            </a:ext>
          </a:extLst>
        </xdr:cNvPr>
        <xdr:cNvSpPr/>
      </xdr:nvSpPr>
      <xdr:spPr>
        <a:xfrm>
          <a:off x="13324914"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291352</xdr:colOff>
      <xdr:row>0</xdr:row>
      <xdr:rowOff>11208</xdr:rowOff>
    </xdr:from>
    <xdr:to>
      <xdr:col>9</xdr:col>
      <xdr:colOff>0</xdr:colOff>
      <xdr:row>3</xdr:row>
      <xdr:rowOff>11208</xdr:rowOff>
    </xdr:to>
    <xdr:sp macro="" textlink="">
      <xdr:nvSpPr>
        <xdr:cNvPr id="2" name="Rectangle 1">
          <a:hlinkClick xmlns:r="http://schemas.openxmlformats.org/officeDocument/2006/relationships" r:id="rId3" tooltip="Welcome"/>
          <a:extLst>
            <a:ext uri="{FF2B5EF4-FFF2-40B4-BE49-F238E27FC236}">
              <a16:creationId xmlns:a16="http://schemas.microsoft.com/office/drawing/2014/main" id="{00000000-0008-0000-0900-000002000000}"/>
            </a:ext>
          </a:extLst>
        </xdr:cNvPr>
        <xdr:cNvSpPr/>
      </xdr:nvSpPr>
      <xdr:spPr>
        <a:xfrm>
          <a:off x="1546411" y="11208"/>
          <a:ext cx="1277471"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56" name="Rectangle 55">
          <a:hlinkClick xmlns:r="http://schemas.openxmlformats.org/officeDocument/2006/relationships" r:id="rId2" tooltip="Instructions"/>
          <a:extLst>
            <a:ext uri="{FF2B5EF4-FFF2-40B4-BE49-F238E27FC236}">
              <a16:creationId xmlns:a16="http://schemas.microsoft.com/office/drawing/2014/main" id="{00000000-0008-0000-0900-000038000000}"/>
            </a:ext>
          </a:extLst>
        </xdr:cNvPr>
        <xdr:cNvSpPr/>
      </xdr:nvSpPr>
      <xdr:spPr>
        <a:xfrm>
          <a:off x="2830606" y="6726"/>
          <a:ext cx="1277471"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57" name="Rectangle 56">
          <a:hlinkClick xmlns:r="http://schemas.openxmlformats.org/officeDocument/2006/relationships" r:id="rId4" tooltip="Contact"/>
          <a:extLst>
            <a:ext uri="{FF2B5EF4-FFF2-40B4-BE49-F238E27FC236}">
              <a16:creationId xmlns:a16="http://schemas.microsoft.com/office/drawing/2014/main" id="{00000000-0008-0000-0900-000039000000}"/>
            </a:ext>
          </a:extLst>
        </xdr:cNvPr>
        <xdr:cNvSpPr/>
      </xdr:nvSpPr>
      <xdr:spPr>
        <a:xfrm>
          <a:off x="12853147" y="11206"/>
          <a:ext cx="1277471"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58" name="Rectangle 57">
          <a:hlinkClick xmlns:r="http://schemas.openxmlformats.org/officeDocument/2006/relationships" r:id="rId5" tooltip=" "/>
          <a:extLst>
            <a:ext uri="{FF2B5EF4-FFF2-40B4-BE49-F238E27FC236}">
              <a16:creationId xmlns:a16="http://schemas.microsoft.com/office/drawing/2014/main" id="{00000000-0008-0000-0900-00003A000000}"/>
            </a:ext>
          </a:extLst>
        </xdr:cNvPr>
        <xdr:cNvSpPr/>
      </xdr:nvSpPr>
      <xdr:spPr>
        <a:xfrm>
          <a:off x="10349753" y="0"/>
          <a:ext cx="1277471"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59" name="Rectangle 58">
          <a:hlinkClick xmlns:r="http://schemas.openxmlformats.org/officeDocument/2006/relationships" r:id="rId6" tooltip=" "/>
          <a:extLst>
            <a:ext uri="{FF2B5EF4-FFF2-40B4-BE49-F238E27FC236}">
              <a16:creationId xmlns:a16="http://schemas.microsoft.com/office/drawing/2014/main" id="{00000000-0008-0000-0900-00003B000000}"/>
            </a:ext>
          </a:extLst>
        </xdr:cNvPr>
        <xdr:cNvSpPr/>
      </xdr:nvSpPr>
      <xdr:spPr>
        <a:xfrm>
          <a:off x="11589123" y="6723"/>
          <a:ext cx="1277471"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17928</xdr:colOff>
      <xdr:row>0</xdr:row>
      <xdr:rowOff>17931</xdr:rowOff>
    </xdr:from>
    <xdr:to>
      <xdr:col>4</xdr:col>
      <xdr:colOff>274636</xdr:colOff>
      <xdr:row>2</xdr:row>
      <xdr:rowOff>185026</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7928" y="17931"/>
          <a:ext cx="1511767" cy="570507"/>
        </a:xfrm>
        <a:prstGeom prst="rect">
          <a:avLst/>
        </a:prstGeom>
        <a:solidFill>
          <a:schemeClr val="bg1"/>
        </a:solidFill>
      </xdr:spPr>
    </xdr:pic>
    <xdr:clientData/>
  </xdr:twoCellAnchor>
  <xdr:twoCellAnchor>
    <xdr:from>
      <xdr:col>6</xdr:col>
      <xdr:colOff>240974</xdr:colOff>
      <xdr:row>21</xdr:row>
      <xdr:rowOff>138705</xdr:rowOff>
    </xdr:from>
    <xdr:to>
      <xdr:col>14</xdr:col>
      <xdr:colOff>278585</xdr:colOff>
      <xdr:row>22</xdr:row>
      <xdr:rowOff>126919</xdr:rowOff>
    </xdr:to>
    <xdr:sp macro="" textlink="">
      <xdr:nvSpPr>
        <xdr:cNvPr id="24" name="Rectangle 23">
          <a:hlinkClick xmlns:r="http://schemas.openxmlformats.org/officeDocument/2006/relationships" r:id="rId8" tooltip="Read more about Standard Incentives"/>
          <a:extLst>
            <a:ext uri="{FF2B5EF4-FFF2-40B4-BE49-F238E27FC236}">
              <a16:creationId xmlns:a16="http://schemas.microsoft.com/office/drawing/2014/main" id="{00000000-0008-0000-0900-000018000000}"/>
            </a:ext>
          </a:extLst>
        </xdr:cNvPr>
        <xdr:cNvSpPr/>
      </xdr:nvSpPr>
      <xdr:spPr>
        <a:xfrm>
          <a:off x="2126924" y="4339230"/>
          <a:ext cx="2552211" cy="188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227901</xdr:colOff>
      <xdr:row>22</xdr:row>
      <xdr:rowOff>179246</xdr:rowOff>
    </xdr:from>
    <xdr:to>
      <xdr:col>15</xdr:col>
      <xdr:colOff>6799</xdr:colOff>
      <xdr:row>23</xdr:row>
      <xdr:rowOff>178050</xdr:rowOff>
    </xdr:to>
    <xdr:sp macro="" textlink="">
      <xdr:nvSpPr>
        <xdr:cNvPr id="25" name="Rectangle 24">
          <a:hlinkClick xmlns:r="http://schemas.openxmlformats.org/officeDocument/2006/relationships" r:id="rId9" tooltip="Browse the Standard Incentives List"/>
          <a:extLst>
            <a:ext uri="{FF2B5EF4-FFF2-40B4-BE49-F238E27FC236}">
              <a16:creationId xmlns:a16="http://schemas.microsoft.com/office/drawing/2014/main" id="{00000000-0008-0000-0900-000019000000}"/>
            </a:ext>
          </a:extLst>
        </xdr:cNvPr>
        <xdr:cNvSpPr/>
      </xdr:nvSpPr>
      <xdr:spPr>
        <a:xfrm>
          <a:off x="2113851" y="4579796"/>
          <a:ext cx="2607823" cy="1988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clientData/>
  </xdr:twoCellAnchor>
  <xdr:twoCellAnchor>
    <xdr:from>
      <xdr:col>18</xdr:col>
      <xdr:colOff>235660</xdr:colOff>
      <xdr:row>21</xdr:row>
      <xdr:rowOff>136037</xdr:rowOff>
    </xdr:from>
    <xdr:to>
      <xdr:col>27</xdr:col>
      <xdr:colOff>7481</xdr:colOff>
      <xdr:row>22</xdr:row>
      <xdr:rowOff>124251</xdr:rowOff>
    </xdr:to>
    <xdr:sp macro="" textlink="">
      <xdr:nvSpPr>
        <xdr:cNvPr id="26" name="Rectangle 25">
          <a:hlinkClick xmlns:r="http://schemas.openxmlformats.org/officeDocument/2006/relationships" r:id="rId8" tooltip="Read more about Custom Incentives"/>
          <a:extLst>
            <a:ext uri="{FF2B5EF4-FFF2-40B4-BE49-F238E27FC236}">
              <a16:creationId xmlns:a16="http://schemas.microsoft.com/office/drawing/2014/main" id="{00000000-0008-0000-0900-00001A000000}"/>
            </a:ext>
          </a:extLst>
        </xdr:cNvPr>
        <xdr:cNvSpPr/>
      </xdr:nvSpPr>
      <xdr:spPr>
        <a:xfrm>
          <a:off x="5893510" y="4336562"/>
          <a:ext cx="2600746" cy="188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299473</xdr:colOff>
      <xdr:row>22</xdr:row>
      <xdr:rowOff>166234</xdr:rowOff>
    </xdr:from>
    <xdr:to>
      <xdr:col>27</xdr:col>
      <xdr:colOff>97422</xdr:colOff>
      <xdr:row>23</xdr:row>
      <xdr:rowOff>165038</xdr:rowOff>
    </xdr:to>
    <xdr:sp macro="" textlink="">
      <xdr:nvSpPr>
        <xdr:cNvPr id="29" name="Rectangle 28">
          <a:hlinkClick xmlns:r="http://schemas.openxmlformats.org/officeDocument/2006/relationships" r:id="rId10" tooltip="Browse the Custom Incentives List"/>
          <a:extLst>
            <a:ext uri="{FF2B5EF4-FFF2-40B4-BE49-F238E27FC236}">
              <a16:creationId xmlns:a16="http://schemas.microsoft.com/office/drawing/2014/main" id="{00000000-0008-0000-0900-00001D000000}"/>
            </a:ext>
          </a:extLst>
        </xdr:cNvPr>
        <xdr:cNvSpPr/>
      </xdr:nvSpPr>
      <xdr:spPr>
        <a:xfrm>
          <a:off x="5957323" y="4566784"/>
          <a:ext cx="2626874" cy="1988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clientData/>
  </xdr:twoCellAnchor>
  <xdr:twoCellAnchor>
    <xdr:from>
      <xdr:col>30</xdr:col>
      <xdr:colOff>130406</xdr:colOff>
      <xdr:row>21</xdr:row>
      <xdr:rowOff>123261</xdr:rowOff>
    </xdr:from>
    <xdr:to>
      <xdr:col>38</xdr:col>
      <xdr:colOff>215991</xdr:colOff>
      <xdr:row>22</xdr:row>
      <xdr:rowOff>111475</xdr:rowOff>
    </xdr:to>
    <xdr:sp macro="" textlink="">
      <xdr:nvSpPr>
        <xdr:cNvPr id="32" name="Rectangle 31">
          <a:hlinkClick xmlns:r="http://schemas.openxmlformats.org/officeDocument/2006/relationships" r:id="rId8" tooltip="Read more about New Construction Incentives"/>
          <a:extLst>
            <a:ext uri="{FF2B5EF4-FFF2-40B4-BE49-F238E27FC236}">
              <a16:creationId xmlns:a16="http://schemas.microsoft.com/office/drawing/2014/main" id="{00000000-0008-0000-0900-000020000000}"/>
            </a:ext>
          </a:extLst>
        </xdr:cNvPr>
        <xdr:cNvSpPr/>
      </xdr:nvSpPr>
      <xdr:spPr>
        <a:xfrm>
          <a:off x="9560156" y="4323786"/>
          <a:ext cx="2600185" cy="188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181953</xdr:colOff>
      <xdr:row>22</xdr:row>
      <xdr:rowOff>163603</xdr:rowOff>
    </xdr:from>
    <xdr:to>
      <xdr:col>38</xdr:col>
      <xdr:colOff>267538</xdr:colOff>
      <xdr:row>23</xdr:row>
      <xdr:rowOff>151816</xdr:rowOff>
    </xdr:to>
    <xdr:sp macro="" textlink="">
      <xdr:nvSpPr>
        <xdr:cNvPr id="34" name="Rectangle 33">
          <a:hlinkClick xmlns:r="http://schemas.openxmlformats.org/officeDocument/2006/relationships" r:id="rId8" tooltip="Read more about RCx Incentives"/>
          <a:extLst>
            <a:ext uri="{FF2B5EF4-FFF2-40B4-BE49-F238E27FC236}">
              <a16:creationId xmlns:a16="http://schemas.microsoft.com/office/drawing/2014/main" id="{00000000-0008-0000-0900-000022000000}"/>
            </a:ext>
          </a:extLst>
        </xdr:cNvPr>
        <xdr:cNvSpPr/>
      </xdr:nvSpPr>
      <xdr:spPr>
        <a:xfrm>
          <a:off x="9611703" y="4564153"/>
          <a:ext cx="2600185" cy="1882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179294</xdr:colOff>
      <xdr:row>31</xdr:row>
      <xdr:rowOff>56031</xdr:rowOff>
    </xdr:from>
    <xdr:to>
      <xdr:col>10</xdr:col>
      <xdr:colOff>9997</xdr:colOff>
      <xdr:row>36</xdr:row>
      <xdr:rowOff>152398</xdr:rowOff>
    </xdr:to>
    <xdr:sp macro="" textlink="">
      <xdr:nvSpPr>
        <xdr:cNvPr id="38" name="Rectangle 37">
          <a:hlinkClick xmlns:r="http://schemas.openxmlformats.org/officeDocument/2006/relationships" r:id="rId11" tooltip="Log in to your Online Account"/>
          <a:extLst>
            <a:ext uri="{FF2B5EF4-FFF2-40B4-BE49-F238E27FC236}">
              <a16:creationId xmlns:a16="http://schemas.microsoft.com/office/drawing/2014/main" id="{00000000-0008-0000-0900-000026000000}"/>
            </a:ext>
          </a:extLst>
        </xdr:cNvPr>
        <xdr:cNvSpPr/>
      </xdr:nvSpPr>
      <xdr:spPr>
        <a:xfrm>
          <a:off x="2061882" y="6308913"/>
          <a:ext cx="1085762" cy="11048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280146</xdr:colOff>
      <xdr:row>31</xdr:row>
      <xdr:rowOff>89648</xdr:rowOff>
    </xdr:from>
    <xdr:to>
      <xdr:col>14</xdr:col>
      <xdr:colOff>302559</xdr:colOff>
      <xdr:row>36</xdr:row>
      <xdr:rowOff>154763</xdr:rowOff>
    </xdr:to>
    <xdr:sp macro="" textlink="">
      <xdr:nvSpPr>
        <xdr:cNvPr id="39" name="Rectangle 38">
          <a:hlinkClick xmlns:r="http://schemas.openxmlformats.org/officeDocument/2006/relationships" r:id="rId12" tooltip="View Terms and Conditions"/>
          <a:extLst>
            <a:ext uri="{FF2B5EF4-FFF2-40B4-BE49-F238E27FC236}">
              <a16:creationId xmlns:a16="http://schemas.microsoft.com/office/drawing/2014/main" id="{00000000-0008-0000-0900-000027000000}"/>
            </a:ext>
          </a:extLst>
        </xdr:cNvPr>
        <xdr:cNvSpPr/>
      </xdr:nvSpPr>
      <xdr:spPr>
        <a:xfrm>
          <a:off x="3417793" y="6342530"/>
          <a:ext cx="1277472" cy="107364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134470</xdr:colOff>
      <xdr:row>31</xdr:row>
      <xdr:rowOff>112059</xdr:rowOff>
    </xdr:from>
    <xdr:to>
      <xdr:col>18</xdr:col>
      <xdr:colOff>257982</xdr:colOff>
      <xdr:row>37</xdr:row>
      <xdr:rowOff>7964</xdr:rowOff>
    </xdr:to>
    <xdr:sp macro="" textlink="">
      <xdr:nvSpPr>
        <xdr:cNvPr id="40" name="Rectangle 39">
          <a:hlinkClick xmlns:r="http://schemas.openxmlformats.org/officeDocument/2006/relationships" r:id="rId13" tooltip="View Trade Ally Resources"/>
          <a:extLst>
            <a:ext uri="{FF2B5EF4-FFF2-40B4-BE49-F238E27FC236}">
              <a16:creationId xmlns:a16="http://schemas.microsoft.com/office/drawing/2014/main" id="{00000000-0008-0000-0900-000028000000}"/>
            </a:ext>
          </a:extLst>
        </xdr:cNvPr>
        <xdr:cNvSpPr/>
      </xdr:nvSpPr>
      <xdr:spPr>
        <a:xfrm>
          <a:off x="4840941" y="6364941"/>
          <a:ext cx="1064806" cy="11061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179295</xdr:colOff>
      <xdr:row>30</xdr:row>
      <xdr:rowOff>112059</xdr:rowOff>
    </xdr:from>
    <xdr:to>
      <xdr:col>29</xdr:col>
      <xdr:colOff>38923</xdr:colOff>
      <xdr:row>35</xdr:row>
      <xdr:rowOff>201144</xdr:rowOff>
    </xdr:to>
    <xdr:sp macro="" textlink="">
      <xdr:nvSpPr>
        <xdr:cNvPr id="41" name="Rectangle 40">
          <a:hlinkClick xmlns:r="http://schemas.openxmlformats.org/officeDocument/2006/relationships" r:id="rId14" tooltip="View PACE Financing Information"/>
          <a:extLst>
            <a:ext uri="{FF2B5EF4-FFF2-40B4-BE49-F238E27FC236}">
              <a16:creationId xmlns:a16="http://schemas.microsoft.com/office/drawing/2014/main" id="{00000000-0008-0000-0900-000029000000}"/>
            </a:ext>
          </a:extLst>
        </xdr:cNvPr>
        <xdr:cNvSpPr/>
      </xdr:nvSpPr>
      <xdr:spPr>
        <a:xfrm>
          <a:off x="8023413" y="6163235"/>
          <a:ext cx="1114686" cy="10976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235324</xdr:colOff>
      <xdr:row>31</xdr:row>
      <xdr:rowOff>100854</xdr:rowOff>
    </xdr:from>
    <xdr:to>
      <xdr:col>23</xdr:col>
      <xdr:colOff>312364</xdr:colOff>
      <xdr:row>36</xdr:row>
      <xdr:rowOff>181854</xdr:rowOff>
    </xdr:to>
    <xdr:sp macro="" textlink="">
      <xdr:nvSpPr>
        <xdr:cNvPr id="42" name="Rectangle 41">
          <a:hlinkClick xmlns:r="http://schemas.openxmlformats.org/officeDocument/2006/relationships" r:id="rId15" tooltip="View ENERGY STAR Certified Products"/>
          <a:extLst>
            <a:ext uri="{FF2B5EF4-FFF2-40B4-BE49-F238E27FC236}">
              <a16:creationId xmlns:a16="http://schemas.microsoft.com/office/drawing/2014/main" id="{00000000-0008-0000-0900-00002A000000}"/>
            </a:ext>
          </a:extLst>
        </xdr:cNvPr>
        <xdr:cNvSpPr/>
      </xdr:nvSpPr>
      <xdr:spPr>
        <a:xfrm>
          <a:off x="6196853" y="6353736"/>
          <a:ext cx="1332099" cy="1089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22411</xdr:colOff>
      <xdr:row>31</xdr:row>
      <xdr:rowOff>112060</xdr:rowOff>
    </xdr:from>
    <xdr:to>
      <xdr:col>39</xdr:col>
      <xdr:colOff>21749</xdr:colOff>
      <xdr:row>36</xdr:row>
      <xdr:rowOff>192382</xdr:rowOff>
    </xdr:to>
    <xdr:sp macro="" textlink="">
      <xdr:nvSpPr>
        <xdr:cNvPr id="43" name="Rectangle 42">
          <a:hlinkClick xmlns:r="http://schemas.openxmlformats.org/officeDocument/2006/relationships" r:id="rId16" tooltip="View DLC Qualified Product List"/>
          <a:extLst>
            <a:ext uri="{FF2B5EF4-FFF2-40B4-BE49-F238E27FC236}">
              <a16:creationId xmlns:a16="http://schemas.microsoft.com/office/drawing/2014/main" id="{00000000-0008-0000-0900-00002B000000}"/>
            </a:ext>
          </a:extLst>
        </xdr:cNvPr>
        <xdr:cNvSpPr/>
      </xdr:nvSpPr>
      <xdr:spPr>
        <a:xfrm>
          <a:off x="11004176" y="6364942"/>
          <a:ext cx="1254397" cy="10888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78441</xdr:colOff>
      <xdr:row>31</xdr:row>
      <xdr:rowOff>89648</xdr:rowOff>
    </xdr:from>
    <xdr:to>
      <xdr:col>34</xdr:col>
      <xdr:colOff>81240</xdr:colOff>
      <xdr:row>36</xdr:row>
      <xdr:rowOff>168504</xdr:rowOff>
    </xdr:to>
    <xdr:sp macro="" textlink="">
      <xdr:nvSpPr>
        <xdr:cNvPr id="44" name="Rectangle 43">
          <a:hlinkClick xmlns:r="http://schemas.openxmlformats.org/officeDocument/2006/relationships" r:id="rId17" tooltip="View Commercial Lighting Qualified Product Lists"/>
          <a:extLst>
            <a:ext uri="{FF2B5EF4-FFF2-40B4-BE49-F238E27FC236}">
              <a16:creationId xmlns:a16="http://schemas.microsoft.com/office/drawing/2014/main" id="{00000000-0008-0000-0900-00002C000000}"/>
            </a:ext>
          </a:extLst>
        </xdr:cNvPr>
        <xdr:cNvSpPr/>
      </xdr:nvSpPr>
      <xdr:spPr>
        <a:xfrm>
          <a:off x="9491382" y="6342530"/>
          <a:ext cx="1257858" cy="1087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212910</xdr:colOff>
      <xdr:row>8</xdr:row>
      <xdr:rowOff>100854</xdr:rowOff>
    </xdr:from>
    <xdr:to>
      <xdr:col>3</xdr:col>
      <xdr:colOff>112057</xdr:colOff>
      <xdr:row>10</xdr:row>
      <xdr:rowOff>108922</xdr:rowOff>
    </xdr:to>
    <xdr:sp macro="" textlink="">
      <xdr:nvSpPr>
        <xdr:cNvPr id="39" name="Arrow: Left 38">
          <a:hlinkClick xmlns:r="http://schemas.openxmlformats.org/officeDocument/2006/relationships" r:id="rId1" tooltip="Back: Lighting"/>
          <a:extLst>
            <a:ext uri="{FF2B5EF4-FFF2-40B4-BE49-F238E27FC236}">
              <a16:creationId xmlns:a16="http://schemas.microsoft.com/office/drawing/2014/main" id="{00000000-0008-0000-1200-000027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40" name="Arrow: Right 39">
          <a:hlinkClick xmlns:r="http://schemas.openxmlformats.org/officeDocument/2006/relationships" r:id="rId2" tooltip="Forward: Refrigeration"/>
          <a:extLst>
            <a:ext uri="{FF2B5EF4-FFF2-40B4-BE49-F238E27FC236}">
              <a16:creationId xmlns:a16="http://schemas.microsoft.com/office/drawing/2014/main" id="{00000000-0008-0000-1200-000028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51" name="Straight Connector 50">
          <a:extLst>
            <a:ext uri="{FF2B5EF4-FFF2-40B4-BE49-F238E27FC236}">
              <a16:creationId xmlns:a16="http://schemas.microsoft.com/office/drawing/2014/main" id="{00000000-0008-0000-1200-000033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55" name="Straight Connector 54">
          <a:extLst>
            <a:ext uri="{FF2B5EF4-FFF2-40B4-BE49-F238E27FC236}">
              <a16:creationId xmlns:a16="http://schemas.microsoft.com/office/drawing/2014/main" id="{00000000-0008-0000-1200-000037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59" name="Straight Connector 58">
          <a:extLst>
            <a:ext uri="{FF2B5EF4-FFF2-40B4-BE49-F238E27FC236}">
              <a16:creationId xmlns:a16="http://schemas.microsoft.com/office/drawing/2014/main" id="{00000000-0008-0000-1200-00003B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60" name="Straight Connector 59">
          <a:extLst>
            <a:ext uri="{FF2B5EF4-FFF2-40B4-BE49-F238E27FC236}">
              <a16:creationId xmlns:a16="http://schemas.microsoft.com/office/drawing/2014/main" id="{00000000-0008-0000-1200-00003C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61" name="Straight Connector 60">
          <a:extLst>
            <a:ext uri="{FF2B5EF4-FFF2-40B4-BE49-F238E27FC236}">
              <a16:creationId xmlns:a16="http://schemas.microsoft.com/office/drawing/2014/main" id="{00000000-0008-0000-1200-00003D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62" name="Straight Connector 61">
          <a:extLst>
            <a:ext uri="{FF2B5EF4-FFF2-40B4-BE49-F238E27FC236}">
              <a16:creationId xmlns:a16="http://schemas.microsoft.com/office/drawing/2014/main" id="{00000000-0008-0000-1200-00003E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63" name="Straight Connector 62">
          <a:extLst>
            <a:ext uri="{FF2B5EF4-FFF2-40B4-BE49-F238E27FC236}">
              <a16:creationId xmlns:a16="http://schemas.microsoft.com/office/drawing/2014/main" id="{00000000-0008-0000-1200-00003F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64" name="Straight Connector 63">
          <a:extLst>
            <a:ext uri="{FF2B5EF4-FFF2-40B4-BE49-F238E27FC236}">
              <a16:creationId xmlns:a16="http://schemas.microsoft.com/office/drawing/2014/main" id="{00000000-0008-0000-1200-000040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65" name="Arrow: Chevron 64">
          <a:hlinkClick xmlns:r="http://schemas.openxmlformats.org/officeDocument/2006/relationships" r:id="rId3" tooltip="Terms &amp; Conditions"/>
          <a:extLst>
            <a:ext uri="{FF2B5EF4-FFF2-40B4-BE49-F238E27FC236}">
              <a16:creationId xmlns:a16="http://schemas.microsoft.com/office/drawing/2014/main" id="{00000000-0008-0000-1200-000041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66" name="Arrow: Chevron 65">
          <a:hlinkClick xmlns:r="http://schemas.openxmlformats.org/officeDocument/2006/relationships" r:id="rId4" tooltip="Trade Ally/Vendor Information"/>
          <a:extLst>
            <a:ext uri="{FF2B5EF4-FFF2-40B4-BE49-F238E27FC236}">
              <a16:creationId xmlns:a16="http://schemas.microsoft.com/office/drawing/2014/main" id="{00000000-0008-0000-1200-000042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67" name="Arrow: Chevron 66">
          <a:hlinkClick xmlns:r="http://schemas.openxmlformats.org/officeDocument/2006/relationships" r:id="rId5" tooltip="Customer Information"/>
          <a:extLst>
            <a:ext uri="{FF2B5EF4-FFF2-40B4-BE49-F238E27FC236}">
              <a16:creationId xmlns:a16="http://schemas.microsoft.com/office/drawing/2014/main" id="{00000000-0008-0000-1200-000043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69" name="Arrow: Chevron 68">
          <a:hlinkClick xmlns:r="http://schemas.openxmlformats.org/officeDocument/2006/relationships" r:id="rId6" tooltip="Equipment Input"/>
          <a:extLst>
            <a:ext uri="{FF2B5EF4-FFF2-40B4-BE49-F238E27FC236}">
              <a16:creationId xmlns:a16="http://schemas.microsoft.com/office/drawing/2014/main" id="{00000000-0008-0000-1200-000045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70" name="Arrow: Chevron 69">
          <a:hlinkClick xmlns:r="http://schemas.openxmlformats.org/officeDocument/2006/relationships" r:id="rId7" tooltip="Payment"/>
          <a:extLst>
            <a:ext uri="{FF2B5EF4-FFF2-40B4-BE49-F238E27FC236}">
              <a16:creationId xmlns:a16="http://schemas.microsoft.com/office/drawing/2014/main" id="{00000000-0008-0000-1200-000046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71" name="Arrow: Chevron 70">
          <a:hlinkClick xmlns:r="http://schemas.openxmlformats.org/officeDocument/2006/relationships" r:id="rId8" tooltip="Project Review"/>
          <a:extLst>
            <a:ext uri="{FF2B5EF4-FFF2-40B4-BE49-F238E27FC236}">
              <a16:creationId xmlns:a16="http://schemas.microsoft.com/office/drawing/2014/main" id="{00000000-0008-0000-1200-000047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2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2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9" name="Straight Connector 28">
          <a:extLst>
            <a:ext uri="{FF2B5EF4-FFF2-40B4-BE49-F238E27FC236}">
              <a16:creationId xmlns:a16="http://schemas.microsoft.com/office/drawing/2014/main" id="{00000000-0008-0000-1200-00001D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0" name="Rectangle 29">
          <a:hlinkClick xmlns:r="http://schemas.openxmlformats.org/officeDocument/2006/relationships" r:id="rId9" tooltip="Welcome"/>
          <a:extLst>
            <a:ext uri="{FF2B5EF4-FFF2-40B4-BE49-F238E27FC236}">
              <a16:creationId xmlns:a16="http://schemas.microsoft.com/office/drawing/2014/main" id="{00000000-0008-0000-1200-00001E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1" name="Rectangle 30">
          <a:hlinkClick xmlns:r="http://schemas.openxmlformats.org/officeDocument/2006/relationships" r:id="rId10" tooltip="Instructions"/>
          <a:extLst>
            <a:ext uri="{FF2B5EF4-FFF2-40B4-BE49-F238E27FC236}">
              <a16:creationId xmlns:a16="http://schemas.microsoft.com/office/drawing/2014/main" id="{00000000-0008-0000-1200-00001F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2" name="Rectangle 31">
          <a:hlinkClick xmlns:r="http://schemas.openxmlformats.org/officeDocument/2006/relationships" r:id="rId11" tooltip="Contact"/>
          <a:extLst>
            <a:ext uri="{FF2B5EF4-FFF2-40B4-BE49-F238E27FC236}">
              <a16:creationId xmlns:a16="http://schemas.microsoft.com/office/drawing/2014/main" id="{00000000-0008-0000-1200-000020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2" tooltip=" "/>
          <a:extLst>
            <a:ext uri="{FF2B5EF4-FFF2-40B4-BE49-F238E27FC236}">
              <a16:creationId xmlns:a16="http://schemas.microsoft.com/office/drawing/2014/main" id="{00000000-0008-0000-12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1200-000022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291353</xdr:colOff>
      <xdr:row>8</xdr:row>
      <xdr:rowOff>0</xdr:rowOff>
    </xdr:from>
    <xdr:to>
      <xdr:col>10</xdr:col>
      <xdr:colOff>291353</xdr:colOff>
      <xdr:row>11</xdr:row>
      <xdr:rowOff>33617</xdr:rowOff>
    </xdr:to>
    <xdr:sp macro="" textlink="">
      <xdr:nvSpPr>
        <xdr:cNvPr id="35" name="Rectangle 34">
          <a:hlinkClick xmlns:r="http://schemas.openxmlformats.org/officeDocument/2006/relationships" r:id="rId14" tooltip="Lighting"/>
          <a:extLst>
            <a:ext uri="{FF2B5EF4-FFF2-40B4-BE49-F238E27FC236}">
              <a16:creationId xmlns:a16="http://schemas.microsoft.com/office/drawing/2014/main" id="{00000000-0008-0000-1200-000023000000}"/>
            </a:ext>
          </a:extLst>
        </xdr:cNvPr>
        <xdr:cNvSpPr/>
      </xdr:nvSpPr>
      <xdr:spPr>
        <a:xfrm>
          <a:off x="217394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301278</xdr:colOff>
      <xdr:row>8</xdr:row>
      <xdr:rowOff>0</xdr:rowOff>
    </xdr:from>
    <xdr:to>
      <xdr:col>14</xdr:col>
      <xdr:colOff>301278</xdr:colOff>
      <xdr:row>11</xdr:row>
      <xdr:rowOff>33617</xdr:rowOff>
    </xdr:to>
    <xdr:sp macro="" textlink="">
      <xdr:nvSpPr>
        <xdr:cNvPr id="36" name="Rectangle 35">
          <a:hlinkClick xmlns:r="http://schemas.openxmlformats.org/officeDocument/2006/relationships" r:id="rId15" tooltip="Lighting Controls"/>
          <a:extLst>
            <a:ext uri="{FF2B5EF4-FFF2-40B4-BE49-F238E27FC236}">
              <a16:creationId xmlns:a16="http://schemas.microsoft.com/office/drawing/2014/main" id="{00000000-0008-0000-1200-000024000000}"/>
            </a:ext>
          </a:extLst>
        </xdr:cNvPr>
        <xdr:cNvSpPr/>
      </xdr:nvSpPr>
      <xdr:spPr>
        <a:xfrm>
          <a:off x="343892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311203</xdr:colOff>
      <xdr:row>8</xdr:row>
      <xdr:rowOff>0</xdr:rowOff>
    </xdr:from>
    <xdr:to>
      <xdr:col>18</xdr:col>
      <xdr:colOff>311203</xdr:colOff>
      <xdr:row>11</xdr:row>
      <xdr:rowOff>33617</xdr:rowOff>
    </xdr:to>
    <xdr:sp macro="" textlink="">
      <xdr:nvSpPr>
        <xdr:cNvPr id="37" name="Rectangle 36">
          <a:hlinkClick xmlns:r="http://schemas.openxmlformats.org/officeDocument/2006/relationships" r:id="rId16" tooltip="Refrigeration"/>
          <a:extLst>
            <a:ext uri="{FF2B5EF4-FFF2-40B4-BE49-F238E27FC236}">
              <a16:creationId xmlns:a16="http://schemas.microsoft.com/office/drawing/2014/main" id="{00000000-0008-0000-1200-000025000000}"/>
            </a:ext>
          </a:extLst>
        </xdr:cNvPr>
        <xdr:cNvSpPr/>
      </xdr:nvSpPr>
      <xdr:spPr>
        <a:xfrm>
          <a:off x="470390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7364</xdr:colOff>
      <xdr:row>8</xdr:row>
      <xdr:rowOff>0</xdr:rowOff>
    </xdr:from>
    <xdr:to>
      <xdr:col>23</xdr:col>
      <xdr:colOff>7364</xdr:colOff>
      <xdr:row>11</xdr:row>
      <xdr:rowOff>33617</xdr:rowOff>
    </xdr:to>
    <xdr:sp macro="" textlink="">
      <xdr:nvSpPr>
        <xdr:cNvPr id="38" name="Rectangle 37">
          <a:hlinkClick xmlns:r="http://schemas.openxmlformats.org/officeDocument/2006/relationships" r:id="rId17" tooltip="HVAC"/>
          <a:extLst>
            <a:ext uri="{FF2B5EF4-FFF2-40B4-BE49-F238E27FC236}">
              <a16:creationId xmlns:a16="http://schemas.microsoft.com/office/drawing/2014/main" id="{00000000-0008-0000-1200-000026000000}"/>
            </a:ext>
          </a:extLst>
        </xdr:cNvPr>
        <xdr:cNvSpPr/>
      </xdr:nvSpPr>
      <xdr:spPr>
        <a:xfrm>
          <a:off x="596889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17289</xdr:colOff>
      <xdr:row>8</xdr:row>
      <xdr:rowOff>0</xdr:rowOff>
    </xdr:from>
    <xdr:to>
      <xdr:col>27</xdr:col>
      <xdr:colOff>17289</xdr:colOff>
      <xdr:row>11</xdr:row>
      <xdr:rowOff>33617</xdr:rowOff>
    </xdr:to>
    <xdr:sp macro="" textlink="">
      <xdr:nvSpPr>
        <xdr:cNvPr id="41" name="Rectangle 40">
          <a:hlinkClick xmlns:r="http://schemas.openxmlformats.org/officeDocument/2006/relationships" r:id="rId18" tooltip="Motors and Drives"/>
          <a:extLst>
            <a:ext uri="{FF2B5EF4-FFF2-40B4-BE49-F238E27FC236}">
              <a16:creationId xmlns:a16="http://schemas.microsoft.com/office/drawing/2014/main" id="{00000000-0008-0000-1200-000029000000}"/>
            </a:ext>
          </a:extLst>
        </xdr:cNvPr>
        <xdr:cNvSpPr/>
      </xdr:nvSpPr>
      <xdr:spPr>
        <a:xfrm>
          <a:off x="723387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27214</xdr:colOff>
      <xdr:row>8</xdr:row>
      <xdr:rowOff>0</xdr:rowOff>
    </xdr:from>
    <xdr:to>
      <xdr:col>31</xdr:col>
      <xdr:colOff>27214</xdr:colOff>
      <xdr:row>11</xdr:row>
      <xdr:rowOff>33617</xdr:rowOff>
    </xdr:to>
    <xdr:sp macro="" textlink="">
      <xdr:nvSpPr>
        <xdr:cNvPr id="42" name="Rectangle 41">
          <a:hlinkClick xmlns:r="http://schemas.openxmlformats.org/officeDocument/2006/relationships" r:id="rId19" tooltip="Compressed Air / Process"/>
          <a:extLst>
            <a:ext uri="{FF2B5EF4-FFF2-40B4-BE49-F238E27FC236}">
              <a16:creationId xmlns:a16="http://schemas.microsoft.com/office/drawing/2014/main" id="{00000000-0008-0000-1200-00002A000000}"/>
            </a:ext>
          </a:extLst>
        </xdr:cNvPr>
        <xdr:cNvSpPr/>
      </xdr:nvSpPr>
      <xdr:spPr>
        <a:xfrm>
          <a:off x="849886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37139</xdr:colOff>
      <xdr:row>8</xdr:row>
      <xdr:rowOff>0</xdr:rowOff>
    </xdr:from>
    <xdr:to>
      <xdr:col>35</xdr:col>
      <xdr:colOff>37139</xdr:colOff>
      <xdr:row>11</xdr:row>
      <xdr:rowOff>33617</xdr:rowOff>
    </xdr:to>
    <xdr:sp macro="" textlink="">
      <xdr:nvSpPr>
        <xdr:cNvPr id="43" name="Rectangle 42">
          <a:hlinkClick xmlns:r="http://schemas.openxmlformats.org/officeDocument/2006/relationships" r:id="rId20" tooltip="Water Heating / Food Services"/>
          <a:extLst>
            <a:ext uri="{FF2B5EF4-FFF2-40B4-BE49-F238E27FC236}">
              <a16:creationId xmlns:a16="http://schemas.microsoft.com/office/drawing/2014/main" id="{00000000-0008-0000-1200-00002B000000}"/>
            </a:ext>
          </a:extLst>
        </xdr:cNvPr>
        <xdr:cNvSpPr/>
      </xdr:nvSpPr>
      <xdr:spPr>
        <a:xfrm>
          <a:off x="976384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35856</xdr:colOff>
      <xdr:row>8</xdr:row>
      <xdr:rowOff>0</xdr:rowOff>
    </xdr:from>
    <xdr:to>
      <xdr:col>39</xdr:col>
      <xdr:colOff>35856</xdr:colOff>
      <xdr:row>11</xdr:row>
      <xdr:rowOff>33617</xdr:rowOff>
    </xdr:to>
    <xdr:sp macro="" textlink="">
      <xdr:nvSpPr>
        <xdr:cNvPr id="44" name="Rectangle 43">
          <a:hlinkClick xmlns:r="http://schemas.openxmlformats.org/officeDocument/2006/relationships" r:id="rId21" tooltip="Miscellaneous"/>
          <a:extLst>
            <a:ext uri="{FF2B5EF4-FFF2-40B4-BE49-F238E27FC236}">
              <a16:creationId xmlns:a16="http://schemas.microsoft.com/office/drawing/2014/main" id="{00000000-0008-0000-1200-00002C000000}"/>
            </a:ext>
          </a:extLst>
        </xdr:cNvPr>
        <xdr:cNvSpPr/>
      </xdr:nvSpPr>
      <xdr:spPr>
        <a:xfrm>
          <a:off x="1101762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45" name="Arrow: Chevron 44">
          <a:hlinkClick xmlns:r="http://schemas.openxmlformats.org/officeDocument/2006/relationships" r:id="rId22" tooltip="Building Information"/>
          <a:extLst>
            <a:ext uri="{FF2B5EF4-FFF2-40B4-BE49-F238E27FC236}">
              <a16:creationId xmlns:a16="http://schemas.microsoft.com/office/drawing/2014/main" id="{00000000-0008-0000-1200-00002D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67235</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714501" y="2700617"/>
          <a:ext cx="2151956" cy="190500"/>
          <a:chOff x="1390358" y="2723028"/>
          <a:chExt cx="2151956" cy="190500"/>
        </a:xfrm>
      </xdr:grpSpPr>
      <xdr:sp macro="" textlink="">
        <xdr:nvSpPr>
          <xdr:cNvPr id="48" name="Rectangle 47">
            <a:hlinkClick xmlns:r="http://schemas.openxmlformats.org/officeDocument/2006/relationships" r:id="rId23" tooltip="Standard"/>
            <a:extLst>
              <a:ext uri="{FF2B5EF4-FFF2-40B4-BE49-F238E27FC236}">
                <a16:creationId xmlns:a16="http://schemas.microsoft.com/office/drawing/2014/main" id="{00000000-0008-0000-1200-000030000000}"/>
              </a:ext>
            </a:extLst>
          </xdr:cNvPr>
          <xdr:cNvSpPr/>
        </xdr:nvSpPr>
        <xdr:spPr>
          <a:xfrm>
            <a:off x="1390358" y="2723028"/>
            <a:ext cx="1070651"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49" name="Rectangle 48">
            <a:hlinkClick xmlns:r="http://schemas.openxmlformats.org/officeDocument/2006/relationships" r:id="rId24" tooltip="Custom"/>
            <a:extLst>
              <a:ext uri="{FF2B5EF4-FFF2-40B4-BE49-F238E27FC236}">
                <a16:creationId xmlns:a16="http://schemas.microsoft.com/office/drawing/2014/main" id="{00000000-0008-0000-1200-000031000000}"/>
              </a:ext>
            </a:extLst>
          </xdr:cNvPr>
          <xdr:cNvSpPr/>
        </xdr:nvSpPr>
        <xdr:spPr>
          <a:xfrm>
            <a:off x="2472466" y="2723028"/>
            <a:ext cx="1069848" cy="190500"/>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182335</xdr:rowOff>
    </xdr:to>
    <xdr:pic>
      <xdr:nvPicPr>
        <xdr:cNvPr id="50" name="Picture 49">
          <a:extLst>
            <a:ext uri="{FF2B5EF4-FFF2-40B4-BE49-F238E27FC236}">
              <a16:creationId xmlns:a16="http://schemas.microsoft.com/office/drawing/2014/main" id="{00000000-0008-0000-1200-000032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212910</xdr:colOff>
      <xdr:row>8</xdr:row>
      <xdr:rowOff>100854</xdr:rowOff>
    </xdr:from>
    <xdr:to>
      <xdr:col>3</xdr:col>
      <xdr:colOff>112057</xdr:colOff>
      <xdr:row>10</xdr:row>
      <xdr:rowOff>108922</xdr:rowOff>
    </xdr:to>
    <xdr:sp macro="" textlink="">
      <xdr:nvSpPr>
        <xdr:cNvPr id="48" name="Arrow: Left 47">
          <a:hlinkClick xmlns:r="http://schemas.openxmlformats.org/officeDocument/2006/relationships" r:id="rId1" tooltip="Back: Lighting Controls"/>
          <a:extLst>
            <a:ext uri="{FF2B5EF4-FFF2-40B4-BE49-F238E27FC236}">
              <a16:creationId xmlns:a16="http://schemas.microsoft.com/office/drawing/2014/main" id="{00000000-0008-0000-1300-000030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49" name="Arrow: Right 48">
          <a:hlinkClick xmlns:r="http://schemas.openxmlformats.org/officeDocument/2006/relationships" r:id="rId2" tooltip="Forward: HVAC"/>
          <a:extLst>
            <a:ext uri="{FF2B5EF4-FFF2-40B4-BE49-F238E27FC236}">
              <a16:creationId xmlns:a16="http://schemas.microsoft.com/office/drawing/2014/main" id="{00000000-0008-0000-1300-000031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55" name="Straight Connector 54">
          <a:extLst>
            <a:ext uri="{FF2B5EF4-FFF2-40B4-BE49-F238E27FC236}">
              <a16:creationId xmlns:a16="http://schemas.microsoft.com/office/drawing/2014/main" id="{00000000-0008-0000-1300-000037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59" name="Straight Connector 58">
          <a:extLst>
            <a:ext uri="{FF2B5EF4-FFF2-40B4-BE49-F238E27FC236}">
              <a16:creationId xmlns:a16="http://schemas.microsoft.com/office/drawing/2014/main" id="{00000000-0008-0000-1300-00003B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60" name="Straight Connector 59">
          <a:extLst>
            <a:ext uri="{FF2B5EF4-FFF2-40B4-BE49-F238E27FC236}">
              <a16:creationId xmlns:a16="http://schemas.microsoft.com/office/drawing/2014/main" id="{00000000-0008-0000-1300-00003C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61" name="Straight Connector 60">
          <a:extLst>
            <a:ext uri="{FF2B5EF4-FFF2-40B4-BE49-F238E27FC236}">
              <a16:creationId xmlns:a16="http://schemas.microsoft.com/office/drawing/2014/main" id="{00000000-0008-0000-1300-00003D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62" name="Straight Connector 61">
          <a:extLst>
            <a:ext uri="{FF2B5EF4-FFF2-40B4-BE49-F238E27FC236}">
              <a16:creationId xmlns:a16="http://schemas.microsoft.com/office/drawing/2014/main" id="{00000000-0008-0000-1300-00003E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63" name="Straight Connector 62">
          <a:extLst>
            <a:ext uri="{FF2B5EF4-FFF2-40B4-BE49-F238E27FC236}">
              <a16:creationId xmlns:a16="http://schemas.microsoft.com/office/drawing/2014/main" id="{00000000-0008-0000-1300-00003F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64" name="Straight Connector 63">
          <a:extLst>
            <a:ext uri="{FF2B5EF4-FFF2-40B4-BE49-F238E27FC236}">
              <a16:creationId xmlns:a16="http://schemas.microsoft.com/office/drawing/2014/main" id="{00000000-0008-0000-1300-000040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65" name="Straight Connector 64">
          <a:extLst>
            <a:ext uri="{FF2B5EF4-FFF2-40B4-BE49-F238E27FC236}">
              <a16:creationId xmlns:a16="http://schemas.microsoft.com/office/drawing/2014/main" id="{00000000-0008-0000-1300-000041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66" name="Arrow: Chevron 65">
          <a:hlinkClick xmlns:r="http://schemas.openxmlformats.org/officeDocument/2006/relationships" r:id="rId3" tooltip="Terms &amp; Conditions"/>
          <a:extLst>
            <a:ext uri="{FF2B5EF4-FFF2-40B4-BE49-F238E27FC236}">
              <a16:creationId xmlns:a16="http://schemas.microsoft.com/office/drawing/2014/main" id="{00000000-0008-0000-1300-000042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67" name="Arrow: Chevron 66">
          <a:hlinkClick xmlns:r="http://schemas.openxmlformats.org/officeDocument/2006/relationships" r:id="rId4" tooltip="Trade Ally/Vendor Information"/>
          <a:extLst>
            <a:ext uri="{FF2B5EF4-FFF2-40B4-BE49-F238E27FC236}">
              <a16:creationId xmlns:a16="http://schemas.microsoft.com/office/drawing/2014/main" id="{00000000-0008-0000-1300-000043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68" name="Arrow: Chevron 67">
          <a:hlinkClick xmlns:r="http://schemas.openxmlformats.org/officeDocument/2006/relationships" r:id="rId5" tooltip="Customer Information"/>
          <a:extLst>
            <a:ext uri="{FF2B5EF4-FFF2-40B4-BE49-F238E27FC236}">
              <a16:creationId xmlns:a16="http://schemas.microsoft.com/office/drawing/2014/main" id="{00000000-0008-0000-1300-000044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70" name="Arrow: Chevron 69">
          <a:hlinkClick xmlns:r="http://schemas.openxmlformats.org/officeDocument/2006/relationships" r:id="rId6" tooltip="Equipment Input"/>
          <a:extLst>
            <a:ext uri="{FF2B5EF4-FFF2-40B4-BE49-F238E27FC236}">
              <a16:creationId xmlns:a16="http://schemas.microsoft.com/office/drawing/2014/main" id="{00000000-0008-0000-1300-000046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71" name="Arrow: Chevron 70">
          <a:hlinkClick xmlns:r="http://schemas.openxmlformats.org/officeDocument/2006/relationships" r:id="rId7" tooltip="Payment"/>
          <a:extLst>
            <a:ext uri="{FF2B5EF4-FFF2-40B4-BE49-F238E27FC236}">
              <a16:creationId xmlns:a16="http://schemas.microsoft.com/office/drawing/2014/main" id="{00000000-0008-0000-1300-000047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72" name="Arrow: Chevron 71">
          <a:hlinkClick xmlns:r="http://schemas.openxmlformats.org/officeDocument/2006/relationships" r:id="rId8" tooltip="Project Review"/>
          <a:extLst>
            <a:ext uri="{FF2B5EF4-FFF2-40B4-BE49-F238E27FC236}">
              <a16:creationId xmlns:a16="http://schemas.microsoft.com/office/drawing/2014/main" id="{00000000-0008-0000-1300-000048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3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3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9" name="Straight Connector 28">
          <a:extLst>
            <a:ext uri="{FF2B5EF4-FFF2-40B4-BE49-F238E27FC236}">
              <a16:creationId xmlns:a16="http://schemas.microsoft.com/office/drawing/2014/main" id="{00000000-0008-0000-1300-00001D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0" name="Rectangle 29">
          <a:hlinkClick xmlns:r="http://schemas.openxmlformats.org/officeDocument/2006/relationships" r:id="rId9" tooltip="Welcome"/>
          <a:extLst>
            <a:ext uri="{FF2B5EF4-FFF2-40B4-BE49-F238E27FC236}">
              <a16:creationId xmlns:a16="http://schemas.microsoft.com/office/drawing/2014/main" id="{00000000-0008-0000-1300-00001E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1" name="Rectangle 30">
          <a:hlinkClick xmlns:r="http://schemas.openxmlformats.org/officeDocument/2006/relationships" r:id="rId10" tooltip="Instructions"/>
          <a:extLst>
            <a:ext uri="{FF2B5EF4-FFF2-40B4-BE49-F238E27FC236}">
              <a16:creationId xmlns:a16="http://schemas.microsoft.com/office/drawing/2014/main" id="{00000000-0008-0000-1300-00001F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2" name="Rectangle 31">
          <a:hlinkClick xmlns:r="http://schemas.openxmlformats.org/officeDocument/2006/relationships" r:id="rId11" tooltip="Contact"/>
          <a:extLst>
            <a:ext uri="{FF2B5EF4-FFF2-40B4-BE49-F238E27FC236}">
              <a16:creationId xmlns:a16="http://schemas.microsoft.com/office/drawing/2014/main" id="{00000000-0008-0000-1300-000020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2" tooltip=" "/>
          <a:extLst>
            <a:ext uri="{FF2B5EF4-FFF2-40B4-BE49-F238E27FC236}">
              <a16:creationId xmlns:a16="http://schemas.microsoft.com/office/drawing/2014/main" id="{00000000-0008-0000-13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7" name="Rectangle 36">
          <a:hlinkClick xmlns:r="http://schemas.openxmlformats.org/officeDocument/2006/relationships" r:id="rId13" tooltip=" "/>
          <a:extLst>
            <a:ext uri="{FF2B5EF4-FFF2-40B4-BE49-F238E27FC236}">
              <a16:creationId xmlns:a16="http://schemas.microsoft.com/office/drawing/2014/main" id="{00000000-0008-0000-1300-000025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38" name="Rectangle 37">
          <a:hlinkClick xmlns:r="http://schemas.openxmlformats.org/officeDocument/2006/relationships" r:id="rId14" tooltip="Lighting"/>
          <a:extLst>
            <a:ext uri="{FF2B5EF4-FFF2-40B4-BE49-F238E27FC236}">
              <a16:creationId xmlns:a16="http://schemas.microsoft.com/office/drawing/2014/main" id="{00000000-0008-0000-1300-000026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39" name="Rectangle 38">
          <a:hlinkClick xmlns:r="http://schemas.openxmlformats.org/officeDocument/2006/relationships" r:id="rId15" tooltip="Lighting Controls"/>
          <a:extLst>
            <a:ext uri="{FF2B5EF4-FFF2-40B4-BE49-F238E27FC236}">
              <a16:creationId xmlns:a16="http://schemas.microsoft.com/office/drawing/2014/main" id="{00000000-0008-0000-1300-000027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41" name="Rectangle 40">
          <a:hlinkClick xmlns:r="http://schemas.openxmlformats.org/officeDocument/2006/relationships" r:id="rId16" tooltip="Refrigeration"/>
          <a:extLst>
            <a:ext uri="{FF2B5EF4-FFF2-40B4-BE49-F238E27FC236}">
              <a16:creationId xmlns:a16="http://schemas.microsoft.com/office/drawing/2014/main" id="{00000000-0008-0000-1300-000029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42" name="Rectangle 41">
          <a:hlinkClick xmlns:r="http://schemas.openxmlformats.org/officeDocument/2006/relationships" r:id="rId17" tooltip="HVAC"/>
          <a:extLst>
            <a:ext uri="{FF2B5EF4-FFF2-40B4-BE49-F238E27FC236}">
              <a16:creationId xmlns:a16="http://schemas.microsoft.com/office/drawing/2014/main" id="{00000000-0008-0000-1300-00002A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43" name="Rectangle 42">
          <a:hlinkClick xmlns:r="http://schemas.openxmlformats.org/officeDocument/2006/relationships" r:id="rId18" tooltip="Motors and Drives"/>
          <a:extLst>
            <a:ext uri="{FF2B5EF4-FFF2-40B4-BE49-F238E27FC236}">
              <a16:creationId xmlns:a16="http://schemas.microsoft.com/office/drawing/2014/main" id="{00000000-0008-0000-1300-00002B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44" name="Rectangle 43">
          <a:hlinkClick xmlns:r="http://schemas.openxmlformats.org/officeDocument/2006/relationships" r:id="rId19" tooltip="Compressed Air / Process"/>
          <a:extLst>
            <a:ext uri="{FF2B5EF4-FFF2-40B4-BE49-F238E27FC236}">
              <a16:creationId xmlns:a16="http://schemas.microsoft.com/office/drawing/2014/main" id="{00000000-0008-0000-1300-00002C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45" name="Rectangle 44">
          <a:hlinkClick xmlns:r="http://schemas.openxmlformats.org/officeDocument/2006/relationships" r:id="rId20" tooltip="Water Heating / Food Services"/>
          <a:extLst>
            <a:ext uri="{FF2B5EF4-FFF2-40B4-BE49-F238E27FC236}">
              <a16:creationId xmlns:a16="http://schemas.microsoft.com/office/drawing/2014/main" id="{00000000-0008-0000-1300-00002D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46" name="Rectangle 45">
          <a:hlinkClick xmlns:r="http://schemas.openxmlformats.org/officeDocument/2006/relationships" r:id="rId21" tooltip="Miscellaneous"/>
          <a:extLst>
            <a:ext uri="{FF2B5EF4-FFF2-40B4-BE49-F238E27FC236}">
              <a16:creationId xmlns:a16="http://schemas.microsoft.com/office/drawing/2014/main" id="{00000000-0008-0000-1300-00002E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47" name="Arrow: Chevron 46">
          <a:hlinkClick xmlns:r="http://schemas.openxmlformats.org/officeDocument/2006/relationships" r:id="rId22" tooltip="Building Information"/>
          <a:extLst>
            <a:ext uri="{FF2B5EF4-FFF2-40B4-BE49-F238E27FC236}">
              <a16:creationId xmlns:a16="http://schemas.microsoft.com/office/drawing/2014/main" id="{00000000-0008-0000-1300-00002F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67235</xdr:rowOff>
    </xdr:to>
    <xdr:grpSp>
      <xdr:nvGrpSpPr>
        <xdr:cNvPr id="50" name="Group 49">
          <a:extLst>
            <a:ext uri="{FF2B5EF4-FFF2-40B4-BE49-F238E27FC236}">
              <a16:creationId xmlns:a16="http://schemas.microsoft.com/office/drawing/2014/main" id="{00000000-0008-0000-1300-000032000000}"/>
            </a:ext>
          </a:extLst>
        </xdr:cNvPr>
        <xdr:cNvGrpSpPr/>
      </xdr:nvGrpSpPr>
      <xdr:grpSpPr>
        <a:xfrm>
          <a:off x="1714501" y="2700617"/>
          <a:ext cx="2151956" cy="190500"/>
          <a:chOff x="1390358" y="2723028"/>
          <a:chExt cx="2151956" cy="190500"/>
        </a:xfrm>
      </xdr:grpSpPr>
      <xdr:sp macro="" textlink="">
        <xdr:nvSpPr>
          <xdr:cNvPr id="51" name="Rectangle 50">
            <a:hlinkClick xmlns:r="http://schemas.openxmlformats.org/officeDocument/2006/relationships" r:id="rId23" tooltip="Standard"/>
            <a:extLst>
              <a:ext uri="{FF2B5EF4-FFF2-40B4-BE49-F238E27FC236}">
                <a16:creationId xmlns:a16="http://schemas.microsoft.com/office/drawing/2014/main" id="{00000000-0008-0000-1300-000033000000}"/>
              </a:ext>
            </a:extLst>
          </xdr:cNvPr>
          <xdr:cNvSpPr/>
        </xdr:nvSpPr>
        <xdr:spPr>
          <a:xfrm>
            <a:off x="1390358" y="2723028"/>
            <a:ext cx="1070651"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52" name="Rectangle 51">
            <a:hlinkClick xmlns:r="http://schemas.openxmlformats.org/officeDocument/2006/relationships" r:id="rId24" tooltip="Custom"/>
            <a:extLst>
              <a:ext uri="{FF2B5EF4-FFF2-40B4-BE49-F238E27FC236}">
                <a16:creationId xmlns:a16="http://schemas.microsoft.com/office/drawing/2014/main" id="{00000000-0008-0000-1300-000034000000}"/>
              </a:ext>
            </a:extLst>
          </xdr:cNvPr>
          <xdr:cNvSpPr/>
        </xdr:nvSpPr>
        <xdr:spPr>
          <a:xfrm>
            <a:off x="2472466" y="2723028"/>
            <a:ext cx="1069848" cy="190500"/>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178525</xdr:rowOff>
    </xdr:to>
    <xdr:pic>
      <xdr:nvPicPr>
        <xdr:cNvPr id="53" name="Picture 52">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212910</xdr:colOff>
      <xdr:row>8</xdr:row>
      <xdr:rowOff>100854</xdr:rowOff>
    </xdr:from>
    <xdr:to>
      <xdr:col>3</xdr:col>
      <xdr:colOff>112057</xdr:colOff>
      <xdr:row>10</xdr:row>
      <xdr:rowOff>108922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400-00002B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400-00002C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55" name="Straight Connector 54">
          <a:extLst>
            <a:ext uri="{FF2B5EF4-FFF2-40B4-BE49-F238E27FC236}">
              <a16:creationId xmlns:a16="http://schemas.microsoft.com/office/drawing/2014/main" id="{00000000-0008-0000-1400-000037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59" name="Straight Connector 58">
          <a:extLst>
            <a:ext uri="{FF2B5EF4-FFF2-40B4-BE49-F238E27FC236}">
              <a16:creationId xmlns:a16="http://schemas.microsoft.com/office/drawing/2014/main" id="{00000000-0008-0000-1400-00003B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60" name="Straight Connector 59">
          <a:extLst>
            <a:ext uri="{FF2B5EF4-FFF2-40B4-BE49-F238E27FC236}">
              <a16:creationId xmlns:a16="http://schemas.microsoft.com/office/drawing/2014/main" id="{00000000-0008-0000-1400-00003C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61" name="Straight Connector 60">
          <a:extLst>
            <a:ext uri="{FF2B5EF4-FFF2-40B4-BE49-F238E27FC236}">
              <a16:creationId xmlns:a16="http://schemas.microsoft.com/office/drawing/2014/main" id="{00000000-0008-0000-1400-00003D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62" name="Straight Connector 61">
          <a:extLst>
            <a:ext uri="{FF2B5EF4-FFF2-40B4-BE49-F238E27FC236}">
              <a16:creationId xmlns:a16="http://schemas.microsoft.com/office/drawing/2014/main" id="{00000000-0008-0000-1400-00003E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63" name="Straight Connector 62">
          <a:extLst>
            <a:ext uri="{FF2B5EF4-FFF2-40B4-BE49-F238E27FC236}">
              <a16:creationId xmlns:a16="http://schemas.microsoft.com/office/drawing/2014/main" id="{00000000-0008-0000-1400-00003F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64" name="Straight Connector 63">
          <a:extLst>
            <a:ext uri="{FF2B5EF4-FFF2-40B4-BE49-F238E27FC236}">
              <a16:creationId xmlns:a16="http://schemas.microsoft.com/office/drawing/2014/main" id="{00000000-0008-0000-1400-000040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65" name="Straight Connector 64">
          <a:extLst>
            <a:ext uri="{FF2B5EF4-FFF2-40B4-BE49-F238E27FC236}">
              <a16:creationId xmlns:a16="http://schemas.microsoft.com/office/drawing/2014/main" id="{00000000-0008-0000-1400-000041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66" name="Arrow: Chevron 65">
          <a:hlinkClick xmlns:r="http://schemas.openxmlformats.org/officeDocument/2006/relationships" r:id="rId3" tooltip="Terms &amp; Conditions"/>
          <a:extLst>
            <a:ext uri="{FF2B5EF4-FFF2-40B4-BE49-F238E27FC236}">
              <a16:creationId xmlns:a16="http://schemas.microsoft.com/office/drawing/2014/main" id="{00000000-0008-0000-1400-000042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67" name="Arrow: Chevron 66">
          <a:hlinkClick xmlns:r="http://schemas.openxmlformats.org/officeDocument/2006/relationships" r:id="rId4" tooltip="Trade Ally/Vendor Information"/>
          <a:extLst>
            <a:ext uri="{FF2B5EF4-FFF2-40B4-BE49-F238E27FC236}">
              <a16:creationId xmlns:a16="http://schemas.microsoft.com/office/drawing/2014/main" id="{00000000-0008-0000-1400-000043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68" name="Arrow: Chevron 67">
          <a:hlinkClick xmlns:r="http://schemas.openxmlformats.org/officeDocument/2006/relationships" r:id="rId5" tooltip="Customer Information"/>
          <a:extLst>
            <a:ext uri="{FF2B5EF4-FFF2-40B4-BE49-F238E27FC236}">
              <a16:creationId xmlns:a16="http://schemas.microsoft.com/office/drawing/2014/main" id="{00000000-0008-0000-1400-000044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70" name="Arrow: Chevron 69">
          <a:hlinkClick xmlns:r="http://schemas.openxmlformats.org/officeDocument/2006/relationships" r:id="rId6" tooltip="Equipment Input"/>
          <a:extLst>
            <a:ext uri="{FF2B5EF4-FFF2-40B4-BE49-F238E27FC236}">
              <a16:creationId xmlns:a16="http://schemas.microsoft.com/office/drawing/2014/main" id="{00000000-0008-0000-1400-000046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71" name="Arrow: Chevron 70">
          <a:hlinkClick xmlns:r="http://schemas.openxmlformats.org/officeDocument/2006/relationships" r:id="rId7" tooltip="Payment"/>
          <a:extLst>
            <a:ext uri="{FF2B5EF4-FFF2-40B4-BE49-F238E27FC236}">
              <a16:creationId xmlns:a16="http://schemas.microsoft.com/office/drawing/2014/main" id="{00000000-0008-0000-1400-000047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72" name="Arrow: Chevron 71">
          <a:hlinkClick xmlns:r="http://schemas.openxmlformats.org/officeDocument/2006/relationships" r:id="rId8" tooltip="Project Review"/>
          <a:extLst>
            <a:ext uri="{FF2B5EF4-FFF2-40B4-BE49-F238E27FC236}">
              <a16:creationId xmlns:a16="http://schemas.microsoft.com/office/drawing/2014/main" id="{00000000-0008-0000-1400-000048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4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4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9" name="Straight Connector 28">
          <a:extLst>
            <a:ext uri="{FF2B5EF4-FFF2-40B4-BE49-F238E27FC236}">
              <a16:creationId xmlns:a16="http://schemas.microsoft.com/office/drawing/2014/main" id="{00000000-0008-0000-1400-00001D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0" name="Rectangle 29">
          <a:hlinkClick xmlns:r="http://schemas.openxmlformats.org/officeDocument/2006/relationships" r:id="rId9" tooltip="Welcome"/>
          <a:extLst>
            <a:ext uri="{FF2B5EF4-FFF2-40B4-BE49-F238E27FC236}">
              <a16:creationId xmlns:a16="http://schemas.microsoft.com/office/drawing/2014/main" id="{00000000-0008-0000-1400-00001E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1" name="Rectangle 30">
          <a:hlinkClick xmlns:r="http://schemas.openxmlformats.org/officeDocument/2006/relationships" r:id="rId10" tooltip="Instructions"/>
          <a:extLst>
            <a:ext uri="{FF2B5EF4-FFF2-40B4-BE49-F238E27FC236}">
              <a16:creationId xmlns:a16="http://schemas.microsoft.com/office/drawing/2014/main" id="{00000000-0008-0000-1400-00001F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2" name="Rectangle 31">
          <a:hlinkClick xmlns:r="http://schemas.openxmlformats.org/officeDocument/2006/relationships" r:id="rId11" tooltip="Contact"/>
          <a:extLst>
            <a:ext uri="{FF2B5EF4-FFF2-40B4-BE49-F238E27FC236}">
              <a16:creationId xmlns:a16="http://schemas.microsoft.com/office/drawing/2014/main" id="{00000000-0008-0000-1400-000020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2" tooltip=" "/>
          <a:extLst>
            <a:ext uri="{FF2B5EF4-FFF2-40B4-BE49-F238E27FC236}">
              <a16:creationId xmlns:a16="http://schemas.microsoft.com/office/drawing/2014/main" id="{00000000-0008-0000-14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1400-000022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36" name="Rectangle 35">
          <a:hlinkClick xmlns:r="http://schemas.openxmlformats.org/officeDocument/2006/relationships" r:id="rId14" tooltip="Lighting"/>
          <a:extLst>
            <a:ext uri="{FF2B5EF4-FFF2-40B4-BE49-F238E27FC236}">
              <a16:creationId xmlns:a16="http://schemas.microsoft.com/office/drawing/2014/main" id="{00000000-0008-0000-1400-000024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37" name="Rectangle 36">
          <a:hlinkClick xmlns:r="http://schemas.openxmlformats.org/officeDocument/2006/relationships" r:id="rId15" tooltip="Lighting Controls"/>
          <a:extLst>
            <a:ext uri="{FF2B5EF4-FFF2-40B4-BE49-F238E27FC236}">
              <a16:creationId xmlns:a16="http://schemas.microsoft.com/office/drawing/2014/main" id="{00000000-0008-0000-1400-000025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38" name="Rectangle 37">
          <a:hlinkClick xmlns:r="http://schemas.openxmlformats.org/officeDocument/2006/relationships" r:id="rId16" tooltip="Refrigeration"/>
          <a:extLst>
            <a:ext uri="{FF2B5EF4-FFF2-40B4-BE49-F238E27FC236}">
              <a16:creationId xmlns:a16="http://schemas.microsoft.com/office/drawing/2014/main" id="{00000000-0008-0000-1400-000026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39" name="Rectangle 38">
          <a:hlinkClick xmlns:r="http://schemas.openxmlformats.org/officeDocument/2006/relationships" r:id="rId17" tooltip="HVAC"/>
          <a:extLst>
            <a:ext uri="{FF2B5EF4-FFF2-40B4-BE49-F238E27FC236}">
              <a16:creationId xmlns:a16="http://schemas.microsoft.com/office/drawing/2014/main" id="{00000000-0008-0000-1400-000027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40" name="Rectangle 39">
          <a:hlinkClick xmlns:r="http://schemas.openxmlformats.org/officeDocument/2006/relationships" r:id="rId18" tooltip="Motors and Drives"/>
          <a:extLst>
            <a:ext uri="{FF2B5EF4-FFF2-40B4-BE49-F238E27FC236}">
              <a16:creationId xmlns:a16="http://schemas.microsoft.com/office/drawing/2014/main" id="{00000000-0008-0000-1400-000028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41" name="Rectangle 40">
          <a:hlinkClick xmlns:r="http://schemas.openxmlformats.org/officeDocument/2006/relationships" r:id="rId19" tooltip="Compressed Air / Process"/>
          <a:extLst>
            <a:ext uri="{FF2B5EF4-FFF2-40B4-BE49-F238E27FC236}">
              <a16:creationId xmlns:a16="http://schemas.microsoft.com/office/drawing/2014/main" id="{00000000-0008-0000-1400-000029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42" name="Rectangle 41">
          <a:hlinkClick xmlns:r="http://schemas.openxmlformats.org/officeDocument/2006/relationships" r:id="rId20" tooltip="Water Heating / Food Services"/>
          <a:extLst>
            <a:ext uri="{FF2B5EF4-FFF2-40B4-BE49-F238E27FC236}">
              <a16:creationId xmlns:a16="http://schemas.microsoft.com/office/drawing/2014/main" id="{00000000-0008-0000-1400-00002A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45" name="Rectangle 44">
          <a:hlinkClick xmlns:r="http://schemas.openxmlformats.org/officeDocument/2006/relationships" r:id="rId21" tooltip="Miscellaneous"/>
          <a:extLst>
            <a:ext uri="{FF2B5EF4-FFF2-40B4-BE49-F238E27FC236}">
              <a16:creationId xmlns:a16="http://schemas.microsoft.com/office/drawing/2014/main" id="{00000000-0008-0000-1400-00002D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46" name="Arrow: Chevron 45">
          <a:hlinkClick xmlns:r="http://schemas.openxmlformats.org/officeDocument/2006/relationships" r:id="rId22" tooltip="Building Information"/>
          <a:extLst>
            <a:ext uri="{FF2B5EF4-FFF2-40B4-BE49-F238E27FC236}">
              <a16:creationId xmlns:a16="http://schemas.microsoft.com/office/drawing/2014/main" id="{00000000-0008-0000-1400-00002E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67235</xdr:rowOff>
    </xdr:to>
    <xdr:grpSp>
      <xdr:nvGrpSpPr>
        <xdr:cNvPr id="48" name="Group 47">
          <a:extLst>
            <a:ext uri="{FF2B5EF4-FFF2-40B4-BE49-F238E27FC236}">
              <a16:creationId xmlns:a16="http://schemas.microsoft.com/office/drawing/2014/main" id="{00000000-0008-0000-1400-000030000000}"/>
            </a:ext>
          </a:extLst>
        </xdr:cNvPr>
        <xdr:cNvGrpSpPr/>
      </xdr:nvGrpSpPr>
      <xdr:grpSpPr>
        <a:xfrm>
          <a:off x="1714501" y="2700617"/>
          <a:ext cx="2151956" cy="190500"/>
          <a:chOff x="1390358" y="2723028"/>
          <a:chExt cx="2151956" cy="190500"/>
        </a:xfrm>
      </xdr:grpSpPr>
      <xdr:sp macro="" textlink="">
        <xdr:nvSpPr>
          <xdr:cNvPr id="49" name="Rectangle 48">
            <a:hlinkClick xmlns:r="http://schemas.openxmlformats.org/officeDocument/2006/relationships" r:id="rId23" tooltip="Standard"/>
            <a:extLst>
              <a:ext uri="{FF2B5EF4-FFF2-40B4-BE49-F238E27FC236}">
                <a16:creationId xmlns:a16="http://schemas.microsoft.com/office/drawing/2014/main" id="{00000000-0008-0000-1400-000031000000}"/>
              </a:ext>
            </a:extLst>
          </xdr:cNvPr>
          <xdr:cNvSpPr/>
        </xdr:nvSpPr>
        <xdr:spPr>
          <a:xfrm>
            <a:off x="1390358" y="2723028"/>
            <a:ext cx="1070651"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50" name="Rectangle 49">
            <a:hlinkClick xmlns:r="http://schemas.openxmlformats.org/officeDocument/2006/relationships" r:id="rId24" tooltip="Custom"/>
            <a:extLst>
              <a:ext uri="{FF2B5EF4-FFF2-40B4-BE49-F238E27FC236}">
                <a16:creationId xmlns:a16="http://schemas.microsoft.com/office/drawing/2014/main" id="{00000000-0008-0000-1400-000032000000}"/>
              </a:ext>
            </a:extLst>
          </xdr:cNvPr>
          <xdr:cNvSpPr/>
        </xdr:nvSpPr>
        <xdr:spPr>
          <a:xfrm>
            <a:off x="2472466" y="2723028"/>
            <a:ext cx="1069848" cy="190500"/>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250993</xdr:colOff>
      <xdr:row>2</xdr:row>
      <xdr:rowOff>174715</xdr:rowOff>
    </xdr:to>
    <xdr:pic>
      <xdr:nvPicPr>
        <xdr:cNvPr id="51" name="Picture 50">
          <a:extLst>
            <a:ext uri="{FF2B5EF4-FFF2-40B4-BE49-F238E27FC236}">
              <a16:creationId xmlns:a16="http://schemas.microsoft.com/office/drawing/2014/main" id="{00000000-0008-0000-1400-00003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212910</xdr:colOff>
      <xdr:row>8</xdr:row>
      <xdr:rowOff>100854</xdr:rowOff>
    </xdr:from>
    <xdr:to>
      <xdr:col>3</xdr:col>
      <xdr:colOff>112057</xdr:colOff>
      <xdr:row>10</xdr:row>
      <xdr:rowOff>108922</xdr:rowOff>
    </xdr:to>
    <xdr:sp macro="" textlink="">
      <xdr:nvSpPr>
        <xdr:cNvPr id="2" name="Arrow: Left 1">
          <a:hlinkClick xmlns:r="http://schemas.openxmlformats.org/officeDocument/2006/relationships" r:id="rId1" tooltip="Back: HVAC"/>
          <a:extLst>
            <a:ext uri="{FF2B5EF4-FFF2-40B4-BE49-F238E27FC236}">
              <a16:creationId xmlns:a16="http://schemas.microsoft.com/office/drawing/2014/main" id="{00000000-0008-0000-1500-000002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3" name="Arrow: Right 2">
          <a:hlinkClick xmlns:r="http://schemas.openxmlformats.org/officeDocument/2006/relationships" r:id="rId2" tooltip="Forward: Compressed Air / Process"/>
          <a:extLst>
            <a:ext uri="{FF2B5EF4-FFF2-40B4-BE49-F238E27FC236}">
              <a16:creationId xmlns:a16="http://schemas.microsoft.com/office/drawing/2014/main" id="{00000000-0008-0000-1500-000003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9" name="Straight Connector 8">
          <a:extLst>
            <a:ext uri="{FF2B5EF4-FFF2-40B4-BE49-F238E27FC236}">
              <a16:creationId xmlns:a16="http://schemas.microsoft.com/office/drawing/2014/main" id="{00000000-0008-0000-1500-000009000000}"/>
            </a:ext>
          </a:extLst>
        </xdr:cNvPr>
        <xdr:cNvCxnSpPr/>
      </xdr:nvCxnSpPr>
      <xdr:spPr>
        <a:xfrm>
          <a:off x="15335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13" name="Straight Connector 12">
          <a:extLst>
            <a:ext uri="{FF2B5EF4-FFF2-40B4-BE49-F238E27FC236}">
              <a16:creationId xmlns:a16="http://schemas.microsoft.com/office/drawing/2014/main" id="{00000000-0008-0000-1500-00000D000000}"/>
            </a:ext>
          </a:extLst>
        </xdr:cNvPr>
        <xdr:cNvCxnSpPr/>
      </xdr:nvCxnSpPr>
      <xdr:spPr>
        <a:xfrm>
          <a:off x="3436284" y="160020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14" name="Straight Connector 13">
          <a:extLst>
            <a:ext uri="{FF2B5EF4-FFF2-40B4-BE49-F238E27FC236}">
              <a16:creationId xmlns:a16="http://schemas.microsoft.com/office/drawing/2014/main" id="{00000000-0008-0000-1500-00000E000000}"/>
            </a:ext>
          </a:extLst>
        </xdr:cNvPr>
        <xdr:cNvCxnSpPr/>
      </xdr:nvCxnSpPr>
      <xdr:spPr>
        <a:xfrm>
          <a:off x="4714875" y="160020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15" name="Straight Connector 14">
          <a:extLst>
            <a:ext uri="{FF2B5EF4-FFF2-40B4-BE49-F238E27FC236}">
              <a16:creationId xmlns:a16="http://schemas.microsoft.com/office/drawing/2014/main" id="{00000000-0008-0000-1500-00000F000000}"/>
            </a:ext>
          </a:extLst>
        </xdr:cNvPr>
        <xdr:cNvCxnSpPr/>
      </xdr:nvCxnSpPr>
      <xdr:spPr>
        <a:xfrm>
          <a:off x="5972175" y="160020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16" name="Straight Connector 15">
          <a:extLst>
            <a:ext uri="{FF2B5EF4-FFF2-40B4-BE49-F238E27FC236}">
              <a16:creationId xmlns:a16="http://schemas.microsoft.com/office/drawing/2014/main" id="{00000000-0008-0000-1500-000010000000}"/>
            </a:ext>
          </a:extLst>
        </xdr:cNvPr>
        <xdr:cNvCxnSpPr/>
      </xdr:nvCxnSpPr>
      <xdr:spPr>
        <a:xfrm>
          <a:off x="7229475" y="160020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17" name="Straight Connector 16">
          <a:extLst>
            <a:ext uri="{FF2B5EF4-FFF2-40B4-BE49-F238E27FC236}">
              <a16:creationId xmlns:a16="http://schemas.microsoft.com/office/drawing/2014/main" id="{00000000-0008-0000-1500-000011000000}"/>
            </a:ext>
          </a:extLst>
        </xdr:cNvPr>
        <xdr:cNvCxnSpPr/>
      </xdr:nvCxnSpPr>
      <xdr:spPr>
        <a:xfrm>
          <a:off x="9742979" y="1609613"/>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18" name="Straight Connector 17">
          <a:extLst>
            <a:ext uri="{FF2B5EF4-FFF2-40B4-BE49-F238E27FC236}">
              <a16:creationId xmlns:a16="http://schemas.microsoft.com/office/drawing/2014/main" id="{00000000-0008-0000-1500-000012000000}"/>
            </a:ext>
          </a:extLst>
        </xdr:cNvPr>
        <xdr:cNvCxnSpPr/>
      </xdr:nvCxnSpPr>
      <xdr:spPr>
        <a:xfrm>
          <a:off x="8497981" y="1590675"/>
          <a:ext cx="0" cy="49787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19" name="Straight Connector 18">
          <a:extLst>
            <a:ext uri="{FF2B5EF4-FFF2-40B4-BE49-F238E27FC236}">
              <a16:creationId xmlns:a16="http://schemas.microsoft.com/office/drawing/2014/main" id="{00000000-0008-0000-1500-000013000000}"/>
            </a:ext>
          </a:extLst>
        </xdr:cNvPr>
        <xdr:cNvCxnSpPr/>
      </xdr:nvCxnSpPr>
      <xdr:spPr>
        <a:xfrm>
          <a:off x="11001375" y="160020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20" name="Arrow: Chevron 19">
          <a:hlinkClick xmlns:r="http://schemas.openxmlformats.org/officeDocument/2006/relationships" r:id="rId3" tooltip="Terms &amp; Conditions"/>
          <a:extLst>
            <a:ext uri="{FF2B5EF4-FFF2-40B4-BE49-F238E27FC236}">
              <a16:creationId xmlns:a16="http://schemas.microsoft.com/office/drawing/2014/main" id="{00000000-0008-0000-1500-000014000000}"/>
            </a:ext>
          </a:extLst>
        </xdr:cNvPr>
        <xdr:cNvSpPr/>
      </xdr:nvSpPr>
      <xdr:spPr>
        <a:xfrm>
          <a:off x="1562100" y="661800"/>
          <a:ext cx="1835972"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21" name="Arrow: Chevron 20">
          <a:hlinkClick xmlns:r="http://schemas.openxmlformats.org/officeDocument/2006/relationships" r:id="rId4" tooltip="Trade Ally/Vendor Information"/>
          <a:extLst>
            <a:ext uri="{FF2B5EF4-FFF2-40B4-BE49-F238E27FC236}">
              <a16:creationId xmlns:a16="http://schemas.microsoft.com/office/drawing/2014/main" id="{00000000-0008-0000-1500-000015000000}"/>
            </a:ext>
          </a:extLst>
        </xdr:cNvPr>
        <xdr:cNvSpPr/>
      </xdr:nvSpPr>
      <xdr:spPr>
        <a:xfrm>
          <a:off x="3150316" y="668468"/>
          <a:ext cx="1841126"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22" name="Arrow: Chevron 21">
          <a:hlinkClick xmlns:r="http://schemas.openxmlformats.org/officeDocument/2006/relationships" r:id="rId5" tooltip="Customer Information"/>
          <a:extLst>
            <a:ext uri="{FF2B5EF4-FFF2-40B4-BE49-F238E27FC236}">
              <a16:creationId xmlns:a16="http://schemas.microsoft.com/office/drawing/2014/main" id="{00000000-0008-0000-1500-000016000000}"/>
            </a:ext>
          </a:extLst>
        </xdr:cNvPr>
        <xdr:cNvSpPr/>
      </xdr:nvSpPr>
      <xdr:spPr>
        <a:xfrm>
          <a:off x="4741781" y="665610"/>
          <a:ext cx="1835412"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24" name="Arrow: Chevron 23">
          <a:hlinkClick xmlns:r="http://schemas.openxmlformats.org/officeDocument/2006/relationships" r:id="rId6" tooltip="Equipment Input"/>
          <a:extLst>
            <a:ext uri="{FF2B5EF4-FFF2-40B4-BE49-F238E27FC236}">
              <a16:creationId xmlns:a16="http://schemas.microsoft.com/office/drawing/2014/main" id="{00000000-0008-0000-1500-000018000000}"/>
            </a:ext>
          </a:extLst>
        </xdr:cNvPr>
        <xdr:cNvSpPr/>
      </xdr:nvSpPr>
      <xdr:spPr>
        <a:xfrm>
          <a:off x="7911377" y="665610"/>
          <a:ext cx="1831602" cy="83797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25" name="Arrow: Chevron 24">
          <a:hlinkClick xmlns:r="http://schemas.openxmlformats.org/officeDocument/2006/relationships" r:id="rId7" tooltip="Payment"/>
          <a:extLst>
            <a:ext uri="{FF2B5EF4-FFF2-40B4-BE49-F238E27FC236}">
              <a16:creationId xmlns:a16="http://schemas.microsoft.com/office/drawing/2014/main" id="{00000000-0008-0000-1500-000019000000}"/>
            </a:ext>
          </a:extLst>
        </xdr:cNvPr>
        <xdr:cNvSpPr/>
      </xdr:nvSpPr>
      <xdr:spPr>
        <a:xfrm>
          <a:off x="9493318" y="668468"/>
          <a:ext cx="1820171"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26" name="Arrow: Chevron 25">
          <a:hlinkClick xmlns:r="http://schemas.openxmlformats.org/officeDocument/2006/relationships" r:id="rId8" tooltip="Project Review"/>
          <a:extLst>
            <a:ext uri="{FF2B5EF4-FFF2-40B4-BE49-F238E27FC236}">
              <a16:creationId xmlns:a16="http://schemas.microsoft.com/office/drawing/2014/main" id="{00000000-0008-0000-1500-00001A000000}"/>
            </a:ext>
          </a:extLst>
        </xdr:cNvPr>
        <xdr:cNvSpPr/>
      </xdr:nvSpPr>
      <xdr:spPr>
        <a:xfrm>
          <a:off x="11060019" y="660848"/>
          <a:ext cx="1822077" cy="83988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8" name="Straight Connector 27">
          <a:extLst>
            <a:ext uri="{FF2B5EF4-FFF2-40B4-BE49-F238E27FC236}">
              <a16:creationId xmlns:a16="http://schemas.microsoft.com/office/drawing/2014/main" id="{00000000-0008-0000-1500-00001C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9" name="Straight Connector 28">
          <a:extLst>
            <a:ext uri="{FF2B5EF4-FFF2-40B4-BE49-F238E27FC236}">
              <a16:creationId xmlns:a16="http://schemas.microsoft.com/office/drawing/2014/main" id="{00000000-0008-0000-1500-00001D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0" name="Straight Connector 29">
          <a:extLst>
            <a:ext uri="{FF2B5EF4-FFF2-40B4-BE49-F238E27FC236}">
              <a16:creationId xmlns:a16="http://schemas.microsoft.com/office/drawing/2014/main" id="{00000000-0008-0000-1500-00001E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1" name="Rectangle 30">
          <a:hlinkClick xmlns:r="http://schemas.openxmlformats.org/officeDocument/2006/relationships" r:id="rId9" tooltip="Welcome"/>
          <a:extLst>
            <a:ext uri="{FF2B5EF4-FFF2-40B4-BE49-F238E27FC236}">
              <a16:creationId xmlns:a16="http://schemas.microsoft.com/office/drawing/2014/main" id="{00000000-0008-0000-1500-00001F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2" name="Rectangle 31">
          <a:hlinkClick xmlns:r="http://schemas.openxmlformats.org/officeDocument/2006/relationships" r:id="rId10" tooltip="Instructions"/>
          <a:extLst>
            <a:ext uri="{FF2B5EF4-FFF2-40B4-BE49-F238E27FC236}">
              <a16:creationId xmlns:a16="http://schemas.microsoft.com/office/drawing/2014/main" id="{00000000-0008-0000-1500-000020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3" name="Rectangle 32">
          <a:hlinkClick xmlns:r="http://schemas.openxmlformats.org/officeDocument/2006/relationships" r:id="rId11" tooltip="Contact"/>
          <a:extLst>
            <a:ext uri="{FF2B5EF4-FFF2-40B4-BE49-F238E27FC236}">
              <a16:creationId xmlns:a16="http://schemas.microsoft.com/office/drawing/2014/main" id="{00000000-0008-0000-1500-000021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4" name="Rectangle 33">
          <a:hlinkClick xmlns:r="http://schemas.openxmlformats.org/officeDocument/2006/relationships" r:id="rId12" tooltip=" "/>
          <a:extLst>
            <a:ext uri="{FF2B5EF4-FFF2-40B4-BE49-F238E27FC236}">
              <a16:creationId xmlns:a16="http://schemas.microsoft.com/office/drawing/2014/main" id="{00000000-0008-0000-1500-000022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5" name="Rectangle 34">
          <a:hlinkClick xmlns:r="http://schemas.openxmlformats.org/officeDocument/2006/relationships" r:id="rId13" tooltip=" "/>
          <a:extLst>
            <a:ext uri="{FF2B5EF4-FFF2-40B4-BE49-F238E27FC236}">
              <a16:creationId xmlns:a16="http://schemas.microsoft.com/office/drawing/2014/main" id="{00000000-0008-0000-1500-000023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36" name="Rectangle 35">
          <a:hlinkClick xmlns:r="http://schemas.openxmlformats.org/officeDocument/2006/relationships" r:id="rId14" tooltip="Lighting"/>
          <a:extLst>
            <a:ext uri="{FF2B5EF4-FFF2-40B4-BE49-F238E27FC236}">
              <a16:creationId xmlns:a16="http://schemas.microsoft.com/office/drawing/2014/main" id="{00000000-0008-0000-1500-000024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37" name="Rectangle 36">
          <a:hlinkClick xmlns:r="http://schemas.openxmlformats.org/officeDocument/2006/relationships" r:id="rId15" tooltip="Lighting Controls"/>
          <a:extLst>
            <a:ext uri="{FF2B5EF4-FFF2-40B4-BE49-F238E27FC236}">
              <a16:creationId xmlns:a16="http://schemas.microsoft.com/office/drawing/2014/main" id="{00000000-0008-0000-1500-000025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38" name="Rectangle 37">
          <a:hlinkClick xmlns:r="http://schemas.openxmlformats.org/officeDocument/2006/relationships" r:id="rId16" tooltip="Refrigeration"/>
          <a:extLst>
            <a:ext uri="{FF2B5EF4-FFF2-40B4-BE49-F238E27FC236}">
              <a16:creationId xmlns:a16="http://schemas.microsoft.com/office/drawing/2014/main" id="{00000000-0008-0000-1500-000026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39" name="Rectangle 38">
          <a:hlinkClick xmlns:r="http://schemas.openxmlformats.org/officeDocument/2006/relationships" r:id="rId17" tooltip="HVAC"/>
          <a:extLst>
            <a:ext uri="{FF2B5EF4-FFF2-40B4-BE49-F238E27FC236}">
              <a16:creationId xmlns:a16="http://schemas.microsoft.com/office/drawing/2014/main" id="{00000000-0008-0000-1500-000027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40" name="Rectangle 39">
          <a:hlinkClick xmlns:r="http://schemas.openxmlformats.org/officeDocument/2006/relationships" r:id="rId18" tooltip="Motors and Drives"/>
          <a:extLst>
            <a:ext uri="{FF2B5EF4-FFF2-40B4-BE49-F238E27FC236}">
              <a16:creationId xmlns:a16="http://schemas.microsoft.com/office/drawing/2014/main" id="{00000000-0008-0000-1500-000028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41" name="Rectangle 40">
          <a:hlinkClick xmlns:r="http://schemas.openxmlformats.org/officeDocument/2006/relationships" r:id="rId19" tooltip="Compressed Air / Process"/>
          <a:extLst>
            <a:ext uri="{FF2B5EF4-FFF2-40B4-BE49-F238E27FC236}">
              <a16:creationId xmlns:a16="http://schemas.microsoft.com/office/drawing/2014/main" id="{00000000-0008-0000-1500-000029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42" name="Rectangle 41">
          <a:hlinkClick xmlns:r="http://schemas.openxmlformats.org/officeDocument/2006/relationships" r:id="rId20" tooltip="Water Heating / Food Services"/>
          <a:extLst>
            <a:ext uri="{FF2B5EF4-FFF2-40B4-BE49-F238E27FC236}">
              <a16:creationId xmlns:a16="http://schemas.microsoft.com/office/drawing/2014/main" id="{00000000-0008-0000-1500-00002A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43" name="Rectangle 42">
          <a:hlinkClick xmlns:r="http://schemas.openxmlformats.org/officeDocument/2006/relationships" r:id="rId21" tooltip="Miscellaneous"/>
          <a:extLst>
            <a:ext uri="{FF2B5EF4-FFF2-40B4-BE49-F238E27FC236}">
              <a16:creationId xmlns:a16="http://schemas.microsoft.com/office/drawing/2014/main" id="{00000000-0008-0000-1500-00002B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44" name="Arrow: Chevron 43">
          <a:hlinkClick xmlns:r="http://schemas.openxmlformats.org/officeDocument/2006/relationships" r:id="rId22" tooltip="Building Information"/>
          <a:extLst>
            <a:ext uri="{FF2B5EF4-FFF2-40B4-BE49-F238E27FC236}">
              <a16:creationId xmlns:a16="http://schemas.microsoft.com/office/drawing/2014/main" id="{00000000-0008-0000-1500-00002C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67235</xdr:rowOff>
    </xdr:to>
    <xdr:grpSp>
      <xdr:nvGrpSpPr>
        <xdr:cNvPr id="46" name="Group 45">
          <a:extLst>
            <a:ext uri="{FF2B5EF4-FFF2-40B4-BE49-F238E27FC236}">
              <a16:creationId xmlns:a16="http://schemas.microsoft.com/office/drawing/2014/main" id="{00000000-0008-0000-1500-00002E000000}"/>
            </a:ext>
          </a:extLst>
        </xdr:cNvPr>
        <xdr:cNvGrpSpPr/>
      </xdr:nvGrpSpPr>
      <xdr:grpSpPr>
        <a:xfrm>
          <a:off x="1714501" y="2700617"/>
          <a:ext cx="2151956" cy="190500"/>
          <a:chOff x="1390358" y="2723028"/>
          <a:chExt cx="2151956" cy="190500"/>
        </a:xfrm>
      </xdr:grpSpPr>
      <xdr:sp macro="" textlink="">
        <xdr:nvSpPr>
          <xdr:cNvPr id="47" name="Rectangle 46">
            <a:hlinkClick xmlns:r="http://schemas.openxmlformats.org/officeDocument/2006/relationships" r:id="rId23" tooltip="Standard"/>
            <a:extLst>
              <a:ext uri="{FF2B5EF4-FFF2-40B4-BE49-F238E27FC236}">
                <a16:creationId xmlns:a16="http://schemas.microsoft.com/office/drawing/2014/main" id="{00000000-0008-0000-1500-00002F000000}"/>
              </a:ext>
            </a:extLst>
          </xdr:cNvPr>
          <xdr:cNvSpPr/>
        </xdr:nvSpPr>
        <xdr:spPr>
          <a:xfrm>
            <a:off x="1390358" y="2723028"/>
            <a:ext cx="1070651"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48" name="Rectangle 47">
            <a:hlinkClick xmlns:r="http://schemas.openxmlformats.org/officeDocument/2006/relationships" r:id="rId24" tooltip="Custom"/>
            <a:extLst>
              <a:ext uri="{FF2B5EF4-FFF2-40B4-BE49-F238E27FC236}">
                <a16:creationId xmlns:a16="http://schemas.microsoft.com/office/drawing/2014/main" id="{00000000-0008-0000-1500-000030000000}"/>
              </a:ext>
            </a:extLst>
          </xdr:cNvPr>
          <xdr:cNvSpPr/>
        </xdr:nvSpPr>
        <xdr:spPr>
          <a:xfrm>
            <a:off x="2472466" y="2723028"/>
            <a:ext cx="1069848" cy="190500"/>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180430</xdr:rowOff>
    </xdr:to>
    <xdr:pic>
      <xdr:nvPicPr>
        <xdr:cNvPr id="49" name="Picture 48">
          <a:extLst>
            <a:ext uri="{FF2B5EF4-FFF2-40B4-BE49-F238E27FC236}">
              <a16:creationId xmlns:a16="http://schemas.microsoft.com/office/drawing/2014/main" id="{00000000-0008-0000-1500-000031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212910</xdr:colOff>
      <xdr:row>8</xdr:row>
      <xdr:rowOff>100854</xdr:rowOff>
    </xdr:from>
    <xdr:to>
      <xdr:col>3</xdr:col>
      <xdr:colOff>112057</xdr:colOff>
      <xdr:row>10</xdr:row>
      <xdr:rowOff>108922</xdr:rowOff>
    </xdr:to>
    <xdr:sp macro="" textlink="">
      <xdr:nvSpPr>
        <xdr:cNvPr id="23" name="Arrow: Left 22">
          <a:hlinkClick xmlns:r="http://schemas.openxmlformats.org/officeDocument/2006/relationships" r:id="rId1" tooltip="Back: Motors and Drives"/>
          <a:extLst>
            <a:ext uri="{FF2B5EF4-FFF2-40B4-BE49-F238E27FC236}">
              <a16:creationId xmlns:a16="http://schemas.microsoft.com/office/drawing/2014/main" id="{00000000-0008-0000-1600-000017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24" name="Arrow: Right 23">
          <a:hlinkClick xmlns:r="http://schemas.openxmlformats.org/officeDocument/2006/relationships" r:id="rId2" tooltip="Forward: Water Heating / Cooking"/>
          <a:extLst>
            <a:ext uri="{FF2B5EF4-FFF2-40B4-BE49-F238E27FC236}">
              <a16:creationId xmlns:a16="http://schemas.microsoft.com/office/drawing/2014/main" id="{00000000-0008-0000-1600-000018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35" name="Straight Connector 34">
          <a:extLst>
            <a:ext uri="{FF2B5EF4-FFF2-40B4-BE49-F238E27FC236}">
              <a16:creationId xmlns:a16="http://schemas.microsoft.com/office/drawing/2014/main" id="{00000000-0008-0000-1600-000023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39" name="Straight Connector 38">
          <a:extLst>
            <a:ext uri="{FF2B5EF4-FFF2-40B4-BE49-F238E27FC236}">
              <a16:creationId xmlns:a16="http://schemas.microsoft.com/office/drawing/2014/main" id="{00000000-0008-0000-1600-000027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40" name="Straight Connector 39">
          <a:extLst>
            <a:ext uri="{FF2B5EF4-FFF2-40B4-BE49-F238E27FC236}">
              <a16:creationId xmlns:a16="http://schemas.microsoft.com/office/drawing/2014/main" id="{00000000-0008-0000-1600-000028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41" name="Straight Connector 40">
          <a:extLst>
            <a:ext uri="{FF2B5EF4-FFF2-40B4-BE49-F238E27FC236}">
              <a16:creationId xmlns:a16="http://schemas.microsoft.com/office/drawing/2014/main" id="{00000000-0008-0000-1600-000029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47" name="Straight Connector 46">
          <a:extLst>
            <a:ext uri="{FF2B5EF4-FFF2-40B4-BE49-F238E27FC236}">
              <a16:creationId xmlns:a16="http://schemas.microsoft.com/office/drawing/2014/main" id="{00000000-0008-0000-1600-00002F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48" name="Straight Connector 47">
          <a:extLst>
            <a:ext uri="{FF2B5EF4-FFF2-40B4-BE49-F238E27FC236}">
              <a16:creationId xmlns:a16="http://schemas.microsoft.com/office/drawing/2014/main" id="{00000000-0008-0000-1600-000030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49" name="Straight Connector 48">
          <a:extLst>
            <a:ext uri="{FF2B5EF4-FFF2-40B4-BE49-F238E27FC236}">
              <a16:creationId xmlns:a16="http://schemas.microsoft.com/office/drawing/2014/main" id="{00000000-0008-0000-1600-000031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50" name="Straight Connector 49">
          <a:extLst>
            <a:ext uri="{FF2B5EF4-FFF2-40B4-BE49-F238E27FC236}">
              <a16:creationId xmlns:a16="http://schemas.microsoft.com/office/drawing/2014/main" id="{00000000-0008-0000-1600-000032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51" name="Arrow: Chevron 50">
          <a:hlinkClick xmlns:r="http://schemas.openxmlformats.org/officeDocument/2006/relationships" r:id="rId3" tooltip="Terms &amp; Conditions"/>
          <a:extLst>
            <a:ext uri="{FF2B5EF4-FFF2-40B4-BE49-F238E27FC236}">
              <a16:creationId xmlns:a16="http://schemas.microsoft.com/office/drawing/2014/main" id="{00000000-0008-0000-1600-000033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52" name="Arrow: Chevron 51">
          <a:hlinkClick xmlns:r="http://schemas.openxmlformats.org/officeDocument/2006/relationships" r:id="rId4" tooltip="Trade Ally/Vendor Information"/>
          <a:extLst>
            <a:ext uri="{FF2B5EF4-FFF2-40B4-BE49-F238E27FC236}">
              <a16:creationId xmlns:a16="http://schemas.microsoft.com/office/drawing/2014/main" id="{00000000-0008-0000-1600-000034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53" name="Arrow: Chevron 52">
          <a:hlinkClick xmlns:r="http://schemas.openxmlformats.org/officeDocument/2006/relationships" r:id="rId5" tooltip="Customer Information"/>
          <a:extLst>
            <a:ext uri="{FF2B5EF4-FFF2-40B4-BE49-F238E27FC236}">
              <a16:creationId xmlns:a16="http://schemas.microsoft.com/office/drawing/2014/main" id="{00000000-0008-0000-1600-000035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5" name="Arrow: Chevron 54">
          <a:hlinkClick xmlns:r="http://schemas.openxmlformats.org/officeDocument/2006/relationships" r:id="rId6" tooltip="Equipment Input"/>
          <a:extLst>
            <a:ext uri="{FF2B5EF4-FFF2-40B4-BE49-F238E27FC236}">
              <a16:creationId xmlns:a16="http://schemas.microsoft.com/office/drawing/2014/main" id="{00000000-0008-0000-1600-000037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56" name="Arrow: Chevron 55">
          <a:hlinkClick xmlns:r="http://schemas.openxmlformats.org/officeDocument/2006/relationships" r:id="rId7" tooltip="Payment"/>
          <a:extLst>
            <a:ext uri="{FF2B5EF4-FFF2-40B4-BE49-F238E27FC236}">
              <a16:creationId xmlns:a16="http://schemas.microsoft.com/office/drawing/2014/main" id="{00000000-0008-0000-1600-000038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57" name="Arrow: Chevron 56">
          <a:hlinkClick xmlns:r="http://schemas.openxmlformats.org/officeDocument/2006/relationships" r:id="rId8" tooltip="Project Review"/>
          <a:extLst>
            <a:ext uri="{FF2B5EF4-FFF2-40B4-BE49-F238E27FC236}">
              <a16:creationId xmlns:a16="http://schemas.microsoft.com/office/drawing/2014/main" id="{00000000-0008-0000-1600-000039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6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6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9" name="Straight Connector 28">
          <a:extLst>
            <a:ext uri="{FF2B5EF4-FFF2-40B4-BE49-F238E27FC236}">
              <a16:creationId xmlns:a16="http://schemas.microsoft.com/office/drawing/2014/main" id="{00000000-0008-0000-1600-00001D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0" name="Rectangle 29">
          <a:hlinkClick xmlns:r="http://schemas.openxmlformats.org/officeDocument/2006/relationships" r:id="rId9" tooltip="Welcome"/>
          <a:extLst>
            <a:ext uri="{FF2B5EF4-FFF2-40B4-BE49-F238E27FC236}">
              <a16:creationId xmlns:a16="http://schemas.microsoft.com/office/drawing/2014/main" id="{00000000-0008-0000-1600-00001E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1" name="Rectangle 30">
          <a:hlinkClick xmlns:r="http://schemas.openxmlformats.org/officeDocument/2006/relationships" r:id="rId10" tooltip="Instructions"/>
          <a:extLst>
            <a:ext uri="{FF2B5EF4-FFF2-40B4-BE49-F238E27FC236}">
              <a16:creationId xmlns:a16="http://schemas.microsoft.com/office/drawing/2014/main" id="{00000000-0008-0000-1600-00001F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2" name="Rectangle 31">
          <a:hlinkClick xmlns:r="http://schemas.openxmlformats.org/officeDocument/2006/relationships" r:id="rId11" tooltip="Contact"/>
          <a:extLst>
            <a:ext uri="{FF2B5EF4-FFF2-40B4-BE49-F238E27FC236}">
              <a16:creationId xmlns:a16="http://schemas.microsoft.com/office/drawing/2014/main" id="{00000000-0008-0000-1600-000020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2" tooltip=" "/>
          <a:extLst>
            <a:ext uri="{FF2B5EF4-FFF2-40B4-BE49-F238E27FC236}">
              <a16:creationId xmlns:a16="http://schemas.microsoft.com/office/drawing/2014/main" id="{00000000-0008-0000-16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42" name="Rectangle 41">
          <a:hlinkClick xmlns:r="http://schemas.openxmlformats.org/officeDocument/2006/relationships" r:id="rId13" tooltip=" "/>
          <a:extLst>
            <a:ext uri="{FF2B5EF4-FFF2-40B4-BE49-F238E27FC236}">
              <a16:creationId xmlns:a16="http://schemas.microsoft.com/office/drawing/2014/main" id="{00000000-0008-0000-1600-00002A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43" name="Rectangle 42">
          <a:hlinkClick xmlns:r="http://schemas.openxmlformats.org/officeDocument/2006/relationships" r:id="rId14" tooltip="Lighting"/>
          <a:extLst>
            <a:ext uri="{FF2B5EF4-FFF2-40B4-BE49-F238E27FC236}">
              <a16:creationId xmlns:a16="http://schemas.microsoft.com/office/drawing/2014/main" id="{00000000-0008-0000-1600-00002B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58" name="Rectangle 57">
          <a:hlinkClick xmlns:r="http://schemas.openxmlformats.org/officeDocument/2006/relationships" r:id="rId15" tooltip="Lighting Controls"/>
          <a:extLst>
            <a:ext uri="{FF2B5EF4-FFF2-40B4-BE49-F238E27FC236}">
              <a16:creationId xmlns:a16="http://schemas.microsoft.com/office/drawing/2014/main" id="{00000000-0008-0000-1600-00003A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59" name="Rectangle 58">
          <a:hlinkClick xmlns:r="http://schemas.openxmlformats.org/officeDocument/2006/relationships" r:id="rId16" tooltip="Refrigeration"/>
          <a:extLst>
            <a:ext uri="{FF2B5EF4-FFF2-40B4-BE49-F238E27FC236}">
              <a16:creationId xmlns:a16="http://schemas.microsoft.com/office/drawing/2014/main" id="{00000000-0008-0000-1600-00003B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60" name="Rectangle 59">
          <a:hlinkClick xmlns:r="http://schemas.openxmlformats.org/officeDocument/2006/relationships" r:id="rId17" tooltip="HVAC"/>
          <a:extLst>
            <a:ext uri="{FF2B5EF4-FFF2-40B4-BE49-F238E27FC236}">
              <a16:creationId xmlns:a16="http://schemas.microsoft.com/office/drawing/2014/main" id="{00000000-0008-0000-1600-00003C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61" name="Rectangle 60">
          <a:hlinkClick xmlns:r="http://schemas.openxmlformats.org/officeDocument/2006/relationships" r:id="rId18" tooltip="Motors and Drives"/>
          <a:extLst>
            <a:ext uri="{FF2B5EF4-FFF2-40B4-BE49-F238E27FC236}">
              <a16:creationId xmlns:a16="http://schemas.microsoft.com/office/drawing/2014/main" id="{00000000-0008-0000-1600-00003D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62" name="Rectangle 61">
          <a:hlinkClick xmlns:r="http://schemas.openxmlformats.org/officeDocument/2006/relationships" r:id="rId19" tooltip="Compressed Air / Process"/>
          <a:extLst>
            <a:ext uri="{FF2B5EF4-FFF2-40B4-BE49-F238E27FC236}">
              <a16:creationId xmlns:a16="http://schemas.microsoft.com/office/drawing/2014/main" id="{00000000-0008-0000-1600-00003E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63" name="Rectangle 62">
          <a:hlinkClick xmlns:r="http://schemas.openxmlformats.org/officeDocument/2006/relationships" r:id="rId20" tooltip="Water Heating / Food Services"/>
          <a:extLst>
            <a:ext uri="{FF2B5EF4-FFF2-40B4-BE49-F238E27FC236}">
              <a16:creationId xmlns:a16="http://schemas.microsoft.com/office/drawing/2014/main" id="{00000000-0008-0000-1600-00003F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64" name="Rectangle 63">
          <a:hlinkClick xmlns:r="http://schemas.openxmlformats.org/officeDocument/2006/relationships" r:id="rId21" tooltip="Miscellaneous"/>
          <a:extLst>
            <a:ext uri="{FF2B5EF4-FFF2-40B4-BE49-F238E27FC236}">
              <a16:creationId xmlns:a16="http://schemas.microsoft.com/office/drawing/2014/main" id="{00000000-0008-0000-1600-000040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5" name="Arrow: Chevron 64">
          <a:hlinkClick xmlns:r="http://schemas.openxmlformats.org/officeDocument/2006/relationships" r:id="rId22" tooltip="Building Information"/>
          <a:extLst>
            <a:ext uri="{FF2B5EF4-FFF2-40B4-BE49-F238E27FC236}">
              <a16:creationId xmlns:a16="http://schemas.microsoft.com/office/drawing/2014/main" id="{00000000-0008-0000-1600-000041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67235</xdr:rowOff>
    </xdr:to>
    <xdr:grpSp>
      <xdr:nvGrpSpPr>
        <xdr:cNvPr id="54" name="Group 53">
          <a:extLst>
            <a:ext uri="{FF2B5EF4-FFF2-40B4-BE49-F238E27FC236}">
              <a16:creationId xmlns:a16="http://schemas.microsoft.com/office/drawing/2014/main" id="{00000000-0008-0000-1600-000036000000}"/>
            </a:ext>
          </a:extLst>
        </xdr:cNvPr>
        <xdr:cNvGrpSpPr/>
      </xdr:nvGrpSpPr>
      <xdr:grpSpPr>
        <a:xfrm>
          <a:off x="1714501" y="2700617"/>
          <a:ext cx="2151956" cy="190500"/>
          <a:chOff x="1390358" y="2723028"/>
          <a:chExt cx="2151956" cy="190500"/>
        </a:xfrm>
      </xdr:grpSpPr>
      <xdr:sp macro="" textlink="">
        <xdr:nvSpPr>
          <xdr:cNvPr id="66" name="Rectangle 65">
            <a:hlinkClick xmlns:r="http://schemas.openxmlformats.org/officeDocument/2006/relationships" r:id="rId23" tooltip="Standard"/>
            <a:extLst>
              <a:ext uri="{FF2B5EF4-FFF2-40B4-BE49-F238E27FC236}">
                <a16:creationId xmlns:a16="http://schemas.microsoft.com/office/drawing/2014/main" id="{00000000-0008-0000-1600-000042000000}"/>
              </a:ext>
            </a:extLst>
          </xdr:cNvPr>
          <xdr:cNvSpPr/>
        </xdr:nvSpPr>
        <xdr:spPr>
          <a:xfrm>
            <a:off x="1390358" y="2723028"/>
            <a:ext cx="1070651"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Rectangle 66">
            <a:hlinkClick xmlns:r="http://schemas.openxmlformats.org/officeDocument/2006/relationships" r:id="rId24" tooltip="Custom"/>
            <a:extLst>
              <a:ext uri="{FF2B5EF4-FFF2-40B4-BE49-F238E27FC236}">
                <a16:creationId xmlns:a16="http://schemas.microsoft.com/office/drawing/2014/main" id="{00000000-0008-0000-1600-000043000000}"/>
              </a:ext>
            </a:extLst>
          </xdr:cNvPr>
          <xdr:cNvSpPr/>
        </xdr:nvSpPr>
        <xdr:spPr>
          <a:xfrm>
            <a:off x="2472466" y="2723028"/>
            <a:ext cx="1069848" cy="190500"/>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186145</xdr:rowOff>
    </xdr:to>
    <xdr:pic>
      <xdr:nvPicPr>
        <xdr:cNvPr id="44" name="Picture 43">
          <a:extLst>
            <a:ext uri="{FF2B5EF4-FFF2-40B4-BE49-F238E27FC236}">
              <a16:creationId xmlns:a16="http://schemas.microsoft.com/office/drawing/2014/main" id="{00000000-0008-0000-1600-00002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212910</xdr:colOff>
      <xdr:row>8</xdr:row>
      <xdr:rowOff>100854</xdr:rowOff>
    </xdr:from>
    <xdr:to>
      <xdr:col>3</xdr:col>
      <xdr:colOff>112057</xdr:colOff>
      <xdr:row>10</xdr:row>
      <xdr:rowOff>108922</xdr:rowOff>
    </xdr:to>
    <xdr:sp macro="" textlink="">
      <xdr:nvSpPr>
        <xdr:cNvPr id="23" name="Arrow: Left 22">
          <a:hlinkClick xmlns:r="http://schemas.openxmlformats.org/officeDocument/2006/relationships" r:id="rId1" tooltip="Back: Compressed Air / Process"/>
          <a:extLst>
            <a:ext uri="{FF2B5EF4-FFF2-40B4-BE49-F238E27FC236}">
              <a16:creationId xmlns:a16="http://schemas.microsoft.com/office/drawing/2014/main" id="{00000000-0008-0000-1700-000017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24" name="Arrow: Right 23">
          <a:hlinkClick xmlns:r="http://schemas.openxmlformats.org/officeDocument/2006/relationships" r:id="rId2" tooltip="Forward: Miscellaneous"/>
          <a:extLst>
            <a:ext uri="{FF2B5EF4-FFF2-40B4-BE49-F238E27FC236}">
              <a16:creationId xmlns:a16="http://schemas.microsoft.com/office/drawing/2014/main" id="{00000000-0008-0000-1700-000018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35" name="Straight Connector 34">
          <a:extLst>
            <a:ext uri="{FF2B5EF4-FFF2-40B4-BE49-F238E27FC236}">
              <a16:creationId xmlns:a16="http://schemas.microsoft.com/office/drawing/2014/main" id="{00000000-0008-0000-1700-000023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39" name="Straight Connector 38">
          <a:extLst>
            <a:ext uri="{FF2B5EF4-FFF2-40B4-BE49-F238E27FC236}">
              <a16:creationId xmlns:a16="http://schemas.microsoft.com/office/drawing/2014/main" id="{00000000-0008-0000-1700-000027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40" name="Straight Connector 39">
          <a:extLst>
            <a:ext uri="{FF2B5EF4-FFF2-40B4-BE49-F238E27FC236}">
              <a16:creationId xmlns:a16="http://schemas.microsoft.com/office/drawing/2014/main" id="{00000000-0008-0000-1700-000028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41" name="Straight Connector 40">
          <a:extLst>
            <a:ext uri="{FF2B5EF4-FFF2-40B4-BE49-F238E27FC236}">
              <a16:creationId xmlns:a16="http://schemas.microsoft.com/office/drawing/2014/main" id="{00000000-0008-0000-1700-000029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47" name="Straight Connector 46">
          <a:extLst>
            <a:ext uri="{FF2B5EF4-FFF2-40B4-BE49-F238E27FC236}">
              <a16:creationId xmlns:a16="http://schemas.microsoft.com/office/drawing/2014/main" id="{00000000-0008-0000-1700-00002F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48" name="Straight Connector 47">
          <a:extLst>
            <a:ext uri="{FF2B5EF4-FFF2-40B4-BE49-F238E27FC236}">
              <a16:creationId xmlns:a16="http://schemas.microsoft.com/office/drawing/2014/main" id="{00000000-0008-0000-1700-000030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49" name="Straight Connector 48">
          <a:extLst>
            <a:ext uri="{FF2B5EF4-FFF2-40B4-BE49-F238E27FC236}">
              <a16:creationId xmlns:a16="http://schemas.microsoft.com/office/drawing/2014/main" id="{00000000-0008-0000-1700-000031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50" name="Straight Connector 49">
          <a:extLst>
            <a:ext uri="{FF2B5EF4-FFF2-40B4-BE49-F238E27FC236}">
              <a16:creationId xmlns:a16="http://schemas.microsoft.com/office/drawing/2014/main" id="{00000000-0008-0000-1700-000032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51" name="Arrow: Chevron 50">
          <a:hlinkClick xmlns:r="http://schemas.openxmlformats.org/officeDocument/2006/relationships" r:id="rId3" tooltip="Terms &amp; Conditions"/>
          <a:extLst>
            <a:ext uri="{FF2B5EF4-FFF2-40B4-BE49-F238E27FC236}">
              <a16:creationId xmlns:a16="http://schemas.microsoft.com/office/drawing/2014/main" id="{00000000-0008-0000-1700-000033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52" name="Arrow: Chevron 51">
          <a:hlinkClick xmlns:r="http://schemas.openxmlformats.org/officeDocument/2006/relationships" r:id="rId4" tooltip="Trade Ally/Vendor Information"/>
          <a:extLst>
            <a:ext uri="{FF2B5EF4-FFF2-40B4-BE49-F238E27FC236}">
              <a16:creationId xmlns:a16="http://schemas.microsoft.com/office/drawing/2014/main" id="{00000000-0008-0000-1700-000034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53" name="Arrow: Chevron 52">
          <a:hlinkClick xmlns:r="http://schemas.openxmlformats.org/officeDocument/2006/relationships" r:id="rId5" tooltip="Customer Information"/>
          <a:extLst>
            <a:ext uri="{FF2B5EF4-FFF2-40B4-BE49-F238E27FC236}">
              <a16:creationId xmlns:a16="http://schemas.microsoft.com/office/drawing/2014/main" id="{00000000-0008-0000-1700-000035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5" name="Arrow: Chevron 54">
          <a:hlinkClick xmlns:r="http://schemas.openxmlformats.org/officeDocument/2006/relationships" r:id="rId6" tooltip="Equipment Input"/>
          <a:extLst>
            <a:ext uri="{FF2B5EF4-FFF2-40B4-BE49-F238E27FC236}">
              <a16:creationId xmlns:a16="http://schemas.microsoft.com/office/drawing/2014/main" id="{00000000-0008-0000-1700-000037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56" name="Arrow: Chevron 55">
          <a:hlinkClick xmlns:r="http://schemas.openxmlformats.org/officeDocument/2006/relationships" r:id="rId7" tooltip="Payment"/>
          <a:extLst>
            <a:ext uri="{FF2B5EF4-FFF2-40B4-BE49-F238E27FC236}">
              <a16:creationId xmlns:a16="http://schemas.microsoft.com/office/drawing/2014/main" id="{00000000-0008-0000-1700-000038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57" name="Arrow: Chevron 56">
          <a:hlinkClick xmlns:r="http://schemas.openxmlformats.org/officeDocument/2006/relationships" r:id="rId8" tooltip="Project Review"/>
          <a:extLst>
            <a:ext uri="{FF2B5EF4-FFF2-40B4-BE49-F238E27FC236}">
              <a16:creationId xmlns:a16="http://schemas.microsoft.com/office/drawing/2014/main" id="{00000000-0008-0000-1700-000039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7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7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9" name="Straight Connector 28">
          <a:extLst>
            <a:ext uri="{FF2B5EF4-FFF2-40B4-BE49-F238E27FC236}">
              <a16:creationId xmlns:a16="http://schemas.microsoft.com/office/drawing/2014/main" id="{00000000-0008-0000-1700-00001D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0" name="Rectangle 29">
          <a:hlinkClick xmlns:r="http://schemas.openxmlformats.org/officeDocument/2006/relationships" r:id="rId9" tooltip="Welcome"/>
          <a:extLst>
            <a:ext uri="{FF2B5EF4-FFF2-40B4-BE49-F238E27FC236}">
              <a16:creationId xmlns:a16="http://schemas.microsoft.com/office/drawing/2014/main" id="{00000000-0008-0000-1700-00001E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1" name="Rectangle 30">
          <a:hlinkClick xmlns:r="http://schemas.openxmlformats.org/officeDocument/2006/relationships" r:id="rId10" tooltip="Instructions"/>
          <a:extLst>
            <a:ext uri="{FF2B5EF4-FFF2-40B4-BE49-F238E27FC236}">
              <a16:creationId xmlns:a16="http://schemas.microsoft.com/office/drawing/2014/main" id="{00000000-0008-0000-1700-00001F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2" name="Rectangle 31">
          <a:hlinkClick xmlns:r="http://schemas.openxmlformats.org/officeDocument/2006/relationships" r:id="rId11" tooltip="Contact"/>
          <a:extLst>
            <a:ext uri="{FF2B5EF4-FFF2-40B4-BE49-F238E27FC236}">
              <a16:creationId xmlns:a16="http://schemas.microsoft.com/office/drawing/2014/main" id="{00000000-0008-0000-1700-000020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2" tooltip=" "/>
          <a:extLst>
            <a:ext uri="{FF2B5EF4-FFF2-40B4-BE49-F238E27FC236}">
              <a16:creationId xmlns:a16="http://schemas.microsoft.com/office/drawing/2014/main" id="{00000000-0008-0000-17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42" name="Rectangle 41">
          <a:hlinkClick xmlns:r="http://schemas.openxmlformats.org/officeDocument/2006/relationships" r:id="rId13" tooltip=" "/>
          <a:extLst>
            <a:ext uri="{FF2B5EF4-FFF2-40B4-BE49-F238E27FC236}">
              <a16:creationId xmlns:a16="http://schemas.microsoft.com/office/drawing/2014/main" id="{00000000-0008-0000-1700-00002A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291353</xdr:colOff>
      <xdr:row>8</xdr:row>
      <xdr:rowOff>0</xdr:rowOff>
    </xdr:from>
    <xdr:to>
      <xdr:col>10</xdr:col>
      <xdr:colOff>291353</xdr:colOff>
      <xdr:row>11</xdr:row>
      <xdr:rowOff>33617</xdr:rowOff>
    </xdr:to>
    <xdr:sp macro="" textlink="">
      <xdr:nvSpPr>
        <xdr:cNvPr id="43" name="Rectangle 42">
          <a:hlinkClick xmlns:r="http://schemas.openxmlformats.org/officeDocument/2006/relationships" r:id="rId14" tooltip="Lighting"/>
          <a:extLst>
            <a:ext uri="{FF2B5EF4-FFF2-40B4-BE49-F238E27FC236}">
              <a16:creationId xmlns:a16="http://schemas.microsoft.com/office/drawing/2014/main" id="{00000000-0008-0000-1700-00002B000000}"/>
            </a:ext>
          </a:extLst>
        </xdr:cNvPr>
        <xdr:cNvSpPr/>
      </xdr:nvSpPr>
      <xdr:spPr>
        <a:xfrm>
          <a:off x="217394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301278</xdr:colOff>
      <xdr:row>8</xdr:row>
      <xdr:rowOff>0</xdr:rowOff>
    </xdr:from>
    <xdr:to>
      <xdr:col>14</xdr:col>
      <xdr:colOff>301278</xdr:colOff>
      <xdr:row>11</xdr:row>
      <xdr:rowOff>33617</xdr:rowOff>
    </xdr:to>
    <xdr:sp macro="" textlink="">
      <xdr:nvSpPr>
        <xdr:cNvPr id="58" name="Rectangle 57">
          <a:hlinkClick xmlns:r="http://schemas.openxmlformats.org/officeDocument/2006/relationships" r:id="rId15" tooltip="Lighting Controls"/>
          <a:extLst>
            <a:ext uri="{FF2B5EF4-FFF2-40B4-BE49-F238E27FC236}">
              <a16:creationId xmlns:a16="http://schemas.microsoft.com/office/drawing/2014/main" id="{00000000-0008-0000-1700-00003A000000}"/>
            </a:ext>
          </a:extLst>
        </xdr:cNvPr>
        <xdr:cNvSpPr/>
      </xdr:nvSpPr>
      <xdr:spPr>
        <a:xfrm>
          <a:off x="343892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311203</xdr:colOff>
      <xdr:row>8</xdr:row>
      <xdr:rowOff>0</xdr:rowOff>
    </xdr:from>
    <xdr:to>
      <xdr:col>18</xdr:col>
      <xdr:colOff>311203</xdr:colOff>
      <xdr:row>11</xdr:row>
      <xdr:rowOff>33617</xdr:rowOff>
    </xdr:to>
    <xdr:sp macro="" textlink="">
      <xdr:nvSpPr>
        <xdr:cNvPr id="59" name="Rectangle 58">
          <a:hlinkClick xmlns:r="http://schemas.openxmlformats.org/officeDocument/2006/relationships" r:id="rId16" tooltip="Refrigeration"/>
          <a:extLst>
            <a:ext uri="{FF2B5EF4-FFF2-40B4-BE49-F238E27FC236}">
              <a16:creationId xmlns:a16="http://schemas.microsoft.com/office/drawing/2014/main" id="{00000000-0008-0000-1700-00003B000000}"/>
            </a:ext>
          </a:extLst>
        </xdr:cNvPr>
        <xdr:cNvSpPr/>
      </xdr:nvSpPr>
      <xdr:spPr>
        <a:xfrm>
          <a:off x="470390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7364</xdr:colOff>
      <xdr:row>8</xdr:row>
      <xdr:rowOff>0</xdr:rowOff>
    </xdr:from>
    <xdr:to>
      <xdr:col>23</xdr:col>
      <xdr:colOff>7364</xdr:colOff>
      <xdr:row>11</xdr:row>
      <xdr:rowOff>33617</xdr:rowOff>
    </xdr:to>
    <xdr:sp macro="" textlink="">
      <xdr:nvSpPr>
        <xdr:cNvPr id="60" name="Rectangle 59">
          <a:hlinkClick xmlns:r="http://schemas.openxmlformats.org/officeDocument/2006/relationships" r:id="rId17" tooltip="HVAC"/>
          <a:extLst>
            <a:ext uri="{FF2B5EF4-FFF2-40B4-BE49-F238E27FC236}">
              <a16:creationId xmlns:a16="http://schemas.microsoft.com/office/drawing/2014/main" id="{00000000-0008-0000-1700-00003C000000}"/>
            </a:ext>
          </a:extLst>
        </xdr:cNvPr>
        <xdr:cNvSpPr/>
      </xdr:nvSpPr>
      <xdr:spPr>
        <a:xfrm>
          <a:off x="596889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17289</xdr:colOff>
      <xdr:row>8</xdr:row>
      <xdr:rowOff>0</xdr:rowOff>
    </xdr:from>
    <xdr:to>
      <xdr:col>27</xdr:col>
      <xdr:colOff>17289</xdr:colOff>
      <xdr:row>11</xdr:row>
      <xdr:rowOff>33617</xdr:rowOff>
    </xdr:to>
    <xdr:sp macro="" textlink="">
      <xdr:nvSpPr>
        <xdr:cNvPr id="61" name="Rectangle 60">
          <a:hlinkClick xmlns:r="http://schemas.openxmlformats.org/officeDocument/2006/relationships" r:id="rId18" tooltip="Motors and Drives"/>
          <a:extLst>
            <a:ext uri="{FF2B5EF4-FFF2-40B4-BE49-F238E27FC236}">
              <a16:creationId xmlns:a16="http://schemas.microsoft.com/office/drawing/2014/main" id="{00000000-0008-0000-1700-00003D000000}"/>
            </a:ext>
          </a:extLst>
        </xdr:cNvPr>
        <xdr:cNvSpPr/>
      </xdr:nvSpPr>
      <xdr:spPr>
        <a:xfrm>
          <a:off x="723387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27214</xdr:colOff>
      <xdr:row>8</xdr:row>
      <xdr:rowOff>0</xdr:rowOff>
    </xdr:from>
    <xdr:to>
      <xdr:col>31</xdr:col>
      <xdr:colOff>27214</xdr:colOff>
      <xdr:row>11</xdr:row>
      <xdr:rowOff>33617</xdr:rowOff>
    </xdr:to>
    <xdr:sp macro="" textlink="">
      <xdr:nvSpPr>
        <xdr:cNvPr id="62" name="Rectangle 61">
          <a:hlinkClick xmlns:r="http://schemas.openxmlformats.org/officeDocument/2006/relationships" r:id="rId19" tooltip="Compressed Air / Process"/>
          <a:extLst>
            <a:ext uri="{FF2B5EF4-FFF2-40B4-BE49-F238E27FC236}">
              <a16:creationId xmlns:a16="http://schemas.microsoft.com/office/drawing/2014/main" id="{00000000-0008-0000-1700-00003E000000}"/>
            </a:ext>
          </a:extLst>
        </xdr:cNvPr>
        <xdr:cNvSpPr/>
      </xdr:nvSpPr>
      <xdr:spPr>
        <a:xfrm>
          <a:off x="849886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37139</xdr:colOff>
      <xdr:row>8</xdr:row>
      <xdr:rowOff>0</xdr:rowOff>
    </xdr:from>
    <xdr:to>
      <xdr:col>35</xdr:col>
      <xdr:colOff>37139</xdr:colOff>
      <xdr:row>11</xdr:row>
      <xdr:rowOff>33617</xdr:rowOff>
    </xdr:to>
    <xdr:sp macro="" textlink="">
      <xdr:nvSpPr>
        <xdr:cNvPr id="63" name="Rectangle 62">
          <a:hlinkClick xmlns:r="http://schemas.openxmlformats.org/officeDocument/2006/relationships" r:id="rId20" tooltip="Water Heating / Food Services"/>
          <a:extLst>
            <a:ext uri="{FF2B5EF4-FFF2-40B4-BE49-F238E27FC236}">
              <a16:creationId xmlns:a16="http://schemas.microsoft.com/office/drawing/2014/main" id="{00000000-0008-0000-1700-00003F000000}"/>
            </a:ext>
          </a:extLst>
        </xdr:cNvPr>
        <xdr:cNvSpPr/>
      </xdr:nvSpPr>
      <xdr:spPr>
        <a:xfrm>
          <a:off x="976384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35856</xdr:colOff>
      <xdr:row>8</xdr:row>
      <xdr:rowOff>0</xdr:rowOff>
    </xdr:from>
    <xdr:to>
      <xdr:col>39</xdr:col>
      <xdr:colOff>35856</xdr:colOff>
      <xdr:row>11</xdr:row>
      <xdr:rowOff>33617</xdr:rowOff>
    </xdr:to>
    <xdr:sp macro="" textlink="">
      <xdr:nvSpPr>
        <xdr:cNvPr id="64" name="Rectangle 63">
          <a:hlinkClick xmlns:r="http://schemas.openxmlformats.org/officeDocument/2006/relationships" r:id="rId21" tooltip="Miscellaneous"/>
          <a:extLst>
            <a:ext uri="{FF2B5EF4-FFF2-40B4-BE49-F238E27FC236}">
              <a16:creationId xmlns:a16="http://schemas.microsoft.com/office/drawing/2014/main" id="{00000000-0008-0000-1700-000040000000}"/>
            </a:ext>
          </a:extLst>
        </xdr:cNvPr>
        <xdr:cNvSpPr/>
      </xdr:nvSpPr>
      <xdr:spPr>
        <a:xfrm>
          <a:off x="1101762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5" name="Arrow: Chevron 64">
          <a:hlinkClick xmlns:r="http://schemas.openxmlformats.org/officeDocument/2006/relationships" r:id="rId22" tooltip="Building Information"/>
          <a:extLst>
            <a:ext uri="{FF2B5EF4-FFF2-40B4-BE49-F238E27FC236}">
              <a16:creationId xmlns:a16="http://schemas.microsoft.com/office/drawing/2014/main" id="{00000000-0008-0000-1700-000041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67235</xdr:rowOff>
    </xdr:to>
    <xdr:grpSp>
      <xdr:nvGrpSpPr>
        <xdr:cNvPr id="54" name="Group 53">
          <a:extLst>
            <a:ext uri="{FF2B5EF4-FFF2-40B4-BE49-F238E27FC236}">
              <a16:creationId xmlns:a16="http://schemas.microsoft.com/office/drawing/2014/main" id="{00000000-0008-0000-1700-000036000000}"/>
            </a:ext>
          </a:extLst>
        </xdr:cNvPr>
        <xdr:cNvGrpSpPr/>
      </xdr:nvGrpSpPr>
      <xdr:grpSpPr>
        <a:xfrm>
          <a:off x="1714501" y="2700617"/>
          <a:ext cx="2151956" cy="190500"/>
          <a:chOff x="1390358" y="2723028"/>
          <a:chExt cx="2151956" cy="190500"/>
        </a:xfrm>
      </xdr:grpSpPr>
      <xdr:sp macro="" textlink="">
        <xdr:nvSpPr>
          <xdr:cNvPr id="66" name="Rectangle 65">
            <a:hlinkClick xmlns:r="http://schemas.openxmlformats.org/officeDocument/2006/relationships" r:id="rId23" tooltip="Standard"/>
            <a:extLst>
              <a:ext uri="{FF2B5EF4-FFF2-40B4-BE49-F238E27FC236}">
                <a16:creationId xmlns:a16="http://schemas.microsoft.com/office/drawing/2014/main" id="{00000000-0008-0000-1700-000042000000}"/>
              </a:ext>
            </a:extLst>
          </xdr:cNvPr>
          <xdr:cNvSpPr/>
        </xdr:nvSpPr>
        <xdr:spPr>
          <a:xfrm>
            <a:off x="1390358" y="2723028"/>
            <a:ext cx="1070651"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Rectangle 66">
            <a:hlinkClick xmlns:r="http://schemas.openxmlformats.org/officeDocument/2006/relationships" r:id="rId24" tooltip="Custom"/>
            <a:extLst>
              <a:ext uri="{FF2B5EF4-FFF2-40B4-BE49-F238E27FC236}">
                <a16:creationId xmlns:a16="http://schemas.microsoft.com/office/drawing/2014/main" id="{00000000-0008-0000-1700-000043000000}"/>
              </a:ext>
            </a:extLst>
          </xdr:cNvPr>
          <xdr:cNvSpPr/>
        </xdr:nvSpPr>
        <xdr:spPr>
          <a:xfrm>
            <a:off x="2472466" y="2723028"/>
            <a:ext cx="1069848" cy="190500"/>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186145</xdr:rowOff>
    </xdr:to>
    <xdr:pic>
      <xdr:nvPicPr>
        <xdr:cNvPr id="44" name="Picture 43">
          <a:extLst>
            <a:ext uri="{FF2B5EF4-FFF2-40B4-BE49-F238E27FC236}">
              <a16:creationId xmlns:a16="http://schemas.microsoft.com/office/drawing/2014/main" id="{00000000-0008-0000-1700-00002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230954</xdr:colOff>
      <xdr:row>0</xdr:row>
      <xdr:rowOff>145677</xdr:rowOff>
    </xdr:from>
    <xdr:to>
      <xdr:col>0</xdr:col>
      <xdr:colOff>230954</xdr:colOff>
      <xdr:row>2</xdr:row>
      <xdr:rowOff>186659</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30954" y="145677"/>
          <a:ext cx="1026346" cy="402932"/>
        </a:xfrm>
        <a:prstGeom prst="rect">
          <a:avLst/>
        </a:prstGeom>
      </xdr:spPr>
    </xdr:pic>
    <xdr:clientData/>
  </xdr:twoCellAnchor>
  <xdr:twoCellAnchor>
    <xdr:from>
      <xdr:col>1</xdr:col>
      <xdr:colOff>212910</xdr:colOff>
      <xdr:row>8</xdr:row>
      <xdr:rowOff>100854</xdr:rowOff>
    </xdr:from>
    <xdr:to>
      <xdr:col>3</xdr:col>
      <xdr:colOff>112057</xdr:colOff>
      <xdr:row>10</xdr:row>
      <xdr:rowOff>108922</xdr:rowOff>
    </xdr:to>
    <xdr:sp macro="" textlink="">
      <xdr:nvSpPr>
        <xdr:cNvPr id="45" name="Arrow: Left 44">
          <a:hlinkClick xmlns:r="http://schemas.openxmlformats.org/officeDocument/2006/relationships" r:id="rId2" tooltip="Back: Equipment Type"/>
          <a:extLst>
            <a:ext uri="{FF2B5EF4-FFF2-40B4-BE49-F238E27FC236}">
              <a16:creationId xmlns:a16="http://schemas.microsoft.com/office/drawing/2014/main" id="{00000000-0008-0000-1800-00002D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42" name="Straight Connector 41">
          <a:extLst>
            <a:ext uri="{FF2B5EF4-FFF2-40B4-BE49-F238E27FC236}">
              <a16:creationId xmlns:a16="http://schemas.microsoft.com/office/drawing/2014/main" id="{00000000-0008-0000-1800-00002A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55" name="Straight Connector 54">
          <a:extLst>
            <a:ext uri="{FF2B5EF4-FFF2-40B4-BE49-F238E27FC236}">
              <a16:creationId xmlns:a16="http://schemas.microsoft.com/office/drawing/2014/main" id="{00000000-0008-0000-1800-000037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56" name="Straight Connector 55">
          <a:extLst>
            <a:ext uri="{FF2B5EF4-FFF2-40B4-BE49-F238E27FC236}">
              <a16:creationId xmlns:a16="http://schemas.microsoft.com/office/drawing/2014/main" id="{00000000-0008-0000-1800-000038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57" name="Straight Connector 56">
          <a:extLst>
            <a:ext uri="{FF2B5EF4-FFF2-40B4-BE49-F238E27FC236}">
              <a16:creationId xmlns:a16="http://schemas.microsoft.com/office/drawing/2014/main" id="{00000000-0008-0000-1800-000039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58" name="Straight Connector 57">
          <a:extLst>
            <a:ext uri="{FF2B5EF4-FFF2-40B4-BE49-F238E27FC236}">
              <a16:creationId xmlns:a16="http://schemas.microsoft.com/office/drawing/2014/main" id="{00000000-0008-0000-1800-00003A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59" name="Straight Connector 58">
          <a:extLst>
            <a:ext uri="{FF2B5EF4-FFF2-40B4-BE49-F238E27FC236}">
              <a16:creationId xmlns:a16="http://schemas.microsoft.com/office/drawing/2014/main" id="{00000000-0008-0000-1800-00003B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60" name="Straight Connector 59">
          <a:extLst>
            <a:ext uri="{FF2B5EF4-FFF2-40B4-BE49-F238E27FC236}">
              <a16:creationId xmlns:a16="http://schemas.microsoft.com/office/drawing/2014/main" id="{00000000-0008-0000-1800-00003C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61" name="Straight Connector 60">
          <a:extLst>
            <a:ext uri="{FF2B5EF4-FFF2-40B4-BE49-F238E27FC236}">
              <a16:creationId xmlns:a16="http://schemas.microsoft.com/office/drawing/2014/main" id="{00000000-0008-0000-1800-00003D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145676</xdr:colOff>
      <xdr:row>8</xdr:row>
      <xdr:rowOff>100854</xdr:rowOff>
    </xdr:from>
    <xdr:to>
      <xdr:col>44</xdr:col>
      <xdr:colOff>48499</xdr:colOff>
      <xdr:row>10</xdr:row>
      <xdr:rowOff>108922</xdr:rowOff>
    </xdr:to>
    <xdr:sp macro="" textlink="">
      <xdr:nvSpPr>
        <xdr:cNvPr id="63" name="Arrow: Right 62">
          <a:hlinkClick xmlns:r="http://schemas.openxmlformats.org/officeDocument/2006/relationships" r:id="rId3" tooltip="Foward: Lighting Controls"/>
          <a:extLst>
            <a:ext uri="{FF2B5EF4-FFF2-40B4-BE49-F238E27FC236}">
              <a16:creationId xmlns:a16="http://schemas.microsoft.com/office/drawing/2014/main" id="{00000000-0008-0000-1800-00003F000000}"/>
            </a:ext>
          </a:extLst>
        </xdr:cNvPr>
        <xdr:cNvSpPr/>
      </xdr:nvSpPr>
      <xdr:spPr>
        <a:xfrm>
          <a:off x="13269221" y="1687719"/>
          <a:ext cx="52385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64" name="Arrow: Chevron 63">
          <a:hlinkClick xmlns:r="http://schemas.openxmlformats.org/officeDocument/2006/relationships" r:id="rId4" tooltip="Terms &amp; Conditions"/>
          <a:extLst>
            <a:ext uri="{FF2B5EF4-FFF2-40B4-BE49-F238E27FC236}">
              <a16:creationId xmlns:a16="http://schemas.microsoft.com/office/drawing/2014/main" id="{00000000-0008-0000-1800-000040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65" name="Arrow: Chevron 64">
          <a:hlinkClick xmlns:r="http://schemas.openxmlformats.org/officeDocument/2006/relationships" r:id="rId5" tooltip="Trade Ally/Vendor Information"/>
          <a:extLst>
            <a:ext uri="{FF2B5EF4-FFF2-40B4-BE49-F238E27FC236}">
              <a16:creationId xmlns:a16="http://schemas.microsoft.com/office/drawing/2014/main" id="{00000000-0008-0000-1800-000041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66" name="Arrow: Chevron 65">
          <a:hlinkClick xmlns:r="http://schemas.openxmlformats.org/officeDocument/2006/relationships" r:id="rId6" tooltip="Customer Information"/>
          <a:extLst>
            <a:ext uri="{FF2B5EF4-FFF2-40B4-BE49-F238E27FC236}">
              <a16:creationId xmlns:a16="http://schemas.microsoft.com/office/drawing/2014/main" id="{00000000-0008-0000-1800-000042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68" name="Arrow: Chevron 67">
          <a:hlinkClick xmlns:r="http://schemas.openxmlformats.org/officeDocument/2006/relationships" r:id="rId2" tooltip="Equipment Input"/>
          <a:extLst>
            <a:ext uri="{FF2B5EF4-FFF2-40B4-BE49-F238E27FC236}">
              <a16:creationId xmlns:a16="http://schemas.microsoft.com/office/drawing/2014/main" id="{00000000-0008-0000-1800-000044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69" name="Arrow: Chevron 68">
          <a:hlinkClick xmlns:r="http://schemas.openxmlformats.org/officeDocument/2006/relationships" r:id="rId7" tooltip="Payment"/>
          <a:extLst>
            <a:ext uri="{FF2B5EF4-FFF2-40B4-BE49-F238E27FC236}">
              <a16:creationId xmlns:a16="http://schemas.microsoft.com/office/drawing/2014/main" id="{00000000-0008-0000-1800-000045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70" name="Arrow: Chevron 69">
          <a:hlinkClick xmlns:r="http://schemas.openxmlformats.org/officeDocument/2006/relationships" r:id="rId8" tooltip="Project Review"/>
          <a:extLst>
            <a:ext uri="{FF2B5EF4-FFF2-40B4-BE49-F238E27FC236}">
              <a16:creationId xmlns:a16="http://schemas.microsoft.com/office/drawing/2014/main" id="{00000000-0008-0000-1800-000046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31" name="Straight Connector 30">
          <a:extLst>
            <a:ext uri="{FF2B5EF4-FFF2-40B4-BE49-F238E27FC236}">
              <a16:creationId xmlns:a16="http://schemas.microsoft.com/office/drawing/2014/main" id="{00000000-0008-0000-1800-00001F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32" name="Straight Connector 31">
          <a:extLst>
            <a:ext uri="{FF2B5EF4-FFF2-40B4-BE49-F238E27FC236}">
              <a16:creationId xmlns:a16="http://schemas.microsoft.com/office/drawing/2014/main" id="{00000000-0008-0000-1800-000020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3" name="Straight Connector 32">
          <a:extLst>
            <a:ext uri="{FF2B5EF4-FFF2-40B4-BE49-F238E27FC236}">
              <a16:creationId xmlns:a16="http://schemas.microsoft.com/office/drawing/2014/main" id="{00000000-0008-0000-1800-000021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4" name="Rectangle 33">
          <a:hlinkClick xmlns:r="http://schemas.openxmlformats.org/officeDocument/2006/relationships" r:id="rId9" tooltip="Welcome"/>
          <a:extLst>
            <a:ext uri="{FF2B5EF4-FFF2-40B4-BE49-F238E27FC236}">
              <a16:creationId xmlns:a16="http://schemas.microsoft.com/office/drawing/2014/main" id="{00000000-0008-0000-1800-000022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5" name="Rectangle 34">
          <a:hlinkClick xmlns:r="http://schemas.openxmlformats.org/officeDocument/2006/relationships" r:id="rId10" tooltip="Instructions"/>
          <a:extLst>
            <a:ext uri="{FF2B5EF4-FFF2-40B4-BE49-F238E27FC236}">
              <a16:creationId xmlns:a16="http://schemas.microsoft.com/office/drawing/2014/main" id="{00000000-0008-0000-1800-000023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6" name="Rectangle 35">
          <a:hlinkClick xmlns:r="http://schemas.openxmlformats.org/officeDocument/2006/relationships" r:id="rId11" tooltip="Contact"/>
          <a:extLst>
            <a:ext uri="{FF2B5EF4-FFF2-40B4-BE49-F238E27FC236}">
              <a16:creationId xmlns:a16="http://schemas.microsoft.com/office/drawing/2014/main" id="{00000000-0008-0000-1800-000024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7" name="Rectangle 36">
          <a:hlinkClick xmlns:r="http://schemas.openxmlformats.org/officeDocument/2006/relationships" r:id="rId12" tooltip=" "/>
          <a:extLst>
            <a:ext uri="{FF2B5EF4-FFF2-40B4-BE49-F238E27FC236}">
              <a16:creationId xmlns:a16="http://schemas.microsoft.com/office/drawing/2014/main" id="{00000000-0008-0000-1800-000025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8" name="Rectangle 37">
          <a:hlinkClick xmlns:r="http://schemas.openxmlformats.org/officeDocument/2006/relationships" r:id="rId13" tooltip=" "/>
          <a:extLst>
            <a:ext uri="{FF2B5EF4-FFF2-40B4-BE49-F238E27FC236}">
              <a16:creationId xmlns:a16="http://schemas.microsoft.com/office/drawing/2014/main" id="{00000000-0008-0000-1800-000026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39" name="Rectangle 38">
          <a:hlinkClick xmlns:r="http://schemas.openxmlformats.org/officeDocument/2006/relationships" r:id="rId14" tooltip="Lighting"/>
          <a:extLst>
            <a:ext uri="{FF2B5EF4-FFF2-40B4-BE49-F238E27FC236}">
              <a16:creationId xmlns:a16="http://schemas.microsoft.com/office/drawing/2014/main" id="{00000000-0008-0000-1800-000027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40" name="Rectangle 39">
          <a:hlinkClick xmlns:r="http://schemas.openxmlformats.org/officeDocument/2006/relationships" r:id="rId15" tooltip="Lighting Controls"/>
          <a:extLst>
            <a:ext uri="{FF2B5EF4-FFF2-40B4-BE49-F238E27FC236}">
              <a16:creationId xmlns:a16="http://schemas.microsoft.com/office/drawing/2014/main" id="{00000000-0008-0000-1800-000028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44" name="Rectangle 43">
          <a:hlinkClick xmlns:r="http://schemas.openxmlformats.org/officeDocument/2006/relationships" r:id="rId16" tooltip="Refrigeration"/>
          <a:extLst>
            <a:ext uri="{FF2B5EF4-FFF2-40B4-BE49-F238E27FC236}">
              <a16:creationId xmlns:a16="http://schemas.microsoft.com/office/drawing/2014/main" id="{00000000-0008-0000-1800-00002C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46" name="Rectangle 45">
          <a:hlinkClick xmlns:r="http://schemas.openxmlformats.org/officeDocument/2006/relationships" r:id="rId17" tooltip="HVAC"/>
          <a:extLst>
            <a:ext uri="{FF2B5EF4-FFF2-40B4-BE49-F238E27FC236}">
              <a16:creationId xmlns:a16="http://schemas.microsoft.com/office/drawing/2014/main" id="{00000000-0008-0000-1800-00002E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49" name="Rectangle 48">
          <a:hlinkClick xmlns:r="http://schemas.openxmlformats.org/officeDocument/2006/relationships" r:id="rId18" tooltip="Motors and Drives"/>
          <a:extLst>
            <a:ext uri="{FF2B5EF4-FFF2-40B4-BE49-F238E27FC236}">
              <a16:creationId xmlns:a16="http://schemas.microsoft.com/office/drawing/2014/main" id="{00000000-0008-0000-1800-000031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50" name="Rectangle 49">
          <a:hlinkClick xmlns:r="http://schemas.openxmlformats.org/officeDocument/2006/relationships" r:id="rId19" tooltip="Compressed Air / Process"/>
          <a:extLst>
            <a:ext uri="{FF2B5EF4-FFF2-40B4-BE49-F238E27FC236}">
              <a16:creationId xmlns:a16="http://schemas.microsoft.com/office/drawing/2014/main" id="{00000000-0008-0000-1800-000032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51" name="Rectangle 50">
          <a:hlinkClick xmlns:r="http://schemas.openxmlformats.org/officeDocument/2006/relationships" r:id="rId20" tooltip="Water Heating / Food Services"/>
          <a:extLst>
            <a:ext uri="{FF2B5EF4-FFF2-40B4-BE49-F238E27FC236}">
              <a16:creationId xmlns:a16="http://schemas.microsoft.com/office/drawing/2014/main" id="{00000000-0008-0000-1800-000033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52" name="Rectangle 51">
          <a:hlinkClick xmlns:r="http://schemas.openxmlformats.org/officeDocument/2006/relationships" r:id="rId21" tooltip="Miscellaneous"/>
          <a:extLst>
            <a:ext uri="{FF2B5EF4-FFF2-40B4-BE49-F238E27FC236}">
              <a16:creationId xmlns:a16="http://schemas.microsoft.com/office/drawing/2014/main" id="{00000000-0008-0000-1800-000034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53" name="Arrow: Chevron 52">
          <a:hlinkClick xmlns:r="http://schemas.openxmlformats.org/officeDocument/2006/relationships" r:id="rId22" tooltip="Building Information"/>
          <a:extLst>
            <a:ext uri="{FF2B5EF4-FFF2-40B4-BE49-F238E27FC236}">
              <a16:creationId xmlns:a16="http://schemas.microsoft.com/office/drawing/2014/main" id="{00000000-0008-0000-1800-000035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43703</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714501" y="2700617"/>
          <a:ext cx="2151956" cy="166968"/>
          <a:chOff x="1714501" y="2700617"/>
          <a:chExt cx="2151956" cy="166968"/>
        </a:xfrm>
      </xdr:grpSpPr>
      <xdr:sp macro="" textlink="">
        <xdr:nvSpPr>
          <xdr:cNvPr id="67" name="Rectangle 66">
            <a:hlinkClick xmlns:r="http://schemas.openxmlformats.org/officeDocument/2006/relationships" r:id="rId23" tooltip="Standard"/>
            <a:extLst>
              <a:ext uri="{FF2B5EF4-FFF2-40B4-BE49-F238E27FC236}">
                <a16:creationId xmlns:a16="http://schemas.microsoft.com/office/drawing/2014/main" id="{00000000-0008-0000-1800-000043000000}"/>
              </a:ext>
            </a:extLst>
          </xdr:cNvPr>
          <xdr:cNvSpPr/>
        </xdr:nvSpPr>
        <xdr:spPr>
          <a:xfrm>
            <a:off x="1714501" y="2700617"/>
            <a:ext cx="1070651" cy="166968"/>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71" name="Rectangle 70">
            <a:hlinkClick xmlns:r="http://schemas.openxmlformats.org/officeDocument/2006/relationships" r:id="rId24" tooltip="Custom"/>
            <a:extLst>
              <a:ext uri="{FF2B5EF4-FFF2-40B4-BE49-F238E27FC236}">
                <a16:creationId xmlns:a16="http://schemas.microsoft.com/office/drawing/2014/main" id="{00000000-0008-0000-1800-000047000000}"/>
              </a:ext>
            </a:extLst>
          </xdr:cNvPr>
          <xdr:cNvSpPr/>
        </xdr:nvSpPr>
        <xdr:spPr>
          <a:xfrm>
            <a:off x="2796609" y="2700617"/>
            <a:ext cx="1069848" cy="164592"/>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180430</xdr:rowOff>
    </xdr:to>
    <xdr:pic>
      <xdr:nvPicPr>
        <xdr:cNvPr id="43" name="Picture 42">
          <a:extLst>
            <a:ext uri="{FF2B5EF4-FFF2-40B4-BE49-F238E27FC236}">
              <a16:creationId xmlns:a16="http://schemas.microsoft.com/office/drawing/2014/main" id="{00000000-0008-0000-1800-00002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37" name="Straight Connector 36">
          <a:extLst>
            <a:ext uri="{FF2B5EF4-FFF2-40B4-BE49-F238E27FC236}">
              <a16:creationId xmlns:a16="http://schemas.microsoft.com/office/drawing/2014/main" id="{00000000-0008-0000-1900-000025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53" name="Straight Connector 52">
          <a:extLst>
            <a:ext uri="{FF2B5EF4-FFF2-40B4-BE49-F238E27FC236}">
              <a16:creationId xmlns:a16="http://schemas.microsoft.com/office/drawing/2014/main" id="{00000000-0008-0000-1900-000035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54" name="Straight Connector 53">
          <a:extLst>
            <a:ext uri="{FF2B5EF4-FFF2-40B4-BE49-F238E27FC236}">
              <a16:creationId xmlns:a16="http://schemas.microsoft.com/office/drawing/2014/main" id="{00000000-0008-0000-1900-000036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55" name="Straight Connector 54">
          <a:extLst>
            <a:ext uri="{FF2B5EF4-FFF2-40B4-BE49-F238E27FC236}">
              <a16:creationId xmlns:a16="http://schemas.microsoft.com/office/drawing/2014/main" id="{00000000-0008-0000-1900-000037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56" name="Straight Connector 55">
          <a:extLst>
            <a:ext uri="{FF2B5EF4-FFF2-40B4-BE49-F238E27FC236}">
              <a16:creationId xmlns:a16="http://schemas.microsoft.com/office/drawing/2014/main" id="{00000000-0008-0000-1900-000038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57" name="Straight Connector 56">
          <a:extLst>
            <a:ext uri="{FF2B5EF4-FFF2-40B4-BE49-F238E27FC236}">
              <a16:creationId xmlns:a16="http://schemas.microsoft.com/office/drawing/2014/main" id="{00000000-0008-0000-1900-000039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58" name="Straight Connector 57">
          <a:extLst>
            <a:ext uri="{FF2B5EF4-FFF2-40B4-BE49-F238E27FC236}">
              <a16:creationId xmlns:a16="http://schemas.microsoft.com/office/drawing/2014/main" id="{00000000-0008-0000-1900-00003A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59" name="Straight Connector 58">
          <a:extLst>
            <a:ext uri="{FF2B5EF4-FFF2-40B4-BE49-F238E27FC236}">
              <a16:creationId xmlns:a16="http://schemas.microsoft.com/office/drawing/2014/main" id="{00000000-0008-0000-1900-00003B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212910</xdr:colOff>
      <xdr:row>8</xdr:row>
      <xdr:rowOff>100854</xdr:rowOff>
    </xdr:from>
    <xdr:to>
      <xdr:col>3</xdr:col>
      <xdr:colOff>112057</xdr:colOff>
      <xdr:row>10</xdr:row>
      <xdr:rowOff>108922</xdr:rowOff>
    </xdr:to>
    <xdr:sp macro="" textlink="">
      <xdr:nvSpPr>
        <xdr:cNvPr id="60" name="Arrow: Left 59">
          <a:hlinkClick xmlns:r="http://schemas.openxmlformats.org/officeDocument/2006/relationships" r:id="rId1" tooltip="Back: Lighting"/>
          <a:extLst>
            <a:ext uri="{FF2B5EF4-FFF2-40B4-BE49-F238E27FC236}">
              <a16:creationId xmlns:a16="http://schemas.microsoft.com/office/drawing/2014/main" id="{00000000-0008-0000-1900-00003C000000}"/>
            </a:ext>
          </a:extLst>
        </xdr:cNvPr>
        <xdr:cNvSpPr/>
      </xdr:nvSpPr>
      <xdr:spPr>
        <a:xfrm>
          <a:off x="529140" y="1687719"/>
          <a:ext cx="520177"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61" name="Arrow: Right 60">
          <a:hlinkClick xmlns:r="http://schemas.openxmlformats.org/officeDocument/2006/relationships" r:id="rId2" tooltip="Forward: Refrigeration"/>
          <a:extLst>
            <a:ext uri="{FF2B5EF4-FFF2-40B4-BE49-F238E27FC236}">
              <a16:creationId xmlns:a16="http://schemas.microsoft.com/office/drawing/2014/main" id="{00000000-0008-0000-1900-00003D000000}"/>
            </a:ext>
          </a:extLst>
        </xdr:cNvPr>
        <xdr:cNvSpPr/>
      </xdr:nvSpPr>
      <xdr:spPr>
        <a:xfrm>
          <a:off x="13269221" y="1687719"/>
          <a:ext cx="52385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62" name="Arrow: Chevron 61">
          <a:hlinkClick xmlns:r="http://schemas.openxmlformats.org/officeDocument/2006/relationships" r:id="rId3" tooltip="Terms &amp; Conditions"/>
          <a:extLst>
            <a:ext uri="{FF2B5EF4-FFF2-40B4-BE49-F238E27FC236}">
              <a16:creationId xmlns:a16="http://schemas.microsoft.com/office/drawing/2014/main" id="{00000000-0008-0000-1900-00003E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63" name="Arrow: Chevron 62">
          <a:hlinkClick xmlns:r="http://schemas.openxmlformats.org/officeDocument/2006/relationships" r:id="rId4" tooltip="Trade Ally/Vendor Information"/>
          <a:extLst>
            <a:ext uri="{FF2B5EF4-FFF2-40B4-BE49-F238E27FC236}">
              <a16:creationId xmlns:a16="http://schemas.microsoft.com/office/drawing/2014/main" id="{00000000-0008-0000-1900-00003F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64" name="Arrow: Chevron 63">
          <a:hlinkClick xmlns:r="http://schemas.openxmlformats.org/officeDocument/2006/relationships" r:id="rId5" tooltip="Customer Information"/>
          <a:extLst>
            <a:ext uri="{FF2B5EF4-FFF2-40B4-BE49-F238E27FC236}">
              <a16:creationId xmlns:a16="http://schemas.microsoft.com/office/drawing/2014/main" id="{00000000-0008-0000-1900-000040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66" name="Arrow: Chevron 65">
          <a:hlinkClick xmlns:r="http://schemas.openxmlformats.org/officeDocument/2006/relationships" r:id="rId6" tooltip="Equipment Input"/>
          <a:extLst>
            <a:ext uri="{FF2B5EF4-FFF2-40B4-BE49-F238E27FC236}">
              <a16:creationId xmlns:a16="http://schemas.microsoft.com/office/drawing/2014/main" id="{00000000-0008-0000-1900-000042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67" name="Arrow: Chevron 66">
          <a:hlinkClick xmlns:r="http://schemas.openxmlformats.org/officeDocument/2006/relationships" r:id="rId7" tooltip="Payment"/>
          <a:extLst>
            <a:ext uri="{FF2B5EF4-FFF2-40B4-BE49-F238E27FC236}">
              <a16:creationId xmlns:a16="http://schemas.microsoft.com/office/drawing/2014/main" id="{00000000-0008-0000-1900-000043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68" name="Arrow: Chevron 67">
          <a:hlinkClick xmlns:r="http://schemas.openxmlformats.org/officeDocument/2006/relationships" r:id="rId8" tooltip="Project Review"/>
          <a:extLst>
            <a:ext uri="{FF2B5EF4-FFF2-40B4-BE49-F238E27FC236}">
              <a16:creationId xmlns:a16="http://schemas.microsoft.com/office/drawing/2014/main" id="{00000000-0008-0000-1900-000044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9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9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9" name="Straight Connector 28">
          <a:extLst>
            <a:ext uri="{FF2B5EF4-FFF2-40B4-BE49-F238E27FC236}">
              <a16:creationId xmlns:a16="http://schemas.microsoft.com/office/drawing/2014/main" id="{00000000-0008-0000-1900-00001D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0" name="Rectangle 29">
          <a:hlinkClick xmlns:r="http://schemas.openxmlformats.org/officeDocument/2006/relationships" r:id="rId9" tooltip="Welcome"/>
          <a:extLst>
            <a:ext uri="{FF2B5EF4-FFF2-40B4-BE49-F238E27FC236}">
              <a16:creationId xmlns:a16="http://schemas.microsoft.com/office/drawing/2014/main" id="{00000000-0008-0000-1900-00001E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1" name="Rectangle 30">
          <a:hlinkClick xmlns:r="http://schemas.openxmlformats.org/officeDocument/2006/relationships" r:id="rId10" tooltip="Instructions"/>
          <a:extLst>
            <a:ext uri="{FF2B5EF4-FFF2-40B4-BE49-F238E27FC236}">
              <a16:creationId xmlns:a16="http://schemas.microsoft.com/office/drawing/2014/main" id="{00000000-0008-0000-1900-00001F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2" name="Rectangle 31">
          <a:hlinkClick xmlns:r="http://schemas.openxmlformats.org/officeDocument/2006/relationships" r:id="rId11" tooltip="Contact"/>
          <a:extLst>
            <a:ext uri="{FF2B5EF4-FFF2-40B4-BE49-F238E27FC236}">
              <a16:creationId xmlns:a16="http://schemas.microsoft.com/office/drawing/2014/main" id="{00000000-0008-0000-1900-000020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2" tooltip=" "/>
          <a:extLst>
            <a:ext uri="{FF2B5EF4-FFF2-40B4-BE49-F238E27FC236}">
              <a16:creationId xmlns:a16="http://schemas.microsoft.com/office/drawing/2014/main" id="{00000000-0008-0000-19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1900-000022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35" name="Rectangle 34">
          <a:hlinkClick xmlns:r="http://schemas.openxmlformats.org/officeDocument/2006/relationships" r:id="rId14" tooltip="Lighting"/>
          <a:extLst>
            <a:ext uri="{FF2B5EF4-FFF2-40B4-BE49-F238E27FC236}">
              <a16:creationId xmlns:a16="http://schemas.microsoft.com/office/drawing/2014/main" id="{00000000-0008-0000-1900-000023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41" name="Rectangle 40">
          <a:hlinkClick xmlns:r="http://schemas.openxmlformats.org/officeDocument/2006/relationships" r:id="rId15" tooltip="Lighting Controls"/>
          <a:extLst>
            <a:ext uri="{FF2B5EF4-FFF2-40B4-BE49-F238E27FC236}">
              <a16:creationId xmlns:a16="http://schemas.microsoft.com/office/drawing/2014/main" id="{00000000-0008-0000-1900-000029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42" name="Rectangle 41">
          <a:hlinkClick xmlns:r="http://schemas.openxmlformats.org/officeDocument/2006/relationships" r:id="rId16" tooltip="Refrigeration"/>
          <a:extLst>
            <a:ext uri="{FF2B5EF4-FFF2-40B4-BE49-F238E27FC236}">
              <a16:creationId xmlns:a16="http://schemas.microsoft.com/office/drawing/2014/main" id="{00000000-0008-0000-1900-00002A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43" name="Rectangle 42">
          <a:hlinkClick xmlns:r="http://schemas.openxmlformats.org/officeDocument/2006/relationships" r:id="rId17" tooltip="HVAC"/>
          <a:extLst>
            <a:ext uri="{FF2B5EF4-FFF2-40B4-BE49-F238E27FC236}">
              <a16:creationId xmlns:a16="http://schemas.microsoft.com/office/drawing/2014/main" id="{00000000-0008-0000-1900-00002B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44" name="Rectangle 43">
          <a:hlinkClick xmlns:r="http://schemas.openxmlformats.org/officeDocument/2006/relationships" r:id="rId18" tooltip="Motors and Drives"/>
          <a:extLst>
            <a:ext uri="{FF2B5EF4-FFF2-40B4-BE49-F238E27FC236}">
              <a16:creationId xmlns:a16="http://schemas.microsoft.com/office/drawing/2014/main" id="{00000000-0008-0000-1900-00002C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45" name="Rectangle 44">
          <a:hlinkClick xmlns:r="http://schemas.openxmlformats.org/officeDocument/2006/relationships" r:id="rId19" tooltip="Compressed Air / Process"/>
          <a:extLst>
            <a:ext uri="{FF2B5EF4-FFF2-40B4-BE49-F238E27FC236}">
              <a16:creationId xmlns:a16="http://schemas.microsoft.com/office/drawing/2014/main" id="{00000000-0008-0000-1900-00002D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49" name="Rectangle 48">
          <a:hlinkClick xmlns:r="http://schemas.openxmlformats.org/officeDocument/2006/relationships" r:id="rId20" tooltip="Water Heating / Food Services"/>
          <a:extLst>
            <a:ext uri="{FF2B5EF4-FFF2-40B4-BE49-F238E27FC236}">
              <a16:creationId xmlns:a16="http://schemas.microsoft.com/office/drawing/2014/main" id="{00000000-0008-0000-1900-000031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50" name="Rectangle 49">
          <a:hlinkClick xmlns:r="http://schemas.openxmlformats.org/officeDocument/2006/relationships" r:id="rId21" tooltip="Miscellaneous"/>
          <a:extLst>
            <a:ext uri="{FF2B5EF4-FFF2-40B4-BE49-F238E27FC236}">
              <a16:creationId xmlns:a16="http://schemas.microsoft.com/office/drawing/2014/main" id="{00000000-0008-0000-1900-000032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51" name="Arrow: Chevron 50">
          <a:hlinkClick xmlns:r="http://schemas.openxmlformats.org/officeDocument/2006/relationships" r:id="rId22" tooltip="Building Information"/>
          <a:extLst>
            <a:ext uri="{FF2B5EF4-FFF2-40B4-BE49-F238E27FC236}">
              <a16:creationId xmlns:a16="http://schemas.microsoft.com/office/drawing/2014/main" id="{00000000-0008-0000-1900-000033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43703</xdr:rowOff>
    </xdr:to>
    <xdr:grpSp>
      <xdr:nvGrpSpPr>
        <xdr:cNvPr id="2" name="Group 1">
          <a:extLst>
            <a:ext uri="{FF2B5EF4-FFF2-40B4-BE49-F238E27FC236}">
              <a16:creationId xmlns:a16="http://schemas.microsoft.com/office/drawing/2014/main" id="{00000000-0008-0000-1900-000002000000}"/>
            </a:ext>
          </a:extLst>
        </xdr:cNvPr>
        <xdr:cNvGrpSpPr/>
      </xdr:nvGrpSpPr>
      <xdr:grpSpPr>
        <a:xfrm>
          <a:off x="1714501" y="2700617"/>
          <a:ext cx="2151956" cy="166968"/>
          <a:chOff x="1714501" y="2700617"/>
          <a:chExt cx="2151956" cy="166968"/>
        </a:xfrm>
      </xdr:grpSpPr>
      <xdr:sp macro="" textlink="">
        <xdr:nvSpPr>
          <xdr:cNvPr id="39" name="Rectangle 38">
            <a:hlinkClick xmlns:r="http://schemas.openxmlformats.org/officeDocument/2006/relationships" r:id="rId23" tooltip="Standard"/>
            <a:extLst>
              <a:ext uri="{FF2B5EF4-FFF2-40B4-BE49-F238E27FC236}">
                <a16:creationId xmlns:a16="http://schemas.microsoft.com/office/drawing/2014/main" id="{00000000-0008-0000-1900-000027000000}"/>
              </a:ext>
            </a:extLst>
          </xdr:cNvPr>
          <xdr:cNvSpPr/>
        </xdr:nvSpPr>
        <xdr:spPr>
          <a:xfrm>
            <a:off x="1714501" y="2700617"/>
            <a:ext cx="1070651" cy="166968"/>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40" name="Rectangle 39">
            <a:hlinkClick xmlns:r="http://schemas.openxmlformats.org/officeDocument/2006/relationships" r:id="rId24" tooltip="Custom"/>
            <a:extLst>
              <a:ext uri="{FF2B5EF4-FFF2-40B4-BE49-F238E27FC236}">
                <a16:creationId xmlns:a16="http://schemas.microsoft.com/office/drawing/2014/main" id="{00000000-0008-0000-1900-000028000000}"/>
              </a:ext>
            </a:extLst>
          </xdr:cNvPr>
          <xdr:cNvSpPr/>
        </xdr:nvSpPr>
        <xdr:spPr>
          <a:xfrm>
            <a:off x="2796609" y="2700617"/>
            <a:ext cx="1069848" cy="164592"/>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186145</xdr:rowOff>
    </xdr:to>
    <xdr:pic>
      <xdr:nvPicPr>
        <xdr:cNvPr id="46" name="Picture 45">
          <a:extLst>
            <a:ext uri="{FF2B5EF4-FFF2-40B4-BE49-F238E27FC236}">
              <a16:creationId xmlns:a16="http://schemas.microsoft.com/office/drawing/2014/main" id="{00000000-0008-0000-1900-00002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30" name="Straight Connector 29">
          <a:extLst>
            <a:ext uri="{FF2B5EF4-FFF2-40B4-BE49-F238E27FC236}">
              <a16:creationId xmlns:a16="http://schemas.microsoft.com/office/drawing/2014/main" id="{00000000-0008-0000-1A00-00001E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46" name="Straight Connector 45">
          <a:extLst>
            <a:ext uri="{FF2B5EF4-FFF2-40B4-BE49-F238E27FC236}">
              <a16:creationId xmlns:a16="http://schemas.microsoft.com/office/drawing/2014/main" id="{00000000-0008-0000-1A00-00002E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47" name="Straight Connector 46">
          <a:extLst>
            <a:ext uri="{FF2B5EF4-FFF2-40B4-BE49-F238E27FC236}">
              <a16:creationId xmlns:a16="http://schemas.microsoft.com/office/drawing/2014/main" id="{00000000-0008-0000-1A00-00002F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48" name="Straight Connector 47">
          <a:extLst>
            <a:ext uri="{FF2B5EF4-FFF2-40B4-BE49-F238E27FC236}">
              <a16:creationId xmlns:a16="http://schemas.microsoft.com/office/drawing/2014/main" id="{00000000-0008-0000-1A00-000030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49" name="Straight Connector 48">
          <a:extLst>
            <a:ext uri="{FF2B5EF4-FFF2-40B4-BE49-F238E27FC236}">
              <a16:creationId xmlns:a16="http://schemas.microsoft.com/office/drawing/2014/main" id="{00000000-0008-0000-1A00-000031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50" name="Straight Connector 49">
          <a:extLst>
            <a:ext uri="{FF2B5EF4-FFF2-40B4-BE49-F238E27FC236}">
              <a16:creationId xmlns:a16="http://schemas.microsoft.com/office/drawing/2014/main" id="{00000000-0008-0000-1A00-000032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51" name="Straight Connector 50">
          <a:extLst>
            <a:ext uri="{FF2B5EF4-FFF2-40B4-BE49-F238E27FC236}">
              <a16:creationId xmlns:a16="http://schemas.microsoft.com/office/drawing/2014/main" id="{00000000-0008-0000-1A00-000033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52" name="Straight Connector 51">
          <a:extLst>
            <a:ext uri="{FF2B5EF4-FFF2-40B4-BE49-F238E27FC236}">
              <a16:creationId xmlns:a16="http://schemas.microsoft.com/office/drawing/2014/main" id="{00000000-0008-0000-1A00-000034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212910</xdr:colOff>
      <xdr:row>8</xdr:row>
      <xdr:rowOff>100854</xdr:rowOff>
    </xdr:from>
    <xdr:to>
      <xdr:col>3</xdr:col>
      <xdr:colOff>112057</xdr:colOff>
      <xdr:row>10</xdr:row>
      <xdr:rowOff>108922</xdr:rowOff>
    </xdr:to>
    <xdr:sp macro="" textlink="">
      <xdr:nvSpPr>
        <xdr:cNvPr id="53" name="Arrow: Left 52">
          <a:hlinkClick xmlns:r="http://schemas.openxmlformats.org/officeDocument/2006/relationships" r:id="rId1" tooltip="Back: Lighting Controls"/>
          <a:extLst>
            <a:ext uri="{FF2B5EF4-FFF2-40B4-BE49-F238E27FC236}">
              <a16:creationId xmlns:a16="http://schemas.microsoft.com/office/drawing/2014/main" id="{00000000-0008-0000-1A00-000035000000}"/>
            </a:ext>
          </a:extLst>
        </xdr:cNvPr>
        <xdr:cNvSpPr/>
      </xdr:nvSpPr>
      <xdr:spPr>
        <a:xfrm>
          <a:off x="529140" y="1687719"/>
          <a:ext cx="520177"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54" name="Arrow: Right 53">
          <a:hlinkClick xmlns:r="http://schemas.openxmlformats.org/officeDocument/2006/relationships" r:id="rId2" tooltip="Forward: HVAC"/>
          <a:extLst>
            <a:ext uri="{FF2B5EF4-FFF2-40B4-BE49-F238E27FC236}">
              <a16:creationId xmlns:a16="http://schemas.microsoft.com/office/drawing/2014/main" id="{00000000-0008-0000-1A00-000036000000}"/>
            </a:ext>
          </a:extLst>
        </xdr:cNvPr>
        <xdr:cNvSpPr/>
      </xdr:nvSpPr>
      <xdr:spPr>
        <a:xfrm>
          <a:off x="13269221" y="1687719"/>
          <a:ext cx="52385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55" name="Arrow: Chevron 54">
          <a:hlinkClick xmlns:r="http://schemas.openxmlformats.org/officeDocument/2006/relationships" r:id="rId3" tooltip="Terms &amp; Conditions"/>
          <a:extLst>
            <a:ext uri="{FF2B5EF4-FFF2-40B4-BE49-F238E27FC236}">
              <a16:creationId xmlns:a16="http://schemas.microsoft.com/office/drawing/2014/main" id="{00000000-0008-0000-1A00-000037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56" name="Arrow: Chevron 55">
          <a:hlinkClick xmlns:r="http://schemas.openxmlformats.org/officeDocument/2006/relationships" r:id="rId4" tooltip="Trade Ally/Vendor Information"/>
          <a:extLst>
            <a:ext uri="{FF2B5EF4-FFF2-40B4-BE49-F238E27FC236}">
              <a16:creationId xmlns:a16="http://schemas.microsoft.com/office/drawing/2014/main" id="{00000000-0008-0000-1A00-000038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57" name="Arrow: Chevron 56">
          <a:hlinkClick xmlns:r="http://schemas.openxmlformats.org/officeDocument/2006/relationships" r:id="rId5" tooltip="Customer Information"/>
          <a:extLst>
            <a:ext uri="{FF2B5EF4-FFF2-40B4-BE49-F238E27FC236}">
              <a16:creationId xmlns:a16="http://schemas.microsoft.com/office/drawing/2014/main" id="{00000000-0008-0000-1A00-000039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9" name="Arrow: Chevron 58">
          <a:hlinkClick xmlns:r="http://schemas.openxmlformats.org/officeDocument/2006/relationships" r:id="rId6" tooltip="Equipment Input"/>
          <a:extLst>
            <a:ext uri="{FF2B5EF4-FFF2-40B4-BE49-F238E27FC236}">
              <a16:creationId xmlns:a16="http://schemas.microsoft.com/office/drawing/2014/main" id="{00000000-0008-0000-1A00-00003B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60" name="Arrow: Chevron 59">
          <a:hlinkClick xmlns:r="http://schemas.openxmlformats.org/officeDocument/2006/relationships" r:id="rId7" tooltip="Payment"/>
          <a:extLst>
            <a:ext uri="{FF2B5EF4-FFF2-40B4-BE49-F238E27FC236}">
              <a16:creationId xmlns:a16="http://schemas.microsoft.com/office/drawing/2014/main" id="{00000000-0008-0000-1A00-00003C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61" name="Arrow: Chevron 60">
          <a:hlinkClick xmlns:r="http://schemas.openxmlformats.org/officeDocument/2006/relationships" r:id="rId8" tooltip="Project Review"/>
          <a:extLst>
            <a:ext uri="{FF2B5EF4-FFF2-40B4-BE49-F238E27FC236}">
              <a16:creationId xmlns:a16="http://schemas.microsoft.com/office/drawing/2014/main" id="{00000000-0008-0000-1A00-00003D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A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A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4" name="Straight Connector 33">
          <a:extLst>
            <a:ext uri="{FF2B5EF4-FFF2-40B4-BE49-F238E27FC236}">
              <a16:creationId xmlns:a16="http://schemas.microsoft.com/office/drawing/2014/main" id="{00000000-0008-0000-1A00-000022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5" name="Rectangle 34">
          <a:hlinkClick xmlns:r="http://schemas.openxmlformats.org/officeDocument/2006/relationships" r:id="rId9" tooltip="Welcome"/>
          <a:extLst>
            <a:ext uri="{FF2B5EF4-FFF2-40B4-BE49-F238E27FC236}">
              <a16:creationId xmlns:a16="http://schemas.microsoft.com/office/drawing/2014/main" id="{00000000-0008-0000-1A00-000023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6" name="Rectangle 35">
          <a:hlinkClick xmlns:r="http://schemas.openxmlformats.org/officeDocument/2006/relationships" r:id="rId10" tooltip="Instructions"/>
          <a:extLst>
            <a:ext uri="{FF2B5EF4-FFF2-40B4-BE49-F238E27FC236}">
              <a16:creationId xmlns:a16="http://schemas.microsoft.com/office/drawing/2014/main" id="{00000000-0008-0000-1A00-000024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7" name="Rectangle 36">
          <a:hlinkClick xmlns:r="http://schemas.openxmlformats.org/officeDocument/2006/relationships" r:id="rId11" tooltip="Contact"/>
          <a:extLst>
            <a:ext uri="{FF2B5EF4-FFF2-40B4-BE49-F238E27FC236}">
              <a16:creationId xmlns:a16="http://schemas.microsoft.com/office/drawing/2014/main" id="{00000000-0008-0000-1A00-000025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8" name="Rectangle 37">
          <a:hlinkClick xmlns:r="http://schemas.openxmlformats.org/officeDocument/2006/relationships" r:id="rId12" tooltip=" "/>
          <a:extLst>
            <a:ext uri="{FF2B5EF4-FFF2-40B4-BE49-F238E27FC236}">
              <a16:creationId xmlns:a16="http://schemas.microsoft.com/office/drawing/2014/main" id="{00000000-0008-0000-1A00-000026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9" name="Rectangle 38">
          <a:hlinkClick xmlns:r="http://schemas.openxmlformats.org/officeDocument/2006/relationships" r:id="rId13" tooltip=" "/>
          <a:extLst>
            <a:ext uri="{FF2B5EF4-FFF2-40B4-BE49-F238E27FC236}">
              <a16:creationId xmlns:a16="http://schemas.microsoft.com/office/drawing/2014/main" id="{00000000-0008-0000-1A00-000027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40" name="Rectangle 39">
          <a:hlinkClick xmlns:r="http://schemas.openxmlformats.org/officeDocument/2006/relationships" r:id="rId14" tooltip="Lighting"/>
          <a:extLst>
            <a:ext uri="{FF2B5EF4-FFF2-40B4-BE49-F238E27FC236}">
              <a16:creationId xmlns:a16="http://schemas.microsoft.com/office/drawing/2014/main" id="{00000000-0008-0000-1A00-000028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41" name="Rectangle 40">
          <a:hlinkClick xmlns:r="http://schemas.openxmlformats.org/officeDocument/2006/relationships" r:id="rId15" tooltip="Lighting Controls"/>
          <a:extLst>
            <a:ext uri="{FF2B5EF4-FFF2-40B4-BE49-F238E27FC236}">
              <a16:creationId xmlns:a16="http://schemas.microsoft.com/office/drawing/2014/main" id="{00000000-0008-0000-1A00-000029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42" name="Rectangle 41">
          <a:hlinkClick xmlns:r="http://schemas.openxmlformats.org/officeDocument/2006/relationships" r:id="rId16" tooltip="Refrigeration"/>
          <a:extLst>
            <a:ext uri="{FF2B5EF4-FFF2-40B4-BE49-F238E27FC236}">
              <a16:creationId xmlns:a16="http://schemas.microsoft.com/office/drawing/2014/main" id="{00000000-0008-0000-1A00-00002A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62" name="Rectangle 61">
          <a:hlinkClick xmlns:r="http://schemas.openxmlformats.org/officeDocument/2006/relationships" r:id="rId17" tooltip="HVAC"/>
          <a:extLst>
            <a:ext uri="{FF2B5EF4-FFF2-40B4-BE49-F238E27FC236}">
              <a16:creationId xmlns:a16="http://schemas.microsoft.com/office/drawing/2014/main" id="{00000000-0008-0000-1A00-00003E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63" name="Rectangle 62">
          <a:hlinkClick xmlns:r="http://schemas.openxmlformats.org/officeDocument/2006/relationships" r:id="rId18" tooltip="Motors and Drives"/>
          <a:extLst>
            <a:ext uri="{FF2B5EF4-FFF2-40B4-BE49-F238E27FC236}">
              <a16:creationId xmlns:a16="http://schemas.microsoft.com/office/drawing/2014/main" id="{00000000-0008-0000-1A00-00003F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64" name="Rectangle 63">
          <a:hlinkClick xmlns:r="http://schemas.openxmlformats.org/officeDocument/2006/relationships" r:id="rId19" tooltip="Compressed Air / Process"/>
          <a:extLst>
            <a:ext uri="{FF2B5EF4-FFF2-40B4-BE49-F238E27FC236}">
              <a16:creationId xmlns:a16="http://schemas.microsoft.com/office/drawing/2014/main" id="{00000000-0008-0000-1A00-000040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65" name="Rectangle 64">
          <a:hlinkClick xmlns:r="http://schemas.openxmlformats.org/officeDocument/2006/relationships" r:id="rId20" tooltip="Water Heating / Food Services"/>
          <a:extLst>
            <a:ext uri="{FF2B5EF4-FFF2-40B4-BE49-F238E27FC236}">
              <a16:creationId xmlns:a16="http://schemas.microsoft.com/office/drawing/2014/main" id="{00000000-0008-0000-1A00-000041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66" name="Rectangle 65">
          <a:hlinkClick xmlns:r="http://schemas.openxmlformats.org/officeDocument/2006/relationships" r:id="rId21" tooltip="Miscellaneous"/>
          <a:extLst>
            <a:ext uri="{FF2B5EF4-FFF2-40B4-BE49-F238E27FC236}">
              <a16:creationId xmlns:a16="http://schemas.microsoft.com/office/drawing/2014/main" id="{00000000-0008-0000-1A00-000042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7" name="Arrow: Chevron 66">
          <a:hlinkClick xmlns:r="http://schemas.openxmlformats.org/officeDocument/2006/relationships" r:id="rId22" tooltip="Building Information"/>
          <a:extLst>
            <a:ext uri="{FF2B5EF4-FFF2-40B4-BE49-F238E27FC236}">
              <a16:creationId xmlns:a16="http://schemas.microsoft.com/office/drawing/2014/main" id="{00000000-0008-0000-1A00-000043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43703</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1714501" y="2700617"/>
          <a:ext cx="2151956" cy="166968"/>
          <a:chOff x="1714501" y="2700617"/>
          <a:chExt cx="2151956" cy="166968"/>
        </a:xfrm>
      </xdr:grpSpPr>
      <xdr:sp macro="" textlink="">
        <xdr:nvSpPr>
          <xdr:cNvPr id="68" name="Rectangle 67">
            <a:hlinkClick xmlns:r="http://schemas.openxmlformats.org/officeDocument/2006/relationships" r:id="rId23" tooltip="Standard"/>
            <a:extLst>
              <a:ext uri="{FF2B5EF4-FFF2-40B4-BE49-F238E27FC236}">
                <a16:creationId xmlns:a16="http://schemas.microsoft.com/office/drawing/2014/main" id="{00000000-0008-0000-1A00-000044000000}"/>
              </a:ext>
            </a:extLst>
          </xdr:cNvPr>
          <xdr:cNvSpPr/>
        </xdr:nvSpPr>
        <xdr:spPr>
          <a:xfrm>
            <a:off x="1714501" y="2700617"/>
            <a:ext cx="1070651" cy="166968"/>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9" name="Rectangle 68">
            <a:hlinkClick xmlns:r="http://schemas.openxmlformats.org/officeDocument/2006/relationships" r:id="rId24" tooltip="Custom"/>
            <a:extLst>
              <a:ext uri="{FF2B5EF4-FFF2-40B4-BE49-F238E27FC236}">
                <a16:creationId xmlns:a16="http://schemas.microsoft.com/office/drawing/2014/main" id="{00000000-0008-0000-1A00-000045000000}"/>
              </a:ext>
            </a:extLst>
          </xdr:cNvPr>
          <xdr:cNvSpPr/>
        </xdr:nvSpPr>
        <xdr:spPr>
          <a:xfrm>
            <a:off x="2796609" y="2700617"/>
            <a:ext cx="1069848" cy="164592"/>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178525</xdr:rowOff>
    </xdr:to>
    <xdr:pic>
      <xdr:nvPicPr>
        <xdr:cNvPr id="43" name="Picture 42">
          <a:extLst>
            <a:ext uri="{FF2B5EF4-FFF2-40B4-BE49-F238E27FC236}">
              <a16:creationId xmlns:a16="http://schemas.microsoft.com/office/drawing/2014/main" id="{00000000-0008-0000-1A00-00002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30" name="Straight Connector 29">
          <a:extLst>
            <a:ext uri="{FF2B5EF4-FFF2-40B4-BE49-F238E27FC236}">
              <a16:creationId xmlns:a16="http://schemas.microsoft.com/office/drawing/2014/main" id="{00000000-0008-0000-1B00-00001E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34" name="Straight Connector 33">
          <a:extLst>
            <a:ext uri="{FF2B5EF4-FFF2-40B4-BE49-F238E27FC236}">
              <a16:creationId xmlns:a16="http://schemas.microsoft.com/office/drawing/2014/main" id="{00000000-0008-0000-1B00-000022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35" name="Straight Connector 34">
          <a:extLst>
            <a:ext uri="{FF2B5EF4-FFF2-40B4-BE49-F238E27FC236}">
              <a16:creationId xmlns:a16="http://schemas.microsoft.com/office/drawing/2014/main" id="{00000000-0008-0000-1B00-000023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48" name="Straight Connector 47">
          <a:extLst>
            <a:ext uri="{FF2B5EF4-FFF2-40B4-BE49-F238E27FC236}">
              <a16:creationId xmlns:a16="http://schemas.microsoft.com/office/drawing/2014/main" id="{00000000-0008-0000-1B00-000030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49" name="Straight Connector 48">
          <a:extLst>
            <a:ext uri="{FF2B5EF4-FFF2-40B4-BE49-F238E27FC236}">
              <a16:creationId xmlns:a16="http://schemas.microsoft.com/office/drawing/2014/main" id="{00000000-0008-0000-1B00-000031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50" name="Straight Connector 49">
          <a:extLst>
            <a:ext uri="{FF2B5EF4-FFF2-40B4-BE49-F238E27FC236}">
              <a16:creationId xmlns:a16="http://schemas.microsoft.com/office/drawing/2014/main" id="{00000000-0008-0000-1B00-000032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51" name="Straight Connector 50">
          <a:extLst>
            <a:ext uri="{FF2B5EF4-FFF2-40B4-BE49-F238E27FC236}">
              <a16:creationId xmlns:a16="http://schemas.microsoft.com/office/drawing/2014/main" id="{00000000-0008-0000-1B00-000033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52" name="Straight Connector 51">
          <a:extLst>
            <a:ext uri="{FF2B5EF4-FFF2-40B4-BE49-F238E27FC236}">
              <a16:creationId xmlns:a16="http://schemas.microsoft.com/office/drawing/2014/main" id="{00000000-0008-0000-1B00-000034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212910</xdr:colOff>
      <xdr:row>8</xdr:row>
      <xdr:rowOff>100854</xdr:rowOff>
    </xdr:from>
    <xdr:to>
      <xdr:col>3</xdr:col>
      <xdr:colOff>112057</xdr:colOff>
      <xdr:row>10</xdr:row>
      <xdr:rowOff>108922</xdr:rowOff>
    </xdr:to>
    <xdr:sp macro="" textlink="">
      <xdr:nvSpPr>
        <xdr:cNvPr id="53" name="Arrow: Left 52">
          <a:hlinkClick xmlns:r="http://schemas.openxmlformats.org/officeDocument/2006/relationships" r:id="rId1" tooltip="Back: Refrigeration"/>
          <a:extLst>
            <a:ext uri="{FF2B5EF4-FFF2-40B4-BE49-F238E27FC236}">
              <a16:creationId xmlns:a16="http://schemas.microsoft.com/office/drawing/2014/main" id="{00000000-0008-0000-1B00-000035000000}"/>
            </a:ext>
          </a:extLst>
        </xdr:cNvPr>
        <xdr:cNvSpPr/>
      </xdr:nvSpPr>
      <xdr:spPr>
        <a:xfrm>
          <a:off x="529140" y="1687719"/>
          <a:ext cx="520177"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54" name="Arrow: Right 53">
          <a:hlinkClick xmlns:r="http://schemas.openxmlformats.org/officeDocument/2006/relationships" r:id="rId2" tooltip="Forward: Motors and Drives"/>
          <a:extLst>
            <a:ext uri="{FF2B5EF4-FFF2-40B4-BE49-F238E27FC236}">
              <a16:creationId xmlns:a16="http://schemas.microsoft.com/office/drawing/2014/main" id="{00000000-0008-0000-1B00-000036000000}"/>
            </a:ext>
          </a:extLst>
        </xdr:cNvPr>
        <xdr:cNvSpPr/>
      </xdr:nvSpPr>
      <xdr:spPr>
        <a:xfrm>
          <a:off x="13269221" y="1687719"/>
          <a:ext cx="52385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55" name="Arrow: Chevron 54">
          <a:hlinkClick xmlns:r="http://schemas.openxmlformats.org/officeDocument/2006/relationships" r:id="rId3" tooltip="Terms &amp; Conditions"/>
          <a:extLst>
            <a:ext uri="{FF2B5EF4-FFF2-40B4-BE49-F238E27FC236}">
              <a16:creationId xmlns:a16="http://schemas.microsoft.com/office/drawing/2014/main" id="{00000000-0008-0000-1B00-000037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56" name="Arrow: Chevron 55">
          <a:hlinkClick xmlns:r="http://schemas.openxmlformats.org/officeDocument/2006/relationships" r:id="rId4" tooltip="Trade Ally/Vendor Information"/>
          <a:extLst>
            <a:ext uri="{FF2B5EF4-FFF2-40B4-BE49-F238E27FC236}">
              <a16:creationId xmlns:a16="http://schemas.microsoft.com/office/drawing/2014/main" id="{00000000-0008-0000-1B00-000038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57" name="Arrow: Chevron 56">
          <a:hlinkClick xmlns:r="http://schemas.openxmlformats.org/officeDocument/2006/relationships" r:id="rId5" tooltip="Customer Information"/>
          <a:extLst>
            <a:ext uri="{FF2B5EF4-FFF2-40B4-BE49-F238E27FC236}">
              <a16:creationId xmlns:a16="http://schemas.microsoft.com/office/drawing/2014/main" id="{00000000-0008-0000-1B00-000039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9" name="Arrow: Chevron 58">
          <a:hlinkClick xmlns:r="http://schemas.openxmlformats.org/officeDocument/2006/relationships" r:id="rId6" tooltip="Equipment Input"/>
          <a:extLst>
            <a:ext uri="{FF2B5EF4-FFF2-40B4-BE49-F238E27FC236}">
              <a16:creationId xmlns:a16="http://schemas.microsoft.com/office/drawing/2014/main" id="{00000000-0008-0000-1B00-00003B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60" name="Arrow: Chevron 59">
          <a:hlinkClick xmlns:r="http://schemas.openxmlformats.org/officeDocument/2006/relationships" r:id="rId7" tooltip="Payment"/>
          <a:extLst>
            <a:ext uri="{FF2B5EF4-FFF2-40B4-BE49-F238E27FC236}">
              <a16:creationId xmlns:a16="http://schemas.microsoft.com/office/drawing/2014/main" id="{00000000-0008-0000-1B00-00003C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61" name="Arrow: Chevron 60">
          <a:hlinkClick xmlns:r="http://schemas.openxmlformats.org/officeDocument/2006/relationships" r:id="rId8" tooltip="Project Review"/>
          <a:extLst>
            <a:ext uri="{FF2B5EF4-FFF2-40B4-BE49-F238E27FC236}">
              <a16:creationId xmlns:a16="http://schemas.microsoft.com/office/drawing/2014/main" id="{00000000-0008-0000-1B00-00003D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B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B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6" name="Straight Connector 35">
          <a:extLst>
            <a:ext uri="{FF2B5EF4-FFF2-40B4-BE49-F238E27FC236}">
              <a16:creationId xmlns:a16="http://schemas.microsoft.com/office/drawing/2014/main" id="{00000000-0008-0000-1B00-000024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7" name="Rectangle 36">
          <a:hlinkClick xmlns:r="http://schemas.openxmlformats.org/officeDocument/2006/relationships" r:id="rId9" tooltip="Welcome"/>
          <a:extLst>
            <a:ext uri="{FF2B5EF4-FFF2-40B4-BE49-F238E27FC236}">
              <a16:creationId xmlns:a16="http://schemas.microsoft.com/office/drawing/2014/main" id="{00000000-0008-0000-1B00-000025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8" name="Rectangle 37">
          <a:hlinkClick xmlns:r="http://schemas.openxmlformats.org/officeDocument/2006/relationships" r:id="rId10" tooltip="Instructions"/>
          <a:extLst>
            <a:ext uri="{FF2B5EF4-FFF2-40B4-BE49-F238E27FC236}">
              <a16:creationId xmlns:a16="http://schemas.microsoft.com/office/drawing/2014/main" id="{00000000-0008-0000-1B00-000026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9" name="Rectangle 38">
          <a:hlinkClick xmlns:r="http://schemas.openxmlformats.org/officeDocument/2006/relationships" r:id="rId11" tooltip="Contact"/>
          <a:extLst>
            <a:ext uri="{FF2B5EF4-FFF2-40B4-BE49-F238E27FC236}">
              <a16:creationId xmlns:a16="http://schemas.microsoft.com/office/drawing/2014/main" id="{00000000-0008-0000-1B00-000027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40" name="Rectangle 39">
          <a:hlinkClick xmlns:r="http://schemas.openxmlformats.org/officeDocument/2006/relationships" r:id="rId12" tooltip=" "/>
          <a:extLst>
            <a:ext uri="{FF2B5EF4-FFF2-40B4-BE49-F238E27FC236}">
              <a16:creationId xmlns:a16="http://schemas.microsoft.com/office/drawing/2014/main" id="{00000000-0008-0000-1B00-000028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41" name="Rectangle 40">
          <a:hlinkClick xmlns:r="http://schemas.openxmlformats.org/officeDocument/2006/relationships" r:id="rId13" tooltip=" "/>
          <a:extLst>
            <a:ext uri="{FF2B5EF4-FFF2-40B4-BE49-F238E27FC236}">
              <a16:creationId xmlns:a16="http://schemas.microsoft.com/office/drawing/2014/main" id="{00000000-0008-0000-1B00-000029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42" name="Rectangle 41">
          <a:hlinkClick xmlns:r="http://schemas.openxmlformats.org/officeDocument/2006/relationships" r:id="rId14" tooltip="Lighting"/>
          <a:extLst>
            <a:ext uri="{FF2B5EF4-FFF2-40B4-BE49-F238E27FC236}">
              <a16:creationId xmlns:a16="http://schemas.microsoft.com/office/drawing/2014/main" id="{00000000-0008-0000-1B00-00002A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43" name="Rectangle 42">
          <a:hlinkClick xmlns:r="http://schemas.openxmlformats.org/officeDocument/2006/relationships" r:id="rId15" tooltip="Lighting Controls"/>
          <a:extLst>
            <a:ext uri="{FF2B5EF4-FFF2-40B4-BE49-F238E27FC236}">
              <a16:creationId xmlns:a16="http://schemas.microsoft.com/office/drawing/2014/main" id="{00000000-0008-0000-1B00-00002B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44" name="Rectangle 43">
          <a:hlinkClick xmlns:r="http://schemas.openxmlformats.org/officeDocument/2006/relationships" r:id="rId16" tooltip="Refrigeration"/>
          <a:extLst>
            <a:ext uri="{FF2B5EF4-FFF2-40B4-BE49-F238E27FC236}">
              <a16:creationId xmlns:a16="http://schemas.microsoft.com/office/drawing/2014/main" id="{00000000-0008-0000-1B00-00002C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62" name="Rectangle 61">
          <a:hlinkClick xmlns:r="http://schemas.openxmlformats.org/officeDocument/2006/relationships" r:id="rId17" tooltip="HVAC"/>
          <a:extLst>
            <a:ext uri="{FF2B5EF4-FFF2-40B4-BE49-F238E27FC236}">
              <a16:creationId xmlns:a16="http://schemas.microsoft.com/office/drawing/2014/main" id="{00000000-0008-0000-1B00-00003E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63" name="Rectangle 62">
          <a:hlinkClick xmlns:r="http://schemas.openxmlformats.org/officeDocument/2006/relationships" r:id="rId18" tooltip="Motors and Drives"/>
          <a:extLst>
            <a:ext uri="{FF2B5EF4-FFF2-40B4-BE49-F238E27FC236}">
              <a16:creationId xmlns:a16="http://schemas.microsoft.com/office/drawing/2014/main" id="{00000000-0008-0000-1B00-00003F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64" name="Rectangle 63">
          <a:hlinkClick xmlns:r="http://schemas.openxmlformats.org/officeDocument/2006/relationships" r:id="rId19" tooltip="Compressed Air / Process"/>
          <a:extLst>
            <a:ext uri="{FF2B5EF4-FFF2-40B4-BE49-F238E27FC236}">
              <a16:creationId xmlns:a16="http://schemas.microsoft.com/office/drawing/2014/main" id="{00000000-0008-0000-1B00-000040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65" name="Rectangle 64">
          <a:hlinkClick xmlns:r="http://schemas.openxmlformats.org/officeDocument/2006/relationships" r:id="rId20" tooltip="Water Heating / Food Services"/>
          <a:extLst>
            <a:ext uri="{FF2B5EF4-FFF2-40B4-BE49-F238E27FC236}">
              <a16:creationId xmlns:a16="http://schemas.microsoft.com/office/drawing/2014/main" id="{00000000-0008-0000-1B00-000041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66" name="Rectangle 65">
          <a:hlinkClick xmlns:r="http://schemas.openxmlformats.org/officeDocument/2006/relationships" r:id="rId21" tooltip="Miscellaneous"/>
          <a:extLst>
            <a:ext uri="{FF2B5EF4-FFF2-40B4-BE49-F238E27FC236}">
              <a16:creationId xmlns:a16="http://schemas.microsoft.com/office/drawing/2014/main" id="{00000000-0008-0000-1B00-000042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7" name="Arrow: Chevron 66">
          <a:hlinkClick xmlns:r="http://schemas.openxmlformats.org/officeDocument/2006/relationships" r:id="rId22" tooltip="Building Information"/>
          <a:extLst>
            <a:ext uri="{FF2B5EF4-FFF2-40B4-BE49-F238E27FC236}">
              <a16:creationId xmlns:a16="http://schemas.microsoft.com/office/drawing/2014/main" id="{00000000-0008-0000-1B00-000043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43703</xdr:rowOff>
    </xdr:to>
    <xdr:grpSp>
      <xdr:nvGrpSpPr>
        <xdr:cNvPr id="2" name="Group 1">
          <a:extLst>
            <a:ext uri="{FF2B5EF4-FFF2-40B4-BE49-F238E27FC236}">
              <a16:creationId xmlns:a16="http://schemas.microsoft.com/office/drawing/2014/main" id="{00000000-0008-0000-1B00-000002000000}"/>
            </a:ext>
          </a:extLst>
        </xdr:cNvPr>
        <xdr:cNvGrpSpPr/>
      </xdr:nvGrpSpPr>
      <xdr:grpSpPr>
        <a:xfrm>
          <a:off x="1714501" y="2700617"/>
          <a:ext cx="2151956" cy="166968"/>
          <a:chOff x="1714501" y="2700617"/>
          <a:chExt cx="2151956" cy="166968"/>
        </a:xfrm>
      </xdr:grpSpPr>
      <xdr:sp macro="" textlink="">
        <xdr:nvSpPr>
          <xdr:cNvPr id="68" name="Rectangle 67">
            <a:hlinkClick xmlns:r="http://schemas.openxmlformats.org/officeDocument/2006/relationships" r:id="rId23" tooltip="Standard"/>
            <a:extLst>
              <a:ext uri="{FF2B5EF4-FFF2-40B4-BE49-F238E27FC236}">
                <a16:creationId xmlns:a16="http://schemas.microsoft.com/office/drawing/2014/main" id="{00000000-0008-0000-1B00-000044000000}"/>
              </a:ext>
            </a:extLst>
          </xdr:cNvPr>
          <xdr:cNvSpPr/>
        </xdr:nvSpPr>
        <xdr:spPr>
          <a:xfrm>
            <a:off x="1714501" y="2700617"/>
            <a:ext cx="1070651" cy="166968"/>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9" name="Rectangle 68">
            <a:hlinkClick xmlns:r="http://schemas.openxmlformats.org/officeDocument/2006/relationships" r:id="rId24" tooltip="Custom"/>
            <a:extLst>
              <a:ext uri="{FF2B5EF4-FFF2-40B4-BE49-F238E27FC236}">
                <a16:creationId xmlns:a16="http://schemas.microsoft.com/office/drawing/2014/main" id="{00000000-0008-0000-1B00-000045000000}"/>
              </a:ext>
            </a:extLst>
          </xdr:cNvPr>
          <xdr:cNvSpPr/>
        </xdr:nvSpPr>
        <xdr:spPr>
          <a:xfrm>
            <a:off x="2796609" y="2700617"/>
            <a:ext cx="1069848" cy="164592"/>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178525</xdr:rowOff>
    </xdr:to>
    <xdr:pic>
      <xdr:nvPicPr>
        <xdr:cNvPr id="45" name="Picture 44">
          <a:extLst>
            <a:ext uri="{FF2B5EF4-FFF2-40B4-BE49-F238E27FC236}">
              <a16:creationId xmlns:a16="http://schemas.microsoft.com/office/drawing/2014/main" id="{00000000-0008-0000-1B00-00002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212910</xdr:colOff>
      <xdr:row>3</xdr:row>
      <xdr:rowOff>166857</xdr:rowOff>
    </xdr:from>
    <xdr:to>
      <xdr:col>3</xdr:col>
      <xdr:colOff>112057</xdr:colOff>
      <xdr:row>5</xdr:row>
      <xdr:rowOff>174925</xdr:rowOff>
    </xdr:to>
    <xdr:sp macro="" textlink="">
      <xdr:nvSpPr>
        <xdr:cNvPr id="14" name="Arrow: Left 13">
          <a:hlinkClick xmlns:r="http://schemas.openxmlformats.org/officeDocument/2006/relationships" r:id="rId1"/>
          <a:extLst>
            <a:ext uri="{FF2B5EF4-FFF2-40B4-BE49-F238E27FC236}">
              <a16:creationId xmlns:a16="http://schemas.microsoft.com/office/drawing/2014/main" id="{00000000-0008-0000-0A00-00000E000000}"/>
            </a:ext>
          </a:extLst>
        </xdr:cNvPr>
        <xdr:cNvSpPr/>
      </xdr:nvSpPr>
      <xdr:spPr>
        <a:xfrm>
          <a:off x="526675" y="771975"/>
          <a:ext cx="526676" cy="41147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268941</xdr:colOff>
      <xdr:row>3</xdr:row>
      <xdr:rowOff>102871</xdr:rowOff>
    </xdr:from>
    <xdr:to>
      <xdr:col>44</xdr:col>
      <xdr:colOff>41016</xdr:colOff>
      <xdr:row>6</xdr:row>
      <xdr:rowOff>41014</xdr:rowOff>
    </xdr:to>
    <xdr:sp macro="" textlink="">
      <xdr:nvSpPr>
        <xdr:cNvPr id="2" name="Rectangle: Rounded Corners 1">
          <a:hlinkClick xmlns:r="http://schemas.openxmlformats.org/officeDocument/2006/relationships" r:id="rId2" tooltip="Start"/>
          <a:extLst>
            <a:ext uri="{FF2B5EF4-FFF2-40B4-BE49-F238E27FC236}">
              <a16:creationId xmlns:a16="http://schemas.microsoft.com/office/drawing/2014/main" id="{00000000-0008-0000-0A00-000002000000}"/>
            </a:ext>
          </a:extLst>
        </xdr:cNvPr>
        <xdr:cNvSpPr/>
      </xdr:nvSpPr>
      <xdr:spPr>
        <a:xfrm>
          <a:off x="12192000" y="707989"/>
          <a:ext cx="1654663" cy="543260"/>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endParaRPr lang="en-US" sz="1100" b="1">
            <a:latin typeface="Arial" panose="020B0604020202020204" pitchFamily="34" charset="0"/>
            <a:cs typeface="Arial" panose="020B0604020202020204" pitchFamily="34" charset="0"/>
          </a:endParaRPr>
        </a:p>
      </xdr:txBody>
    </xdr:sp>
    <xdr:clientData/>
  </xdr:twoCellAnchor>
  <xdr:twoCellAnchor>
    <xdr:from>
      <xdr:col>41</xdr:col>
      <xdr:colOff>294056</xdr:colOff>
      <xdr:row>3</xdr:row>
      <xdr:rowOff>174978</xdr:rowOff>
    </xdr:from>
    <xdr:to>
      <xdr:col>43</xdr:col>
      <xdr:colOff>201748</xdr:colOff>
      <xdr:row>5</xdr:row>
      <xdr:rowOff>178914</xdr:rowOff>
    </xdr:to>
    <xdr:sp macro="" textlink="">
      <xdr:nvSpPr>
        <xdr:cNvPr id="15" name="Arrow: Right 14">
          <a:hlinkClick xmlns:r="http://schemas.openxmlformats.org/officeDocument/2006/relationships" r:id="rId2" tooltip="Start"/>
          <a:extLst>
            <a:ext uri="{FF2B5EF4-FFF2-40B4-BE49-F238E27FC236}">
              <a16:creationId xmlns:a16="http://schemas.microsoft.com/office/drawing/2014/main" id="{00000000-0008-0000-0A00-00000F000000}"/>
            </a:ext>
          </a:extLst>
        </xdr:cNvPr>
        <xdr:cNvSpPr/>
      </xdr:nvSpPr>
      <xdr:spPr>
        <a:xfrm>
          <a:off x="13158409" y="780096"/>
          <a:ext cx="535221" cy="407347"/>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13" name="Straight Connector 12">
          <a:extLst>
            <a:ext uri="{FF2B5EF4-FFF2-40B4-BE49-F238E27FC236}">
              <a16:creationId xmlns:a16="http://schemas.microsoft.com/office/drawing/2014/main" id="{00000000-0008-0000-0A00-00000D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0</xdr:row>
      <xdr:rowOff>85725</xdr:rowOff>
    </xdr:from>
    <xdr:to>
      <xdr:col>41</xdr:col>
      <xdr:colOff>9525</xdr:colOff>
      <xdr:row>2</xdr:row>
      <xdr:rowOff>114300</xdr:rowOff>
    </xdr:to>
    <xdr:cxnSp macro="">
      <xdr:nvCxnSpPr>
        <xdr:cNvPr id="16" name="Straight Connector 15">
          <a:extLst>
            <a:ext uri="{FF2B5EF4-FFF2-40B4-BE49-F238E27FC236}">
              <a16:creationId xmlns:a16="http://schemas.microsoft.com/office/drawing/2014/main" id="{00000000-0008-0000-0A00-000010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8" name="Straight Connector 17">
          <a:extLst>
            <a:ext uri="{FF2B5EF4-FFF2-40B4-BE49-F238E27FC236}">
              <a16:creationId xmlns:a16="http://schemas.microsoft.com/office/drawing/2014/main" id="{00000000-0008-0000-0A00-000012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2" name="Straight Connector 21">
          <a:extLst>
            <a:ext uri="{FF2B5EF4-FFF2-40B4-BE49-F238E27FC236}">
              <a16:creationId xmlns:a16="http://schemas.microsoft.com/office/drawing/2014/main" id="{00000000-0008-0000-0A00-000016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11209</xdr:rowOff>
    </xdr:from>
    <xdr:to>
      <xdr:col>9</xdr:col>
      <xdr:colOff>0</xdr:colOff>
      <xdr:row>3</xdr:row>
      <xdr:rowOff>11209</xdr:rowOff>
    </xdr:to>
    <xdr:sp macro="" textlink="">
      <xdr:nvSpPr>
        <xdr:cNvPr id="23" name="Rectangle 22">
          <a:hlinkClick xmlns:r="http://schemas.openxmlformats.org/officeDocument/2006/relationships" r:id="rId1" tooltip="Welcome"/>
          <a:extLst>
            <a:ext uri="{FF2B5EF4-FFF2-40B4-BE49-F238E27FC236}">
              <a16:creationId xmlns:a16="http://schemas.microsoft.com/office/drawing/2014/main" id="{00000000-0008-0000-0A00-000017000000}"/>
            </a:ext>
          </a:extLst>
        </xdr:cNvPr>
        <xdr:cNvSpPr/>
      </xdr:nvSpPr>
      <xdr:spPr>
        <a:xfrm>
          <a:off x="1546411" y="11209"/>
          <a:ext cx="1277471" cy="6051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25" name="Rectangle 24">
          <a:hlinkClick xmlns:r="http://schemas.openxmlformats.org/officeDocument/2006/relationships" r:id="rId3" tooltip="Contact"/>
          <a:extLst>
            <a:ext uri="{FF2B5EF4-FFF2-40B4-BE49-F238E27FC236}">
              <a16:creationId xmlns:a16="http://schemas.microsoft.com/office/drawing/2014/main" id="{00000000-0008-0000-0A00-000019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26" name="Rectangle 25">
          <a:hlinkClick xmlns:r="http://schemas.openxmlformats.org/officeDocument/2006/relationships" r:id="rId4" tooltip=" "/>
          <a:extLst>
            <a:ext uri="{FF2B5EF4-FFF2-40B4-BE49-F238E27FC236}">
              <a16:creationId xmlns:a16="http://schemas.microsoft.com/office/drawing/2014/main" id="{00000000-0008-0000-0A00-00001A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27" name="Rectangle 26">
          <a:hlinkClick xmlns:r="http://schemas.openxmlformats.org/officeDocument/2006/relationships" r:id="rId5" tooltip=" "/>
          <a:extLst>
            <a:ext uri="{FF2B5EF4-FFF2-40B4-BE49-F238E27FC236}">
              <a16:creationId xmlns:a16="http://schemas.microsoft.com/office/drawing/2014/main" id="{00000000-0008-0000-0A00-00001B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177053</xdr:colOff>
      <xdr:row>39</xdr:row>
      <xdr:rowOff>71380</xdr:rowOff>
    </xdr:from>
    <xdr:to>
      <xdr:col>23</xdr:col>
      <xdr:colOff>203275</xdr:colOff>
      <xdr:row>40</xdr:row>
      <xdr:rowOff>95697</xdr:rowOff>
    </xdr:to>
    <xdr:sp macro="" textlink="">
      <xdr:nvSpPr>
        <xdr:cNvPr id="3" name="Rectangle 2">
          <a:hlinkClick xmlns:r="http://schemas.openxmlformats.org/officeDocument/2006/relationships" r:id="rId6"/>
          <a:extLst>
            <a:ext uri="{FF2B5EF4-FFF2-40B4-BE49-F238E27FC236}">
              <a16:creationId xmlns:a16="http://schemas.microsoft.com/office/drawing/2014/main" id="{00000000-0008-0000-0A00-000003000000}"/>
            </a:ext>
          </a:extLst>
        </xdr:cNvPr>
        <xdr:cNvSpPr/>
      </xdr:nvSpPr>
      <xdr:spPr>
        <a:xfrm>
          <a:off x="5511053" y="7937909"/>
          <a:ext cx="1908810" cy="2260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17" name="Picture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twoCellAnchor editAs="oneCell">
    <xdr:from>
      <xdr:col>3</xdr:col>
      <xdr:colOff>261096</xdr:colOff>
      <xdr:row>3</xdr:row>
      <xdr:rowOff>112056</xdr:rowOff>
    </xdr:from>
    <xdr:to>
      <xdr:col>37</xdr:col>
      <xdr:colOff>273289</xdr:colOff>
      <xdr:row>41</xdr:row>
      <xdr:rowOff>134471</xdr:rowOff>
    </xdr:to>
    <xdr:pic>
      <xdr:nvPicPr>
        <xdr:cNvPr id="19" name="Picture 18">
          <a:extLst>
            <a:ext uri="{FF2B5EF4-FFF2-40B4-BE49-F238E27FC236}">
              <a16:creationId xmlns:a16="http://schemas.microsoft.com/office/drawing/2014/main" id="{00000000-0008-0000-0A00-000013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2390" y="717174"/>
          <a:ext cx="10680193" cy="7687238"/>
        </a:xfrm>
        <a:prstGeom prst="rect">
          <a:avLst/>
        </a:prstGeom>
      </xdr:spPr>
    </xdr:pic>
    <xdr:clientData/>
  </xdr:twoCellAnchor>
  <xdr:twoCellAnchor>
    <xdr:from>
      <xdr:col>17</xdr:col>
      <xdr:colOff>177053</xdr:colOff>
      <xdr:row>39</xdr:row>
      <xdr:rowOff>71380</xdr:rowOff>
    </xdr:from>
    <xdr:to>
      <xdr:col>23</xdr:col>
      <xdr:colOff>203275</xdr:colOff>
      <xdr:row>40</xdr:row>
      <xdr:rowOff>95697</xdr:rowOff>
    </xdr:to>
    <xdr:sp macro="" textlink="">
      <xdr:nvSpPr>
        <xdr:cNvPr id="20" name="Rectangle 19">
          <a:hlinkClick xmlns:r="http://schemas.openxmlformats.org/officeDocument/2006/relationships" r:id="rId6"/>
          <a:extLst>
            <a:ext uri="{FF2B5EF4-FFF2-40B4-BE49-F238E27FC236}">
              <a16:creationId xmlns:a16="http://schemas.microsoft.com/office/drawing/2014/main" id="{00000000-0008-0000-0A00-000014000000}"/>
            </a:ext>
          </a:extLst>
        </xdr:cNvPr>
        <xdr:cNvSpPr/>
      </xdr:nvSpPr>
      <xdr:spPr>
        <a:xfrm>
          <a:off x="5520578" y="7872355"/>
          <a:ext cx="1912172" cy="224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38" name="Straight Connector 37">
          <a:extLst>
            <a:ext uri="{FF2B5EF4-FFF2-40B4-BE49-F238E27FC236}">
              <a16:creationId xmlns:a16="http://schemas.microsoft.com/office/drawing/2014/main" id="{00000000-0008-0000-1C00-000026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42" name="Straight Connector 41">
          <a:extLst>
            <a:ext uri="{FF2B5EF4-FFF2-40B4-BE49-F238E27FC236}">
              <a16:creationId xmlns:a16="http://schemas.microsoft.com/office/drawing/2014/main" id="{00000000-0008-0000-1C00-00002A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43" name="Straight Connector 42">
          <a:extLst>
            <a:ext uri="{FF2B5EF4-FFF2-40B4-BE49-F238E27FC236}">
              <a16:creationId xmlns:a16="http://schemas.microsoft.com/office/drawing/2014/main" id="{00000000-0008-0000-1C00-00002B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44" name="Straight Connector 43">
          <a:extLst>
            <a:ext uri="{FF2B5EF4-FFF2-40B4-BE49-F238E27FC236}">
              <a16:creationId xmlns:a16="http://schemas.microsoft.com/office/drawing/2014/main" id="{00000000-0008-0000-1C00-00002C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45" name="Straight Connector 44">
          <a:extLst>
            <a:ext uri="{FF2B5EF4-FFF2-40B4-BE49-F238E27FC236}">
              <a16:creationId xmlns:a16="http://schemas.microsoft.com/office/drawing/2014/main" id="{00000000-0008-0000-1C00-00002D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46" name="Straight Connector 45">
          <a:extLst>
            <a:ext uri="{FF2B5EF4-FFF2-40B4-BE49-F238E27FC236}">
              <a16:creationId xmlns:a16="http://schemas.microsoft.com/office/drawing/2014/main" id="{00000000-0008-0000-1C00-00002E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47" name="Straight Connector 46">
          <a:extLst>
            <a:ext uri="{FF2B5EF4-FFF2-40B4-BE49-F238E27FC236}">
              <a16:creationId xmlns:a16="http://schemas.microsoft.com/office/drawing/2014/main" id="{00000000-0008-0000-1C00-00002F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48" name="Straight Connector 47">
          <a:extLst>
            <a:ext uri="{FF2B5EF4-FFF2-40B4-BE49-F238E27FC236}">
              <a16:creationId xmlns:a16="http://schemas.microsoft.com/office/drawing/2014/main" id="{00000000-0008-0000-1C00-000030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212910</xdr:colOff>
      <xdr:row>8</xdr:row>
      <xdr:rowOff>100854</xdr:rowOff>
    </xdr:from>
    <xdr:to>
      <xdr:col>3</xdr:col>
      <xdr:colOff>112057</xdr:colOff>
      <xdr:row>10</xdr:row>
      <xdr:rowOff>108922</xdr:rowOff>
    </xdr:to>
    <xdr:sp macro="" textlink="">
      <xdr:nvSpPr>
        <xdr:cNvPr id="49" name="Arrow: Left 48">
          <a:hlinkClick xmlns:r="http://schemas.openxmlformats.org/officeDocument/2006/relationships" r:id="rId1" tooltip="Back: HVAC"/>
          <a:extLst>
            <a:ext uri="{FF2B5EF4-FFF2-40B4-BE49-F238E27FC236}">
              <a16:creationId xmlns:a16="http://schemas.microsoft.com/office/drawing/2014/main" id="{00000000-0008-0000-1C00-000031000000}"/>
            </a:ext>
          </a:extLst>
        </xdr:cNvPr>
        <xdr:cNvSpPr/>
      </xdr:nvSpPr>
      <xdr:spPr>
        <a:xfrm>
          <a:off x="529140" y="1687719"/>
          <a:ext cx="520177"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50" name="Arrow: Right 49">
          <a:hlinkClick xmlns:r="http://schemas.openxmlformats.org/officeDocument/2006/relationships" r:id="rId2" tooltip="Forward: Compressed Air / Process"/>
          <a:extLst>
            <a:ext uri="{FF2B5EF4-FFF2-40B4-BE49-F238E27FC236}">
              <a16:creationId xmlns:a16="http://schemas.microsoft.com/office/drawing/2014/main" id="{00000000-0008-0000-1C00-000032000000}"/>
            </a:ext>
          </a:extLst>
        </xdr:cNvPr>
        <xdr:cNvSpPr/>
      </xdr:nvSpPr>
      <xdr:spPr>
        <a:xfrm>
          <a:off x="13269221" y="1687719"/>
          <a:ext cx="52385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51" name="Arrow: Chevron 50">
          <a:hlinkClick xmlns:r="http://schemas.openxmlformats.org/officeDocument/2006/relationships" r:id="rId3" tooltip="Terms &amp; Conditions"/>
          <a:extLst>
            <a:ext uri="{FF2B5EF4-FFF2-40B4-BE49-F238E27FC236}">
              <a16:creationId xmlns:a16="http://schemas.microsoft.com/office/drawing/2014/main" id="{00000000-0008-0000-1C00-000033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52" name="Arrow: Chevron 51">
          <a:hlinkClick xmlns:r="http://schemas.openxmlformats.org/officeDocument/2006/relationships" r:id="rId4" tooltip="Trade Ally/Vendor Information"/>
          <a:extLst>
            <a:ext uri="{FF2B5EF4-FFF2-40B4-BE49-F238E27FC236}">
              <a16:creationId xmlns:a16="http://schemas.microsoft.com/office/drawing/2014/main" id="{00000000-0008-0000-1C00-000034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53" name="Arrow: Chevron 52">
          <a:hlinkClick xmlns:r="http://schemas.openxmlformats.org/officeDocument/2006/relationships" r:id="rId5" tooltip="Customer Information"/>
          <a:extLst>
            <a:ext uri="{FF2B5EF4-FFF2-40B4-BE49-F238E27FC236}">
              <a16:creationId xmlns:a16="http://schemas.microsoft.com/office/drawing/2014/main" id="{00000000-0008-0000-1C00-000035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5" name="Arrow: Chevron 54">
          <a:hlinkClick xmlns:r="http://schemas.openxmlformats.org/officeDocument/2006/relationships" r:id="rId6" tooltip="Equipment Input"/>
          <a:extLst>
            <a:ext uri="{FF2B5EF4-FFF2-40B4-BE49-F238E27FC236}">
              <a16:creationId xmlns:a16="http://schemas.microsoft.com/office/drawing/2014/main" id="{00000000-0008-0000-1C00-000037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56" name="Arrow: Chevron 55">
          <a:hlinkClick xmlns:r="http://schemas.openxmlformats.org/officeDocument/2006/relationships" r:id="rId7" tooltip="Payment"/>
          <a:extLst>
            <a:ext uri="{FF2B5EF4-FFF2-40B4-BE49-F238E27FC236}">
              <a16:creationId xmlns:a16="http://schemas.microsoft.com/office/drawing/2014/main" id="{00000000-0008-0000-1C00-000038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57" name="Arrow: Chevron 56">
          <a:hlinkClick xmlns:r="http://schemas.openxmlformats.org/officeDocument/2006/relationships" r:id="rId8" tooltip="Project Review"/>
          <a:extLst>
            <a:ext uri="{FF2B5EF4-FFF2-40B4-BE49-F238E27FC236}">
              <a16:creationId xmlns:a16="http://schemas.microsoft.com/office/drawing/2014/main" id="{00000000-0008-0000-1C00-000039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C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C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9" name="Straight Connector 28">
          <a:extLst>
            <a:ext uri="{FF2B5EF4-FFF2-40B4-BE49-F238E27FC236}">
              <a16:creationId xmlns:a16="http://schemas.microsoft.com/office/drawing/2014/main" id="{00000000-0008-0000-1C00-00001D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0" name="Rectangle 29">
          <a:hlinkClick xmlns:r="http://schemas.openxmlformats.org/officeDocument/2006/relationships" r:id="rId9" tooltip="Welcome"/>
          <a:extLst>
            <a:ext uri="{FF2B5EF4-FFF2-40B4-BE49-F238E27FC236}">
              <a16:creationId xmlns:a16="http://schemas.microsoft.com/office/drawing/2014/main" id="{00000000-0008-0000-1C00-00001E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1" name="Rectangle 30">
          <a:hlinkClick xmlns:r="http://schemas.openxmlformats.org/officeDocument/2006/relationships" r:id="rId10" tooltip="Instructions"/>
          <a:extLst>
            <a:ext uri="{FF2B5EF4-FFF2-40B4-BE49-F238E27FC236}">
              <a16:creationId xmlns:a16="http://schemas.microsoft.com/office/drawing/2014/main" id="{00000000-0008-0000-1C00-00001F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2" name="Rectangle 31">
          <a:hlinkClick xmlns:r="http://schemas.openxmlformats.org/officeDocument/2006/relationships" r:id="rId11" tooltip="Contact"/>
          <a:extLst>
            <a:ext uri="{FF2B5EF4-FFF2-40B4-BE49-F238E27FC236}">
              <a16:creationId xmlns:a16="http://schemas.microsoft.com/office/drawing/2014/main" id="{00000000-0008-0000-1C00-000020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2" tooltip=" "/>
          <a:extLst>
            <a:ext uri="{FF2B5EF4-FFF2-40B4-BE49-F238E27FC236}">
              <a16:creationId xmlns:a16="http://schemas.microsoft.com/office/drawing/2014/main" id="{00000000-0008-0000-1C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5" name="Rectangle 34">
          <a:hlinkClick xmlns:r="http://schemas.openxmlformats.org/officeDocument/2006/relationships" r:id="rId13" tooltip=" "/>
          <a:extLst>
            <a:ext uri="{FF2B5EF4-FFF2-40B4-BE49-F238E27FC236}">
              <a16:creationId xmlns:a16="http://schemas.microsoft.com/office/drawing/2014/main" id="{00000000-0008-0000-1C00-000023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36" name="Rectangle 35">
          <a:hlinkClick xmlns:r="http://schemas.openxmlformats.org/officeDocument/2006/relationships" r:id="rId14" tooltip="Lighting"/>
          <a:extLst>
            <a:ext uri="{FF2B5EF4-FFF2-40B4-BE49-F238E27FC236}">
              <a16:creationId xmlns:a16="http://schemas.microsoft.com/office/drawing/2014/main" id="{00000000-0008-0000-1C00-000024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58" name="Rectangle 57">
          <a:hlinkClick xmlns:r="http://schemas.openxmlformats.org/officeDocument/2006/relationships" r:id="rId15" tooltip="Lighting Controls"/>
          <a:extLst>
            <a:ext uri="{FF2B5EF4-FFF2-40B4-BE49-F238E27FC236}">
              <a16:creationId xmlns:a16="http://schemas.microsoft.com/office/drawing/2014/main" id="{00000000-0008-0000-1C00-00003A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59" name="Rectangle 58">
          <a:hlinkClick xmlns:r="http://schemas.openxmlformats.org/officeDocument/2006/relationships" r:id="rId16" tooltip="Refrigeration"/>
          <a:extLst>
            <a:ext uri="{FF2B5EF4-FFF2-40B4-BE49-F238E27FC236}">
              <a16:creationId xmlns:a16="http://schemas.microsoft.com/office/drawing/2014/main" id="{00000000-0008-0000-1C00-00003B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60" name="Rectangle 59">
          <a:hlinkClick xmlns:r="http://schemas.openxmlformats.org/officeDocument/2006/relationships" r:id="rId17" tooltip="HVAC"/>
          <a:extLst>
            <a:ext uri="{FF2B5EF4-FFF2-40B4-BE49-F238E27FC236}">
              <a16:creationId xmlns:a16="http://schemas.microsoft.com/office/drawing/2014/main" id="{00000000-0008-0000-1C00-00003C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61" name="Rectangle 60">
          <a:hlinkClick xmlns:r="http://schemas.openxmlformats.org/officeDocument/2006/relationships" r:id="rId18" tooltip="Motors and Drives"/>
          <a:extLst>
            <a:ext uri="{FF2B5EF4-FFF2-40B4-BE49-F238E27FC236}">
              <a16:creationId xmlns:a16="http://schemas.microsoft.com/office/drawing/2014/main" id="{00000000-0008-0000-1C00-00003D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62" name="Rectangle 61">
          <a:hlinkClick xmlns:r="http://schemas.openxmlformats.org/officeDocument/2006/relationships" r:id="rId19" tooltip="Compressed Air / Process"/>
          <a:extLst>
            <a:ext uri="{FF2B5EF4-FFF2-40B4-BE49-F238E27FC236}">
              <a16:creationId xmlns:a16="http://schemas.microsoft.com/office/drawing/2014/main" id="{00000000-0008-0000-1C00-00003E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63" name="Rectangle 62">
          <a:hlinkClick xmlns:r="http://schemas.openxmlformats.org/officeDocument/2006/relationships" r:id="rId20" tooltip="Water Heating / Food Services"/>
          <a:extLst>
            <a:ext uri="{FF2B5EF4-FFF2-40B4-BE49-F238E27FC236}">
              <a16:creationId xmlns:a16="http://schemas.microsoft.com/office/drawing/2014/main" id="{00000000-0008-0000-1C00-00003F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64" name="Rectangle 63">
          <a:hlinkClick xmlns:r="http://schemas.openxmlformats.org/officeDocument/2006/relationships" r:id="rId21" tooltip="Miscellaneous"/>
          <a:extLst>
            <a:ext uri="{FF2B5EF4-FFF2-40B4-BE49-F238E27FC236}">
              <a16:creationId xmlns:a16="http://schemas.microsoft.com/office/drawing/2014/main" id="{00000000-0008-0000-1C00-000040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5" name="Arrow: Chevron 64">
          <a:hlinkClick xmlns:r="http://schemas.openxmlformats.org/officeDocument/2006/relationships" r:id="rId22" tooltip="Building Information"/>
          <a:extLst>
            <a:ext uri="{FF2B5EF4-FFF2-40B4-BE49-F238E27FC236}">
              <a16:creationId xmlns:a16="http://schemas.microsoft.com/office/drawing/2014/main" id="{00000000-0008-0000-1C00-000041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43703</xdr:rowOff>
    </xdr:to>
    <xdr:grpSp>
      <xdr:nvGrpSpPr>
        <xdr:cNvPr id="2" name="Group 1">
          <a:extLst>
            <a:ext uri="{FF2B5EF4-FFF2-40B4-BE49-F238E27FC236}">
              <a16:creationId xmlns:a16="http://schemas.microsoft.com/office/drawing/2014/main" id="{00000000-0008-0000-1C00-000002000000}"/>
            </a:ext>
          </a:extLst>
        </xdr:cNvPr>
        <xdr:cNvGrpSpPr/>
      </xdr:nvGrpSpPr>
      <xdr:grpSpPr>
        <a:xfrm>
          <a:off x="1714501" y="2700617"/>
          <a:ext cx="2151956" cy="166968"/>
          <a:chOff x="1714501" y="2700617"/>
          <a:chExt cx="2151956" cy="166968"/>
        </a:xfrm>
      </xdr:grpSpPr>
      <xdr:sp macro="" textlink="">
        <xdr:nvSpPr>
          <xdr:cNvPr id="40" name="Rectangle 39">
            <a:hlinkClick xmlns:r="http://schemas.openxmlformats.org/officeDocument/2006/relationships" r:id="rId23" tooltip="Standard"/>
            <a:extLst>
              <a:ext uri="{FF2B5EF4-FFF2-40B4-BE49-F238E27FC236}">
                <a16:creationId xmlns:a16="http://schemas.microsoft.com/office/drawing/2014/main" id="{00000000-0008-0000-1C00-000028000000}"/>
              </a:ext>
            </a:extLst>
          </xdr:cNvPr>
          <xdr:cNvSpPr/>
        </xdr:nvSpPr>
        <xdr:spPr>
          <a:xfrm>
            <a:off x="1714501" y="2700617"/>
            <a:ext cx="1070651" cy="166968"/>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41" name="Rectangle 40">
            <a:hlinkClick xmlns:r="http://schemas.openxmlformats.org/officeDocument/2006/relationships" r:id="rId24" tooltip="Custom"/>
            <a:extLst>
              <a:ext uri="{FF2B5EF4-FFF2-40B4-BE49-F238E27FC236}">
                <a16:creationId xmlns:a16="http://schemas.microsoft.com/office/drawing/2014/main" id="{00000000-0008-0000-1C00-000029000000}"/>
              </a:ext>
            </a:extLst>
          </xdr:cNvPr>
          <xdr:cNvSpPr/>
        </xdr:nvSpPr>
        <xdr:spPr>
          <a:xfrm>
            <a:off x="2796609" y="2700617"/>
            <a:ext cx="1069848" cy="164592"/>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178525</xdr:rowOff>
    </xdr:to>
    <xdr:pic>
      <xdr:nvPicPr>
        <xdr:cNvPr id="54" name="Picture 53">
          <a:extLst>
            <a:ext uri="{FF2B5EF4-FFF2-40B4-BE49-F238E27FC236}">
              <a16:creationId xmlns:a16="http://schemas.microsoft.com/office/drawing/2014/main" id="{00000000-0008-0000-1C00-00003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41</xdr:col>
      <xdr:colOff>0</xdr:colOff>
      <xdr:row>0</xdr:row>
      <xdr:rowOff>85725</xdr:rowOff>
    </xdr:from>
    <xdr:to>
      <xdr:col>41</xdr:col>
      <xdr:colOff>9525</xdr:colOff>
      <xdr:row>2</xdr:row>
      <xdr:rowOff>114300</xdr:rowOff>
    </xdr:to>
    <xdr:cxnSp macro="">
      <xdr:nvCxnSpPr>
        <xdr:cNvPr id="39" name="Straight Connector 38">
          <a:extLst>
            <a:ext uri="{FF2B5EF4-FFF2-40B4-BE49-F238E27FC236}">
              <a16:creationId xmlns:a16="http://schemas.microsoft.com/office/drawing/2014/main" id="{00000000-0008-0000-1D00-000027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276225</xdr:colOff>
      <xdr:row>0</xdr:row>
      <xdr:rowOff>85725</xdr:rowOff>
    </xdr:from>
    <xdr:to>
      <xdr:col>4</xdr:col>
      <xdr:colOff>285750</xdr:colOff>
      <xdr:row>2</xdr:row>
      <xdr:rowOff>114300</xdr:rowOff>
    </xdr:to>
    <xdr:cxnSp macro="">
      <xdr:nvCxnSpPr>
        <xdr:cNvPr id="41" name="Straight Connector 40">
          <a:extLst>
            <a:ext uri="{FF2B5EF4-FFF2-40B4-BE49-F238E27FC236}">
              <a16:creationId xmlns:a16="http://schemas.microsoft.com/office/drawing/2014/main" id="{00000000-0008-0000-1D00-000029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50" name="Straight Connector 49">
          <a:extLst>
            <a:ext uri="{FF2B5EF4-FFF2-40B4-BE49-F238E27FC236}">
              <a16:creationId xmlns:a16="http://schemas.microsoft.com/office/drawing/2014/main" id="{00000000-0008-0000-1D00-000032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51" name="Straight Connector 50">
          <a:extLst>
            <a:ext uri="{FF2B5EF4-FFF2-40B4-BE49-F238E27FC236}">
              <a16:creationId xmlns:a16="http://schemas.microsoft.com/office/drawing/2014/main" id="{00000000-0008-0000-1D00-000033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52" name="Straight Connector 51">
          <a:extLst>
            <a:ext uri="{FF2B5EF4-FFF2-40B4-BE49-F238E27FC236}">
              <a16:creationId xmlns:a16="http://schemas.microsoft.com/office/drawing/2014/main" id="{00000000-0008-0000-1D00-000034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53" name="Straight Connector 52">
          <a:extLst>
            <a:ext uri="{FF2B5EF4-FFF2-40B4-BE49-F238E27FC236}">
              <a16:creationId xmlns:a16="http://schemas.microsoft.com/office/drawing/2014/main" id="{00000000-0008-0000-1D00-000035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54" name="Straight Connector 53">
          <a:extLst>
            <a:ext uri="{FF2B5EF4-FFF2-40B4-BE49-F238E27FC236}">
              <a16:creationId xmlns:a16="http://schemas.microsoft.com/office/drawing/2014/main" id="{00000000-0008-0000-1D00-000036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55" name="Straight Connector 54">
          <a:extLst>
            <a:ext uri="{FF2B5EF4-FFF2-40B4-BE49-F238E27FC236}">
              <a16:creationId xmlns:a16="http://schemas.microsoft.com/office/drawing/2014/main" id="{00000000-0008-0000-1D00-000037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56" name="Straight Connector 55">
          <a:extLst>
            <a:ext uri="{FF2B5EF4-FFF2-40B4-BE49-F238E27FC236}">
              <a16:creationId xmlns:a16="http://schemas.microsoft.com/office/drawing/2014/main" id="{00000000-0008-0000-1D00-000038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212910</xdr:colOff>
      <xdr:row>8</xdr:row>
      <xdr:rowOff>100854</xdr:rowOff>
    </xdr:from>
    <xdr:to>
      <xdr:col>3</xdr:col>
      <xdr:colOff>112057</xdr:colOff>
      <xdr:row>10</xdr:row>
      <xdr:rowOff>108922</xdr:rowOff>
    </xdr:to>
    <xdr:sp macro="" textlink="">
      <xdr:nvSpPr>
        <xdr:cNvPr id="57" name="Arrow: Left 56">
          <a:hlinkClick xmlns:r="http://schemas.openxmlformats.org/officeDocument/2006/relationships" r:id="rId1" tooltip="Back: Motors and Drives"/>
          <a:extLst>
            <a:ext uri="{FF2B5EF4-FFF2-40B4-BE49-F238E27FC236}">
              <a16:creationId xmlns:a16="http://schemas.microsoft.com/office/drawing/2014/main" id="{00000000-0008-0000-1D00-000039000000}"/>
            </a:ext>
          </a:extLst>
        </xdr:cNvPr>
        <xdr:cNvSpPr/>
      </xdr:nvSpPr>
      <xdr:spPr>
        <a:xfrm>
          <a:off x="529140" y="1687719"/>
          <a:ext cx="520177"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65" name="Arrow: Right 64">
          <a:hlinkClick xmlns:r="http://schemas.openxmlformats.org/officeDocument/2006/relationships" r:id="rId2" tooltip="Forward: Water Heating / Cooking"/>
          <a:extLst>
            <a:ext uri="{FF2B5EF4-FFF2-40B4-BE49-F238E27FC236}">
              <a16:creationId xmlns:a16="http://schemas.microsoft.com/office/drawing/2014/main" id="{00000000-0008-0000-1D00-000041000000}"/>
            </a:ext>
          </a:extLst>
        </xdr:cNvPr>
        <xdr:cNvSpPr/>
      </xdr:nvSpPr>
      <xdr:spPr>
        <a:xfrm>
          <a:off x="13269221" y="1687719"/>
          <a:ext cx="52385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66" name="Arrow: Chevron 65">
          <a:hlinkClick xmlns:r="http://schemas.openxmlformats.org/officeDocument/2006/relationships" r:id="rId3" tooltip="Terms &amp; Conditions"/>
          <a:extLst>
            <a:ext uri="{FF2B5EF4-FFF2-40B4-BE49-F238E27FC236}">
              <a16:creationId xmlns:a16="http://schemas.microsoft.com/office/drawing/2014/main" id="{00000000-0008-0000-1D00-000042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67" name="Arrow: Chevron 66">
          <a:hlinkClick xmlns:r="http://schemas.openxmlformats.org/officeDocument/2006/relationships" r:id="rId4" tooltip="Trade Ally/Vendor Information"/>
          <a:extLst>
            <a:ext uri="{FF2B5EF4-FFF2-40B4-BE49-F238E27FC236}">
              <a16:creationId xmlns:a16="http://schemas.microsoft.com/office/drawing/2014/main" id="{00000000-0008-0000-1D00-000043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68" name="Arrow: Chevron 67">
          <a:hlinkClick xmlns:r="http://schemas.openxmlformats.org/officeDocument/2006/relationships" r:id="rId5" tooltip="Customer Information"/>
          <a:extLst>
            <a:ext uri="{FF2B5EF4-FFF2-40B4-BE49-F238E27FC236}">
              <a16:creationId xmlns:a16="http://schemas.microsoft.com/office/drawing/2014/main" id="{00000000-0008-0000-1D00-000044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70" name="Arrow: Chevron 69">
          <a:hlinkClick xmlns:r="http://schemas.openxmlformats.org/officeDocument/2006/relationships" r:id="rId6" tooltip="Equipment Input"/>
          <a:extLst>
            <a:ext uri="{FF2B5EF4-FFF2-40B4-BE49-F238E27FC236}">
              <a16:creationId xmlns:a16="http://schemas.microsoft.com/office/drawing/2014/main" id="{00000000-0008-0000-1D00-000046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71" name="Arrow: Chevron 70">
          <a:hlinkClick xmlns:r="http://schemas.openxmlformats.org/officeDocument/2006/relationships" r:id="rId7" tooltip="Payment"/>
          <a:extLst>
            <a:ext uri="{FF2B5EF4-FFF2-40B4-BE49-F238E27FC236}">
              <a16:creationId xmlns:a16="http://schemas.microsoft.com/office/drawing/2014/main" id="{00000000-0008-0000-1D00-000047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72" name="Arrow: Chevron 71">
          <a:hlinkClick xmlns:r="http://schemas.openxmlformats.org/officeDocument/2006/relationships" r:id="rId8" tooltip="Project Review"/>
          <a:extLst>
            <a:ext uri="{FF2B5EF4-FFF2-40B4-BE49-F238E27FC236}">
              <a16:creationId xmlns:a16="http://schemas.microsoft.com/office/drawing/2014/main" id="{00000000-0008-0000-1D00-000048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9" name="Straight Connector 28">
          <a:extLst>
            <a:ext uri="{FF2B5EF4-FFF2-40B4-BE49-F238E27FC236}">
              <a16:creationId xmlns:a16="http://schemas.microsoft.com/office/drawing/2014/main" id="{00000000-0008-0000-1D00-00001D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30" name="Straight Connector 29">
          <a:extLst>
            <a:ext uri="{FF2B5EF4-FFF2-40B4-BE49-F238E27FC236}">
              <a16:creationId xmlns:a16="http://schemas.microsoft.com/office/drawing/2014/main" id="{00000000-0008-0000-1D00-00001E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2" name="Straight Connector 31">
          <a:extLst>
            <a:ext uri="{FF2B5EF4-FFF2-40B4-BE49-F238E27FC236}">
              <a16:creationId xmlns:a16="http://schemas.microsoft.com/office/drawing/2014/main" id="{00000000-0008-0000-1D00-000020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3" name="Rectangle 32">
          <a:hlinkClick xmlns:r="http://schemas.openxmlformats.org/officeDocument/2006/relationships" r:id="rId9" tooltip="Welcome"/>
          <a:extLst>
            <a:ext uri="{FF2B5EF4-FFF2-40B4-BE49-F238E27FC236}">
              <a16:creationId xmlns:a16="http://schemas.microsoft.com/office/drawing/2014/main" id="{00000000-0008-0000-1D00-000021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4" name="Rectangle 33">
          <a:hlinkClick xmlns:r="http://schemas.openxmlformats.org/officeDocument/2006/relationships" r:id="rId10" tooltip="Instructions"/>
          <a:extLst>
            <a:ext uri="{FF2B5EF4-FFF2-40B4-BE49-F238E27FC236}">
              <a16:creationId xmlns:a16="http://schemas.microsoft.com/office/drawing/2014/main" id="{00000000-0008-0000-1D00-000022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5" name="Rectangle 34">
          <a:hlinkClick xmlns:r="http://schemas.openxmlformats.org/officeDocument/2006/relationships" r:id="rId11" tooltip="Contact"/>
          <a:extLst>
            <a:ext uri="{FF2B5EF4-FFF2-40B4-BE49-F238E27FC236}">
              <a16:creationId xmlns:a16="http://schemas.microsoft.com/office/drawing/2014/main" id="{00000000-0008-0000-1D00-000023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6" name="Rectangle 35">
          <a:hlinkClick xmlns:r="http://schemas.openxmlformats.org/officeDocument/2006/relationships" r:id="rId12" tooltip=" "/>
          <a:extLst>
            <a:ext uri="{FF2B5EF4-FFF2-40B4-BE49-F238E27FC236}">
              <a16:creationId xmlns:a16="http://schemas.microsoft.com/office/drawing/2014/main" id="{00000000-0008-0000-1D00-000024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7" name="Rectangle 36">
          <a:hlinkClick xmlns:r="http://schemas.openxmlformats.org/officeDocument/2006/relationships" r:id="rId13" tooltip=" "/>
          <a:extLst>
            <a:ext uri="{FF2B5EF4-FFF2-40B4-BE49-F238E27FC236}">
              <a16:creationId xmlns:a16="http://schemas.microsoft.com/office/drawing/2014/main" id="{00000000-0008-0000-1D00-000025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291353</xdr:colOff>
      <xdr:row>8</xdr:row>
      <xdr:rowOff>0</xdr:rowOff>
    </xdr:from>
    <xdr:to>
      <xdr:col>10</xdr:col>
      <xdr:colOff>291353</xdr:colOff>
      <xdr:row>11</xdr:row>
      <xdr:rowOff>33617</xdr:rowOff>
    </xdr:to>
    <xdr:sp macro="" textlink="">
      <xdr:nvSpPr>
        <xdr:cNvPr id="38" name="Rectangle 37">
          <a:hlinkClick xmlns:r="http://schemas.openxmlformats.org/officeDocument/2006/relationships" r:id="rId14" tooltip="Lighting"/>
          <a:extLst>
            <a:ext uri="{FF2B5EF4-FFF2-40B4-BE49-F238E27FC236}">
              <a16:creationId xmlns:a16="http://schemas.microsoft.com/office/drawing/2014/main" id="{00000000-0008-0000-1D00-000026000000}"/>
            </a:ext>
          </a:extLst>
        </xdr:cNvPr>
        <xdr:cNvSpPr/>
      </xdr:nvSpPr>
      <xdr:spPr>
        <a:xfrm>
          <a:off x="217394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301278</xdr:colOff>
      <xdr:row>8</xdr:row>
      <xdr:rowOff>0</xdr:rowOff>
    </xdr:from>
    <xdr:to>
      <xdr:col>14</xdr:col>
      <xdr:colOff>301278</xdr:colOff>
      <xdr:row>11</xdr:row>
      <xdr:rowOff>33617</xdr:rowOff>
    </xdr:to>
    <xdr:sp macro="" textlink="">
      <xdr:nvSpPr>
        <xdr:cNvPr id="40" name="Rectangle 39">
          <a:hlinkClick xmlns:r="http://schemas.openxmlformats.org/officeDocument/2006/relationships" r:id="rId15" tooltip="Lighting Controls"/>
          <a:extLst>
            <a:ext uri="{FF2B5EF4-FFF2-40B4-BE49-F238E27FC236}">
              <a16:creationId xmlns:a16="http://schemas.microsoft.com/office/drawing/2014/main" id="{00000000-0008-0000-1D00-000028000000}"/>
            </a:ext>
          </a:extLst>
        </xdr:cNvPr>
        <xdr:cNvSpPr/>
      </xdr:nvSpPr>
      <xdr:spPr>
        <a:xfrm>
          <a:off x="343892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311203</xdr:colOff>
      <xdr:row>8</xdr:row>
      <xdr:rowOff>0</xdr:rowOff>
    </xdr:from>
    <xdr:to>
      <xdr:col>18</xdr:col>
      <xdr:colOff>311203</xdr:colOff>
      <xdr:row>11</xdr:row>
      <xdr:rowOff>33617</xdr:rowOff>
    </xdr:to>
    <xdr:sp macro="" textlink="">
      <xdr:nvSpPr>
        <xdr:cNvPr id="43" name="Rectangle 42">
          <a:hlinkClick xmlns:r="http://schemas.openxmlformats.org/officeDocument/2006/relationships" r:id="rId16" tooltip="Refrigeration"/>
          <a:extLst>
            <a:ext uri="{FF2B5EF4-FFF2-40B4-BE49-F238E27FC236}">
              <a16:creationId xmlns:a16="http://schemas.microsoft.com/office/drawing/2014/main" id="{00000000-0008-0000-1D00-00002B000000}"/>
            </a:ext>
          </a:extLst>
        </xdr:cNvPr>
        <xdr:cNvSpPr/>
      </xdr:nvSpPr>
      <xdr:spPr>
        <a:xfrm>
          <a:off x="470390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7364</xdr:colOff>
      <xdr:row>8</xdr:row>
      <xdr:rowOff>0</xdr:rowOff>
    </xdr:from>
    <xdr:to>
      <xdr:col>23</xdr:col>
      <xdr:colOff>7364</xdr:colOff>
      <xdr:row>11</xdr:row>
      <xdr:rowOff>33617</xdr:rowOff>
    </xdr:to>
    <xdr:sp macro="" textlink="">
      <xdr:nvSpPr>
        <xdr:cNvPr id="44" name="Rectangle 43">
          <a:hlinkClick xmlns:r="http://schemas.openxmlformats.org/officeDocument/2006/relationships" r:id="rId17" tooltip="HVAC"/>
          <a:extLst>
            <a:ext uri="{FF2B5EF4-FFF2-40B4-BE49-F238E27FC236}">
              <a16:creationId xmlns:a16="http://schemas.microsoft.com/office/drawing/2014/main" id="{00000000-0008-0000-1D00-00002C000000}"/>
            </a:ext>
          </a:extLst>
        </xdr:cNvPr>
        <xdr:cNvSpPr/>
      </xdr:nvSpPr>
      <xdr:spPr>
        <a:xfrm>
          <a:off x="596889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17289</xdr:colOff>
      <xdr:row>8</xdr:row>
      <xdr:rowOff>0</xdr:rowOff>
    </xdr:from>
    <xdr:to>
      <xdr:col>27</xdr:col>
      <xdr:colOff>17289</xdr:colOff>
      <xdr:row>11</xdr:row>
      <xdr:rowOff>33617</xdr:rowOff>
    </xdr:to>
    <xdr:sp macro="" textlink="">
      <xdr:nvSpPr>
        <xdr:cNvPr id="45" name="Rectangle 44">
          <a:hlinkClick xmlns:r="http://schemas.openxmlformats.org/officeDocument/2006/relationships" r:id="rId18" tooltip="Motors and Drives"/>
          <a:extLst>
            <a:ext uri="{FF2B5EF4-FFF2-40B4-BE49-F238E27FC236}">
              <a16:creationId xmlns:a16="http://schemas.microsoft.com/office/drawing/2014/main" id="{00000000-0008-0000-1D00-00002D000000}"/>
            </a:ext>
          </a:extLst>
        </xdr:cNvPr>
        <xdr:cNvSpPr/>
      </xdr:nvSpPr>
      <xdr:spPr>
        <a:xfrm>
          <a:off x="723387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27214</xdr:colOff>
      <xdr:row>8</xdr:row>
      <xdr:rowOff>0</xdr:rowOff>
    </xdr:from>
    <xdr:to>
      <xdr:col>31</xdr:col>
      <xdr:colOff>27214</xdr:colOff>
      <xdr:row>11</xdr:row>
      <xdr:rowOff>33617</xdr:rowOff>
    </xdr:to>
    <xdr:sp macro="" textlink="">
      <xdr:nvSpPr>
        <xdr:cNvPr id="46" name="Rectangle 45">
          <a:hlinkClick xmlns:r="http://schemas.openxmlformats.org/officeDocument/2006/relationships" r:id="rId19" tooltip="Compressed Air / Process"/>
          <a:extLst>
            <a:ext uri="{FF2B5EF4-FFF2-40B4-BE49-F238E27FC236}">
              <a16:creationId xmlns:a16="http://schemas.microsoft.com/office/drawing/2014/main" id="{00000000-0008-0000-1D00-00002E000000}"/>
            </a:ext>
          </a:extLst>
        </xdr:cNvPr>
        <xdr:cNvSpPr/>
      </xdr:nvSpPr>
      <xdr:spPr>
        <a:xfrm>
          <a:off x="849886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37139</xdr:colOff>
      <xdr:row>8</xdr:row>
      <xdr:rowOff>0</xdr:rowOff>
    </xdr:from>
    <xdr:to>
      <xdr:col>35</xdr:col>
      <xdr:colOff>37139</xdr:colOff>
      <xdr:row>11</xdr:row>
      <xdr:rowOff>33617</xdr:rowOff>
    </xdr:to>
    <xdr:sp macro="" textlink="">
      <xdr:nvSpPr>
        <xdr:cNvPr id="47" name="Rectangle 46">
          <a:hlinkClick xmlns:r="http://schemas.openxmlformats.org/officeDocument/2006/relationships" r:id="rId20" tooltip="Water Heating / Food Services"/>
          <a:extLst>
            <a:ext uri="{FF2B5EF4-FFF2-40B4-BE49-F238E27FC236}">
              <a16:creationId xmlns:a16="http://schemas.microsoft.com/office/drawing/2014/main" id="{00000000-0008-0000-1D00-00002F000000}"/>
            </a:ext>
          </a:extLst>
        </xdr:cNvPr>
        <xdr:cNvSpPr/>
      </xdr:nvSpPr>
      <xdr:spPr>
        <a:xfrm>
          <a:off x="976384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35856</xdr:colOff>
      <xdr:row>8</xdr:row>
      <xdr:rowOff>0</xdr:rowOff>
    </xdr:from>
    <xdr:to>
      <xdr:col>39</xdr:col>
      <xdr:colOff>35856</xdr:colOff>
      <xdr:row>11</xdr:row>
      <xdr:rowOff>33617</xdr:rowOff>
    </xdr:to>
    <xdr:sp macro="" textlink="">
      <xdr:nvSpPr>
        <xdr:cNvPr id="58" name="Rectangle 57">
          <a:hlinkClick xmlns:r="http://schemas.openxmlformats.org/officeDocument/2006/relationships" r:id="rId21" tooltip="Miscellaneous"/>
          <a:extLst>
            <a:ext uri="{FF2B5EF4-FFF2-40B4-BE49-F238E27FC236}">
              <a16:creationId xmlns:a16="http://schemas.microsoft.com/office/drawing/2014/main" id="{00000000-0008-0000-1D00-00003A000000}"/>
            </a:ext>
          </a:extLst>
        </xdr:cNvPr>
        <xdr:cNvSpPr/>
      </xdr:nvSpPr>
      <xdr:spPr>
        <a:xfrm>
          <a:off x="1101762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59" name="Arrow: Chevron 58">
          <a:hlinkClick xmlns:r="http://schemas.openxmlformats.org/officeDocument/2006/relationships" r:id="rId22" tooltip="Building Information"/>
          <a:extLst>
            <a:ext uri="{FF2B5EF4-FFF2-40B4-BE49-F238E27FC236}">
              <a16:creationId xmlns:a16="http://schemas.microsoft.com/office/drawing/2014/main" id="{00000000-0008-0000-1D00-00003B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43703</xdr:rowOff>
    </xdr:to>
    <xdr:grpSp>
      <xdr:nvGrpSpPr>
        <xdr:cNvPr id="2" name="Group 1">
          <a:extLst>
            <a:ext uri="{FF2B5EF4-FFF2-40B4-BE49-F238E27FC236}">
              <a16:creationId xmlns:a16="http://schemas.microsoft.com/office/drawing/2014/main" id="{00000000-0008-0000-1D00-000002000000}"/>
            </a:ext>
          </a:extLst>
        </xdr:cNvPr>
        <xdr:cNvGrpSpPr/>
      </xdr:nvGrpSpPr>
      <xdr:grpSpPr>
        <a:xfrm>
          <a:off x="1714501" y="2700617"/>
          <a:ext cx="2151956" cy="166968"/>
          <a:chOff x="1714501" y="2700617"/>
          <a:chExt cx="2151956" cy="166968"/>
        </a:xfrm>
      </xdr:grpSpPr>
      <xdr:sp macro="" textlink="">
        <xdr:nvSpPr>
          <xdr:cNvPr id="48" name="Rectangle 47">
            <a:hlinkClick xmlns:r="http://schemas.openxmlformats.org/officeDocument/2006/relationships" r:id="rId23" tooltip="Standard"/>
            <a:extLst>
              <a:ext uri="{FF2B5EF4-FFF2-40B4-BE49-F238E27FC236}">
                <a16:creationId xmlns:a16="http://schemas.microsoft.com/office/drawing/2014/main" id="{00000000-0008-0000-1D00-000030000000}"/>
              </a:ext>
            </a:extLst>
          </xdr:cNvPr>
          <xdr:cNvSpPr/>
        </xdr:nvSpPr>
        <xdr:spPr>
          <a:xfrm>
            <a:off x="1714501" y="2700617"/>
            <a:ext cx="1070651" cy="166968"/>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49" name="Rectangle 48">
            <a:hlinkClick xmlns:r="http://schemas.openxmlformats.org/officeDocument/2006/relationships" r:id="rId24" tooltip="Custom"/>
            <a:extLst>
              <a:ext uri="{FF2B5EF4-FFF2-40B4-BE49-F238E27FC236}">
                <a16:creationId xmlns:a16="http://schemas.microsoft.com/office/drawing/2014/main" id="{00000000-0008-0000-1D00-000031000000}"/>
              </a:ext>
            </a:extLst>
          </xdr:cNvPr>
          <xdr:cNvSpPr/>
        </xdr:nvSpPr>
        <xdr:spPr>
          <a:xfrm>
            <a:off x="2796609" y="2700617"/>
            <a:ext cx="1069848" cy="164592"/>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178525</xdr:rowOff>
    </xdr:to>
    <xdr:pic>
      <xdr:nvPicPr>
        <xdr:cNvPr id="60" name="Picture 59">
          <a:extLst>
            <a:ext uri="{FF2B5EF4-FFF2-40B4-BE49-F238E27FC236}">
              <a16:creationId xmlns:a16="http://schemas.microsoft.com/office/drawing/2014/main" id="{00000000-0008-0000-1D00-00003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30" name="Straight Connector 29">
          <a:extLst>
            <a:ext uri="{FF2B5EF4-FFF2-40B4-BE49-F238E27FC236}">
              <a16:creationId xmlns:a16="http://schemas.microsoft.com/office/drawing/2014/main" id="{00000000-0008-0000-1E00-00001E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46" name="Straight Connector 45">
          <a:extLst>
            <a:ext uri="{FF2B5EF4-FFF2-40B4-BE49-F238E27FC236}">
              <a16:creationId xmlns:a16="http://schemas.microsoft.com/office/drawing/2014/main" id="{00000000-0008-0000-1E00-00002E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47" name="Straight Connector 46">
          <a:extLst>
            <a:ext uri="{FF2B5EF4-FFF2-40B4-BE49-F238E27FC236}">
              <a16:creationId xmlns:a16="http://schemas.microsoft.com/office/drawing/2014/main" id="{00000000-0008-0000-1E00-00002F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48" name="Straight Connector 47">
          <a:extLst>
            <a:ext uri="{FF2B5EF4-FFF2-40B4-BE49-F238E27FC236}">
              <a16:creationId xmlns:a16="http://schemas.microsoft.com/office/drawing/2014/main" id="{00000000-0008-0000-1E00-000030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49" name="Straight Connector 48">
          <a:extLst>
            <a:ext uri="{FF2B5EF4-FFF2-40B4-BE49-F238E27FC236}">
              <a16:creationId xmlns:a16="http://schemas.microsoft.com/office/drawing/2014/main" id="{00000000-0008-0000-1E00-000031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50" name="Straight Connector 49">
          <a:extLst>
            <a:ext uri="{FF2B5EF4-FFF2-40B4-BE49-F238E27FC236}">
              <a16:creationId xmlns:a16="http://schemas.microsoft.com/office/drawing/2014/main" id="{00000000-0008-0000-1E00-000032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51" name="Straight Connector 50">
          <a:extLst>
            <a:ext uri="{FF2B5EF4-FFF2-40B4-BE49-F238E27FC236}">
              <a16:creationId xmlns:a16="http://schemas.microsoft.com/office/drawing/2014/main" id="{00000000-0008-0000-1E00-000033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52" name="Straight Connector 51">
          <a:extLst>
            <a:ext uri="{FF2B5EF4-FFF2-40B4-BE49-F238E27FC236}">
              <a16:creationId xmlns:a16="http://schemas.microsoft.com/office/drawing/2014/main" id="{00000000-0008-0000-1E00-000034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212910</xdr:colOff>
      <xdr:row>8</xdr:row>
      <xdr:rowOff>100854</xdr:rowOff>
    </xdr:from>
    <xdr:to>
      <xdr:col>3</xdr:col>
      <xdr:colOff>112057</xdr:colOff>
      <xdr:row>10</xdr:row>
      <xdr:rowOff>108922</xdr:rowOff>
    </xdr:to>
    <xdr:sp macro="" textlink="">
      <xdr:nvSpPr>
        <xdr:cNvPr id="53" name="Arrow: Left 52">
          <a:hlinkClick xmlns:r="http://schemas.openxmlformats.org/officeDocument/2006/relationships" r:id="rId1" tooltip="Back: Compressed Air / Process"/>
          <a:extLst>
            <a:ext uri="{FF2B5EF4-FFF2-40B4-BE49-F238E27FC236}">
              <a16:creationId xmlns:a16="http://schemas.microsoft.com/office/drawing/2014/main" id="{00000000-0008-0000-1E00-000035000000}"/>
            </a:ext>
          </a:extLst>
        </xdr:cNvPr>
        <xdr:cNvSpPr/>
      </xdr:nvSpPr>
      <xdr:spPr>
        <a:xfrm>
          <a:off x="529140" y="1687719"/>
          <a:ext cx="520177"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54" name="Arrow: Right 53">
          <a:hlinkClick xmlns:r="http://schemas.openxmlformats.org/officeDocument/2006/relationships" r:id="rId2" tooltip="Forward: Miscellaneous"/>
          <a:extLst>
            <a:ext uri="{FF2B5EF4-FFF2-40B4-BE49-F238E27FC236}">
              <a16:creationId xmlns:a16="http://schemas.microsoft.com/office/drawing/2014/main" id="{00000000-0008-0000-1E00-000036000000}"/>
            </a:ext>
          </a:extLst>
        </xdr:cNvPr>
        <xdr:cNvSpPr/>
      </xdr:nvSpPr>
      <xdr:spPr>
        <a:xfrm>
          <a:off x="13269221" y="1687719"/>
          <a:ext cx="52385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55" name="Arrow: Chevron 54">
          <a:hlinkClick xmlns:r="http://schemas.openxmlformats.org/officeDocument/2006/relationships" r:id="rId3" tooltip="Terms &amp; Conditions"/>
          <a:extLst>
            <a:ext uri="{FF2B5EF4-FFF2-40B4-BE49-F238E27FC236}">
              <a16:creationId xmlns:a16="http://schemas.microsoft.com/office/drawing/2014/main" id="{00000000-0008-0000-1E00-000037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56" name="Arrow: Chevron 55">
          <a:hlinkClick xmlns:r="http://schemas.openxmlformats.org/officeDocument/2006/relationships" r:id="rId4" tooltip="Trade Ally/Vendor Information"/>
          <a:extLst>
            <a:ext uri="{FF2B5EF4-FFF2-40B4-BE49-F238E27FC236}">
              <a16:creationId xmlns:a16="http://schemas.microsoft.com/office/drawing/2014/main" id="{00000000-0008-0000-1E00-000038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57" name="Arrow: Chevron 56">
          <a:hlinkClick xmlns:r="http://schemas.openxmlformats.org/officeDocument/2006/relationships" r:id="rId5" tooltip="Customer Information"/>
          <a:extLst>
            <a:ext uri="{FF2B5EF4-FFF2-40B4-BE49-F238E27FC236}">
              <a16:creationId xmlns:a16="http://schemas.microsoft.com/office/drawing/2014/main" id="{00000000-0008-0000-1E00-000039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9" name="Arrow: Chevron 58">
          <a:hlinkClick xmlns:r="http://schemas.openxmlformats.org/officeDocument/2006/relationships" r:id="rId6" tooltip="Equipment Input"/>
          <a:extLst>
            <a:ext uri="{FF2B5EF4-FFF2-40B4-BE49-F238E27FC236}">
              <a16:creationId xmlns:a16="http://schemas.microsoft.com/office/drawing/2014/main" id="{00000000-0008-0000-1E00-00003B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60" name="Arrow: Chevron 59">
          <a:hlinkClick xmlns:r="http://schemas.openxmlformats.org/officeDocument/2006/relationships" r:id="rId7" tooltip="Payment"/>
          <a:extLst>
            <a:ext uri="{FF2B5EF4-FFF2-40B4-BE49-F238E27FC236}">
              <a16:creationId xmlns:a16="http://schemas.microsoft.com/office/drawing/2014/main" id="{00000000-0008-0000-1E00-00003C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61" name="Arrow: Chevron 60">
          <a:hlinkClick xmlns:r="http://schemas.openxmlformats.org/officeDocument/2006/relationships" r:id="rId8" tooltip="Project Review"/>
          <a:extLst>
            <a:ext uri="{FF2B5EF4-FFF2-40B4-BE49-F238E27FC236}">
              <a16:creationId xmlns:a16="http://schemas.microsoft.com/office/drawing/2014/main" id="{00000000-0008-0000-1E00-00003D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7" name="Straight Connector 26">
          <a:extLst>
            <a:ext uri="{FF2B5EF4-FFF2-40B4-BE49-F238E27FC236}">
              <a16:creationId xmlns:a16="http://schemas.microsoft.com/office/drawing/2014/main" id="{00000000-0008-0000-1E00-00001B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E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4" name="Straight Connector 33">
          <a:extLst>
            <a:ext uri="{FF2B5EF4-FFF2-40B4-BE49-F238E27FC236}">
              <a16:creationId xmlns:a16="http://schemas.microsoft.com/office/drawing/2014/main" id="{00000000-0008-0000-1E00-000022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5" name="Rectangle 34">
          <a:hlinkClick xmlns:r="http://schemas.openxmlformats.org/officeDocument/2006/relationships" r:id="rId9" tooltip="Welcome"/>
          <a:extLst>
            <a:ext uri="{FF2B5EF4-FFF2-40B4-BE49-F238E27FC236}">
              <a16:creationId xmlns:a16="http://schemas.microsoft.com/office/drawing/2014/main" id="{00000000-0008-0000-1E00-000023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6" name="Rectangle 35">
          <a:hlinkClick xmlns:r="http://schemas.openxmlformats.org/officeDocument/2006/relationships" r:id="rId10" tooltip="Instructions"/>
          <a:extLst>
            <a:ext uri="{FF2B5EF4-FFF2-40B4-BE49-F238E27FC236}">
              <a16:creationId xmlns:a16="http://schemas.microsoft.com/office/drawing/2014/main" id="{00000000-0008-0000-1E00-000024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7" name="Rectangle 36">
          <a:hlinkClick xmlns:r="http://schemas.openxmlformats.org/officeDocument/2006/relationships" r:id="rId11" tooltip="Contact"/>
          <a:extLst>
            <a:ext uri="{FF2B5EF4-FFF2-40B4-BE49-F238E27FC236}">
              <a16:creationId xmlns:a16="http://schemas.microsoft.com/office/drawing/2014/main" id="{00000000-0008-0000-1E00-000025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8" name="Rectangle 37">
          <a:hlinkClick xmlns:r="http://schemas.openxmlformats.org/officeDocument/2006/relationships" r:id="rId12" tooltip=" "/>
          <a:extLst>
            <a:ext uri="{FF2B5EF4-FFF2-40B4-BE49-F238E27FC236}">
              <a16:creationId xmlns:a16="http://schemas.microsoft.com/office/drawing/2014/main" id="{00000000-0008-0000-1E00-000026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9" name="Rectangle 38">
          <a:hlinkClick xmlns:r="http://schemas.openxmlformats.org/officeDocument/2006/relationships" r:id="rId13" tooltip=" "/>
          <a:extLst>
            <a:ext uri="{FF2B5EF4-FFF2-40B4-BE49-F238E27FC236}">
              <a16:creationId xmlns:a16="http://schemas.microsoft.com/office/drawing/2014/main" id="{00000000-0008-0000-1E00-000027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40" name="Rectangle 39">
          <a:hlinkClick xmlns:r="http://schemas.openxmlformats.org/officeDocument/2006/relationships" r:id="rId14" tooltip="Lighting"/>
          <a:extLst>
            <a:ext uri="{FF2B5EF4-FFF2-40B4-BE49-F238E27FC236}">
              <a16:creationId xmlns:a16="http://schemas.microsoft.com/office/drawing/2014/main" id="{00000000-0008-0000-1E00-000028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41" name="Rectangle 40">
          <a:hlinkClick xmlns:r="http://schemas.openxmlformats.org/officeDocument/2006/relationships" r:id="rId15" tooltip="Lighting Controls"/>
          <a:extLst>
            <a:ext uri="{FF2B5EF4-FFF2-40B4-BE49-F238E27FC236}">
              <a16:creationId xmlns:a16="http://schemas.microsoft.com/office/drawing/2014/main" id="{00000000-0008-0000-1E00-000029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42" name="Rectangle 41">
          <a:hlinkClick xmlns:r="http://schemas.openxmlformats.org/officeDocument/2006/relationships" r:id="rId16" tooltip="Refrigeration"/>
          <a:extLst>
            <a:ext uri="{FF2B5EF4-FFF2-40B4-BE49-F238E27FC236}">
              <a16:creationId xmlns:a16="http://schemas.microsoft.com/office/drawing/2014/main" id="{00000000-0008-0000-1E00-00002A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62" name="Rectangle 61">
          <a:hlinkClick xmlns:r="http://schemas.openxmlformats.org/officeDocument/2006/relationships" r:id="rId17" tooltip="HVAC"/>
          <a:extLst>
            <a:ext uri="{FF2B5EF4-FFF2-40B4-BE49-F238E27FC236}">
              <a16:creationId xmlns:a16="http://schemas.microsoft.com/office/drawing/2014/main" id="{00000000-0008-0000-1E00-00003E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63" name="Rectangle 62">
          <a:hlinkClick xmlns:r="http://schemas.openxmlformats.org/officeDocument/2006/relationships" r:id="rId18" tooltip="Motors and Drives"/>
          <a:extLst>
            <a:ext uri="{FF2B5EF4-FFF2-40B4-BE49-F238E27FC236}">
              <a16:creationId xmlns:a16="http://schemas.microsoft.com/office/drawing/2014/main" id="{00000000-0008-0000-1E00-00003F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64" name="Rectangle 63">
          <a:hlinkClick xmlns:r="http://schemas.openxmlformats.org/officeDocument/2006/relationships" r:id="rId19" tooltip="Compressed Air / Process"/>
          <a:extLst>
            <a:ext uri="{FF2B5EF4-FFF2-40B4-BE49-F238E27FC236}">
              <a16:creationId xmlns:a16="http://schemas.microsoft.com/office/drawing/2014/main" id="{00000000-0008-0000-1E00-000040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65" name="Rectangle 64">
          <a:hlinkClick xmlns:r="http://schemas.openxmlformats.org/officeDocument/2006/relationships" r:id="rId20" tooltip="Water Heating / Food Services"/>
          <a:extLst>
            <a:ext uri="{FF2B5EF4-FFF2-40B4-BE49-F238E27FC236}">
              <a16:creationId xmlns:a16="http://schemas.microsoft.com/office/drawing/2014/main" id="{00000000-0008-0000-1E00-000041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66" name="Rectangle 65">
          <a:hlinkClick xmlns:r="http://schemas.openxmlformats.org/officeDocument/2006/relationships" r:id="rId21" tooltip="Miscellaneous"/>
          <a:extLst>
            <a:ext uri="{FF2B5EF4-FFF2-40B4-BE49-F238E27FC236}">
              <a16:creationId xmlns:a16="http://schemas.microsoft.com/office/drawing/2014/main" id="{00000000-0008-0000-1E00-000042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7" name="Arrow: Chevron 66">
          <a:hlinkClick xmlns:r="http://schemas.openxmlformats.org/officeDocument/2006/relationships" r:id="rId22" tooltip="Building Information"/>
          <a:extLst>
            <a:ext uri="{FF2B5EF4-FFF2-40B4-BE49-F238E27FC236}">
              <a16:creationId xmlns:a16="http://schemas.microsoft.com/office/drawing/2014/main" id="{00000000-0008-0000-1E00-000043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43703</xdr:rowOff>
    </xdr:to>
    <xdr:grpSp>
      <xdr:nvGrpSpPr>
        <xdr:cNvPr id="2" name="Group 1">
          <a:extLst>
            <a:ext uri="{FF2B5EF4-FFF2-40B4-BE49-F238E27FC236}">
              <a16:creationId xmlns:a16="http://schemas.microsoft.com/office/drawing/2014/main" id="{00000000-0008-0000-1E00-000002000000}"/>
            </a:ext>
          </a:extLst>
        </xdr:cNvPr>
        <xdr:cNvGrpSpPr/>
      </xdr:nvGrpSpPr>
      <xdr:grpSpPr>
        <a:xfrm>
          <a:off x="1714501" y="2700617"/>
          <a:ext cx="2151956" cy="166968"/>
          <a:chOff x="1714501" y="2700617"/>
          <a:chExt cx="2151956" cy="166968"/>
        </a:xfrm>
      </xdr:grpSpPr>
      <xdr:sp macro="" textlink="">
        <xdr:nvSpPr>
          <xdr:cNvPr id="68" name="Rectangle 67">
            <a:hlinkClick xmlns:r="http://schemas.openxmlformats.org/officeDocument/2006/relationships" r:id="rId23" tooltip="Standard"/>
            <a:extLst>
              <a:ext uri="{FF2B5EF4-FFF2-40B4-BE49-F238E27FC236}">
                <a16:creationId xmlns:a16="http://schemas.microsoft.com/office/drawing/2014/main" id="{00000000-0008-0000-1E00-000044000000}"/>
              </a:ext>
            </a:extLst>
          </xdr:cNvPr>
          <xdr:cNvSpPr/>
        </xdr:nvSpPr>
        <xdr:spPr>
          <a:xfrm>
            <a:off x="1714501" y="2700617"/>
            <a:ext cx="1070651" cy="166968"/>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9" name="Rectangle 68">
            <a:hlinkClick xmlns:r="http://schemas.openxmlformats.org/officeDocument/2006/relationships" r:id="rId24" tooltip="Custom"/>
            <a:extLst>
              <a:ext uri="{FF2B5EF4-FFF2-40B4-BE49-F238E27FC236}">
                <a16:creationId xmlns:a16="http://schemas.microsoft.com/office/drawing/2014/main" id="{00000000-0008-0000-1E00-000045000000}"/>
              </a:ext>
            </a:extLst>
          </xdr:cNvPr>
          <xdr:cNvSpPr/>
        </xdr:nvSpPr>
        <xdr:spPr>
          <a:xfrm>
            <a:off x="2796609" y="2700617"/>
            <a:ext cx="1069848" cy="164592"/>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178525</xdr:rowOff>
    </xdr:to>
    <xdr:pic>
      <xdr:nvPicPr>
        <xdr:cNvPr id="43" name="Picture 42">
          <a:extLst>
            <a:ext uri="{FF2B5EF4-FFF2-40B4-BE49-F238E27FC236}">
              <a16:creationId xmlns:a16="http://schemas.microsoft.com/office/drawing/2014/main" id="{00000000-0008-0000-1E00-00002B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212910</xdr:colOff>
      <xdr:row>8</xdr:row>
      <xdr:rowOff>100854</xdr:rowOff>
    </xdr:from>
    <xdr:to>
      <xdr:col>3</xdr:col>
      <xdr:colOff>112057</xdr:colOff>
      <xdr:row>10</xdr:row>
      <xdr:rowOff>108922</xdr:rowOff>
    </xdr:to>
    <xdr:sp macro="" textlink="">
      <xdr:nvSpPr>
        <xdr:cNvPr id="15" name="Arrow: Left 14">
          <a:hlinkClick xmlns:r="http://schemas.openxmlformats.org/officeDocument/2006/relationships" r:id="rId1" tooltip="Back: Water Heating / Cooking"/>
          <a:extLst>
            <a:ext uri="{FF2B5EF4-FFF2-40B4-BE49-F238E27FC236}">
              <a16:creationId xmlns:a16="http://schemas.microsoft.com/office/drawing/2014/main" id="{00000000-0008-0000-1F00-00000F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16" name="Arrow: Right 15">
          <a:hlinkClick xmlns:r="http://schemas.openxmlformats.org/officeDocument/2006/relationships" r:id="rId2" tooltip="Forward: Payment"/>
          <a:extLst>
            <a:ext uri="{FF2B5EF4-FFF2-40B4-BE49-F238E27FC236}">
              <a16:creationId xmlns:a16="http://schemas.microsoft.com/office/drawing/2014/main" id="{00000000-0008-0000-1F00-000010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29583</xdr:colOff>
      <xdr:row>13</xdr:row>
      <xdr:rowOff>89645</xdr:rowOff>
    </xdr:from>
    <xdr:to>
      <xdr:col>10</xdr:col>
      <xdr:colOff>158137</xdr:colOff>
      <xdr:row>14</xdr:row>
      <xdr:rowOff>78439</xdr:rowOff>
    </xdr:to>
    <xdr:sp macro="" textlink="">
      <xdr:nvSpPr>
        <xdr:cNvPr id="31" name="Rectangle 30">
          <a:hlinkClick xmlns:r="http://schemas.openxmlformats.org/officeDocument/2006/relationships" r:id="rId3" tooltip="Custom / New Construction"/>
          <a:extLst>
            <a:ext uri="{FF2B5EF4-FFF2-40B4-BE49-F238E27FC236}">
              <a16:creationId xmlns:a16="http://schemas.microsoft.com/office/drawing/2014/main" id="{00000000-0008-0000-1F00-00001F000000}"/>
            </a:ext>
          </a:extLst>
        </xdr:cNvPr>
        <xdr:cNvSpPr/>
      </xdr:nvSpPr>
      <xdr:spPr>
        <a:xfrm>
          <a:off x="2225936" y="2711821"/>
          <a:ext cx="1069848"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Arial" panose="020B0604020202020204" pitchFamily="34" charset="0"/>
              <a:cs typeface="Arial" panose="020B0604020202020204" pitchFamily="34" charset="0"/>
            </a:rPr>
            <a:t>Custom</a:t>
          </a:r>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35" name="Straight Connector 34">
          <a:extLst>
            <a:ext uri="{FF2B5EF4-FFF2-40B4-BE49-F238E27FC236}">
              <a16:creationId xmlns:a16="http://schemas.microsoft.com/office/drawing/2014/main" id="{00000000-0008-0000-1F00-000023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293034</xdr:colOff>
      <xdr:row>8</xdr:row>
      <xdr:rowOff>0</xdr:rowOff>
    </xdr:from>
    <xdr:to>
      <xdr:col>10</xdr:col>
      <xdr:colOff>293034</xdr:colOff>
      <xdr:row>10</xdr:row>
      <xdr:rowOff>99508</xdr:rowOff>
    </xdr:to>
    <xdr:cxnSp macro="">
      <xdr:nvCxnSpPr>
        <xdr:cNvPr id="39" name="Straight Connector 38">
          <a:extLst>
            <a:ext uri="{FF2B5EF4-FFF2-40B4-BE49-F238E27FC236}">
              <a16:creationId xmlns:a16="http://schemas.microsoft.com/office/drawing/2014/main" id="{00000000-0008-0000-1F00-000027000000}"/>
            </a:ext>
          </a:extLst>
        </xdr:cNvPr>
        <xdr:cNvCxnSpPr/>
      </xdr:nvCxnSpPr>
      <xdr:spPr>
        <a:xfrm>
          <a:off x="3419139" y="1584960"/>
          <a:ext cx="0" cy="4995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40" name="Straight Connector 39">
          <a:extLst>
            <a:ext uri="{FF2B5EF4-FFF2-40B4-BE49-F238E27FC236}">
              <a16:creationId xmlns:a16="http://schemas.microsoft.com/office/drawing/2014/main" id="{00000000-0008-0000-1F00-000028000000}"/>
            </a:ext>
          </a:extLst>
        </xdr:cNvPr>
        <xdr:cNvCxnSpPr/>
      </xdr:nvCxnSpPr>
      <xdr:spPr>
        <a:xfrm>
          <a:off x="46863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41" name="Straight Connector 40">
          <a:extLst>
            <a:ext uri="{FF2B5EF4-FFF2-40B4-BE49-F238E27FC236}">
              <a16:creationId xmlns:a16="http://schemas.microsoft.com/office/drawing/2014/main" id="{00000000-0008-0000-1F00-000029000000}"/>
            </a:ext>
          </a:extLst>
        </xdr:cNvPr>
        <xdr:cNvCxnSpPr/>
      </xdr:nvCxnSpPr>
      <xdr:spPr>
        <a:xfrm>
          <a:off x="593598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42" name="Straight Connector 41">
          <a:extLst>
            <a:ext uri="{FF2B5EF4-FFF2-40B4-BE49-F238E27FC236}">
              <a16:creationId xmlns:a16="http://schemas.microsoft.com/office/drawing/2014/main" id="{00000000-0008-0000-1F00-00002A000000}"/>
            </a:ext>
          </a:extLst>
        </xdr:cNvPr>
        <xdr:cNvCxnSpPr/>
      </xdr:nvCxnSpPr>
      <xdr:spPr>
        <a:xfrm>
          <a:off x="718566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43" name="Straight Connector 42">
          <a:extLst>
            <a:ext uri="{FF2B5EF4-FFF2-40B4-BE49-F238E27FC236}">
              <a16:creationId xmlns:a16="http://schemas.microsoft.com/office/drawing/2014/main" id="{00000000-0008-0000-1F00-00002B000000}"/>
            </a:ext>
          </a:extLst>
        </xdr:cNvPr>
        <xdr:cNvCxnSpPr/>
      </xdr:nvCxnSpPr>
      <xdr:spPr>
        <a:xfrm>
          <a:off x="9683924" y="1592468"/>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44" name="Straight Connector 43">
          <a:extLst>
            <a:ext uri="{FF2B5EF4-FFF2-40B4-BE49-F238E27FC236}">
              <a16:creationId xmlns:a16="http://schemas.microsoft.com/office/drawing/2014/main" id="{00000000-0008-0000-1F00-00002C000000}"/>
            </a:ext>
          </a:extLst>
        </xdr:cNvPr>
        <xdr:cNvCxnSpPr/>
      </xdr:nvCxnSpPr>
      <xdr:spPr>
        <a:xfrm>
          <a:off x="8444641" y="1577340"/>
          <a:ext cx="0" cy="49025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45" name="Straight Connector 44">
          <a:extLst>
            <a:ext uri="{FF2B5EF4-FFF2-40B4-BE49-F238E27FC236}">
              <a16:creationId xmlns:a16="http://schemas.microsoft.com/office/drawing/2014/main" id="{00000000-0008-0000-1F00-00002D000000}"/>
            </a:ext>
          </a:extLst>
        </xdr:cNvPr>
        <xdr:cNvCxnSpPr/>
      </xdr:nvCxnSpPr>
      <xdr:spPr>
        <a:xfrm>
          <a:off x="10934700" y="1584960"/>
          <a:ext cx="0" cy="499559"/>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46" name="Arrow: Chevron 45">
          <a:hlinkClick xmlns:r="http://schemas.openxmlformats.org/officeDocument/2006/relationships" r:id="rId4" tooltip="Terms &amp; Conditions"/>
          <a:extLst>
            <a:ext uri="{FF2B5EF4-FFF2-40B4-BE49-F238E27FC236}">
              <a16:creationId xmlns:a16="http://schemas.microsoft.com/office/drawing/2014/main" id="{00000000-0008-0000-1F00-00002E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47" name="Arrow: Chevron 46">
          <a:hlinkClick xmlns:r="http://schemas.openxmlformats.org/officeDocument/2006/relationships" r:id="rId5" tooltip="Trade Ally/Vendor Information"/>
          <a:extLst>
            <a:ext uri="{FF2B5EF4-FFF2-40B4-BE49-F238E27FC236}">
              <a16:creationId xmlns:a16="http://schemas.microsoft.com/office/drawing/2014/main" id="{00000000-0008-0000-1F00-00002F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48" name="Arrow: Chevron 47">
          <a:hlinkClick xmlns:r="http://schemas.openxmlformats.org/officeDocument/2006/relationships" r:id="rId6" tooltip="Customer Information"/>
          <a:extLst>
            <a:ext uri="{FF2B5EF4-FFF2-40B4-BE49-F238E27FC236}">
              <a16:creationId xmlns:a16="http://schemas.microsoft.com/office/drawing/2014/main" id="{00000000-0008-0000-1F00-000030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0" name="Arrow: Chevron 49">
          <a:hlinkClick xmlns:r="http://schemas.openxmlformats.org/officeDocument/2006/relationships" r:id="rId7" tooltip="Equipment Input"/>
          <a:extLst>
            <a:ext uri="{FF2B5EF4-FFF2-40B4-BE49-F238E27FC236}">
              <a16:creationId xmlns:a16="http://schemas.microsoft.com/office/drawing/2014/main" id="{00000000-0008-0000-1F00-000032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51" name="Arrow: Chevron 50">
          <a:hlinkClick xmlns:r="http://schemas.openxmlformats.org/officeDocument/2006/relationships" r:id="rId2" tooltip="Payment"/>
          <a:extLst>
            <a:ext uri="{FF2B5EF4-FFF2-40B4-BE49-F238E27FC236}">
              <a16:creationId xmlns:a16="http://schemas.microsoft.com/office/drawing/2014/main" id="{00000000-0008-0000-1F00-000033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52" name="Arrow: Chevron 51">
          <a:hlinkClick xmlns:r="http://schemas.openxmlformats.org/officeDocument/2006/relationships" r:id="rId8" tooltip="Project Review"/>
          <a:extLst>
            <a:ext uri="{FF2B5EF4-FFF2-40B4-BE49-F238E27FC236}">
              <a16:creationId xmlns:a16="http://schemas.microsoft.com/office/drawing/2014/main" id="{00000000-0008-0000-1F00-000034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5" name="Straight Connector 24">
          <a:extLst>
            <a:ext uri="{FF2B5EF4-FFF2-40B4-BE49-F238E27FC236}">
              <a16:creationId xmlns:a16="http://schemas.microsoft.com/office/drawing/2014/main" id="{00000000-0008-0000-1F00-000019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6" name="Straight Connector 25">
          <a:extLst>
            <a:ext uri="{FF2B5EF4-FFF2-40B4-BE49-F238E27FC236}">
              <a16:creationId xmlns:a16="http://schemas.microsoft.com/office/drawing/2014/main" id="{00000000-0008-0000-1F00-00001A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7" name="Straight Connector 26">
          <a:extLst>
            <a:ext uri="{FF2B5EF4-FFF2-40B4-BE49-F238E27FC236}">
              <a16:creationId xmlns:a16="http://schemas.microsoft.com/office/drawing/2014/main" id="{00000000-0008-0000-1F00-00001B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28" name="Rectangle 27">
          <a:hlinkClick xmlns:r="http://schemas.openxmlformats.org/officeDocument/2006/relationships" r:id="rId9" tooltip="Welcome"/>
          <a:extLst>
            <a:ext uri="{FF2B5EF4-FFF2-40B4-BE49-F238E27FC236}">
              <a16:creationId xmlns:a16="http://schemas.microsoft.com/office/drawing/2014/main" id="{00000000-0008-0000-1F00-00001C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29" name="Rectangle 28">
          <a:hlinkClick xmlns:r="http://schemas.openxmlformats.org/officeDocument/2006/relationships" r:id="rId10" tooltip="Instructions"/>
          <a:extLst>
            <a:ext uri="{FF2B5EF4-FFF2-40B4-BE49-F238E27FC236}">
              <a16:creationId xmlns:a16="http://schemas.microsoft.com/office/drawing/2014/main" id="{00000000-0008-0000-1F00-00001D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0" name="Rectangle 29">
          <a:hlinkClick xmlns:r="http://schemas.openxmlformats.org/officeDocument/2006/relationships" r:id="rId11" tooltip="Contact"/>
          <a:extLst>
            <a:ext uri="{FF2B5EF4-FFF2-40B4-BE49-F238E27FC236}">
              <a16:creationId xmlns:a16="http://schemas.microsoft.com/office/drawing/2014/main" id="{00000000-0008-0000-1F00-00001E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2" name="Rectangle 31">
          <a:hlinkClick xmlns:r="http://schemas.openxmlformats.org/officeDocument/2006/relationships" r:id="rId12" tooltip=" "/>
          <a:extLst>
            <a:ext uri="{FF2B5EF4-FFF2-40B4-BE49-F238E27FC236}">
              <a16:creationId xmlns:a16="http://schemas.microsoft.com/office/drawing/2014/main" id="{00000000-0008-0000-1F00-000020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3" name="Rectangle 32">
          <a:hlinkClick xmlns:r="http://schemas.openxmlformats.org/officeDocument/2006/relationships" r:id="rId13" tooltip=" "/>
          <a:extLst>
            <a:ext uri="{FF2B5EF4-FFF2-40B4-BE49-F238E27FC236}">
              <a16:creationId xmlns:a16="http://schemas.microsoft.com/office/drawing/2014/main" id="{00000000-0008-0000-1F00-000021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280147</xdr:colOff>
      <xdr:row>8</xdr:row>
      <xdr:rowOff>0</xdr:rowOff>
    </xdr:from>
    <xdr:to>
      <xdr:col>10</xdr:col>
      <xdr:colOff>280147</xdr:colOff>
      <xdr:row>11</xdr:row>
      <xdr:rowOff>33617</xdr:rowOff>
    </xdr:to>
    <xdr:sp macro="" textlink="">
      <xdr:nvSpPr>
        <xdr:cNvPr id="53" name="Rectangle 52">
          <a:hlinkClick xmlns:r="http://schemas.openxmlformats.org/officeDocument/2006/relationships" r:id="rId14" tooltip="Lighting"/>
          <a:extLst>
            <a:ext uri="{FF2B5EF4-FFF2-40B4-BE49-F238E27FC236}">
              <a16:creationId xmlns:a16="http://schemas.microsoft.com/office/drawing/2014/main" id="{00000000-0008-0000-1F00-000035000000}"/>
            </a:ext>
          </a:extLst>
        </xdr:cNvPr>
        <xdr:cNvSpPr/>
      </xdr:nvSpPr>
      <xdr:spPr>
        <a:xfrm>
          <a:off x="216273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8</xdr:row>
      <xdr:rowOff>0</xdr:rowOff>
    </xdr:from>
    <xdr:to>
      <xdr:col>14</xdr:col>
      <xdr:colOff>290072</xdr:colOff>
      <xdr:row>11</xdr:row>
      <xdr:rowOff>33617</xdr:rowOff>
    </xdr:to>
    <xdr:sp macro="" textlink="">
      <xdr:nvSpPr>
        <xdr:cNvPr id="54" name="Rectangle 53">
          <a:hlinkClick xmlns:r="http://schemas.openxmlformats.org/officeDocument/2006/relationships" r:id="rId15" tooltip="Lighting Controls"/>
          <a:extLst>
            <a:ext uri="{FF2B5EF4-FFF2-40B4-BE49-F238E27FC236}">
              <a16:creationId xmlns:a16="http://schemas.microsoft.com/office/drawing/2014/main" id="{00000000-0008-0000-1F00-000036000000}"/>
            </a:ext>
          </a:extLst>
        </xdr:cNvPr>
        <xdr:cNvSpPr/>
      </xdr:nvSpPr>
      <xdr:spPr>
        <a:xfrm>
          <a:off x="342771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8</xdr:row>
      <xdr:rowOff>0</xdr:rowOff>
    </xdr:from>
    <xdr:to>
      <xdr:col>18</xdr:col>
      <xdr:colOff>299997</xdr:colOff>
      <xdr:row>11</xdr:row>
      <xdr:rowOff>33617</xdr:rowOff>
    </xdr:to>
    <xdr:sp macro="" textlink="">
      <xdr:nvSpPr>
        <xdr:cNvPr id="55" name="Rectangle 54">
          <a:hlinkClick xmlns:r="http://schemas.openxmlformats.org/officeDocument/2006/relationships" r:id="rId16" tooltip="Refrigeration"/>
          <a:extLst>
            <a:ext uri="{FF2B5EF4-FFF2-40B4-BE49-F238E27FC236}">
              <a16:creationId xmlns:a16="http://schemas.microsoft.com/office/drawing/2014/main" id="{00000000-0008-0000-1F00-000037000000}"/>
            </a:ext>
          </a:extLst>
        </xdr:cNvPr>
        <xdr:cNvSpPr/>
      </xdr:nvSpPr>
      <xdr:spPr>
        <a:xfrm>
          <a:off x="4692703"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8</xdr:row>
      <xdr:rowOff>0</xdr:rowOff>
    </xdr:from>
    <xdr:to>
      <xdr:col>22</xdr:col>
      <xdr:colOff>309922</xdr:colOff>
      <xdr:row>11</xdr:row>
      <xdr:rowOff>33617</xdr:rowOff>
    </xdr:to>
    <xdr:sp macro="" textlink="">
      <xdr:nvSpPr>
        <xdr:cNvPr id="56" name="Rectangle 55">
          <a:hlinkClick xmlns:r="http://schemas.openxmlformats.org/officeDocument/2006/relationships" r:id="rId17" tooltip="HVAC"/>
          <a:extLst>
            <a:ext uri="{FF2B5EF4-FFF2-40B4-BE49-F238E27FC236}">
              <a16:creationId xmlns:a16="http://schemas.microsoft.com/office/drawing/2014/main" id="{00000000-0008-0000-1F00-000038000000}"/>
            </a:ext>
          </a:extLst>
        </xdr:cNvPr>
        <xdr:cNvSpPr/>
      </xdr:nvSpPr>
      <xdr:spPr>
        <a:xfrm>
          <a:off x="5957687"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8</xdr:row>
      <xdr:rowOff>0</xdr:rowOff>
    </xdr:from>
    <xdr:to>
      <xdr:col>27</xdr:col>
      <xdr:colOff>6083</xdr:colOff>
      <xdr:row>11</xdr:row>
      <xdr:rowOff>33617</xdr:rowOff>
    </xdr:to>
    <xdr:sp macro="" textlink="">
      <xdr:nvSpPr>
        <xdr:cNvPr id="57" name="Rectangle 56">
          <a:hlinkClick xmlns:r="http://schemas.openxmlformats.org/officeDocument/2006/relationships" r:id="rId18" tooltip="Motors and Drives"/>
          <a:extLst>
            <a:ext uri="{FF2B5EF4-FFF2-40B4-BE49-F238E27FC236}">
              <a16:creationId xmlns:a16="http://schemas.microsoft.com/office/drawing/2014/main" id="{00000000-0008-0000-1F00-000039000000}"/>
            </a:ext>
          </a:extLst>
        </xdr:cNvPr>
        <xdr:cNvSpPr/>
      </xdr:nvSpPr>
      <xdr:spPr>
        <a:xfrm>
          <a:off x="7222671"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8</xdr:row>
      <xdr:rowOff>0</xdr:rowOff>
    </xdr:from>
    <xdr:to>
      <xdr:col>31</xdr:col>
      <xdr:colOff>16008</xdr:colOff>
      <xdr:row>11</xdr:row>
      <xdr:rowOff>33617</xdr:rowOff>
    </xdr:to>
    <xdr:sp macro="" textlink="">
      <xdr:nvSpPr>
        <xdr:cNvPr id="58" name="Rectangle 57">
          <a:hlinkClick xmlns:r="http://schemas.openxmlformats.org/officeDocument/2006/relationships" r:id="rId19" tooltip="Compressed Air / Process"/>
          <a:extLst>
            <a:ext uri="{FF2B5EF4-FFF2-40B4-BE49-F238E27FC236}">
              <a16:creationId xmlns:a16="http://schemas.microsoft.com/office/drawing/2014/main" id="{00000000-0008-0000-1F00-00003A000000}"/>
            </a:ext>
          </a:extLst>
        </xdr:cNvPr>
        <xdr:cNvSpPr/>
      </xdr:nvSpPr>
      <xdr:spPr>
        <a:xfrm>
          <a:off x="848765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8</xdr:row>
      <xdr:rowOff>0</xdr:rowOff>
    </xdr:from>
    <xdr:to>
      <xdr:col>35</xdr:col>
      <xdr:colOff>25933</xdr:colOff>
      <xdr:row>11</xdr:row>
      <xdr:rowOff>33617</xdr:rowOff>
    </xdr:to>
    <xdr:sp macro="" textlink="">
      <xdr:nvSpPr>
        <xdr:cNvPr id="59" name="Rectangle 58">
          <a:hlinkClick xmlns:r="http://schemas.openxmlformats.org/officeDocument/2006/relationships" r:id="rId20" tooltip="Water Heating / Cooking"/>
          <a:extLst>
            <a:ext uri="{FF2B5EF4-FFF2-40B4-BE49-F238E27FC236}">
              <a16:creationId xmlns:a16="http://schemas.microsoft.com/office/drawing/2014/main" id="{00000000-0008-0000-1F00-00003B000000}"/>
            </a:ext>
          </a:extLst>
        </xdr:cNvPr>
        <xdr:cNvSpPr/>
      </xdr:nvSpPr>
      <xdr:spPr>
        <a:xfrm>
          <a:off x="9752639"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8</xdr:row>
      <xdr:rowOff>0</xdr:rowOff>
    </xdr:from>
    <xdr:to>
      <xdr:col>39</xdr:col>
      <xdr:colOff>24650</xdr:colOff>
      <xdr:row>11</xdr:row>
      <xdr:rowOff>33617</xdr:rowOff>
    </xdr:to>
    <xdr:sp macro="" textlink="">
      <xdr:nvSpPr>
        <xdr:cNvPr id="60" name="Rectangle 59">
          <a:hlinkClick xmlns:r="http://schemas.openxmlformats.org/officeDocument/2006/relationships" r:id="rId21" tooltip="Water Heating / Food Services"/>
          <a:extLst>
            <a:ext uri="{FF2B5EF4-FFF2-40B4-BE49-F238E27FC236}">
              <a16:creationId xmlns:a16="http://schemas.microsoft.com/office/drawing/2014/main" id="{00000000-0008-0000-1F00-00003C000000}"/>
            </a:ext>
          </a:extLst>
        </xdr:cNvPr>
        <xdr:cNvSpPr/>
      </xdr:nvSpPr>
      <xdr:spPr>
        <a:xfrm>
          <a:off x="11006415" y="161364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1" name="Arrow: Chevron 60">
          <a:hlinkClick xmlns:r="http://schemas.openxmlformats.org/officeDocument/2006/relationships" r:id="rId22" tooltip="Building Information"/>
          <a:extLst>
            <a:ext uri="{FF2B5EF4-FFF2-40B4-BE49-F238E27FC236}">
              <a16:creationId xmlns:a16="http://schemas.microsoft.com/office/drawing/2014/main" id="{00000000-0008-0000-1F00-00003D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4</xdr:col>
      <xdr:colOff>262423</xdr:colOff>
      <xdr:row>2</xdr:row>
      <xdr:rowOff>178525</xdr:rowOff>
    </xdr:to>
    <xdr:pic>
      <xdr:nvPicPr>
        <xdr:cNvPr id="37" name="Picture 36">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295275</xdr:colOff>
          <xdr:row>19</xdr:row>
          <xdr:rowOff>171450</xdr:rowOff>
        </xdr:from>
        <xdr:to>
          <xdr:col>5</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0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42</xdr:col>
      <xdr:colOff>145676</xdr:colOff>
      <xdr:row>8</xdr:row>
      <xdr:rowOff>100854</xdr:rowOff>
    </xdr:from>
    <xdr:to>
      <xdr:col>44</xdr:col>
      <xdr:colOff>48499</xdr:colOff>
      <xdr:row>10</xdr:row>
      <xdr:rowOff>108922</xdr:rowOff>
    </xdr:to>
    <xdr:sp macro="" textlink="">
      <xdr:nvSpPr>
        <xdr:cNvPr id="15" name="Arrow: Right 14">
          <a:hlinkClick xmlns:r="http://schemas.openxmlformats.org/officeDocument/2006/relationships" r:id="rId1" tooltip="Forward: Project Review"/>
          <a:extLst>
            <a:ext uri="{FF2B5EF4-FFF2-40B4-BE49-F238E27FC236}">
              <a16:creationId xmlns:a16="http://schemas.microsoft.com/office/drawing/2014/main" id="{00000000-0008-0000-2000-00000F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16" name="Arrow: Left 15">
          <a:hlinkClick xmlns:r="http://schemas.openxmlformats.org/officeDocument/2006/relationships" r:id="rId2" tooltip="Back: Equipment Input"/>
          <a:extLst>
            <a:ext uri="{FF2B5EF4-FFF2-40B4-BE49-F238E27FC236}">
              <a16:creationId xmlns:a16="http://schemas.microsoft.com/office/drawing/2014/main" id="{00000000-0008-0000-2000-000010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0" name="Straight Connector 19">
          <a:extLst>
            <a:ext uri="{FF2B5EF4-FFF2-40B4-BE49-F238E27FC236}">
              <a16:creationId xmlns:a16="http://schemas.microsoft.com/office/drawing/2014/main" id="{00000000-0008-0000-2000-000014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24" name="Arrow: Chevron 23">
          <a:hlinkClick xmlns:r="http://schemas.openxmlformats.org/officeDocument/2006/relationships" r:id="rId3" tooltip="Terms &amp; Conditions"/>
          <a:extLst>
            <a:ext uri="{FF2B5EF4-FFF2-40B4-BE49-F238E27FC236}">
              <a16:creationId xmlns:a16="http://schemas.microsoft.com/office/drawing/2014/main" id="{00000000-0008-0000-2000-000018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25" name="Arrow: Chevron 24">
          <a:hlinkClick xmlns:r="http://schemas.openxmlformats.org/officeDocument/2006/relationships" r:id="rId4" tooltip="Trade Ally/Vendor Information"/>
          <a:extLst>
            <a:ext uri="{FF2B5EF4-FFF2-40B4-BE49-F238E27FC236}">
              <a16:creationId xmlns:a16="http://schemas.microsoft.com/office/drawing/2014/main" id="{00000000-0008-0000-2000-000019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26" name="Arrow: Chevron 25">
          <a:hlinkClick xmlns:r="http://schemas.openxmlformats.org/officeDocument/2006/relationships" r:id="rId5" tooltip="Customer Information"/>
          <a:extLst>
            <a:ext uri="{FF2B5EF4-FFF2-40B4-BE49-F238E27FC236}">
              <a16:creationId xmlns:a16="http://schemas.microsoft.com/office/drawing/2014/main" id="{00000000-0008-0000-2000-00001A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27" name="Arrow: Chevron 26">
          <a:hlinkClick xmlns:r="http://schemas.openxmlformats.org/officeDocument/2006/relationships" r:id="rId6" tooltip="Building Information"/>
          <a:extLst>
            <a:ext uri="{FF2B5EF4-FFF2-40B4-BE49-F238E27FC236}">
              <a16:creationId xmlns:a16="http://schemas.microsoft.com/office/drawing/2014/main" id="{00000000-0008-0000-2000-00001B000000}"/>
            </a:ext>
          </a:extLst>
        </xdr:cNvPr>
        <xdr:cNvSpPr/>
      </xdr:nvSpPr>
      <xdr:spPr>
        <a:xfrm>
          <a:off x="6289432" y="660848"/>
          <a:ext cx="1823981"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28" name="Arrow: Chevron 27">
          <a:hlinkClick xmlns:r="http://schemas.openxmlformats.org/officeDocument/2006/relationships" r:id="rId7" tooltip="Equipment Input"/>
          <a:extLst>
            <a:ext uri="{FF2B5EF4-FFF2-40B4-BE49-F238E27FC236}">
              <a16:creationId xmlns:a16="http://schemas.microsoft.com/office/drawing/2014/main" id="{00000000-0008-0000-2000-00001C000000}"/>
            </a:ext>
          </a:extLst>
        </xdr:cNvPr>
        <xdr:cNvSpPr/>
      </xdr:nvSpPr>
      <xdr:spPr>
        <a:xfrm>
          <a:off x="7867562" y="661800"/>
          <a:ext cx="181636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29" name="Arrow: Chevron 28">
          <a:hlinkClick xmlns:r="http://schemas.openxmlformats.org/officeDocument/2006/relationships" r:id="rId8" tooltip="Payment"/>
          <a:extLst>
            <a:ext uri="{FF2B5EF4-FFF2-40B4-BE49-F238E27FC236}">
              <a16:creationId xmlns:a16="http://schemas.microsoft.com/office/drawing/2014/main" id="{00000000-0008-0000-2000-00001D000000}"/>
            </a:ext>
          </a:extLst>
        </xdr:cNvPr>
        <xdr:cNvSpPr/>
      </xdr:nvSpPr>
      <xdr:spPr>
        <a:xfrm>
          <a:off x="9438073" y="664658"/>
          <a:ext cx="1806836" cy="824641"/>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30" name="Arrow: Chevron 29">
          <a:hlinkClick xmlns:r="http://schemas.openxmlformats.org/officeDocument/2006/relationships" r:id="rId9" tooltip="Project Review"/>
          <a:extLst>
            <a:ext uri="{FF2B5EF4-FFF2-40B4-BE49-F238E27FC236}">
              <a16:creationId xmlns:a16="http://schemas.microsoft.com/office/drawing/2014/main" id="{00000000-0008-0000-2000-00001E000000}"/>
            </a:ext>
          </a:extLst>
        </xdr:cNvPr>
        <xdr:cNvSpPr/>
      </xdr:nvSpPr>
      <xdr:spPr>
        <a:xfrm>
          <a:off x="10997154" y="658943"/>
          <a:ext cx="180874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17" name="Straight Connector 16">
          <a:extLst>
            <a:ext uri="{FF2B5EF4-FFF2-40B4-BE49-F238E27FC236}">
              <a16:creationId xmlns:a16="http://schemas.microsoft.com/office/drawing/2014/main" id="{00000000-0008-0000-2000-000011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8" name="Straight Connector 17">
          <a:extLst>
            <a:ext uri="{FF2B5EF4-FFF2-40B4-BE49-F238E27FC236}">
              <a16:creationId xmlns:a16="http://schemas.microsoft.com/office/drawing/2014/main" id="{00000000-0008-0000-2000-000012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1" name="Straight Connector 30">
          <a:extLst>
            <a:ext uri="{FF2B5EF4-FFF2-40B4-BE49-F238E27FC236}">
              <a16:creationId xmlns:a16="http://schemas.microsoft.com/office/drawing/2014/main" id="{00000000-0008-0000-2000-00001F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2" name="Rectangle 31">
          <a:hlinkClick xmlns:r="http://schemas.openxmlformats.org/officeDocument/2006/relationships" r:id="rId10" tooltip="Welcome"/>
          <a:extLst>
            <a:ext uri="{FF2B5EF4-FFF2-40B4-BE49-F238E27FC236}">
              <a16:creationId xmlns:a16="http://schemas.microsoft.com/office/drawing/2014/main" id="{00000000-0008-0000-2000-000020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3" name="Rectangle 32">
          <a:hlinkClick xmlns:r="http://schemas.openxmlformats.org/officeDocument/2006/relationships" r:id="rId11" tooltip="Instructions"/>
          <a:extLst>
            <a:ext uri="{FF2B5EF4-FFF2-40B4-BE49-F238E27FC236}">
              <a16:creationId xmlns:a16="http://schemas.microsoft.com/office/drawing/2014/main" id="{00000000-0008-0000-2000-000021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4" name="Rectangle 33">
          <a:hlinkClick xmlns:r="http://schemas.openxmlformats.org/officeDocument/2006/relationships" r:id="rId12" tooltip="Contact"/>
          <a:extLst>
            <a:ext uri="{FF2B5EF4-FFF2-40B4-BE49-F238E27FC236}">
              <a16:creationId xmlns:a16="http://schemas.microsoft.com/office/drawing/2014/main" id="{00000000-0008-0000-2000-000022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5" name="Rectangle 34">
          <a:hlinkClick xmlns:r="http://schemas.openxmlformats.org/officeDocument/2006/relationships" r:id="rId13" tooltip=" "/>
          <a:extLst>
            <a:ext uri="{FF2B5EF4-FFF2-40B4-BE49-F238E27FC236}">
              <a16:creationId xmlns:a16="http://schemas.microsoft.com/office/drawing/2014/main" id="{00000000-0008-0000-2000-000023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6" name="Rectangle 35">
          <a:hlinkClick xmlns:r="http://schemas.openxmlformats.org/officeDocument/2006/relationships" r:id="rId14" tooltip=" "/>
          <a:extLst>
            <a:ext uri="{FF2B5EF4-FFF2-40B4-BE49-F238E27FC236}">
              <a16:creationId xmlns:a16="http://schemas.microsoft.com/office/drawing/2014/main" id="{00000000-0008-0000-2000-000024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22" name="Picture 21">
          <a:extLst>
            <a:ext uri="{FF2B5EF4-FFF2-40B4-BE49-F238E27FC236}">
              <a16:creationId xmlns:a16="http://schemas.microsoft.com/office/drawing/2014/main" id="{00000000-0008-0000-2000-00001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24655</xdr:colOff>
      <xdr:row>28</xdr:row>
      <xdr:rowOff>17931</xdr:rowOff>
    </xdr:from>
    <xdr:to>
      <xdr:col>31</xdr:col>
      <xdr:colOff>282389</xdr:colOff>
      <xdr:row>29</xdr:row>
      <xdr:rowOff>17931</xdr:rowOff>
    </xdr:to>
    <xdr:sp macro="" textlink="">
      <xdr:nvSpPr>
        <xdr:cNvPr id="50" name="Rectangle 49">
          <a:hlinkClick xmlns:r="http://schemas.openxmlformats.org/officeDocument/2006/relationships" r:id="rId1" tooltip="View: Custom HVAC"/>
          <a:extLst>
            <a:ext uri="{FF2B5EF4-FFF2-40B4-BE49-F238E27FC236}">
              <a16:creationId xmlns:a16="http://schemas.microsoft.com/office/drawing/2014/main" id="{00000000-0008-0000-2100-000032000000}"/>
            </a:ext>
          </a:extLst>
        </xdr:cNvPr>
        <xdr:cNvSpPr/>
      </xdr:nvSpPr>
      <xdr:spPr>
        <a:xfrm>
          <a:off x="8182537" y="5262284"/>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16" name="Arrow: Left 15">
          <a:hlinkClick xmlns:r="http://schemas.openxmlformats.org/officeDocument/2006/relationships" r:id="rId2" tooltip="Back: Payment"/>
          <a:extLst>
            <a:ext uri="{FF2B5EF4-FFF2-40B4-BE49-F238E27FC236}">
              <a16:creationId xmlns:a16="http://schemas.microsoft.com/office/drawing/2014/main" id="{00000000-0008-0000-2100-000010000000}"/>
            </a:ext>
          </a:extLst>
        </xdr:cNvPr>
        <xdr:cNvSpPr/>
      </xdr:nvSpPr>
      <xdr:spPr>
        <a:xfrm>
          <a:off x="526675" y="1714501"/>
          <a:ext cx="526676" cy="41148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1" name="Straight Connector 20">
          <a:extLst>
            <a:ext uri="{FF2B5EF4-FFF2-40B4-BE49-F238E27FC236}">
              <a16:creationId xmlns:a16="http://schemas.microsoft.com/office/drawing/2014/main" id="{00000000-0008-0000-2100-000015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26" name="Arrow: Chevron 25">
          <a:hlinkClick xmlns:r="http://schemas.openxmlformats.org/officeDocument/2006/relationships" r:id="rId3" tooltip="Terms &amp; Conditions"/>
          <a:extLst>
            <a:ext uri="{FF2B5EF4-FFF2-40B4-BE49-F238E27FC236}">
              <a16:creationId xmlns:a16="http://schemas.microsoft.com/office/drawing/2014/main" id="{00000000-0008-0000-2100-00001A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27" name="Arrow: Chevron 26">
          <a:hlinkClick xmlns:r="http://schemas.openxmlformats.org/officeDocument/2006/relationships" r:id="rId4" tooltip="Trade Ally/Vendor Information"/>
          <a:extLst>
            <a:ext uri="{FF2B5EF4-FFF2-40B4-BE49-F238E27FC236}">
              <a16:creationId xmlns:a16="http://schemas.microsoft.com/office/drawing/2014/main" id="{00000000-0008-0000-2100-00001B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28" name="Arrow: Chevron 27">
          <a:hlinkClick xmlns:r="http://schemas.openxmlformats.org/officeDocument/2006/relationships" r:id="rId5" tooltip="Customer Information"/>
          <a:extLst>
            <a:ext uri="{FF2B5EF4-FFF2-40B4-BE49-F238E27FC236}">
              <a16:creationId xmlns:a16="http://schemas.microsoft.com/office/drawing/2014/main" id="{00000000-0008-0000-2100-00001C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29" name="Arrow: Chevron 28">
          <a:hlinkClick xmlns:r="http://schemas.openxmlformats.org/officeDocument/2006/relationships" r:id="rId6" tooltip="Building Information"/>
          <a:extLst>
            <a:ext uri="{FF2B5EF4-FFF2-40B4-BE49-F238E27FC236}">
              <a16:creationId xmlns:a16="http://schemas.microsoft.com/office/drawing/2014/main" id="{00000000-0008-0000-2100-00001D000000}"/>
            </a:ext>
          </a:extLst>
        </xdr:cNvPr>
        <xdr:cNvSpPr/>
      </xdr:nvSpPr>
      <xdr:spPr>
        <a:xfrm>
          <a:off x="6289432" y="660848"/>
          <a:ext cx="1823981"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30" name="Arrow: Chevron 29">
          <a:hlinkClick xmlns:r="http://schemas.openxmlformats.org/officeDocument/2006/relationships" r:id="rId7" tooltip="Equipment Input"/>
          <a:extLst>
            <a:ext uri="{FF2B5EF4-FFF2-40B4-BE49-F238E27FC236}">
              <a16:creationId xmlns:a16="http://schemas.microsoft.com/office/drawing/2014/main" id="{00000000-0008-0000-2100-00001E000000}"/>
            </a:ext>
          </a:extLst>
        </xdr:cNvPr>
        <xdr:cNvSpPr/>
      </xdr:nvSpPr>
      <xdr:spPr>
        <a:xfrm>
          <a:off x="7867562" y="661800"/>
          <a:ext cx="181636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31" name="Arrow: Chevron 30">
          <a:hlinkClick xmlns:r="http://schemas.openxmlformats.org/officeDocument/2006/relationships" r:id="rId2" tooltip="Payment"/>
          <a:extLst>
            <a:ext uri="{FF2B5EF4-FFF2-40B4-BE49-F238E27FC236}">
              <a16:creationId xmlns:a16="http://schemas.microsoft.com/office/drawing/2014/main" id="{00000000-0008-0000-2100-00001F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32" name="Arrow: Chevron 31">
          <a:hlinkClick xmlns:r="http://schemas.openxmlformats.org/officeDocument/2006/relationships" r:id="rId8" tooltip="Project Review"/>
          <a:extLst>
            <a:ext uri="{FF2B5EF4-FFF2-40B4-BE49-F238E27FC236}">
              <a16:creationId xmlns:a16="http://schemas.microsoft.com/office/drawing/2014/main" id="{00000000-0008-0000-2100-000020000000}"/>
            </a:ext>
          </a:extLst>
        </xdr:cNvPr>
        <xdr:cNvSpPr/>
      </xdr:nvSpPr>
      <xdr:spPr>
        <a:xfrm>
          <a:off x="10997154" y="658943"/>
          <a:ext cx="180874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2" name="Straight Connector 21">
          <a:extLst>
            <a:ext uri="{FF2B5EF4-FFF2-40B4-BE49-F238E27FC236}">
              <a16:creationId xmlns:a16="http://schemas.microsoft.com/office/drawing/2014/main" id="{00000000-0008-0000-2100-000016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33" name="Straight Connector 32">
          <a:extLst>
            <a:ext uri="{FF2B5EF4-FFF2-40B4-BE49-F238E27FC236}">
              <a16:creationId xmlns:a16="http://schemas.microsoft.com/office/drawing/2014/main" id="{00000000-0008-0000-2100-000021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4" name="Straight Connector 33">
          <a:extLst>
            <a:ext uri="{FF2B5EF4-FFF2-40B4-BE49-F238E27FC236}">
              <a16:creationId xmlns:a16="http://schemas.microsoft.com/office/drawing/2014/main" id="{00000000-0008-0000-2100-000022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5" name="Rectangle 34">
          <a:hlinkClick xmlns:r="http://schemas.openxmlformats.org/officeDocument/2006/relationships" r:id="rId9" tooltip="Welcome"/>
          <a:extLst>
            <a:ext uri="{FF2B5EF4-FFF2-40B4-BE49-F238E27FC236}">
              <a16:creationId xmlns:a16="http://schemas.microsoft.com/office/drawing/2014/main" id="{00000000-0008-0000-2100-000023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6" name="Rectangle 35">
          <a:hlinkClick xmlns:r="http://schemas.openxmlformats.org/officeDocument/2006/relationships" r:id="rId10" tooltip="Instructions"/>
          <a:extLst>
            <a:ext uri="{FF2B5EF4-FFF2-40B4-BE49-F238E27FC236}">
              <a16:creationId xmlns:a16="http://schemas.microsoft.com/office/drawing/2014/main" id="{00000000-0008-0000-2100-000024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7" name="Rectangle 36">
          <a:hlinkClick xmlns:r="http://schemas.openxmlformats.org/officeDocument/2006/relationships" r:id="rId11" tooltip="Contact"/>
          <a:extLst>
            <a:ext uri="{FF2B5EF4-FFF2-40B4-BE49-F238E27FC236}">
              <a16:creationId xmlns:a16="http://schemas.microsoft.com/office/drawing/2014/main" id="{00000000-0008-0000-2100-000025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8" name="Rectangle 37">
          <a:hlinkClick xmlns:r="http://schemas.openxmlformats.org/officeDocument/2006/relationships" r:id="rId12" tooltip=" "/>
          <a:extLst>
            <a:ext uri="{FF2B5EF4-FFF2-40B4-BE49-F238E27FC236}">
              <a16:creationId xmlns:a16="http://schemas.microsoft.com/office/drawing/2014/main" id="{00000000-0008-0000-2100-000026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9" name="Rectangle 38">
          <a:hlinkClick xmlns:r="http://schemas.openxmlformats.org/officeDocument/2006/relationships" r:id="rId13" tooltip=" "/>
          <a:extLst>
            <a:ext uri="{FF2B5EF4-FFF2-40B4-BE49-F238E27FC236}">
              <a16:creationId xmlns:a16="http://schemas.microsoft.com/office/drawing/2014/main" id="{00000000-0008-0000-2100-000027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309282</xdr:colOff>
      <xdr:row>16</xdr:row>
      <xdr:rowOff>190500</xdr:rowOff>
    </xdr:from>
    <xdr:to>
      <xdr:col>31</xdr:col>
      <xdr:colOff>253252</xdr:colOff>
      <xdr:row>17</xdr:row>
      <xdr:rowOff>190500</xdr:rowOff>
    </xdr:to>
    <xdr:sp macro="" textlink="">
      <xdr:nvSpPr>
        <xdr:cNvPr id="4" name="Rectangle 3">
          <a:hlinkClick xmlns:r="http://schemas.openxmlformats.org/officeDocument/2006/relationships" r:id="rId14" tooltip="View: Standard Lighting"/>
          <a:extLst>
            <a:ext uri="{FF2B5EF4-FFF2-40B4-BE49-F238E27FC236}">
              <a16:creationId xmlns:a16="http://schemas.microsoft.com/office/drawing/2014/main" id="{00000000-0008-0000-2100-000004000000}"/>
            </a:ext>
          </a:extLst>
        </xdr:cNvPr>
        <xdr:cNvSpPr/>
      </xdr:nvSpPr>
      <xdr:spPr>
        <a:xfrm>
          <a:off x="8153400" y="2812676"/>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309282</xdr:colOff>
      <xdr:row>17</xdr:row>
      <xdr:rowOff>197224</xdr:rowOff>
    </xdr:from>
    <xdr:to>
      <xdr:col>31</xdr:col>
      <xdr:colOff>253252</xdr:colOff>
      <xdr:row>18</xdr:row>
      <xdr:rowOff>197224</xdr:rowOff>
    </xdr:to>
    <xdr:sp macro="" textlink="">
      <xdr:nvSpPr>
        <xdr:cNvPr id="40" name="Rectangle 39">
          <a:hlinkClick xmlns:r="http://schemas.openxmlformats.org/officeDocument/2006/relationships" r:id="rId15" tooltip="View: Standard Lighting Controls"/>
          <a:extLst>
            <a:ext uri="{FF2B5EF4-FFF2-40B4-BE49-F238E27FC236}">
              <a16:creationId xmlns:a16="http://schemas.microsoft.com/office/drawing/2014/main" id="{00000000-0008-0000-2100-000028000000}"/>
            </a:ext>
          </a:extLst>
        </xdr:cNvPr>
        <xdr:cNvSpPr/>
      </xdr:nvSpPr>
      <xdr:spPr>
        <a:xfrm>
          <a:off x="8153400" y="3021106"/>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309282</xdr:colOff>
      <xdr:row>19</xdr:row>
      <xdr:rowOff>2242</xdr:rowOff>
    </xdr:from>
    <xdr:to>
      <xdr:col>31</xdr:col>
      <xdr:colOff>253252</xdr:colOff>
      <xdr:row>20</xdr:row>
      <xdr:rowOff>2242</xdr:rowOff>
    </xdr:to>
    <xdr:sp macro="" textlink="">
      <xdr:nvSpPr>
        <xdr:cNvPr id="41" name="Rectangle 40">
          <a:hlinkClick xmlns:r="http://schemas.openxmlformats.org/officeDocument/2006/relationships" r:id="rId16" tooltip="View: Standard Refrigeration"/>
          <a:extLst>
            <a:ext uri="{FF2B5EF4-FFF2-40B4-BE49-F238E27FC236}">
              <a16:creationId xmlns:a16="http://schemas.microsoft.com/office/drawing/2014/main" id="{00000000-0008-0000-2100-000029000000}"/>
            </a:ext>
          </a:extLst>
        </xdr:cNvPr>
        <xdr:cNvSpPr/>
      </xdr:nvSpPr>
      <xdr:spPr>
        <a:xfrm>
          <a:off x="8153400" y="3229536"/>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309282</xdr:colOff>
      <xdr:row>20</xdr:row>
      <xdr:rowOff>8966</xdr:rowOff>
    </xdr:from>
    <xdr:to>
      <xdr:col>31</xdr:col>
      <xdr:colOff>253252</xdr:colOff>
      <xdr:row>21</xdr:row>
      <xdr:rowOff>8966</xdr:rowOff>
    </xdr:to>
    <xdr:sp macro="" textlink="">
      <xdr:nvSpPr>
        <xdr:cNvPr id="42" name="Rectangle 41">
          <a:hlinkClick xmlns:r="http://schemas.openxmlformats.org/officeDocument/2006/relationships" r:id="rId17" tooltip="View: Standard HVAC"/>
          <a:extLst>
            <a:ext uri="{FF2B5EF4-FFF2-40B4-BE49-F238E27FC236}">
              <a16:creationId xmlns:a16="http://schemas.microsoft.com/office/drawing/2014/main" id="{00000000-0008-0000-2100-00002A000000}"/>
            </a:ext>
          </a:extLst>
        </xdr:cNvPr>
        <xdr:cNvSpPr/>
      </xdr:nvSpPr>
      <xdr:spPr>
        <a:xfrm>
          <a:off x="8153400" y="3437966"/>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309282</xdr:colOff>
      <xdr:row>21</xdr:row>
      <xdr:rowOff>15690</xdr:rowOff>
    </xdr:from>
    <xdr:to>
      <xdr:col>31</xdr:col>
      <xdr:colOff>253252</xdr:colOff>
      <xdr:row>22</xdr:row>
      <xdr:rowOff>15690</xdr:rowOff>
    </xdr:to>
    <xdr:sp macro="" textlink="">
      <xdr:nvSpPr>
        <xdr:cNvPr id="43" name="Rectangle 42">
          <a:hlinkClick xmlns:r="http://schemas.openxmlformats.org/officeDocument/2006/relationships" r:id="rId18" tooltip="View: Standard Motors and Drives"/>
          <a:extLst>
            <a:ext uri="{FF2B5EF4-FFF2-40B4-BE49-F238E27FC236}">
              <a16:creationId xmlns:a16="http://schemas.microsoft.com/office/drawing/2014/main" id="{00000000-0008-0000-2100-00002B000000}"/>
            </a:ext>
          </a:extLst>
        </xdr:cNvPr>
        <xdr:cNvSpPr/>
      </xdr:nvSpPr>
      <xdr:spPr>
        <a:xfrm>
          <a:off x="8153400" y="3646396"/>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309282</xdr:colOff>
      <xdr:row>22</xdr:row>
      <xdr:rowOff>22414</xdr:rowOff>
    </xdr:from>
    <xdr:to>
      <xdr:col>31</xdr:col>
      <xdr:colOff>253252</xdr:colOff>
      <xdr:row>23</xdr:row>
      <xdr:rowOff>22414</xdr:rowOff>
    </xdr:to>
    <xdr:sp macro="" textlink="">
      <xdr:nvSpPr>
        <xdr:cNvPr id="44" name="Rectangle 43">
          <a:hlinkClick xmlns:r="http://schemas.openxmlformats.org/officeDocument/2006/relationships" r:id="rId19" tooltip="View: Standard Compressed Air / Process"/>
          <a:extLst>
            <a:ext uri="{FF2B5EF4-FFF2-40B4-BE49-F238E27FC236}">
              <a16:creationId xmlns:a16="http://schemas.microsoft.com/office/drawing/2014/main" id="{00000000-0008-0000-2100-00002C000000}"/>
            </a:ext>
          </a:extLst>
        </xdr:cNvPr>
        <xdr:cNvSpPr/>
      </xdr:nvSpPr>
      <xdr:spPr>
        <a:xfrm>
          <a:off x="8153400" y="3854826"/>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309282</xdr:colOff>
      <xdr:row>23</xdr:row>
      <xdr:rowOff>29136</xdr:rowOff>
    </xdr:from>
    <xdr:to>
      <xdr:col>31</xdr:col>
      <xdr:colOff>253252</xdr:colOff>
      <xdr:row>24</xdr:row>
      <xdr:rowOff>29136</xdr:rowOff>
    </xdr:to>
    <xdr:sp macro="" textlink="">
      <xdr:nvSpPr>
        <xdr:cNvPr id="45" name="Rectangle 44">
          <a:hlinkClick xmlns:r="http://schemas.openxmlformats.org/officeDocument/2006/relationships" r:id="rId20" tooltip="View: Standard Water Heating / Cooking"/>
          <a:extLst>
            <a:ext uri="{FF2B5EF4-FFF2-40B4-BE49-F238E27FC236}">
              <a16:creationId xmlns:a16="http://schemas.microsoft.com/office/drawing/2014/main" id="{00000000-0008-0000-2100-00002D000000}"/>
            </a:ext>
          </a:extLst>
        </xdr:cNvPr>
        <xdr:cNvSpPr/>
      </xdr:nvSpPr>
      <xdr:spPr>
        <a:xfrm>
          <a:off x="8153400" y="4063254"/>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24655</xdr:colOff>
      <xdr:row>25</xdr:row>
      <xdr:rowOff>22974</xdr:rowOff>
    </xdr:from>
    <xdr:to>
      <xdr:col>31</xdr:col>
      <xdr:colOff>282389</xdr:colOff>
      <xdr:row>26</xdr:row>
      <xdr:rowOff>22974</xdr:rowOff>
    </xdr:to>
    <xdr:sp macro="" textlink="">
      <xdr:nvSpPr>
        <xdr:cNvPr id="47" name="Rectangle 46">
          <a:hlinkClick xmlns:r="http://schemas.openxmlformats.org/officeDocument/2006/relationships" r:id="rId21" tooltip="View: Custom Lighting"/>
          <a:extLst>
            <a:ext uri="{FF2B5EF4-FFF2-40B4-BE49-F238E27FC236}">
              <a16:creationId xmlns:a16="http://schemas.microsoft.com/office/drawing/2014/main" id="{00000000-0008-0000-2100-00002F000000}"/>
            </a:ext>
          </a:extLst>
        </xdr:cNvPr>
        <xdr:cNvSpPr/>
      </xdr:nvSpPr>
      <xdr:spPr>
        <a:xfrm>
          <a:off x="8182537" y="4662209"/>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24655</xdr:colOff>
      <xdr:row>26</xdr:row>
      <xdr:rowOff>21293</xdr:rowOff>
    </xdr:from>
    <xdr:to>
      <xdr:col>31</xdr:col>
      <xdr:colOff>282389</xdr:colOff>
      <xdr:row>27</xdr:row>
      <xdr:rowOff>21293</xdr:rowOff>
    </xdr:to>
    <xdr:sp macro="" textlink="">
      <xdr:nvSpPr>
        <xdr:cNvPr id="48" name="Rectangle 47">
          <a:hlinkClick xmlns:r="http://schemas.openxmlformats.org/officeDocument/2006/relationships" r:id="rId22" tooltip="View: Custom Lighting Controls"/>
          <a:extLst>
            <a:ext uri="{FF2B5EF4-FFF2-40B4-BE49-F238E27FC236}">
              <a16:creationId xmlns:a16="http://schemas.microsoft.com/office/drawing/2014/main" id="{00000000-0008-0000-2100-000030000000}"/>
            </a:ext>
          </a:extLst>
        </xdr:cNvPr>
        <xdr:cNvSpPr/>
      </xdr:nvSpPr>
      <xdr:spPr>
        <a:xfrm>
          <a:off x="8182537" y="4862234"/>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24655</xdr:colOff>
      <xdr:row>27</xdr:row>
      <xdr:rowOff>19612</xdr:rowOff>
    </xdr:from>
    <xdr:to>
      <xdr:col>31</xdr:col>
      <xdr:colOff>282389</xdr:colOff>
      <xdr:row>28</xdr:row>
      <xdr:rowOff>19612</xdr:rowOff>
    </xdr:to>
    <xdr:sp macro="" textlink="">
      <xdr:nvSpPr>
        <xdr:cNvPr id="49" name="Rectangle 48">
          <a:hlinkClick xmlns:r="http://schemas.openxmlformats.org/officeDocument/2006/relationships" r:id="rId23" tooltip="View: Custom Refrigeration"/>
          <a:extLst>
            <a:ext uri="{FF2B5EF4-FFF2-40B4-BE49-F238E27FC236}">
              <a16:creationId xmlns:a16="http://schemas.microsoft.com/office/drawing/2014/main" id="{00000000-0008-0000-2100-000031000000}"/>
            </a:ext>
          </a:extLst>
        </xdr:cNvPr>
        <xdr:cNvSpPr/>
      </xdr:nvSpPr>
      <xdr:spPr>
        <a:xfrm>
          <a:off x="8182537" y="5062259"/>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24655</xdr:colOff>
      <xdr:row>29</xdr:row>
      <xdr:rowOff>16250</xdr:rowOff>
    </xdr:from>
    <xdr:to>
      <xdr:col>31</xdr:col>
      <xdr:colOff>282389</xdr:colOff>
      <xdr:row>30</xdr:row>
      <xdr:rowOff>16250</xdr:rowOff>
    </xdr:to>
    <xdr:sp macro="" textlink="">
      <xdr:nvSpPr>
        <xdr:cNvPr id="51" name="Rectangle 50">
          <a:hlinkClick xmlns:r="http://schemas.openxmlformats.org/officeDocument/2006/relationships" r:id="rId24" tooltip="View: Custom Motors and Drives"/>
          <a:extLst>
            <a:ext uri="{FF2B5EF4-FFF2-40B4-BE49-F238E27FC236}">
              <a16:creationId xmlns:a16="http://schemas.microsoft.com/office/drawing/2014/main" id="{00000000-0008-0000-2100-000033000000}"/>
            </a:ext>
          </a:extLst>
        </xdr:cNvPr>
        <xdr:cNvSpPr/>
      </xdr:nvSpPr>
      <xdr:spPr>
        <a:xfrm>
          <a:off x="8182537" y="5462309"/>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24655</xdr:colOff>
      <xdr:row>30</xdr:row>
      <xdr:rowOff>14569</xdr:rowOff>
    </xdr:from>
    <xdr:to>
      <xdr:col>31</xdr:col>
      <xdr:colOff>282389</xdr:colOff>
      <xdr:row>31</xdr:row>
      <xdr:rowOff>14569</xdr:rowOff>
    </xdr:to>
    <xdr:sp macro="" textlink="">
      <xdr:nvSpPr>
        <xdr:cNvPr id="52" name="Rectangle 51">
          <a:hlinkClick xmlns:r="http://schemas.openxmlformats.org/officeDocument/2006/relationships" r:id="rId25" tooltip="View: Custom Compressed Air / Process"/>
          <a:extLst>
            <a:ext uri="{FF2B5EF4-FFF2-40B4-BE49-F238E27FC236}">
              <a16:creationId xmlns:a16="http://schemas.microsoft.com/office/drawing/2014/main" id="{00000000-0008-0000-2100-000034000000}"/>
            </a:ext>
          </a:extLst>
        </xdr:cNvPr>
        <xdr:cNvSpPr/>
      </xdr:nvSpPr>
      <xdr:spPr>
        <a:xfrm>
          <a:off x="8182537" y="5662334"/>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24655</xdr:colOff>
      <xdr:row>31</xdr:row>
      <xdr:rowOff>12888</xdr:rowOff>
    </xdr:from>
    <xdr:to>
      <xdr:col>31</xdr:col>
      <xdr:colOff>282389</xdr:colOff>
      <xdr:row>32</xdr:row>
      <xdr:rowOff>12889</xdr:rowOff>
    </xdr:to>
    <xdr:sp macro="" textlink="">
      <xdr:nvSpPr>
        <xdr:cNvPr id="53" name="Rectangle 52">
          <a:hlinkClick xmlns:r="http://schemas.openxmlformats.org/officeDocument/2006/relationships" r:id="rId26" tooltip="View: Custom Water Heating / Cooking"/>
          <a:extLst>
            <a:ext uri="{FF2B5EF4-FFF2-40B4-BE49-F238E27FC236}">
              <a16:creationId xmlns:a16="http://schemas.microsoft.com/office/drawing/2014/main" id="{00000000-0008-0000-2100-000035000000}"/>
            </a:ext>
          </a:extLst>
        </xdr:cNvPr>
        <xdr:cNvSpPr/>
      </xdr:nvSpPr>
      <xdr:spPr>
        <a:xfrm>
          <a:off x="8182537" y="5862359"/>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24655</xdr:colOff>
      <xdr:row>32</xdr:row>
      <xdr:rowOff>11205</xdr:rowOff>
    </xdr:from>
    <xdr:to>
      <xdr:col>31</xdr:col>
      <xdr:colOff>282389</xdr:colOff>
      <xdr:row>33</xdr:row>
      <xdr:rowOff>11205</xdr:rowOff>
    </xdr:to>
    <xdr:sp macro="" textlink="">
      <xdr:nvSpPr>
        <xdr:cNvPr id="54" name="Rectangle 53">
          <a:hlinkClick xmlns:r="http://schemas.openxmlformats.org/officeDocument/2006/relationships" r:id="rId27" tooltip="View: Custom Miscellaneous"/>
          <a:extLst>
            <a:ext uri="{FF2B5EF4-FFF2-40B4-BE49-F238E27FC236}">
              <a16:creationId xmlns:a16="http://schemas.microsoft.com/office/drawing/2014/main" id="{00000000-0008-0000-2100-000036000000}"/>
            </a:ext>
          </a:extLst>
        </xdr:cNvPr>
        <xdr:cNvSpPr/>
      </xdr:nvSpPr>
      <xdr:spPr>
        <a:xfrm>
          <a:off x="8182537" y="6062381"/>
          <a:ext cx="1826558"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235323</xdr:colOff>
      <xdr:row>13</xdr:row>
      <xdr:rowOff>0</xdr:rowOff>
    </xdr:from>
    <xdr:to>
      <xdr:col>24</xdr:col>
      <xdr:colOff>302558</xdr:colOff>
      <xdr:row>14</xdr:row>
      <xdr:rowOff>0</xdr:rowOff>
    </xdr:to>
    <xdr:sp macro="" textlink="">
      <xdr:nvSpPr>
        <xdr:cNvPr id="5" name="Rectangle 4">
          <a:hlinkClick xmlns:r="http://schemas.openxmlformats.org/officeDocument/2006/relationships" r:id="rId28" tooltip="Update: Terms and Condtions"/>
          <a:extLst>
            <a:ext uri="{FF2B5EF4-FFF2-40B4-BE49-F238E27FC236}">
              <a16:creationId xmlns:a16="http://schemas.microsoft.com/office/drawing/2014/main" id="{00000000-0008-0000-2100-000005000000}"/>
            </a:ext>
          </a:extLst>
        </xdr:cNvPr>
        <xdr:cNvSpPr/>
      </xdr:nvSpPr>
      <xdr:spPr>
        <a:xfrm>
          <a:off x="7138147" y="2420471"/>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235323</xdr:colOff>
      <xdr:row>14</xdr:row>
      <xdr:rowOff>197224</xdr:rowOff>
    </xdr:from>
    <xdr:to>
      <xdr:col>24</xdr:col>
      <xdr:colOff>302558</xdr:colOff>
      <xdr:row>15</xdr:row>
      <xdr:rowOff>197223</xdr:rowOff>
    </xdr:to>
    <xdr:sp macro="" textlink="">
      <xdr:nvSpPr>
        <xdr:cNvPr id="55" name="Rectangle 54">
          <a:hlinkClick xmlns:r="http://schemas.openxmlformats.org/officeDocument/2006/relationships" r:id="rId29" tooltip="Update: Trade Ally / Contractor Information"/>
          <a:extLst>
            <a:ext uri="{FF2B5EF4-FFF2-40B4-BE49-F238E27FC236}">
              <a16:creationId xmlns:a16="http://schemas.microsoft.com/office/drawing/2014/main" id="{00000000-0008-0000-2100-000037000000}"/>
            </a:ext>
          </a:extLst>
        </xdr:cNvPr>
        <xdr:cNvSpPr/>
      </xdr:nvSpPr>
      <xdr:spPr>
        <a:xfrm>
          <a:off x="7138147" y="2819400"/>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235323</xdr:colOff>
      <xdr:row>19</xdr:row>
      <xdr:rowOff>192741</xdr:rowOff>
    </xdr:from>
    <xdr:to>
      <xdr:col>24</xdr:col>
      <xdr:colOff>302558</xdr:colOff>
      <xdr:row>20</xdr:row>
      <xdr:rowOff>192740</xdr:rowOff>
    </xdr:to>
    <xdr:sp macro="" textlink="">
      <xdr:nvSpPr>
        <xdr:cNvPr id="58" name="Rectangle 57">
          <a:hlinkClick xmlns:r="http://schemas.openxmlformats.org/officeDocument/2006/relationships" r:id="rId30" tooltip="Update: Customer Information"/>
          <a:extLst>
            <a:ext uri="{FF2B5EF4-FFF2-40B4-BE49-F238E27FC236}">
              <a16:creationId xmlns:a16="http://schemas.microsoft.com/office/drawing/2014/main" id="{00000000-0008-0000-2100-00003A000000}"/>
            </a:ext>
          </a:extLst>
        </xdr:cNvPr>
        <xdr:cNvSpPr/>
      </xdr:nvSpPr>
      <xdr:spPr>
        <a:xfrm>
          <a:off x="7138147" y="4025153"/>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235323</xdr:colOff>
      <xdr:row>23</xdr:row>
      <xdr:rowOff>188258</xdr:rowOff>
    </xdr:from>
    <xdr:to>
      <xdr:col>24</xdr:col>
      <xdr:colOff>302558</xdr:colOff>
      <xdr:row>24</xdr:row>
      <xdr:rowOff>188258</xdr:rowOff>
    </xdr:to>
    <xdr:sp macro="" textlink="">
      <xdr:nvSpPr>
        <xdr:cNvPr id="59" name="Rectangle 58">
          <a:hlinkClick xmlns:r="http://schemas.openxmlformats.org/officeDocument/2006/relationships" r:id="rId31" tooltip="Update: Building Information"/>
          <a:extLst>
            <a:ext uri="{FF2B5EF4-FFF2-40B4-BE49-F238E27FC236}">
              <a16:creationId xmlns:a16="http://schemas.microsoft.com/office/drawing/2014/main" id="{00000000-0008-0000-2100-00003B000000}"/>
            </a:ext>
          </a:extLst>
        </xdr:cNvPr>
        <xdr:cNvSpPr/>
      </xdr:nvSpPr>
      <xdr:spPr>
        <a:xfrm>
          <a:off x="7138147" y="4424082"/>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235323</xdr:colOff>
      <xdr:row>33</xdr:row>
      <xdr:rowOff>15689</xdr:rowOff>
    </xdr:from>
    <xdr:to>
      <xdr:col>24</xdr:col>
      <xdr:colOff>302558</xdr:colOff>
      <xdr:row>34</xdr:row>
      <xdr:rowOff>15688</xdr:rowOff>
    </xdr:to>
    <xdr:sp macro="" textlink="">
      <xdr:nvSpPr>
        <xdr:cNvPr id="60" name="Rectangle 59">
          <a:hlinkClick xmlns:r="http://schemas.openxmlformats.org/officeDocument/2006/relationships" r:id="rId32" tooltip="Update: Payment Information"/>
          <a:extLst>
            <a:ext uri="{FF2B5EF4-FFF2-40B4-BE49-F238E27FC236}">
              <a16:creationId xmlns:a16="http://schemas.microsoft.com/office/drawing/2014/main" id="{00000000-0008-0000-2100-00003C000000}"/>
            </a:ext>
          </a:extLst>
        </xdr:cNvPr>
        <xdr:cNvSpPr/>
      </xdr:nvSpPr>
      <xdr:spPr>
        <a:xfrm>
          <a:off x="7138147" y="6066865"/>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235323</xdr:colOff>
      <xdr:row>19</xdr:row>
      <xdr:rowOff>192741</xdr:rowOff>
    </xdr:from>
    <xdr:to>
      <xdr:col>24</xdr:col>
      <xdr:colOff>302558</xdr:colOff>
      <xdr:row>20</xdr:row>
      <xdr:rowOff>192740</xdr:rowOff>
    </xdr:to>
    <xdr:sp macro="" textlink="">
      <xdr:nvSpPr>
        <xdr:cNvPr id="46" name="Rectangle 45">
          <a:hlinkClick xmlns:r="http://schemas.openxmlformats.org/officeDocument/2006/relationships" r:id="rId30" tooltip="Update: Customer Information"/>
          <a:extLst>
            <a:ext uri="{FF2B5EF4-FFF2-40B4-BE49-F238E27FC236}">
              <a16:creationId xmlns:a16="http://schemas.microsoft.com/office/drawing/2014/main" id="{00000000-0008-0000-2100-00002E000000}"/>
            </a:ext>
          </a:extLst>
        </xdr:cNvPr>
        <xdr:cNvSpPr/>
      </xdr:nvSpPr>
      <xdr:spPr>
        <a:xfrm>
          <a:off x="7138147" y="3621741"/>
          <a:ext cx="694764" cy="2017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302559</xdr:colOff>
      <xdr:row>8</xdr:row>
      <xdr:rowOff>100854</xdr:rowOff>
    </xdr:from>
    <xdr:to>
      <xdr:col>43</xdr:col>
      <xdr:colOff>261213</xdr:colOff>
      <xdr:row>11</xdr:row>
      <xdr:rowOff>163248</xdr:rowOff>
    </xdr:to>
    <xdr:grpSp>
      <xdr:nvGrpSpPr>
        <xdr:cNvPr id="10" name="Group 9">
          <a:extLst>
            <a:ext uri="{FF2B5EF4-FFF2-40B4-BE49-F238E27FC236}">
              <a16:creationId xmlns:a16="http://schemas.microsoft.com/office/drawing/2014/main" id="{00000000-0008-0000-2100-00000A000000}"/>
            </a:ext>
          </a:extLst>
        </xdr:cNvPr>
        <xdr:cNvGrpSpPr/>
      </xdr:nvGrpSpPr>
      <xdr:grpSpPr>
        <a:xfrm>
          <a:off x="11911853" y="1714501"/>
          <a:ext cx="1841242" cy="667512"/>
          <a:chOff x="11900647" y="1692086"/>
          <a:chExt cx="1841242" cy="667512"/>
        </a:xfrm>
      </xdr:grpSpPr>
      <xdr:sp macro="" textlink="">
        <xdr:nvSpPr>
          <xdr:cNvPr id="61" name="Rectangle: Rounded Corners 60">
            <a:hlinkClick xmlns:r="http://schemas.openxmlformats.org/officeDocument/2006/relationships" r:id="rId33" tooltip="Submission Instructions"/>
            <a:extLst>
              <a:ext uri="{FF2B5EF4-FFF2-40B4-BE49-F238E27FC236}">
                <a16:creationId xmlns:a16="http://schemas.microsoft.com/office/drawing/2014/main" id="{00000000-0008-0000-2100-00003D000000}"/>
              </a:ext>
            </a:extLst>
          </xdr:cNvPr>
          <xdr:cNvSpPr/>
        </xdr:nvSpPr>
        <xdr:spPr>
          <a:xfrm>
            <a:off x="11900647" y="1692086"/>
            <a:ext cx="1841242" cy="667512"/>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62">
            <a:hlinkClick xmlns:r="http://schemas.openxmlformats.org/officeDocument/2006/relationships" r:id="rId33" tooltip="Submission Instructions"/>
            <a:extLst>
              <a:ext uri="{FF2B5EF4-FFF2-40B4-BE49-F238E27FC236}">
                <a16:creationId xmlns:a16="http://schemas.microsoft.com/office/drawing/2014/main" id="{00000000-0008-0000-2100-00003F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26</xdr:col>
      <xdr:colOff>11205</xdr:colOff>
      <xdr:row>12</xdr:row>
      <xdr:rowOff>162485</xdr:rowOff>
    </xdr:from>
    <xdr:to>
      <xdr:col>34</xdr:col>
      <xdr:colOff>156881</xdr:colOff>
      <xdr:row>14</xdr:row>
      <xdr:rowOff>124834</xdr:rowOff>
    </xdr:to>
    <xdr:grpSp>
      <xdr:nvGrpSpPr>
        <xdr:cNvPr id="69" name="Group 68">
          <a:extLst>
            <a:ext uri="{FF2B5EF4-FFF2-40B4-BE49-F238E27FC236}">
              <a16:creationId xmlns:a16="http://schemas.microsoft.com/office/drawing/2014/main" id="{00000000-0008-0000-2100-000045000000}"/>
            </a:ext>
          </a:extLst>
        </xdr:cNvPr>
        <xdr:cNvGrpSpPr/>
      </xdr:nvGrpSpPr>
      <xdr:grpSpPr>
        <a:xfrm>
          <a:off x="8169087" y="2582956"/>
          <a:ext cx="2655794" cy="365760"/>
          <a:chOff x="8169087" y="2582956"/>
          <a:chExt cx="2655794" cy="365760"/>
        </a:xfrm>
      </xdr:grpSpPr>
      <xdr:sp macro="" textlink="">
        <xdr:nvSpPr>
          <xdr:cNvPr id="2" name="Rectangle 1">
            <a:hlinkClick xmlns:r="http://schemas.openxmlformats.org/officeDocument/2006/relationships" r:id="rId34" tooltip="View Incentive Report"/>
            <a:extLst>
              <a:ext uri="{FF2B5EF4-FFF2-40B4-BE49-F238E27FC236}">
                <a16:creationId xmlns:a16="http://schemas.microsoft.com/office/drawing/2014/main" id="{00000000-0008-0000-2100-000002000000}"/>
              </a:ext>
            </a:extLst>
          </xdr:cNvPr>
          <xdr:cNvSpPr/>
        </xdr:nvSpPr>
        <xdr:spPr>
          <a:xfrm>
            <a:off x="8169087" y="2582956"/>
            <a:ext cx="2655794" cy="365760"/>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4" name="Graphic 63" descr="Play">
            <a:hlinkClick xmlns:r="http://schemas.openxmlformats.org/officeDocument/2006/relationships" r:id="rId34" tooltip="View Incentive Report"/>
            <a:extLst>
              <a:ext uri="{FF2B5EF4-FFF2-40B4-BE49-F238E27FC236}">
                <a16:creationId xmlns:a16="http://schemas.microsoft.com/office/drawing/2014/main" id="{00000000-0008-0000-2100-000040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 uri="{96DAC541-7B7A-43D3-8B79-37D633B846F1}">
                <asvg:svgBlip xmlns:asvg="http://schemas.microsoft.com/office/drawing/2016/SVG/main" r:embed="rId36"/>
              </a:ext>
            </a:extLst>
          </a:blip>
          <a:stretch>
            <a:fillRect/>
          </a:stretch>
        </xdr:blipFill>
        <xdr:spPr>
          <a:xfrm>
            <a:off x="10450606" y="2628902"/>
            <a:ext cx="179293" cy="268938"/>
          </a:xfrm>
          <a:prstGeom prst="rect">
            <a:avLst/>
          </a:prstGeom>
        </xdr:spPr>
      </xdr:pic>
      <xdr:pic>
        <xdr:nvPicPr>
          <xdr:cNvPr id="68" name="Graphic 67" descr="Play">
            <a:hlinkClick xmlns:r="http://schemas.openxmlformats.org/officeDocument/2006/relationships" r:id="rId34" tooltip="View Incentive Report"/>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 uri="{96DAC541-7B7A-43D3-8B79-37D633B846F1}">
                <asvg:svgBlip xmlns:asvg="http://schemas.microsoft.com/office/drawing/2016/SVG/main" r:embed="rId36"/>
              </a:ext>
            </a:extLst>
          </a:blip>
          <a:stretch>
            <a:fillRect/>
          </a:stretch>
        </xdr:blipFill>
        <xdr:spPr>
          <a:xfrm>
            <a:off x="10614212" y="2635626"/>
            <a:ext cx="179293" cy="268938"/>
          </a:xfrm>
          <a:prstGeom prst="rect">
            <a:avLst/>
          </a:prstGeom>
        </xdr:spPr>
      </xdr:pic>
    </xdr:grpSp>
    <xdr:clientData/>
  </xdr:twoCellAnchor>
  <xdr:twoCellAnchor editAs="oneCell">
    <xdr:from>
      <xdr:col>0</xdr:col>
      <xdr:colOff>0</xdr:colOff>
      <xdr:row>0</xdr:row>
      <xdr:rowOff>0</xdr:rowOff>
    </xdr:from>
    <xdr:to>
      <xdr:col>4</xdr:col>
      <xdr:colOff>256708</xdr:colOff>
      <xdr:row>2</xdr:row>
      <xdr:rowOff>167095</xdr:rowOff>
    </xdr:to>
    <xdr:pic>
      <xdr:nvPicPr>
        <xdr:cNvPr id="57" name="Picture 56">
          <a:extLst>
            <a:ext uri="{FF2B5EF4-FFF2-40B4-BE49-F238E27FC236}">
              <a16:creationId xmlns:a16="http://schemas.microsoft.com/office/drawing/2014/main" id="{00000000-0008-0000-2100-000039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6.xml><?xml version="1.0" encoding="utf-8"?>
<xdr:wsDr xmlns:xdr="http://schemas.openxmlformats.org/drawingml/2006/spreadsheetDrawing" xmlns:a="http://schemas.openxmlformats.org/drawingml/2006/main">
  <xdr:twoCellAnchor>
    <xdr:from>
      <xdr:col>21</xdr:col>
      <xdr:colOff>0</xdr:colOff>
      <xdr:row>14</xdr:row>
      <xdr:rowOff>156882</xdr:rowOff>
    </xdr:from>
    <xdr:to>
      <xdr:col>27</xdr:col>
      <xdr:colOff>56032</xdr:colOff>
      <xdr:row>15</xdr:row>
      <xdr:rowOff>156882</xdr:rowOff>
    </xdr:to>
    <xdr:sp macro="" textlink="">
      <xdr:nvSpPr>
        <xdr:cNvPr id="19" name="Rectangle 18">
          <a:hlinkClick xmlns:r="http://schemas.openxmlformats.org/officeDocument/2006/relationships" r:id="rId1"/>
          <a:extLst>
            <a:ext uri="{FF2B5EF4-FFF2-40B4-BE49-F238E27FC236}">
              <a16:creationId xmlns:a16="http://schemas.microsoft.com/office/drawing/2014/main" id="{00000000-0008-0000-2200-000013000000}"/>
            </a:ext>
          </a:extLst>
        </xdr:cNvPr>
        <xdr:cNvSpPr/>
      </xdr:nvSpPr>
      <xdr:spPr>
        <a:xfrm>
          <a:off x="6589059" y="2980764"/>
          <a:ext cx="1938620"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1" name="Straight Connector 20">
          <a:extLst>
            <a:ext uri="{FF2B5EF4-FFF2-40B4-BE49-F238E27FC236}">
              <a16:creationId xmlns:a16="http://schemas.microsoft.com/office/drawing/2014/main" id="{00000000-0008-0000-2200-000015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25" name="Arrow: Chevron 24">
          <a:hlinkClick xmlns:r="http://schemas.openxmlformats.org/officeDocument/2006/relationships" r:id="rId2" tooltip="Terms &amp; Conditions"/>
          <a:extLst>
            <a:ext uri="{FF2B5EF4-FFF2-40B4-BE49-F238E27FC236}">
              <a16:creationId xmlns:a16="http://schemas.microsoft.com/office/drawing/2014/main" id="{00000000-0008-0000-2200-000019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26" name="Arrow: Chevron 25">
          <a:hlinkClick xmlns:r="http://schemas.openxmlformats.org/officeDocument/2006/relationships" r:id="rId3" tooltip="Trade Ally/Vendor Information"/>
          <a:extLst>
            <a:ext uri="{FF2B5EF4-FFF2-40B4-BE49-F238E27FC236}">
              <a16:creationId xmlns:a16="http://schemas.microsoft.com/office/drawing/2014/main" id="{00000000-0008-0000-2200-00001A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27" name="Arrow: Chevron 26">
          <a:hlinkClick xmlns:r="http://schemas.openxmlformats.org/officeDocument/2006/relationships" r:id="rId4" tooltip="Customer Information"/>
          <a:extLst>
            <a:ext uri="{FF2B5EF4-FFF2-40B4-BE49-F238E27FC236}">
              <a16:creationId xmlns:a16="http://schemas.microsoft.com/office/drawing/2014/main" id="{00000000-0008-0000-2200-00001B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29" name="Arrow: Chevron 28">
          <a:hlinkClick xmlns:r="http://schemas.openxmlformats.org/officeDocument/2006/relationships" r:id="rId5" tooltip="Equipment Input"/>
          <a:extLst>
            <a:ext uri="{FF2B5EF4-FFF2-40B4-BE49-F238E27FC236}">
              <a16:creationId xmlns:a16="http://schemas.microsoft.com/office/drawing/2014/main" id="{00000000-0008-0000-2200-00001D000000}"/>
            </a:ext>
          </a:extLst>
        </xdr:cNvPr>
        <xdr:cNvSpPr/>
      </xdr:nvSpPr>
      <xdr:spPr>
        <a:xfrm>
          <a:off x="7867562" y="661800"/>
          <a:ext cx="181636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30" name="Arrow: Chevron 29">
          <a:hlinkClick xmlns:r="http://schemas.openxmlformats.org/officeDocument/2006/relationships" r:id="rId6" tooltip="Payment"/>
          <a:extLst>
            <a:ext uri="{FF2B5EF4-FFF2-40B4-BE49-F238E27FC236}">
              <a16:creationId xmlns:a16="http://schemas.microsoft.com/office/drawing/2014/main" id="{00000000-0008-0000-2200-00001E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31" name="Arrow: Chevron 30">
          <a:hlinkClick xmlns:r="http://schemas.openxmlformats.org/officeDocument/2006/relationships" r:id="rId7" tooltip="Project Review"/>
          <a:extLst>
            <a:ext uri="{FF2B5EF4-FFF2-40B4-BE49-F238E27FC236}">
              <a16:creationId xmlns:a16="http://schemas.microsoft.com/office/drawing/2014/main" id="{00000000-0008-0000-2200-00001F000000}"/>
            </a:ext>
          </a:extLst>
        </xdr:cNvPr>
        <xdr:cNvSpPr/>
      </xdr:nvSpPr>
      <xdr:spPr>
        <a:xfrm>
          <a:off x="10997154" y="658943"/>
          <a:ext cx="180874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32" name="Arrow: Left 31">
          <a:hlinkClick xmlns:r="http://schemas.openxmlformats.org/officeDocument/2006/relationships" r:id="rId8" tooltip="Back: Project Review"/>
          <a:extLst>
            <a:ext uri="{FF2B5EF4-FFF2-40B4-BE49-F238E27FC236}">
              <a16:creationId xmlns:a16="http://schemas.microsoft.com/office/drawing/2014/main" id="{00000000-0008-0000-2200-000020000000}"/>
            </a:ext>
          </a:extLst>
        </xdr:cNvPr>
        <xdr:cNvSpPr/>
      </xdr:nvSpPr>
      <xdr:spPr>
        <a:xfrm>
          <a:off x="529140" y="1687719"/>
          <a:ext cx="520177" cy="42716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35" name="Straight Connector 34">
          <a:extLst>
            <a:ext uri="{FF2B5EF4-FFF2-40B4-BE49-F238E27FC236}">
              <a16:creationId xmlns:a16="http://schemas.microsoft.com/office/drawing/2014/main" id="{00000000-0008-0000-2200-000023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36" name="Straight Connector 35">
          <a:extLst>
            <a:ext uri="{FF2B5EF4-FFF2-40B4-BE49-F238E27FC236}">
              <a16:creationId xmlns:a16="http://schemas.microsoft.com/office/drawing/2014/main" id="{00000000-0008-0000-2200-000024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7" name="Straight Connector 36">
          <a:extLst>
            <a:ext uri="{FF2B5EF4-FFF2-40B4-BE49-F238E27FC236}">
              <a16:creationId xmlns:a16="http://schemas.microsoft.com/office/drawing/2014/main" id="{00000000-0008-0000-2200-000025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8" name="Rectangle 37">
          <a:hlinkClick xmlns:r="http://schemas.openxmlformats.org/officeDocument/2006/relationships" r:id="rId9" tooltip="Welcome"/>
          <a:extLst>
            <a:ext uri="{FF2B5EF4-FFF2-40B4-BE49-F238E27FC236}">
              <a16:creationId xmlns:a16="http://schemas.microsoft.com/office/drawing/2014/main" id="{00000000-0008-0000-2200-000026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9" name="Rectangle 38">
          <a:hlinkClick xmlns:r="http://schemas.openxmlformats.org/officeDocument/2006/relationships" r:id="rId10" tooltip="Instructions"/>
          <a:extLst>
            <a:ext uri="{FF2B5EF4-FFF2-40B4-BE49-F238E27FC236}">
              <a16:creationId xmlns:a16="http://schemas.microsoft.com/office/drawing/2014/main" id="{00000000-0008-0000-2200-000027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40" name="Rectangle 39">
          <a:hlinkClick xmlns:r="http://schemas.openxmlformats.org/officeDocument/2006/relationships" r:id="rId11" tooltip="Contact"/>
          <a:extLst>
            <a:ext uri="{FF2B5EF4-FFF2-40B4-BE49-F238E27FC236}">
              <a16:creationId xmlns:a16="http://schemas.microsoft.com/office/drawing/2014/main" id="{00000000-0008-0000-2200-000028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41" name="Rectangle 40">
          <a:hlinkClick xmlns:r="http://schemas.openxmlformats.org/officeDocument/2006/relationships" r:id="rId12" tooltip=" "/>
          <a:extLst>
            <a:ext uri="{FF2B5EF4-FFF2-40B4-BE49-F238E27FC236}">
              <a16:creationId xmlns:a16="http://schemas.microsoft.com/office/drawing/2014/main" id="{00000000-0008-0000-2200-000029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42" name="Rectangle 41">
          <a:hlinkClick xmlns:r="http://schemas.openxmlformats.org/officeDocument/2006/relationships" r:id="rId13" tooltip=" "/>
          <a:extLst>
            <a:ext uri="{FF2B5EF4-FFF2-40B4-BE49-F238E27FC236}">
              <a16:creationId xmlns:a16="http://schemas.microsoft.com/office/drawing/2014/main" id="{00000000-0008-0000-2200-00002A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44" name="Straight Connector 43">
          <a:extLst>
            <a:ext uri="{FF2B5EF4-FFF2-40B4-BE49-F238E27FC236}">
              <a16:creationId xmlns:a16="http://schemas.microsoft.com/office/drawing/2014/main" id="{00000000-0008-0000-2200-00002C000000}"/>
            </a:ext>
          </a:extLst>
        </xdr:cNvPr>
        <xdr:cNvCxnSpPr/>
      </xdr:nvCxnSpPr>
      <xdr:spPr>
        <a:xfrm>
          <a:off x="15335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45" name="Arrow: Chevron 44">
          <a:hlinkClick xmlns:r="http://schemas.openxmlformats.org/officeDocument/2006/relationships" r:id="rId14" tooltip="Building Information"/>
          <a:extLst>
            <a:ext uri="{FF2B5EF4-FFF2-40B4-BE49-F238E27FC236}">
              <a16:creationId xmlns:a16="http://schemas.microsoft.com/office/drawing/2014/main" id="{00000000-0008-0000-2200-00002D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34</xdr:col>
      <xdr:colOff>22412</xdr:colOff>
      <xdr:row>17</xdr:row>
      <xdr:rowOff>11205</xdr:rowOff>
    </xdr:from>
    <xdr:to>
      <xdr:col>43</xdr:col>
      <xdr:colOff>11206</xdr:colOff>
      <xdr:row>18</xdr:row>
      <xdr:rowOff>175259</xdr:rowOff>
    </xdr:to>
    <xdr:grpSp>
      <xdr:nvGrpSpPr>
        <xdr:cNvPr id="2" name="Group 1">
          <a:extLst>
            <a:ext uri="{FF2B5EF4-FFF2-40B4-BE49-F238E27FC236}">
              <a16:creationId xmlns:a16="http://schemas.microsoft.com/office/drawing/2014/main" id="{00000000-0008-0000-2200-000002000000}"/>
            </a:ext>
          </a:extLst>
        </xdr:cNvPr>
        <xdr:cNvGrpSpPr/>
      </xdr:nvGrpSpPr>
      <xdr:grpSpPr>
        <a:xfrm>
          <a:off x="10690412" y="3440205"/>
          <a:ext cx="2812676" cy="365760"/>
          <a:chOff x="10679206" y="3877234"/>
          <a:chExt cx="2812676" cy="365760"/>
        </a:xfrm>
      </xdr:grpSpPr>
      <xdr:sp macro="" textlink="">
        <xdr:nvSpPr>
          <xdr:cNvPr id="43" name="Rectangle 42">
            <a:hlinkClick xmlns:r="http://schemas.openxmlformats.org/officeDocument/2006/relationships" r:id="rId15" tooltip="View Incentive Report"/>
            <a:extLst>
              <a:ext uri="{FF2B5EF4-FFF2-40B4-BE49-F238E27FC236}">
                <a16:creationId xmlns:a16="http://schemas.microsoft.com/office/drawing/2014/main" id="{00000000-0008-0000-2200-00002B000000}"/>
              </a:ext>
            </a:extLst>
          </xdr:cNvPr>
          <xdr:cNvSpPr/>
        </xdr:nvSpPr>
        <xdr:spPr>
          <a:xfrm>
            <a:off x="10679206" y="3877234"/>
            <a:ext cx="2812676" cy="365760"/>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46" name="Graphic 45" descr="Play">
            <a:hlinkClick xmlns:r="http://schemas.openxmlformats.org/officeDocument/2006/relationships" r:id="rId15" tooltip="View Incentive Report"/>
            <a:extLst>
              <a:ext uri="{FF2B5EF4-FFF2-40B4-BE49-F238E27FC236}">
                <a16:creationId xmlns:a16="http://schemas.microsoft.com/office/drawing/2014/main" id="{00000000-0008-0000-2200-00002E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13095498" y="3923180"/>
            <a:ext cx="189884" cy="268938"/>
          </a:xfrm>
          <a:prstGeom prst="rect">
            <a:avLst/>
          </a:prstGeom>
        </xdr:spPr>
      </xdr:pic>
      <xdr:pic>
        <xdr:nvPicPr>
          <xdr:cNvPr id="47" name="Graphic 46" descr="Play">
            <a:hlinkClick xmlns:r="http://schemas.openxmlformats.org/officeDocument/2006/relationships" r:id="rId15" tooltip="View Incentive Report"/>
            <a:extLst>
              <a:ext uri="{FF2B5EF4-FFF2-40B4-BE49-F238E27FC236}">
                <a16:creationId xmlns:a16="http://schemas.microsoft.com/office/drawing/2014/main" id="{00000000-0008-0000-2200-00002F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13268768" y="3929904"/>
            <a:ext cx="189884" cy="268938"/>
          </a:xfrm>
          <a:prstGeom prst="rect">
            <a:avLst/>
          </a:prstGeom>
        </xdr:spPr>
      </xdr:pic>
    </xdr:grpSp>
    <xdr:clientData/>
  </xdr:twoCellAnchor>
  <xdr:twoCellAnchor editAs="oneCell">
    <xdr:from>
      <xdr:col>0</xdr:col>
      <xdr:colOff>0</xdr:colOff>
      <xdr:row>0</xdr:row>
      <xdr:rowOff>0</xdr:rowOff>
    </xdr:from>
    <xdr:to>
      <xdr:col>4</xdr:col>
      <xdr:colOff>256708</xdr:colOff>
      <xdr:row>2</xdr:row>
      <xdr:rowOff>167095</xdr:rowOff>
    </xdr:to>
    <xdr:pic>
      <xdr:nvPicPr>
        <xdr:cNvPr id="28" name="Picture 27">
          <a:extLst>
            <a:ext uri="{FF2B5EF4-FFF2-40B4-BE49-F238E27FC236}">
              <a16:creationId xmlns:a16="http://schemas.microsoft.com/office/drawing/2014/main" id="{00000000-0008-0000-22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17076</xdr:colOff>
      <xdr:row>18</xdr:row>
      <xdr:rowOff>187188</xdr:rowOff>
    </xdr:from>
    <xdr:to>
      <xdr:col>27</xdr:col>
      <xdr:colOff>307925</xdr:colOff>
      <xdr:row>19</xdr:row>
      <xdr:rowOff>14094</xdr:rowOff>
    </xdr:to>
    <xdr:sp macro="" textlink="">
      <xdr:nvSpPr>
        <xdr:cNvPr id="57" name="Rectangle 56">
          <a:extLst>
            <a:ext uri="{FF2B5EF4-FFF2-40B4-BE49-F238E27FC236}">
              <a16:creationId xmlns:a16="http://schemas.microsoft.com/office/drawing/2014/main" id="{00000000-0008-0000-2300-000039000000}"/>
            </a:ext>
          </a:extLst>
        </xdr:cNvPr>
        <xdr:cNvSpPr/>
      </xdr:nvSpPr>
      <xdr:spPr>
        <a:xfrm flipV="1">
          <a:off x="2840958" y="4064423"/>
          <a:ext cx="5938614" cy="28612"/>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32" name="Arrow: Left 31">
          <a:hlinkClick xmlns:r="http://schemas.openxmlformats.org/officeDocument/2006/relationships" r:id="rId1" tooltip="Back: Project Review"/>
          <a:extLst>
            <a:ext uri="{FF2B5EF4-FFF2-40B4-BE49-F238E27FC236}">
              <a16:creationId xmlns:a16="http://schemas.microsoft.com/office/drawing/2014/main" id="{00000000-0008-0000-23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31" name="Straight Connector 30">
          <a:extLst>
            <a:ext uri="{FF2B5EF4-FFF2-40B4-BE49-F238E27FC236}">
              <a16:creationId xmlns:a16="http://schemas.microsoft.com/office/drawing/2014/main" id="{00000000-0008-0000-2300-00001F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36" name="Arrow: Chevron 35">
          <a:hlinkClick xmlns:r="http://schemas.openxmlformats.org/officeDocument/2006/relationships" r:id="rId2" tooltip="Terms &amp; Conditions"/>
          <a:extLst>
            <a:ext uri="{FF2B5EF4-FFF2-40B4-BE49-F238E27FC236}">
              <a16:creationId xmlns:a16="http://schemas.microsoft.com/office/drawing/2014/main" id="{00000000-0008-0000-2300-000024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37" name="Arrow: Chevron 36">
          <a:hlinkClick xmlns:r="http://schemas.openxmlformats.org/officeDocument/2006/relationships" r:id="rId3" tooltip="Trade Ally/Vendor Information"/>
          <a:extLst>
            <a:ext uri="{FF2B5EF4-FFF2-40B4-BE49-F238E27FC236}">
              <a16:creationId xmlns:a16="http://schemas.microsoft.com/office/drawing/2014/main" id="{00000000-0008-0000-2300-000025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38" name="Arrow: Chevron 37">
          <a:hlinkClick xmlns:r="http://schemas.openxmlformats.org/officeDocument/2006/relationships" r:id="rId4" tooltip="Customer Information"/>
          <a:extLst>
            <a:ext uri="{FF2B5EF4-FFF2-40B4-BE49-F238E27FC236}">
              <a16:creationId xmlns:a16="http://schemas.microsoft.com/office/drawing/2014/main" id="{00000000-0008-0000-2300-000026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40" name="Arrow: Chevron 39">
          <a:hlinkClick xmlns:r="http://schemas.openxmlformats.org/officeDocument/2006/relationships" r:id="rId5" tooltip="Equipment Input"/>
          <a:extLst>
            <a:ext uri="{FF2B5EF4-FFF2-40B4-BE49-F238E27FC236}">
              <a16:creationId xmlns:a16="http://schemas.microsoft.com/office/drawing/2014/main" id="{00000000-0008-0000-2300-000028000000}"/>
            </a:ext>
          </a:extLst>
        </xdr:cNvPr>
        <xdr:cNvSpPr/>
      </xdr:nvSpPr>
      <xdr:spPr>
        <a:xfrm>
          <a:off x="7867562" y="661800"/>
          <a:ext cx="181636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41" name="Arrow: Chevron 40">
          <a:hlinkClick xmlns:r="http://schemas.openxmlformats.org/officeDocument/2006/relationships" r:id="rId6" tooltip="Payment"/>
          <a:extLst>
            <a:ext uri="{FF2B5EF4-FFF2-40B4-BE49-F238E27FC236}">
              <a16:creationId xmlns:a16="http://schemas.microsoft.com/office/drawing/2014/main" id="{00000000-0008-0000-2300-000029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42" name="Arrow: Chevron 41">
          <a:hlinkClick xmlns:r="http://schemas.openxmlformats.org/officeDocument/2006/relationships" r:id="rId7" tooltip="Project Review"/>
          <a:extLst>
            <a:ext uri="{FF2B5EF4-FFF2-40B4-BE49-F238E27FC236}">
              <a16:creationId xmlns:a16="http://schemas.microsoft.com/office/drawing/2014/main" id="{00000000-0008-0000-2300-00002A000000}"/>
            </a:ext>
          </a:extLst>
        </xdr:cNvPr>
        <xdr:cNvSpPr/>
      </xdr:nvSpPr>
      <xdr:spPr>
        <a:xfrm>
          <a:off x="10997154" y="658943"/>
          <a:ext cx="180874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5" name="Straight Connector 24">
          <a:extLst>
            <a:ext uri="{FF2B5EF4-FFF2-40B4-BE49-F238E27FC236}">
              <a16:creationId xmlns:a16="http://schemas.microsoft.com/office/drawing/2014/main" id="{00000000-0008-0000-2300-000019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6" name="Straight Connector 25">
          <a:extLst>
            <a:ext uri="{FF2B5EF4-FFF2-40B4-BE49-F238E27FC236}">
              <a16:creationId xmlns:a16="http://schemas.microsoft.com/office/drawing/2014/main" id="{00000000-0008-0000-2300-00001A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7" name="Straight Connector 26">
          <a:extLst>
            <a:ext uri="{FF2B5EF4-FFF2-40B4-BE49-F238E27FC236}">
              <a16:creationId xmlns:a16="http://schemas.microsoft.com/office/drawing/2014/main" id="{00000000-0008-0000-2300-00001B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29" name="Rectangle 28">
          <a:hlinkClick xmlns:r="http://schemas.openxmlformats.org/officeDocument/2006/relationships" r:id="rId8" tooltip="Welcome"/>
          <a:extLst>
            <a:ext uri="{FF2B5EF4-FFF2-40B4-BE49-F238E27FC236}">
              <a16:creationId xmlns:a16="http://schemas.microsoft.com/office/drawing/2014/main" id="{00000000-0008-0000-2300-00001D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0" name="Rectangle 29">
          <a:hlinkClick xmlns:r="http://schemas.openxmlformats.org/officeDocument/2006/relationships" r:id="rId9" tooltip="Instructions"/>
          <a:extLst>
            <a:ext uri="{FF2B5EF4-FFF2-40B4-BE49-F238E27FC236}">
              <a16:creationId xmlns:a16="http://schemas.microsoft.com/office/drawing/2014/main" id="{00000000-0008-0000-2300-00001E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43" name="Rectangle 42">
          <a:hlinkClick xmlns:r="http://schemas.openxmlformats.org/officeDocument/2006/relationships" r:id="rId10" tooltip="Contact"/>
          <a:extLst>
            <a:ext uri="{FF2B5EF4-FFF2-40B4-BE49-F238E27FC236}">
              <a16:creationId xmlns:a16="http://schemas.microsoft.com/office/drawing/2014/main" id="{00000000-0008-0000-2300-00002B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44" name="Rectangle 43">
          <a:hlinkClick xmlns:r="http://schemas.openxmlformats.org/officeDocument/2006/relationships" r:id="rId11" tooltip=" "/>
          <a:extLst>
            <a:ext uri="{FF2B5EF4-FFF2-40B4-BE49-F238E27FC236}">
              <a16:creationId xmlns:a16="http://schemas.microsoft.com/office/drawing/2014/main" id="{00000000-0008-0000-2300-00002C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45" name="Rectangle 44">
          <a:hlinkClick xmlns:r="http://schemas.openxmlformats.org/officeDocument/2006/relationships" r:id="rId12" tooltip=" "/>
          <a:extLst>
            <a:ext uri="{FF2B5EF4-FFF2-40B4-BE49-F238E27FC236}">
              <a16:creationId xmlns:a16="http://schemas.microsoft.com/office/drawing/2014/main" id="{00000000-0008-0000-2300-00002D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50" name="Arrow: Chevron 49">
          <a:hlinkClick xmlns:r="http://schemas.openxmlformats.org/officeDocument/2006/relationships" r:id="rId13" tooltip="Building Information"/>
          <a:extLst>
            <a:ext uri="{FF2B5EF4-FFF2-40B4-BE49-F238E27FC236}">
              <a16:creationId xmlns:a16="http://schemas.microsoft.com/office/drawing/2014/main" id="{00000000-0008-0000-2300-000032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302559</xdr:colOff>
      <xdr:row>8</xdr:row>
      <xdr:rowOff>100854</xdr:rowOff>
    </xdr:from>
    <xdr:to>
      <xdr:col>43</xdr:col>
      <xdr:colOff>261213</xdr:colOff>
      <xdr:row>11</xdr:row>
      <xdr:rowOff>163248</xdr:rowOff>
    </xdr:to>
    <xdr:grpSp>
      <xdr:nvGrpSpPr>
        <xdr:cNvPr id="53" name="Group 52">
          <a:extLst>
            <a:ext uri="{FF2B5EF4-FFF2-40B4-BE49-F238E27FC236}">
              <a16:creationId xmlns:a16="http://schemas.microsoft.com/office/drawing/2014/main" id="{00000000-0008-0000-2300-000035000000}"/>
            </a:ext>
          </a:extLst>
        </xdr:cNvPr>
        <xdr:cNvGrpSpPr/>
      </xdr:nvGrpSpPr>
      <xdr:grpSpPr>
        <a:xfrm>
          <a:off x="11911853" y="1714501"/>
          <a:ext cx="1841242" cy="712335"/>
          <a:chOff x="11900647" y="1692086"/>
          <a:chExt cx="1841242" cy="667512"/>
        </a:xfrm>
      </xdr:grpSpPr>
      <xdr:sp macro="" textlink="">
        <xdr:nvSpPr>
          <xdr:cNvPr id="54" name="Rectangle: Rounded Corners 53">
            <a:hlinkClick xmlns:r="http://schemas.openxmlformats.org/officeDocument/2006/relationships" r:id="rId14" tooltip="Submission Instructions"/>
            <a:extLst>
              <a:ext uri="{FF2B5EF4-FFF2-40B4-BE49-F238E27FC236}">
                <a16:creationId xmlns:a16="http://schemas.microsoft.com/office/drawing/2014/main" id="{00000000-0008-0000-2300-000036000000}"/>
              </a:ext>
            </a:extLst>
          </xdr:cNvPr>
          <xdr:cNvSpPr/>
        </xdr:nvSpPr>
        <xdr:spPr>
          <a:xfrm>
            <a:off x="11900647" y="1692086"/>
            <a:ext cx="1841242" cy="667512"/>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54">
            <a:hlinkClick xmlns:r="http://schemas.openxmlformats.org/officeDocument/2006/relationships" r:id="rId14" tooltip="Submission Instructions"/>
            <a:extLst>
              <a:ext uri="{FF2B5EF4-FFF2-40B4-BE49-F238E27FC236}">
                <a16:creationId xmlns:a16="http://schemas.microsoft.com/office/drawing/2014/main" id="{00000000-0008-0000-23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100852</xdr:colOff>
      <xdr:row>10</xdr:row>
      <xdr:rowOff>100855</xdr:rowOff>
    </xdr:from>
    <xdr:to>
      <xdr:col>10</xdr:col>
      <xdr:colOff>257734</xdr:colOff>
      <xdr:row>12</xdr:row>
      <xdr:rowOff>112060</xdr:rowOff>
    </xdr:to>
    <xdr:grpSp>
      <xdr:nvGrpSpPr>
        <xdr:cNvPr id="8" name="Group 7">
          <a:extLst>
            <a:ext uri="{FF2B5EF4-FFF2-40B4-BE49-F238E27FC236}">
              <a16:creationId xmlns:a16="http://schemas.microsoft.com/office/drawing/2014/main" id="{00000000-0008-0000-2300-000008000000}"/>
            </a:ext>
          </a:extLst>
        </xdr:cNvPr>
        <xdr:cNvGrpSpPr/>
      </xdr:nvGrpSpPr>
      <xdr:grpSpPr>
        <a:xfrm>
          <a:off x="2924734" y="2129120"/>
          <a:ext cx="470647" cy="448234"/>
          <a:chOff x="3014383" y="2084294"/>
          <a:chExt cx="526676" cy="537883"/>
        </a:xfrm>
      </xdr:grpSpPr>
      <xdr:pic>
        <xdr:nvPicPr>
          <xdr:cNvPr id="5" name="Graphic 4" descr="Exclamation mark">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3087221" y="2162735"/>
            <a:ext cx="381000" cy="381000"/>
          </a:xfrm>
          <a:prstGeom prst="rect">
            <a:avLst/>
          </a:prstGeom>
        </xdr:spPr>
      </xdr:pic>
      <xdr:sp macro="" textlink="">
        <xdr:nvSpPr>
          <xdr:cNvPr id="7" name="Oval 6">
            <a:extLst>
              <a:ext uri="{FF2B5EF4-FFF2-40B4-BE49-F238E27FC236}">
                <a16:creationId xmlns:a16="http://schemas.microsoft.com/office/drawing/2014/main" id="{00000000-0008-0000-2300-000007000000}"/>
              </a:ext>
            </a:extLst>
          </xdr:cNvPr>
          <xdr:cNvSpPr/>
        </xdr:nvSpPr>
        <xdr:spPr>
          <a:xfrm>
            <a:off x="3014383" y="2084294"/>
            <a:ext cx="526676" cy="537883"/>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4</xdr:col>
      <xdr:colOff>256708</xdr:colOff>
      <xdr:row>2</xdr:row>
      <xdr:rowOff>167095</xdr:rowOff>
    </xdr:to>
    <xdr:pic>
      <xdr:nvPicPr>
        <xdr:cNvPr id="34" name="Picture 33">
          <a:extLst>
            <a:ext uri="{FF2B5EF4-FFF2-40B4-BE49-F238E27FC236}">
              <a16:creationId xmlns:a16="http://schemas.microsoft.com/office/drawing/2014/main" id="{00000000-0008-0000-2300-00002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twoCellAnchor editAs="oneCell">
    <xdr:from>
      <xdr:col>28</xdr:col>
      <xdr:colOff>225947</xdr:colOff>
      <xdr:row>15</xdr:row>
      <xdr:rowOff>0</xdr:rowOff>
    </xdr:from>
    <xdr:to>
      <xdr:col>35</xdr:col>
      <xdr:colOff>132643</xdr:colOff>
      <xdr:row>19</xdr:row>
      <xdr:rowOff>0</xdr:rowOff>
    </xdr:to>
    <xdr:pic>
      <xdr:nvPicPr>
        <xdr:cNvPr id="35" name="Picture 34">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9027047" y="3057525"/>
          <a:ext cx="2106971" cy="800100"/>
        </a:xfrm>
        <a:prstGeom prst="rect">
          <a:avLst/>
        </a:prstGeom>
      </xdr:spPr>
    </xdr:pic>
    <xdr:clientData/>
  </xdr:twoCellAnchor>
  <xdr:twoCellAnchor editAs="oneCell">
    <xdr:from>
      <xdr:col>18</xdr:col>
      <xdr:colOff>313763</xdr:colOff>
      <xdr:row>51</xdr:row>
      <xdr:rowOff>166598</xdr:rowOff>
    </xdr:from>
    <xdr:to>
      <xdr:col>35</xdr:col>
      <xdr:colOff>73174</xdr:colOff>
      <xdr:row>58</xdr:row>
      <xdr:rowOff>71160</xdr:rowOff>
    </xdr:to>
    <xdr:pic>
      <xdr:nvPicPr>
        <xdr:cNvPr id="51" name="Picture 50">
          <a:extLst>
            <a:ext uri="{FF2B5EF4-FFF2-40B4-BE49-F238E27FC236}">
              <a16:creationId xmlns:a16="http://schemas.microsoft.com/office/drawing/2014/main" id="{00000000-0008-0000-2300-000033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5657288" y="10463123"/>
          <a:ext cx="5102936" cy="1304737"/>
        </a:xfrm>
        <a:prstGeom prst="rect">
          <a:avLst/>
        </a:prstGeom>
      </xdr:spPr>
    </xdr:pic>
    <xdr:clientData/>
  </xdr:twoCellAnchor>
  <xdr:twoCellAnchor editAs="oneCell">
    <xdr:from>
      <xdr:col>20</xdr:col>
      <xdr:colOff>113183</xdr:colOff>
      <xdr:row>32</xdr:row>
      <xdr:rowOff>123265</xdr:rowOff>
    </xdr:from>
    <xdr:to>
      <xdr:col>25</xdr:col>
      <xdr:colOff>251342</xdr:colOff>
      <xdr:row>41</xdr:row>
      <xdr:rowOff>33842</xdr:rowOff>
    </xdr:to>
    <xdr:pic>
      <xdr:nvPicPr>
        <xdr:cNvPr id="52" name="Picture 51">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6399683" y="6581215"/>
          <a:ext cx="1709784" cy="1710802"/>
        </a:xfrm>
        <a:prstGeom prst="rect">
          <a:avLst/>
        </a:prstGeom>
      </xdr:spPr>
    </xdr:pic>
    <xdr:clientData/>
  </xdr:twoCellAnchor>
  <xdr:twoCellAnchor editAs="oneCell">
    <xdr:from>
      <xdr:col>32</xdr:col>
      <xdr:colOff>95037</xdr:colOff>
      <xdr:row>75</xdr:row>
      <xdr:rowOff>56030</xdr:rowOff>
    </xdr:from>
    <xdr:to>
      <xdr:col>35</xdr:col>
      <xdr:colOff>123264</xdr:colOff>
      <xdr:row>76</xdr:row>
      <xdr:rowOff>140510</xdr:rowOff>
    </xdr:to>
    <xdr:pic>
      <xdr:nvPicPr>
        <xdr:cNvPr id="56" name="Picture 55">
          <a:extLst>
            <a:ext uri="{FF2B5EF4-FFF2-40B4-BE49-F238E27FC236}">
              <a16:creationId xmlns:a16="http://schemas.microsoft.com/office/drawing/2014/main" id="{00000000-0008-0000-2300-000038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0153437" y="15153155"/>
          <a:ext cx="971202" cy="284505"/>
        </a:xfrm>
        <a:prstGeom prst="rect">
          <a:avLst/>
        </a:prstGeom>
      </xdr:spPr>
    </xdr:pic>
    <xdr:clientData/>
  </xdr:twoCellAnchor>
  <xdr:twoCellAnchor editAs="oneCell">
    <xdr:from>
      <xdr:col>9</xdr:col>
      <xdr:colOff>313271</xdr:colOff>
      <xdr:row>61</xdr:row>
      <xdr:rowOff>152904</xdr:rowOff>
    </xdr:from>
    <xdr:to>
      <xdr:col>12</xdr:col>
      <xdr:colOff>268939</xdr:colOff>
      <xdr:row>66</xdr:row>
      <xdr:rowOff>29883</xdr:rowOff>
    </xdr:to>
    <xdr:pic>
      <xdr:nvPicPr>
        <xdr:cNvPr id="58" name="Picture 57">
          <a:extLst>
            <a:ext uri="{FF2B5EF4-FFF2-40B4-BE49-F238E27FC236}">
              <a16:creationId xmlns:a16="http://schemas.microsoft.com/office/drawing/2014/main" id="{00000000-0008-0000-23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3142196" y="12449679"/>
          <a:ext cx="898643" cy="877104"/>
        </a:xfrm>
        <a:prstGeom prst="rect">
          <a:avLst/>
        </a:prstGeom>
      </xdr:spPr>
    </xdr:pic>
    <xdr:clientData/>
  </xdr:twoCellAnchor>
  <xdr:twoCellAnchor editAs="oneCell">
    <xdr:from>
      <xdr:col>18</xdr:col>
      <xdr:colOff>325659</xdr:colOff>
      <xdr:row>61</xdr:row>
      <xdr:rowOff>26517</xdr:rowOff>
    </xdr:from>
    <xdr:to>
      <xdr:col>21</xdr:col>
      <xdr:colOff>283882</xdr:colOff>
      <xdr:row>65</xdr:row>
      <xdr:rowOff>165546</xdr:rowOff>
    </xdr:to>
    <xdr:pic>
      <xdr:nvPicPr>
        <xdr:cNvPr id="59" name="Picture 58">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5973984" y="12323292"/>
          <a:ext cx="910723" cy="939129"/>
        </a:xfrm>
        <a:prstGeom prst="rect">
          <a:avLst/>
        </a:prstGeom>
      </xdr:spPr>
    </xdr:pic>
    <xdr:clientData/>
  </xdr:twoCellAnchor>
  <xdr:twoCellAnchor editAs="oneCell">
    <xdr:from>
      <xdr:col>27</xdr:col>
      <xdr:colOff>200077</xdr:colOff>
      <xdr:row>61</xdr:row>
      <xdr:rowOff>190984</xdr:rowOff>
    </xdr:from>
    <xdr:to>
      <xdr:col>30</xdr:col>
      <xdr:colOff>32705</xdr:colOff>
      <xdr:row>66</xdr:row>
      <xdr:rowOff>3028</xdr:rowOff>
    </xdr:to>
    <xdr:pic>
      <xdr:nvPicPr>
        <xdr:cNvPr id="60" name="Picture 59">
          <a:extLst>
            <a:ext uri="{FF2B5EF4-FFF2-40B4-BE49-F238E27FC236}">
              <a16:creationId xmlns:a16="http://schemas.microsoft.com/office/drawing/2014/main" id="{00000000-0008-0000-23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8686852" y="12487759"/>
          <a:ext cx="775603" cy="812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26" name="Straight Connector 25">
          <a:extLst>
            <a:ext uri="{FF2B5EF4-FFF2-40B4-BE49-F238E27FC236}">
              <a16:creationId xmlns:a16="http://schemas.microsoft.com/office/drawing/2014/main" id="{00000000-0008-0000-2400-00001A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30" name="Arrow: Chevron 29">
          <a:hlinkClick xmlns:r="http://schemas.openxmlformats.org/officeDocument/2006/relationships" r:id="rId1" tooltip="Terms &amp; Conditions"/>
          <a:extLst>
            <a:ext uri="{FF2B5EF4-FFF2-40B4-BE49-F238E27FC236}">
              <a16:creationId xmlns:a16="http://schemas.microsoft.com/office/drawing/2014/main" id="{00000000-0008-0000-2400-00001E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31" name="Arrow: Chevron 30">
          <a:hlinkClick xmlns:r="http://schemas.openxmlformats.org/officeDocument/2006/relationships" r:id="rId2" tooltip="Trade Ally/Vendor Information"/>
          <a:extLst>
            <a:ext uri="{FF2B5EF4-FFF2-40B4-BE49-F238E27FC236}">
              <a16:creationId xmlns:a16="http://schemas.microsoft.com/office/drawing/2014/main" id="{00000000-0008-0000-2400-00001F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32" name="Arrow: Chevron 31">
          <a:hlinkClick xmlns:r="http://schemas.openxmlformats.org/officeDocument/2006/relationships" r:id="rId3" tooltip="Customer Information"/>
          <a:extLst>
            <a:ext uri="{FF2B5EF4-FFF2-40B4-BE49-F238E27FC236}">
              <a16:creationId xmlns:a16="http://schemas.microsoft.com/office/drawing/2014/main" id="{00000000-0008-0000-2400-000020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34" name="Arrow: Chevron 33">
          <a:hlinkClick xmlns:r="http://schemas.openxmlformats.org/officeDocument/2006/relationships" r:id="rId4" tooltip="Equipment Input"/>
          <a:extLst>
            <a:ext uri="{FF2B5EF4-FFF2-40B4-BE49-F238E27FC236}">
              <a16:creationId xmlns:a16="http://schemas.microsoft.com/office/drawing/2014/main" id="{00000000-0008-0000-2400-000022000000}"/>
            </a:ext>
          </a:extLst>
        </xdr:cNvPr>
        <xdr:cNvSpPr/>
      </xdr:nvSpPr>
      <xdr:spPr>
        <a:xfrm>
          <a:off x="7867562" y="661800"/>
          <a:ext cx="181636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35" name="Arrow: Chevron 34">
          <a:hlinkClick xmlns:r="http://schemas.openxmlformats.org/officeDocument/2006/relationships" r:id="rId5" tooltip="Payment"/>
          <a:extLst>
            <a:ext uri="{FF2B5EF4-FFF2-40B4-BE49-F238E27FC236}">
              <a16:creationId xmlns:a16="http://schemas.microsoft.com/office/drawing/2014/main" id="{00000000-0008-0000-2400-000023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36" name="Arrow: Chevron 35">
          <a:hlinkClick xmlns:r="http://schemas.openxmlformats.org/officeDocument/2006/relationships" r:id="rId6" tooltip="Project Review"/>
          <a:extLst>
            <a:ext uri="{FF2B5EF4-FFF2-40B4-BE49-F238E27FC236}">
              <a16:creationId xmlns:a16="http://schemas.microsoft.com/office/drawing/2014/main" id="{00000000-0008-0000-2400-000024000000}"/>
            </a:ext>
          </a:extLst>
        </xdr:cNvPr>
        <xdr:cNvSpPr/>
      </xdr:nvSpPr>
      <xdr:spPr>
        <a:xfrm>
          <a:off x="10997154" y="658943"/>
          <a:ext cx="180874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18" name="Straight Connector 17">
          <a:extLst>
            <a:ext uri="{FF2B5EF4-FFF2-40B4-BE49-F238E27FC236}">
              <a16:creationId xmlns:a16="http://schemas.microsoft.com/office/drawing/2014/main" id="{00000000-0008-0000-2400-000012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9" name="Straight Connector 18">
          <a:extLst>
            <a:ext uri="{FF2B5EF4-FFF2-40B4-BE49-F238E27FC236}">
              <a16:creationId xmlns:a16="http://schemas.microsoft.com/office/drawing/2014/main" id="{00000000-0008-0000-2400-000013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0" name="Straight Connector 19">
          <a:extLst>
            <a:ext uri="{FF2B5EF4-FFF2-40B4-BE49-F238E27FC236}">
              <a16:creationId xmlns:a16="http://schemas.microsoft.com/office/drawing/2014/main" id="{00000000-0008-0000-2400-000014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21" name="Rectangle 20">
          <a:hlinkClick xmlns:r="http://schemas.openxmlformats.org/officeDocument/2006/relationships" r:id="rId7" tooltip="Welcome"/>
          <a:extLst>
            <a:ext uri="{FF2B5EF4-FFF2-40B4-BE49-F238E27FC236}">
              <a16:creationId xmlns:a16="http://schemas.microsoft.com/office/drawing/2014/main" id="{00000000-0008-0000-2400-000015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22" name="Rectangle 21">
          <a:hlinkClick xmlns:r="http://schemas.openxmlformats.org/officeDocument/2006/relationships" r:id="rId8" tooltip="Instructions"/>
          <a:extLst>
            <a:ext uri="{FF2B5EF4-FFF2-40B4-BE49-F238E27FC236}">
              <a16:creationId xmlns:a16="http://schemas.microsoft.com/office/drawing/2014/main" id="{00000000-0008-0000-2400-000016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23" name="Rectangle 22">
          <a:hlinkClick xmlns:r="http://schemas.openxmlformats.org/officeDocument/2006/relationships" r:id="rId9" tooltip="Contact"/>
          <a:extLst>
            <a:ext uri="{FF2B5EF4-FFF2-40B4-BE49-F238E27FC236}">
              <a16:creationId xmlns:a16="http://schemas.microsoft.com/office/drawing/2014/main" id="{00000000-0008-0000-2400-000017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24" name="Rectangle 23">
          <a:hlinkClick xmlns:r="http://schemas.openxmlformats.org/officeDocument/2006/relationships" r:id="rId10" tooltip=" "/>
          <a:extLst>
            <a:ext uri="{FF2B5EF4-FFF2-40B4-BE49-F238E27FC236}">
              <a16:creationId xmlns:a16="http://schemas.microsoft.com/office/drawing/2014/main" id="{00000000-0008-0000-2400-000018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7" name="Rectangle 36">
          <a:hlinkClick xmlns:r="http://schemas.openxmlformats.org/officeDocument/2006/relationships" r:id="rId11" tooltip=" "/>
          <a:extLst>
            <a:ext uri="{FF2B5EF4-FFF2-40B4-BE49-F238E27FC236}">
              <a16:creationId xmlns:a16="http://schemas.microsoft.com/office/drawing/2014/main" id="{00000000-0008-0000-2400-000025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38" name="Arrow: Chevron 37">
          <a:hlinkClick xmlns:r="http://schemas.openxmlformats.org/officeDocument/2006/relationships" r:id="rId12" tooltip="Building Information"/>
          <a:extLst>
            <a:ext uri="{FF2B5EF4-FFF2-40B4-BE49-F238E27FC236}">
              <a16:creationId xmlns:a16="http://schemas.microsoft.com/office/drawing/2014/main" id="{00000000-0008-0000-2400-000026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27" name="Picture 26">
          <a:extLst>
            <a:ext uri="{FF2B5EF4-FFF2-40B4-BE49-F238E27FC236}">
              <a16:creationId xmlns:a16="http://schemas.microsoft.com/office/drawing/2014/main" id="{00000000-0008-0000-2400-00001B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twoCellAnchor editAs="oneCell">
    <xdr:from>
      <xdr:col>29</xdr:col>
      <xdr:colOff>119530</xdr:colOff>
      <xdr:row>13</xdr:row>
      <xdr:rowOff>164353</xdr:rowOff>
    </xdr:from>
    <xdr:to>
      <xdr:col>35</xdr:col>
      <xdr:colOff>310407</xdr:colOff>
      <xdr:row>17</xdr:row>
      <xdr:rowOff>119786</xdr:rowOff>
    </xdr:to>
    <xdr:pic>
      <xdr:nvPicPr>
        <xdr:cNvPr id="28" name="Picture 27">
          <a:extLst>
            <a:ext uri="{FF2B5EF4-FFF2-40B4-BE49-F238E27FC236}">
              <a16:creationId xmlns:a16="http://schemas.microsoft.com/office/drawing/2014/main" id="{00000000-0008-0000-2400-00001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44</xdr:row>
          <xdr:rowOff>104775</xdr:rowOff>
        </xdr:from>
        <xdr:to>
          <xdr:col>10</xdr:col>
          <xdr:colOff>257175</xdr:colOff>
          <xdr:row>45</xdr:row>
          <xdr:rowOff>114300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2500-000001E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46</xdr:row>
          <xdr:rowOff>9525</xdr:rowOff>
        </xdr:from>
        <xdr:to>
          <xdr:col>10</xdr:col>
          <xdr:colOff>257175</xdr:colOff>
          <xdr:row>47</xdr:row>
          <xdr:rowOff>28575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2500-000002E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26</xdr:col>
      <xdr:colOff>29134</xdr:colOff>
      <xdr:row>40</xdr:row>
      <xdr:rowOff>197224</xdr:rowOff>
    </xdr:from>
    <xdr:to>
      <xdr:col>28</xdr:col>
      <xdr:colOff>0</xdr:colOff>
      <xdr:row>41</xdr:row>
      <xdr:rowOff>156883</xdr:rowOff>
    </xdr:to>
    <xdr:sp macro="" textlink="">
      <xdr:nvSpPr>
        <xdr:cNvPr id="20" name="Rectangle 19">
          <a:hlinkClick xmlns:r="http://schemas.openxmlformats.org/officeDocument/2006/relationships" r:id="rId1" tooltip="Payment"/>
          <a:extLst>
            <a:ext uri="{FF2B5EF4-FFF2-40B4-BE49-F238E27FC236}">
              <a16:creationId xmlns:a16="http://schemas.microsoft.com/office/drawing/2014/main" id="{00000000-0008-0000-25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8" name="Straight Connector 27">
          <a:extLst>
            <a:ext uri="{FF2B5EF4-FFF2-40B4-BE49-F238E27FC236}">
              <a16:creationId xmlns:a16="http://schemas.microsoft.com/office/drawing/2014/main" id="{00000000-0008-0000-2500-00001C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32" name="Arrow: Chevron 31">
          <a:hlinkClick xmlns:r="http://schemas.openxmlformats.org/officeDocument/2006/relationships" r:id="rId2" tooltip="Terms &amp; Conditions"/>
          <a:extLst>
            <a:ext uri="{FF2B5EF4-FFF2-40B4-BE49-F238E27FC236}">
              <a16:creationId xmlns:a16="http://schemas.microsoft.com/office/drawing/2014/main" id="{00000000-0008-0000-2500-000020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33" name="Arrow: Chevron 32">
          <a:hlinkClick xmlns:r="http://schemas.openxmlformats.org/officeDocument/2006/relationships" r:id="rId3" tooltip="Trade Ally/Vendor Information"/>
          <a:extLst>
            <a:ext uri="{FF2B5EF4-FFF2-40B4-BE49-F238E27FC236}">
              <a16:creationId xmlns:a16="http://schemas.microsoft.com/office/drawing/2014/main" id="{00000000-0008-0000-2500-000021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34" name="Arrow: Chevron 33">
          <a:hlinkClick xmlns:r="http://schemas.openxmlformats.org/officeDocument/2006/relationships" r:id="rId4" tooltip="Customer Information"/>
          <a:extLst>
            <a:ext uri="{FF2B5EF4-FFF2-40B4-BE49-F238E27FC236}">
              <a16:creationId xmlns:a16="http://schemas.microsoft.com/office/drawing/2014/main" id="{00000000-0008-0000-2500-000022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36" name="Arrow: Chevron 35">
          <a:hlinkClick xmlns:r="http://schemas.openxmlformats.org/officeDocument/2006/relationships" r:id="rId5" tooltip="Equipment Input"/>
          <a:extLst>
            <a:ext uri="{FF2B5EF4-FFF2-40B4-BE49-F238E27FC236}">
              <a16:creationId xmlns:a16="http://schemas.microsoft.com/office/drawing/2014/main" id="{00000000-0008-0000-2500-000024000000}"/>
            </a:ext>
          </a:extLst>
        </xdr:cNvPr>
        <xdr:cNvSpPr/>
      </xdr:nvSpPr>
      <xdr:spPr>
        <a:xfrm>
          <a:off x="7867562" y="661800"/>
          <a:ext cx="181636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37" name="Arrow: Chevron 36">
          <a:hlinkClick xmlns:r="http://schemas.openxmlformats.org/officeDocument/2006/relationships" r:id="rId6" tooltip="Payment"/>
          <a:extLst>
            <a:ext uri="{FF2B5EF4-FFF2-40B4-BE49-F238E27FC236}">
              <a16:creationId xmlns:a16="http://schemas.microsoft.com/office/drawing/2014/main" id="{00000000-0008-0000-2500-000025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38" name="Arrow: Chevron 37">
          <a:hlinkClick xmlns:r="http://schemas.openxmlformats.org/officeDocument/2006/relationships" r:id="rId7" tooltip="Project Review"/>
          <a:extLst>
            <a:ext uri="{FF2B5EF4-FFF2-40B4-BE49-F238E27FC236}">
              <a16:creationId xmlns:a16="http://schemas.microsoft.com/office/drawing/2014/main" id="{00000000-0008-0000-2500-000026000000}"/>
            </a:ext>
          </a:extLst>
        </xdr:cNvPr>
        <xdr:cNvSpPr/>
      </xdr:nvSpPr>
      <xdr:spPr>
        <a:xfrm>
          <a:off x="10997154" y="658943"/>
          <a:ext cx="180874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3" name="Straight Connector 22">
          <a:extLst>
            <a:ext uri="{FF2B5EF4-FFF2-40B4-BE49-F238E27FC236}">
              <a16:creationId xmlns:a16="http://schemas.microsoft.com/office/drawing/2014/main" id="{00000000-0008-0000-2500-000017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5" name="Straight Connector 24">
          <a:extLst>
            <a:ext uri="{FF2B5EF4-FFF2-40B4-BE49-F238E27FC236}">
              <a16:creationId xmlns:a16="http://schemas.microsoft.com/office/drawing/2014/main" id="{00000000-0008-0000-2500-000019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9" name="Straight Connector 38">
          <a:extLst>
            <a:ext uri="{FF2B5EF4-FFF2-40B4-BE49-F238E27FC236}">
              <a16:creationId xmlns:a16="http://schemas.microsoft.com/office/drawing/2014/main" id="{00000000-0008-0000-2500-000027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40" name="Rectangle 39">
          <a:hlinkClick xmlns:r="http://schemas.openxmlformats.org/officeDocument/2006/relationships" r:id="rId8" tooltip="Welcome"/>
          <a:extLst>
            <a:ext uri="{FF2B5EF4-FFF2-40B4-BE49-F238E27FC236}">
              <a16:creationId xmlns:a16="http://schemas.microsoft.com/office/drawing/2014/main" id="{00000000-0008-0000-2500-000028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41" name="Rectangle 40">
          <a:hlinkClick xmlns:r="http://schemas.openxmlformats.org/officeDocument/2006/relationships" r:id="rId9" tooltip="Instructions"/>
          <a:extLst>
            <a:ext uri="{FF2B5EF4-FFF2-40B4-BE49-F238E27FC236}">
              <a16:creationId xmlns:a16="http://schemas.microsoft.com/office/drawing/2014/main" id="{00000000-0008-0000-2500-000029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42" name="Rectangle 41">
          <a:hlinkClick xmlns:r="http://schemas.openxmlformats.org/officeDocument/2006/relationships" r:id="rId10" tooltip="Contact"/>
          <a:extLst>
            <a:ext uri="{FF2B5EF4-FFF2-40B4-BE49-F238E27FC236}">
              <a16:creationId xmlns:a16="http://schemas.microsoft.com/office/drawing/2014/main" id="{00000000-0008-0000-2500-00002A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43" name="Rectangle 42">
          <a:hlinkClick xmlns:r="http://schemas.openxmlformats.org/officeDocument/2006/relationships" r:id="rId11" tooltip=" "/>
          <a:extLst>
            <a:ext uri="{FF2B5EF4-FFF2-40B4-BE49-F238E27FC236}">
              <a16:creationId xmlns:a16="http://schemas.microsoft.com/office/drawing/2014/main" id="{00000000-0008-0000-2500-00002B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44" name="Rectangle 43">
          <a:hlinkClick xmlns:r="http://schemas.openxmlformats.org/officeDocument/2006/relationships" r:id="rId12" tooltip=" "/>
          <a:extLst>
            <a:ext uri="{FF2B5EF4-FFF2-40B4-BE49-F238E27FC236}">
              <a16:creationId xmlns:a16="http://schemas.microsoft.com/office/drawing/2014/main" id="{00000000-0008-0000-2500-00002C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45" name="Arrow: Chevron 44">
          <a:hlinkClick xmlns:r="http://schemas.openxmlformats.org/officeDocument/2006/relationships" r:id="rId13" tooltip="Building Information"/>
          <a:extLst>
            <a:ext uri="{FF2B5EF4-FFF2-40B4-BE49-F238E27FC236}">
              <a16:creationId xmlns:a16="http://schemas.microsoft.com/office/drawing/2014/main" id="{00000000-0008-0000-2500-00002D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24" name="Picture 23">
          <a:extLst>
            <a:ext uri="{FF2B5EF4-FFF2-40B4-BE49-F238E27FC236}">
              <a16:creationId xmlns:a16="http://schemas.microsoft.com/office/drawing/2014/main" id="{00000000-0008-0000-2500-00001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twoCellAnchor editAs="oneCell">
    <xdr:from>
      <xdr:col>29</xdr:col>
      <xdr:colOff>119530</xdr:colOff>
      <xdr:row>13</xdr:row>
      <xdr:rowOff>164353</xdr:rowOff>
    </xdr:from>
    <xdr:to>
      <xdr:col>35</xdr:col>
      <xdr:colOff>310407</xdr:colOff>
      <xdr:row>17</xdr:row>
      <xdr:rowOff>119786</xdr:rowOff>
    </xdr:to>
    <xdr:pic>
      <xdr:nvPicPr>
        <xdr:cNvPr id="30" name="Picture 29">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134471</xdr:colOff>
      <xdr:row>10</xdr:row>
      <xdr:rowOff>22412</xdr:rowOff>
    </xdr:from>
    <xdr:to>
      <xdr:col>32</xdr:col>
      <xdr:colOff>134470</xdr:colOff>
      <xdr:row>11</xdr:row>
      <xdr:rowOff>11206</xdr:rowOff>
    </xdr:to>
    <xdr:sp macro="" textlink="">
      <xdr:nvSpPr>
        <xdr:cNvPr id="26" name="Rectangle 25">
          <a:hlinkClick xmlns:r="http://schemas.openxmlformats.org/officeDocument/2006/relationships" r:id="rId16" tooltip="Equipment Input"/>
          <a:extLst>
            <a:ext uri="{FF2B5EF4-FFF2-40B4-BE49-F238E27FC236}">
              <a16:creationId xmlns:a16="http://schemas.microsoft.com/office/drawing/2014/main" id="{00000000-0008-0000-2500-00001A000000}"/>
            </a:ext>
          </a:extLst>
        </xdr:cNvPr>
        <xdr:cNvSpPr/>
      </xdr:nvSpPr>
      <xdr:spPr>
        <a:xfrm>
          <a:off x="8919883" y="2039471"/>
          <a:ext cx="125505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8" name="Straight Connector 7">
          <a:extLst>
            <a:ext uri="{FF2B5EF4-FFF2-40B4-BE49-F238E27FC236}">
              <a16:creationId xmlns:a16="http://schemas.microsoft.com/office/drawing/2014/main" id="{00000000-0008-0000-0B00-000008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0</xdr:row>
      <xdr:rowOff>85725</xdr:rowOff>
    </xdr:from>
    <xdr:to>
      <xdr:col>41</xdr:col>
      <xdr:colOff>9525</xdr:colOff>
      <xdr:row>2</xdr:row>
      <xdr:rowOff>114300</xdr:rowOff>
    </xdr:to>
    <xdr:cxnSp macro="">
      <xdr:nvCxnSpPr>
        <xdr:cNvPr id="12" name="Straight Connector 11">
          <a:extLst>
            <a:ext uri="{FF2B5EF4-FFF2-40B4-BE49-F238E27FC236}">
              <a16:creationId xmlns:a16="http://schemas.microsoft.com/office/drawing/2014/main" id="{00000000-0008-0000-0B00-00000C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3" name="Straight Connector 12">
          <a:extLst>
            <a:ext uri="{FF2B5EF4-FFF2-40B4-BE49-F238E27FC236}">
              <a16:creationId xmlns:a16="http://schemas.microsoft.com/office/drawing/2014/main" id="{00000000-0008-0000-0B00-00000D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14" name="Straight Connector 13">
          <a:extLst>
            <a:ext uri="{FF2B5EF4-FFF2-40B4-BE49-F238E27FC236}">
              <a16:creationId xmlns:a16="http://schemas.microsoft.com/office/drawing/2014/main" id="{00000000-0008-0000-0B00-00000E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15" name="Rectangle 14">
          <a:hlinkClick xmlns:r="http://schemas.openxmlformats.org/officeDocument/2006/relationships" r:id="rId1" tooltip="Welcome"/>
          <a:extLst>
            <a:ext uri="{FF2B5EF4-FFF2-40B4-BE49-F238E27FC236}">
              <a16:creationId xmlns:a16="http://schemas.microsoft.com/office/drawing/2014/main" id="{00000000-0008-0000-0B00-00000F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16" name="Rectangle 15">
          <a:hlinkClick xmlns:r="http://schemas.openxmlformats.org/officeDocument/2006/relationships" r:id="rId2" tooltip="Instructions"/>
          <a:extLst>
            <a:ext uri="{FF2B5EF4-FFF2-40B4-BE49-F238E27FC236}">
              <a16:creationId xmlns:a16="http://schemas.microsoft.com/office/drawing/2014/main" id="{00000000-0008-0000-0B00-000010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2</xdr:rowOff>
    </xdr:from>
    <xdr:to>
      <xdr:col>45</xdr:col>
      <xdr:colOff>0</xdr:colOff>
      <xdr:row>3</xdr:row>
      <xdr:rowOff>2</xdr:rowOff>
    </xdr:to>
    <xdr:sp macro="" textlink="">
      <xdr:nvSpPr>
        <xdr:cNvPr id="17" name="Rectangle 16">
          <a:hlinkClick xmlns:r="http://schemas.openxmlformats.org/officeDocument/2006/relationships" r:id="rId3" tooltip="Contact"/>
          <a:extLst>
            <a:ext uri="{FF2B5EF4-FFF2-40B4-BE49-F238E27FC236}">
              <a16:creationId xmlns:a16="http://schemas.microsoft.com/office/drawing/2014/main" id="{00000000-0008-0000-0B00-000011000000}"/>
            </a:ext>
          </a:extLst>
        </xdr:cNvPr>
        <xdr:cNvSpPr/>
      </xdr:nvSpPr>
      <xdr:spPr>
        <a:xfrm>
          <a:off x="12853147" y="2"/>
          <a:ext cx="1266265" cy="5939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18" name="Rectangle 17">
          <a:hlinkClick xmlns:r="http://schemas.openxmlformats.org/officeDocument/2006/relationships" r:id="rId4" tooltip=" "/>
          <a:extLst>
            <a:ext uri="{FF2B5EF4-FFF2-40B4-BE49-F238E27FC236}">
              <a16:creationId xmlns:a16="http://schemas.microsoft.com/office/drawing/2014/main" id="{00000000-0008-0000-0B00-000012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19" name="Rectangle 18">
          <a:hlinkClick xmlns:r="http://schemas.openxmlformats.org/officeDocument/2006/relationships" r:id="rId5" tooltip=" "/>
          <a:extLst>
            <a:ext uri="{FF2B5EF4-FFF2-40B4-BE49-F238E27FC236}">
              <a16:creationId xmlns:a16="http://schemas.microsoft.com/office/drawing/2014/main" id="{00000000-0008-0000-0B00-000013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22412</xdr:colOff>
      <xdr:row>7</xdr:row>
      <xdr:rowOff>190500</xdr:rowOff>
    </xdr:from>
    <xdr:to>
      <xdr:col>35</xdr:col>
      <xdr:colOff>56029</xdr:colOff>
      <xdr:row>9</xdr:row>
      <xdr:rowOff>22412</xdr:rowOff>
    </xdr:to>
    <xdr:sp macro="" textlink="">
      <xdr:nvSpPr>
        <xdr:cNvPr id="20" name="Rectangle 19">
          <a:hlinkClick xmlns:r="http://schemas.openxmlformats.org/officeDocument/2006/relationships" r:id="rId6"/>
          <a:extLst>
            <a:ext uri="{FF2B5EF4-FFF2-40B4-BE49-F238E27FC236}">
              <a16:creationId xmlns:a16="http://schemas.microsoft.com/office/drawing/2014/main" id="{00000000-0008-0000-0B00-000014000000}"/>
            </a:ext>
          </a:extLst>
        </xdr:cNvPr>
        <xdr:cNvSpPr/>
      </xdr:nvSpPr>
      <xdr:spPr>
        <a:xfrm>
          <a:off x="8807824" y="1591235"/>
          <a:ext cx="2229970" cy="2353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178301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276225</xdr:colOff>
      <xdr:row>0</xdr:row>
      <xdr:rowOff>85725</xdr:rowOff>
    </xdr:from>
    <xdr:to>
      <xdr:col>4</xdr:col>
      <xdr:colOff>285750</xdr:colOff>
      <xdr:row>2</xdr:row>
      <xdr:rowOff>114300</xdr:rowOff>
    </xdr:to>
    <xdr:cxnSp macro="">
      <xdr:nvCxnSpPr>
        <xdr:cNvPr id="19" name="Straight Connector 18">
          <a:extLst>
            <a:ext uri="{FF2B5EF4-FFF2-40B4-BE49-F238E27FC236}">
              <a16:creationId xmlns:a16="http://schemas.microsoft.com/office/drawing/2014/main" id="{00000000-0008-0000-2600-000013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23" name="Arrow: Chevron 22">
          <a:hlinkClick xmlns:r="http://schemas.openxmlformats.org/officeDocument/2006/relationships" r:id="rId1" tooltip="Terms &amp; Conditions"/>
          <a:extLst>
            <a:ext uri="{FF2B5EF4-FFF2-40B4-BE49-F238E27FC236}">
              <a16:creationId xmlns:a16="http://schemas.microsoft.com/office/drawing/2014/main" id="{00000000-0008-0000-2600-000017000000}"/>
            </a:ext>
          </a:extLst>
        </xdr:cNvPr>
        <xdr:cNvSpPr/>
      </xdr:nvSpPr>
      <xdr:spPr>
        <a:xfrm>
          <a:off x="1554480" y="659895"/>
          <a:ext cx="182644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24" name="Arrow: Chevron 23">
          <a:hlinkClick xmlns:r="http://schemas.openxmlformats.org/officeDocument/2006/relationships" r:id="rId2" tooltip="Trade Ally/Vendor Information"/>
          <a:extLst>
            <a:ext uri="{FF2B5EF4-FFF2-40B4-BE49-F238E27FC236}">
              <a16:creationId xmlns:a16="http://schemas.microsoft.com/office/drawing/2014/main" id="{00000000-0008-0000-2600-000018000000}"/>
            </a:ext>
          </a:extLst>
        </xdr:cNvPr>
        <xdr:cNvSpPr/>
      </xdr:nvSpPr>
      <xdr:spPr>
        <a:xfrm>
          <a:off x="3129361" y="664658"/>
          <a:ext cx="1831601"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25" name="Arrow: Chevron 24">
          <a:hlinkClick xmlns:r="http://schemas.openxmlformats.org/officeDocument/2006/relationships" r:id="rId3" tooltip="Customer Information"/>
          <a:extLst>
            <a:ext uri="{FF2B5EF4-FFF2-40B4-BE49-F238E27FC236}">
              <a16:creationId xmlns:a16="http://schemas.microsoft.com/office/drawing/2014/main" id="{00000000-0008-0000-2600-000019000000}"/>
            </a:ext>
          </a:extLst>
        </xdr:cNvPr>
        <xdr:cNvSpPr/>
      </xdr:nvSpPr>
      <xdr:spPr>
        <a:xfrm>
          <a:off x="4715111" y="661800"/>
          <a:ext cx="1825887"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27" name="Arrow: Chevron 26">
          <a:hlinkClick xmlns:r="http://schemas.openxmlformats.org/officeDocument/2006/relationships" r:id="rId4" tooltip="Equipment Input"/>
          <a:extLst>
            <a:ext uri="{FF2B5EF4-FFF2-40B4-BE49-F238E27FC236}">
              <a16:creationId xmlns:a16="http://schemas.microsoft.com/office/drawing/2014/main" id="{00000000-0008-0000-2600-00001B000000}"/>
            </a:ext>
          </a:extLst>
        </xdr:cNvPr>
        <xdr:cNvSpPr/>
      </xdr:nvSpPr>
      <xdr:spPr>
        <a:xfrm>
          <a:off x="7867562" y="661800"/>
          <a:ext cx="1816362" cy="83035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28" name="Arrow: Chevron 27">
          <a:hlinkClick xmlns:r="http://schemas.openxmlformats.org/officeDocument/2006/relationships" r:id="rId5" tooltip="Payment"/>
          <a:extLst>
            <a:ext uri="{FF2B5EF4-FFF2-40B4-BE49-F238E27FC236}">
              <a16:creationId xmlns:a16="http://schemas.microsoft.com/office/drawing/2014/main" id="{00000000-0008-0000-2600-00001C000000}"/>
            </a:ext>
          </a:extLst>
        </xdr:cNvPr>
        <xdr:cNvSpPr/>
      </xdr:nvSpPr>
      <xdr:spPr>
        <a:xfrm>
          <a:off x="9438073" y="664658"/>
          <a:ext cx="1806836" cy="824641"/>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29" name="Arrow: Chevron 28">
          <a:hlinkClick xmlns:r="http://schemas.openxmlformats.org/officeDocument/2006/relationships" r:id="rId6" tooltip="Project Review"/>
          <a:extLst>
            <a:ext uri="{FF2B5EF4-FFF2-40B4-BE49-F238E27FC236}">
              <a16:creationId xmlns:a16="http://schemas.microsoft.com/office/drawing/2014/main" id="{00000000-0008-0000-2600-00001D000000}"/>
            </a:ext>
          </a:extLst>
        </xdr:cNvPr>
        <xdr:cNvSpPr/>
      </xdr:nvSpPr>
      <xdr:spPr>
        <a:xfrm>
          <a:off x="10997154" y="658943"/>
          <a:ext cx="180874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14" name="Straight Connector 13">
          <a:extLst>
            <a:ext uri="{FF2B5EF4-FFF2-40B4-BE49-F238E27FC236}">
              <a16:creationId xmlns:a16="http://schemas.microsoft.com/office/drawing/2014/main" id="{00000000-0008-0000-2600-00000E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5" name="Straight Connector 14">
          <a:extLst>
            <a:ext uri="{FF2B5EF4-FFF2-40B4-BE49-F238E27FC236}">
              <a16:creationId xmlns:a16="http://schemas.microsoft.com/office/drawing/2014/main" id="{00000000-0008-0000-2600-00000F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16" name="Straight Connector 15">
          <a:extLst>
            <a:ext uri="{FF2B5EF4-FFF2-40B4-BE49-F238E27FC236}">
              <a16:creationId xmlns:a16="http://schemas.microsoft.com/office/drawing/2014/main" id="{00000000-0008-0000-2600-000010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17" name="Rectangle 16">
          <a:hlinkClick xmlns:r="http://schemas.openxmlformats.org/officeDocument/2006/relationships" r:id="rId7" tooltip="Welcome"/>
          <a:extLst>
            <a:ext uri="{FF2B5EF4-FFF2-40B4-BE49-F238E27FC236}">
              <a16:creationId xmlns:a16="http://schemas.microsoft.com/office/drawing/2014/main" id="{00000000-0008-0000-2600-000011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0" name="Rectangle 29">
          <a:hlinkClick xmlns:r="http://schemas.openxmlformats.org/officeDocument/2006/relationships" r:id="rId8" tooltip="Instructions"/>
          <a:extLst>
            <a:ext uri="{FF2B5EF4-FFF2-40B4-BE49-F238E27FC236}">
              <a16:creationId xmlns:a16="http://schemas.microsoft.com/office/drawing/2014/main" id="{00000000-0008-0000-2600-00001E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1" name="Rectangle 30">
          <a:hlinkClick xmlns:r="http://schemas.openxmlformats.org/officeDocument/2006/relationships" r:id="rId9" tooltip="Contact"/>
          <a:extLst>
            <a:ext uri="{FF2B5EF4-FFF2-40B4-BE49-F238E27FC236}">
              <a16:creationId xmlns:a16="http://schemas.microsoft.com/office/drawing/2014/main" id="{00000000-0008-0000-2600-00001F000000}"/>
            </a:ext>
          </a:extLst>
        </xdr:cNvPr>
        <xdr:cNvSpPr/>
      </xdr:nvSpPr>
      <xdr:spPr>
        <a:xfrm>
          <a:off x="12875559" y="11206"/>
          <a:ext cx="1269066"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2" name="Rectangle 31">
          <a:hlinkClick xmlns:r="http://schemas.openxmlformats.org/officeDocument/2006/relationships" r:id="rId10" tooltip=" "/>
          <a:extLst>
            <a:ext uri="{FF2B5EF4-FFF2-40B4-BE49-F238E27FC236}">
              <a16:creationId xmlns:a16="http://schemas.microsoft.com/office/drawing/2014/main" id="{00000000-0008-0000-2600-000020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3" name="Rectangle 32">
          <a:hlinkClick xmlns:r="http://schemas.openxmlformats.org/officeDocument/2006/relationships" r:id="rId11" tooltip=" "/>
          <a:extLst>
            <a:ext uri="{FF2B5EF4-FFF2-40B4-BE49-F238E27FC236}">
              <a16:creationId xmlns:a16="http://schemas.microsoft.com/office/drawing/2014/main" id="{00000000-0008-0000-2600-000021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34" name="Arrow: Chevron 33">
          <a:hlinkClick xmlns:r="http://schemas.openxmlformats.org/officeDocument/2006/relationships" r:id="rId12" tooltip="Building Information"/>
          <a:extLst>
            <a:ext uri="{FF2B5EF4-FFF2-40B4-BE49-F238E27FC236}">
              <a16:creationId xmlns:a16="http://schemas.microsoft.com/office/drawing/2014/main" id="{00000000-0008-0000-2600-000022000000}"/>
            </a:ext>
          </a:extLst>
        </xdr:cNvPr>
        <xdr:cNvSpPr/>
      </xdr:nvSpPr>
      <xdr:spPr>
        <a:xfrm>
          <a:off x="6327532" y="664658"/>
          <a:ext cx="1833506" cy="837976"/>
        </a:xfrm>
        <a:prstGeom prst="chevron">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20" name="Picture 19">
          <a:extLst>
            <a:ext uri="{FF2B5EF4-FFF2-40B4-BE49-F238E27FC236}">
              <a16:creationId xmlns:a16="http://schemas.microsoft.com/office/drawing/2014/main" id="{00000000-0008-0000-26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304800</xdr:colOff>
      <xdr:row>3</xdr:row>
      <xdr:rowOff>61725</xdr:rowOff>
    </xdr:from>
    <xdr:to>
      <xdr:col>10</xdr:col>
      <xdr:colOff>254822</xdr:colOff>
      <xdr:row>7</xdr:row>
      <xdr:rowOff>99601</xdr:rowOff>
    </xdr:to>
    <xdr:sp macro="" textlink="M2S1">
      <xdr:nvSpPr>
        <xdr:cNvPr id="9" name="Arrow: Chevron 8">
          <a:hlinkClick xmlns:r="http://schemas.openxmlformats.org/officeDocument/2006/relationships" r:id="rId1" tooltip="Terms &amp; Conditions"/>
          <a:extLst>
            <a:ext uri="{FF2B5EF4-FFF2-40B4-BE49-F238E27FC236}">
              <a16:creationId xmlns:a16="http://schemas.microsoft.com/office/drawing/2014/main" id="{00000000-0008-0000-0C00-000009000000}"/>
            </a:ext>
          </a:extLst>
        </xdr:cNvPr>
        <xdr:cNvSpPr/>
      </xdr:nvSpPr>
      <xdr:spPr>
        <a:xfrm>
          <a:off x="1562100" y="661800"/>
          <a:ext cx="1835972" cy="83797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10" name="Arrow: Chevron 9">
          <a:hlinkClick xmlns:r="http://schemas.openxmlformats.org/officeDocument/2006/relationships" r:id="rId2" tooltip="Trade Ally/Vendor Information"/>
          <a:extLst>
            <a:ext uri="{FF2B5EF4-FFF2-40B4-BE49-F238E27FC236}">
              <a16:creationId xmlns:a16="http://schemas.microsoft.com/office/drawing/2014/main" id="{00000000-0008-0000-0C00-00000A000000}"/>
            </a:ext>
          </a:extLst>
        </xdr:cNvPr>
        <xdr:cNvSpPr/>
      </xdr:nvSpPr>
      <xdr:spPr>
        <a:xfrm>
          <a:off x="3150316" y="668468"/>
          <a:ext cx="1841126"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11" name="Arrow: Chevron 10">
          <a:hlinkClick xmlns:r="http://schemas.openxmlformats.org/officeDocument/2006/relationships" r:id="rId3" tooltip="Customer Information"/>
          <a:extLst>
            <a:ext uri="{FF2B5EF4-FFF2-40B4-BE49-F238E27FC236}">
              <a16:creationId xmlns:a16="http://schemas.microsoft.com/office/drawing/2014/main" id="{00000000-0008-0000-0C00-00000B000000}"/>
            </a:ext>
          </a:extLst>
        </xdr:cNvPr>
        <xdr:cNvSpPr/>
      </xdr:nvSpPr>
      <xdr:spPr>
        <a:xfrm>
          <a:off x="4741781" y="665610"/>
          <a:ext cx="1835412"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12" name="Arrow: Chevron 11">
          <a:hlinkClick xmlns:r="http://schemas.openxmlformats.org/officeDocument/2006/relationships" r:id="rId4" tooltip="Building Information"/>
          <a:extLst>
            <a:ext uri="{FF2B5EF4-FFF2-40B4-BE49-F238E27FC236}">
              <a16:creationId xmlns:a16="http://schemas.microsoft.com/office/drawing/2014/main" id="{00000000-0008-0000-0C00-00000C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13" name="Arrow: Chevron 12">
          <a:hlinkClick xmlns:r="http://schemas.openxmlformats.org/officeDocument/2006/relationships" r:id="rId5" tooltip="Equipment Input"/>
          <a:extLst>
            <a:ext uri="{FF2B5EF4-FFF2-40B4-BE49-F238E27FC236}">
              <a16:creationId xmlns:a16="http://schemas.microsoft.com/office/drawing/2014/main" id="{00000000-0008-0000-0C00-00000D000000}"/>
            </a:ext>
          </a:extLst>
        </xdr:cNvPr>
        <xdr:cNvSpPr/>
      </xdr:nvSpPr>
      <xdr:spPr>
        <a:xfrm>
          <a:off x="7911377" y="665610"/>
          <a:ext cx="1831602"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14" name="Arrow: Chevron 13">
          <a:hlinkClick xmlns:r="http://schemas.openxmlformats.org/officeDocument/2006/relationships" r:id="rId6" tooltip="Payment"/>
          <a:extLst>
            <a:ext uri="{FF2B5EF4-FFF2-40B4-BE49-F238E27FC236}">
              <a16:creationId xmlns:a16="http://schemas.microsoft.com/office/drawing/2014/main" id="{00000000-0008-0000-0C00-00000E000000}"/>
            </a:ext>
          </a:extLst>
        </xdr:cNvPr>
        <xdr:cNvSpPr/>
      </xdr:nvSpPr>
      <xdr:spPr>
        <a:xfrm>
          <a:off x="9493318" y="668468"/>
          <a:ext cx="1820171"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15" name="Arrow: Chevron 14">
          <a:hlinkClick xmlns:r="http://schemas.openxmlformats.org/officeDocument/2006/relationships" r:id="rId7" tooltip="Project Review"/>
          <a:extLst>
            <a:ext uri="{FF2B5EF4-FFF2-40B4-BE49-F238E27FC236}">
              <a16:creationId xmlns:a16="http://schemas.microsoft.com/office/drawing/2014/main" id="{00000000-0008-0000-0C00-00000F000000}"/>
            </a:ext>
          </a:extLst>
        </xdr:cNvPr>
        <xdr:cNvSpPr/>
      </xdr:nvSpPr>
      <xdr:spPr>
        <a:xfrm>
          <a:off x="11060019" y="660848"/>
          <a:ext cx="1822077" cy="83988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42</xdr:col>
      <xdr:colOff>123264</xdr:colOff>
      <xdr:row>8</xdr:row>
      <xdr:rowOff>100854</xdr:rowOff>
    </xdr:from>
    <xdr:to>
      <xdr:col>44</xdr:col>
      <xdr:colOff>26087</xdr:colOff>
      <xdr:row>10</xdr:row>
      <xdr:rowOff>108922</xdr:rowOff>
    </xdr:to>
    <xdr:sp macro="" textlink="">
      <xdr:nvSpPr>
        <xdr:cNvPr id="2" name="Arrow: Right 1">
          <a:hlinkClick xmlns:r="http://schemas.openxmlformats.org/officeDocument/2006/relationships" r:id="rId2" tooltip="Forward: Trade Ally/Vendor Information"/>
          <a:extLst>
            <a:ext uri="{FF2B5EF4-FFF2-40B4-BE49-F238E27FC236}">
              <a16:creationId xmlns:a16="http://schemas.microsoft.com/office/drawing/2014/main" id="{00000000-0008-0000-0C00-000002000000}"/>
            </a:ext>
          </a:extLst>
        </xdr:cNvPr>
        <xdr:cNvSpPr/>
      </xdr:nvSpPr>
      <xdr:spPr>
        <a:xfrm>
          <a:off x="13301382" y="1714501"/>
          <a:ext cx="530352" cy="41148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9" name="Straight Connector 28">
          <a:extLst>
            <a:ext uri="{FF2B5EF4-FFF2-40B4-BE49-F238E27FC236}">
              <a16:creationId xmlns:a16="http://schemas.microsoft.com/office/drawing/2014/main" id="{00000000-0008-0000-0C00-00001D000000}"/>
            </a:ext>
          </a:extLst>
        </xdr:cNvPr>
        <xdr:cNvCxnSpPr/>
      </xdr:nvCxnSpPr>
      <xdr:spPr>
        <a:xfrm>
          <a:off x="1524000" y="83820"/>
          <a:ext cx="15240" cy="4191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302558</xdr:colOff>
      <xdr:row>13</xdr:row>
      <xdr:rowOff>145677</xdr:rowOff>
    </xdr:from>
    <xdr:to>
      <xdr:col>13</xdr:col>
      <xdr:colOff>257736</xdr:colOff>
      <xdr:row>14</xdr:row>
      <xdr:rowOff>179294</xdr:rowOff>
    </xdr:to>
    <xdr:sp macro="" textlink="">
      <xdr:nvSpPr>
        <xdr:cNvPr id="18" name="Rectangle 17">
          <a:hlinkClick xmlns:r="http://schemas.openxmlformats.org/officeDocument/2006/relationships" r:id="rId8"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19" name="Straight Connector 18">
          <a:extLst>
            <a:ext uri="{FF2B5EF4-FFF2-40B4-BE49-F238E27FC236}">
              <a16:creationId xmlns:a16="http://schemas.microsoft.com/office/drawing/2014/main" id="{00000000-0008-0000-0C00-000013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0" name="Straight Connector 19">
          <a:extLst>
            <a:ext uri="{FF2B5EF4-FFF2-40B4-BE49-F238E27FC236}">
              <a16:creationId xmlns:a16="http://schemas.microsoft.com/office/drawing/2014/main" id="{00000000-0008-0000-0C00-000014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1" name="Straight Connector 20">
          <a:extLst>
            <a:ext uri="{FF2B5EF4-FFF2-40B4-BE49-F238E27FC236}">
              <a16:creationId xmlns:a16="http://schemas.microsoft.com/office/drawing/2014/main" id="{00000000-0008-0000-0C00-000015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22" name="Rectangle 21">
          <a:hlinkClick xmlns:r="http://schemas.openxmlformats.org/officeDocument/2006/relationships" r:id="rId9" tooltip="Welcome"/>
          <a:extLst>
            <a:ext uri="{FF2B5EF4-FFF2-40B4-BE49-F238E27FC236}">
              <a16:creationId xmlns:a16="http://schemas.microsoft.com/office/drawing/2014/main" id="{00000000-0008-0000-0C00-000016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23" name="Rectangle 22">
          <a:hlinkClick xmlns:r="http://schemas.openxmlformats.org/officeDocument/2006/relationships" r:id="rId10" tooltip="Instructions"/>
          <a:extLst>
            <a:ext uri="{FF2B5EF4-FFF2-40B4-BE49-F238E27FC236}">
              <a16:creationId xmlns:a16="http://schemas.microsoft.com/office/drawing/2014/main" id="{00000000-0008-0000-0C00-000017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24" name="Rectangle 23">
          <a:hlinkClick xmlns:r="http://schemas.openxmlformats.org/officeDocument/2006/relationships" r:id="rId11" tooltip="Contact"/>
          <a:extLst>
            <a:ext uri="{FF2B5EF4-FFF2-40B4-BE49-F238E27FC236}">
              <a16:creationId xmlns:a16="http://schemas.microsoft.com/office/drawing/2014/main" id="{00000000-0008-0000-0C00-000018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26" name="Rectangle 25">
          <a:hlinkClick xmlns:r="http://schemas.openxmlformats.org/officeDocument/2006/relationships" r:id="rId12" tooltip=" "/>
          <a:extLst>
            <a:ext uri="{FF2B5EF4-FFF2-40B4-BE49-F238E27FC236}">
              <a16:creationId xmlns:a16="http://schemas.microsoft.com/office/drawing/2014/main" id="{00000000-0008-0000-0C00-00001A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27" name="Rectangle 26">
          <a:hlinkClick xmlns:r="http://schemas.openxmlformats.org/officeDocument/2006/relationships" r:id="rId13" tooltip=" "/>
          <a:extLst>
            <a:ext uri="{FF2B5EF4-FFF2-40B4-BE49-F238E27FC236}">
              <a16:creationId xmlns:a16="http://schemas.microsoft.com/office/drawing/2014/main" id="{00000000-0008-0000-0C00-00001B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302557</xdr:colOff>
      <xdr:row>8</xdr:row>
      <xdr:rowOff>115796</xdr:rowOff>
    </xdr:from>
    <xdr:to>
      <xdr:col>3</xdr:col>
      <xdr:colOff>201704</xdr:colOff>
      <xdr:row>10</xdr:row>
      <xdr:rowOff>123864</xdr:rowOff>
    </xdr:to>
    <xdr:sp macro="" textlink="">
      <xdr:nvSpPr>
        <xdr:cNvPr id="25" name="Arrow: Left 2">
          <a:hlinkClick xmlns:r="http://schemas.openxmlformats.org/officeDocument/2006/relationships" r:id="rId10" tooltip="Back: Instructions"/>
          <a:extLst>
            <a:ext uri="{FF2B5EF4-FFF2-40B4-BE49-F238E27FC236}">
              <a16:creationId xmlns:a16="http://schemas.microsoft.com/office/drawing/2014/main" id="{00000000-0008-0000-0C00-000019000000}"/>
            </a:ext>
          </a:extLst>
        </xdr:cNvPr>
        <xdr:cNvSpPr/>
      </xdr:nvSpPr>
      <xdr:spPr>
        <a:xfrm>
          <a:off x="661145" y="1789208"/>
          <a:ext cx="616324" cy="426421"/>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30" name="Picture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42</xdr:col>
      <xdr:colOff>123264</xdr:colOff>
      <xdr:row>8</xdr:row>
      <xdr:rowOff>100854</xdr:rowOff>
    </xdr:from>
    <xdr:to>
      <xdr:col>44</xdr:col>
      <xdr:colOff>26087</xdr:colOff>
      <xdr:row>10</xdr:row>
      <xdr:rowOff>108922</xdr:rowOff>
    </xdr:to>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324914"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9" name="Straight Connector 28">
          <a:extLst>
            <a:ext uri="{FF2B5EF4-FFF2-40B4-BE49-F238E27FC236}">
              <a16:creationId xmlns:a16="http://schemas.microsoft.com/office/drawing/2014/main" id="{00000000-0008-0000-0D00-00001D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33" name="Arrow: Chevron 32">
          <a:hlinkClick xmlns:r="http://schemas.openxmlformats.org/officeDocument/2006/relationships" r:id="rId2" tooltip="Terms &amp; Conditions"/>
          <a:extLst>
            <a:ext uri="{FF2B5EF4-FFF2-40B4-BE49-F238E27FC236}">
              <a16:creationId xmlns:a16="http://schemas.microsoft.com/office/drawing/2014/main" id="{00000000-0008-0000-0D00-000021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35" name="Arrow: Chevron 34">
          <a:hlinkClick xmlns:r="http://schemas.openxmlformats.org/officeDocument/2006/relationships" r:id="rId3" tooltip="Trade Ally/Vendor Information"/>
          <a:extLst>
            <a:ext uri="{FF2B5EF4-FFF2-40B4-BE49-F238E27FC236}">
              <a16:creationId xmlns:a16="http://schemas.microsoft.com/office/drawing/2014/main" id="{00000000-0008-0000-0D00-000023000000}"/>
            </a:ext>
          </a:extLst>
        </xdr:cNvPr>
        <xdr:cNvSpPr/>
      </xdr:nvSpPr>
      <xdr:spPr>
        <a:xfrm>
          <a:off x="3129361" y="664658"/>
          <a:ext cx="1831601" cy="824641"/>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38" name="Arrow: Chevron 37">
          <a:hlinkClick xmlns:r="http://schemas.openxmlformats.org/officeDocument/2006/relationships" r:id="rId1" tooltip="Customer Information"/>
          <a:extLst>
            <a:ext uri="{FF2B5EF4-FFF2-40B4-BE49-F238E27FC236}">
              <a16:creationId xmlns:a16="http://schemas.microsoft.com/office/drawing/2014/main" id="{00000000-0008-0000-0D00-000026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39" name="Arrow: Chevron 38">
          <a:hlinkClick xmlns:r="http://schemas.openxmlformats.org/officeDocument/2006/relationships" r:id="rId4" tooltip="Building Information"/>
          <a:extLst>
            <a:ext uri="{FF2B5EF4-FFF2-40B4-BE49-F238E27FC236}">
              <a16:creationId xmlns:a16="http://schemas.microsoft.com/office/drawing/2014/main" id="{00000000-0008-0000-0D00-000027000000}"/>
            </a:ext>
          </a:extLst>
        </xdr:cNvPr>
        <xdr:cNvSpPr/>
      </xdr:nvSpPr>
      <xdr:spPr>
        <a:xfrm>
          <a:off x="6289432" y="660848"/>
          <a:ext cx="1823981"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40" name="Arrow: Chevron 39">
          <a:hlinkClick xmlns:r="http://schemas.openxmlformats.org/officeDocument/2006/relationships" r:id="rId5" tooltip="Equipment Input"/>
          <a:extLst>
            <a:ext uri="{FF2B5EF4-FFF2-40B4-BE49-F238E27FC236}">
              <a16:creationId xmlns:a16="http://schemas.microsoft.com/office/drawing/2014/main" id="{00000000-0008-0000-0D00-000028000000}"/>
            </a:ext>
          </a:extLst>
        </xdr:cNvPr>
        <xdr:cNvSpPr/>
      </xdr:nvSpPr>
      <xdr:spPr>
        <a:xfrm>
          <a:off x="7867562" y="661800"/>
          <a:ext cx="181636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41" name="Arrow: Chevron 40">
          <a:hlinkClick xmlns:r="http://schemas.openxmlformats.org/officeDocument/2006/relationships" r:id="rId6" tooltip="Payment"/>
          <a:extLst>
            <a:ext uri="{FF2B5EF4-FFF2-40B4-BE49-F238E27FC236}">
              <a16:creationId xmlns:a16="http://schemas.microsoft.com/office/drawing/2014/main" id="{00000000-0008-0000-0D00-000029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42" name="Arrow: Chevron 41">
          <a:hlinkClick xmlns:r="http://schemas.openxmlformats.org/officeDocument/2006/relationships" r:id="rId7" tooltip="Project Review"/>
          <a:extLst>
            <a:ext uri="{FF2B5EF4-FFF2-40B4-BE49-F238E27FC236}">
              <a16:creationId xmlns:a16="http://schemas.microsoft.com/office/drawing/2014/main" id="{00000000-0008-0000-0D00-00002A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17" name="Straight Connector 16">
          <a:extLst>
            <a:ext uri="{FF2B5EF4-FFF2-40B4-BE49-F238E27FC236}">
              <a16:creationId xmlns:a16="http://schemas.microsoft.com/office/drawing/2014/main" id="{00000000-0008-0000-0D00-000011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8" name="Straight Connector 17">
          <a:extLst>
            <a:ext uri="{FF2B5EF4-FFF2-40B4-BE49-F238E27FC236}">
              <a16:creationId xmlns:a16="http://schemas.microsoft.com/office/drawing/2014/main" id="{00000000-0008-0000-0D00-000012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19" name="Straight Connector 18">
          <a:extLst>
            <a:ext uri="{FF2B5EF4-FFF2-40B4-BE49-F238E27FC236}">
              <a16:creationId xmlns:a16="http://schemas.microsoft.com/office/drawing/2014/main" id="{00000000-0008-0000-0D00-000013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21" name="Rectangle 20">
          <a:hlinkClick xmlns:r="http://schemas.openxmlformats.org/officeDocument/2006/relationships" r:id="rId8" tooltip="Welcome"/>
          <a:extLst>
            <a:ext uri="{FF2B5EF4-FFF2-40B4-BE49-F238E27FC236}">
              <a16:creationId xmlns:a16="http://schemas.microsoft.com/office/drawing/2014/main" id="{00000000-0008-0000-0D00-000015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22" name="Rectangle 21">
          <a:hlinkClick xmlns:r="http://schemas.openxmlformats.org/officeDocument/2006/relationships" r:id="rId9" tooltip="Instructions"/>
          <a:extLst>
            <a:ext uri="{FF2B5EF4-FFF2-40B4-BE49-F238E27FC236}">
              <a16:creationId xmlns:a16="http://schemas.microsoft.com/office/drawing/2014/main" id="{00000000-0008-0000-0D00-000016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23" name="Rectangle 22">
          <a:hlinkClick xmlns:r="http://schemas.openxmlformats.org/officeDocument/2006/relationships" r:id="rId10" tooltip="Contact"/>
          <a:extLst>
            <a:ext uri="{FF2B5EF4-FFF2-40B4-BE49-F238E27FC236}">
              <a16:creationId xmlns:a16="http://schemas.microsoft.com/office/drawing/2014/main" id="{00000000-0008-0000-0D00-000017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24" name="Rectangle 23">
          <a:hlinkClick xmlns:r="http://schemas.openxmlformats.org/officeDocument/2006/relationships" r:id="rId11" tooltip=" "/>
          <a:extLst>
            <a:ext uri="{FF2B5EF4-FFF2-40B4-BE49-F238E27FC236}">
              <a16:creationId xmlns:a16="http://schemas.microsoft.com/office/drawing/2014/main" id="{00000000-0008-0000-0D00-000018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25" name="Rectangle 24">
          <a:hlinkClick xmlns:r="http://schemas.openxmlformats.org/officeDocument/2006/relationships" r:id="rId12" tooltip=" "/>
          <a:extLst>
            <a:ext uri="{FF2B5EF4-FFF2-40B4-BE49-F238E27FC236}">
              <a16:creationId xmlns:a16="http://schemas.microsoft.com/office/drawing/2014/main" id="{00000000-0008-0000-0D00-000019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26" name="Picture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42</xdr:col>
      <xdr:colOff>145676</xdr:colOff>
      <xdr:row>8</xdr:row>
      <xdr:rowOff>100854</xdr:rowOff>
    </xdr:from>
    <xdr:to>
      <xdr:col>44</xdr:col>
      <xdr:colOff>48499</xdr:colOff>
      <xdr:row>10</xdr:row>
      <xdr:rowOff>108922</xdr:rowOff>
    </xdr:to>
    <xdr:sp macro="" textlink="">
      <xdr:nvSpPr>
        <xdr:cNvPr id="15" name="Arrow: Right 14">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323794" y="1714501"/>
          <a:ext cx="530352" cy="41148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16" name="Arrow: Left 15">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526675" y="1714501"/>
          <a:ext cx="526676" cy="41148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7" name="Straight Connector 26">
          <a:extLst>
            <a:ext uri="{FF2B5EF4-FFF2-40B4-BE49-F238E27FC236}">
              <a16:creationId xmlns:a16="http://schemas.microsoft.com/office/drawing/2014/main" id="{00000000-0008-0000-0E00-00001B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31" name="Arrow: Chevron 30">
          <a:hlinkClick xmlns:r="http://schemas.openxmlformats.org/officeDocument/2006/relationships" r:id="rId3" tooltip="Terms &amp; Conditions"/>
          <a:extLst>
            <a:ext uri="{FF2B5EF4-FFF2-40B4-BE49-F238E27FC236}">
              <a16:creationId xmlns:a16="http://schemas.microsoft.com/office/drawing/2014/main" id="{00000000-0008-0000-0E00-00001F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32" name="Arrow: Chevron 31">
          <a:hlinkClick xmlns:r="http://schemas.openxmlformats.org/officeDocument/2006/relationships" r:id="rId2" tooltip="Trade Ally/Vendor Information"/>
          <a:extLst>
            <a:ext uri="{FF2B5EF4-FFF2-40B4-BE49-F238E27FC236}">
              <a16:creationId xmlns:a16="http://schemas.microsoft.com/office/drawing/2014/main" id="{00000000-0008-0000-0E00-000020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33" name="Arrow: Chevron 32">
          <a:hlinkClick xmlns:r="http://schemas.openxmlformats.org/officeDocument/2006/relationships" r:id="rId4" tooltip="Customer Information"/>
          <a:extLst>
            <a:ext uri="{FF2B5EF4-FFF2-40B4-BE49-F238E27FC236}">
              <a16:creationId xmlns:a16="http://schemas.microsoft.com/office/drawing/2014/main" id="{00000000-0008-0000-0E00-000021000000}"/>
            </a:ext>
          </a:extLst>
        </xdr:cNvPr>
        <xdr:cNvSpPr/>
      </xdr:nvSpPr>
      <xdr:spPr>
        <a:xfrm>
          <a:off x="4715111" y="661800"/>
          <a:ext cx="1825887"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34" name="Arrow: Chevron 33">
          <a:hlinkClick xmlns:r="http://schemas.openxmlformats.org/officeDocument/2006/relationships" r:id="rId1" tooltip="Building Information"/>
          <a:extLst>
            <a:ext uri="{FF2B5EF4-FFF2-40B4-BE49-F238E27FC236}">
              <a16:creationId xmlns:a16="http://schemas.microsoft.com/office/drawing/2014/main" id="{00000000-0008-0000-0E00-000022000000}"/>
            </a:ext>
          </a:extLst>
        </xdr:cNvPr>
        <xdr:cNvSpPr/>
      </xdr:nvSpPr>
      <xdr:spPr>
        <a:xfrm>
          <a:off x="6289432" y="660848"/>
          <a:ext cx="1823981"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35" name="Arrow: Chevron 34">
          <a:hlinkClick xmlns:r="http://schemas.openxmlformats.org/officeDocument/2006/relationships" r:id="rId5" tooltip="Equipment Input"/>
          <a:extLst>
            <a:ext uri="{FF2B5EF4-FFF2-40B4-BE49-F238E27FC236}">
              <a16:creationId xmlns:a16="http://schemas.microsoft.com/office/drawing/2014/main" id="{00000000-0008-0000-0E00-000023000000}"/>
            </a:ext>
          </a:extLst>
        </xdr:cNvPr>
        <xdr:cNvSpPr/>
      </xdr:nvSpPr>
      <xdr:spPr>
        <a:xfrm>
          <a:off x="7867562" y="661800"/>
          <a:ext cx="181636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36" name="Arrow: Chevron 35">
          <a:hlinkClick xmlns:r="http://schemas.openxmlformats.org/officeDocument/2006/relationships" r:id="rId6" tooltip="Payment"/>
          <a:extLst>
            <a:ext uri="{FF2B5EF4-FFF2-40B4-BE49-F238E27FC236}">
              <a16:creationId xmlns:a16="http://schemas.microsoft.com/office/drawing/2014/main" id="{00000000-0008-0000-0E00-000024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38" name="Arrow: Chevron 37">
          <a:hlinkClick xmlns:r="http://schemas.openxmlformats.org/officeDocument/2006/relationships" r:id="rId7" tooltip="Project Review"/>
          <a:extLst>
            <a:ext uri="{FF2B5EF4-FFF2-40B4-BE49-F238E27FC236}">
              <a16:creationId xmlns:a16="http://schemas.microsoft.com/office/drawing/2014/main" id="{00000000-0008-0000-0E00-000026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17" name="Straight Connector 16">
          <a:extLst>
            <a:ext uri="{FF2B5EF4-FFF2-40B4-BE49-F238E27FC236}">
              <a16:creationId xmlns:a16="http://schemas.microsoft.com/office/drawing/2014/main" id="{00000000-0008-0000-0E00-000011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8" name="Straight Connector 17">
          <a:extLst>
            <a:ext uri="{FF2B5EF4-FFF2-40B4-BE49-F238E27FC236}">
              <a16:creationId xmlns:a16="http://schemas.microsoft.com/office/drawing/2014/main" id="{00000000-0008-0000-0E00-000012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19" name="Straight Connector 18">
          <a:extLst>
            <a:ext uri="{FF2B5EF4-FFF2-40B4-BE49-F238E27FC236}">
              <a16:creationId xmlns:a16="http://schemas.microsoft.com/office/drawing/2014/main" id="{00000000-0008-0000-0E00-000013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21" name="Rectangle 20">
          <a:hlinkClick xmlns:r="http://schemas.openxmlformats.org/officeDocument/2006/relationships" r:id="rId8" tooltip="Welcome"/>
          <a:extLst>
            <a:ext uri="{FF2B5EF4-FFF2-40B4-BE49-F238E27FC236}">
              <a16:creationId xmlns:a16="http://schemas.microsoft.com/office/drawing/2014/main" id="{00000000-0008-0000-0E00-000015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22" name="Rectangle 21">
          <a:hlinkClick xmlns:r="http://schemas.openxmlformats.org/officeDocument/2006/relationships" r:id="rId9" tooltip="Instructions"/>
          <a:extLst>
            <a:ext uri="{FF2B5EF4-FFF2-40B4-BE49-F238E27FC236}">
              <a16:creationId xmlns:a16="http://schemas.microsoft.com/office/drawing/2014/main" id="{00000000-0008-0000-0E00-000016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23" name="Rectangle 22">
          <a:hlinkClick xmlns:r="http://schemas.openxmlformats.org/officeDocument/2006/relationships" r:id="rId10" tooltip="Contact"/>
          <a:extLst>
            <a:ext uri="{FF2B5EF4-FFF2-40B4-BE49-F238E27FC236}">
              <a16:creationId xmlns:a16="http://schemas.microsoft.com/office/drawing/2014/main" id="{00000000-0008-0000-0E00-000017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24" name="Rectangle 23">
          <a:hlinkClick xmlns:r="http://schemas.openxmlformats.org/officeDocument/2006/relationships" r:id="rId11" tooltip=" "/>
          <a:extLst>
            <a:ext uri="{FF2B5EF4-FFF2-40B4-BE49-F238E27FC236}">
              <a16:creationId xmlns:a16="http://schemas.microsoft.com/office/drawing/2014/main" id="{00000000-0008-0000-0E00-000018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25" name="Rectangle 24">
          <a:hlinkClick xmlns:r="http://schemas.openxmlformats.org/officeDocument/2006/relationships" r:id="rId12" tooltip=" "/>
          <a:extLst>
            <a:ext uri="{FF2B5EF4-FFF2-40B4-BE49-F238E27FC236}">
              <a16:creationId xmlns:a16="http://schemas.microsoft.com/office/drawing/2014/main" id="{00000000-0008-0000-0E00-000019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26" name="Picture 25">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42</xdr:col>
      <xdr:colOff>145676</xdr:colOff>
      <xdr:row>8</xdr:row>
      <xdr:rowOff>100854</xdr:rowOff>
    </xdr:from>
    <xdr:to>
      <xdr:col>44</xdr:col>
      <xdr:colOff>48499</xdr:colOff>
      <xdr:row>10</xdr:row>
      <xdr:rowOff>108922</xdr:rowOff>
    </xdr:to>
    <xdr:sp macro="" textlink="">
      <xdr:nvSpPr>
        <xdr:cNvPr id="15" name="Arrow: Right 1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323794" y="1714501"/>
          <a:ext cx="530352" cy="41148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16" name="Arrow: Left 15">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526675" y="1714501"/>
          <a:ext cx="526676" cy="41148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25" name="Straight Connector 24">
          <a:extLst>
            <a:ext uri="{FF2B5EF4-FFF2-40B4-BE49-F238E27FC236}">
              <a16:creationId xmlns:a16="http://schemas.microsoft.com/office/drawing/2014/main" id="{00000000-0008-0000-0F00-000019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29" name="Arrow: Chevron 28">
          <a:hlinkClick xmlns:r="http://schemas.openxmlformats.org/officeDocument/2006/relationships" r:id="rId3" tooltip="Terms &amp; Conditions"/>
          <a:extLst>
            <a:ext uri="{FF2B5EF4-FFF2-40B4-BE49-F238E27FC236}">
              <a16:creationId xmlns:a16="http://schemas.microsoft.com/office/drawing/2014/main" id="{00000000-0008-0000-0F00-00001D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30" name="Arrow: Chevron 29">
          <a:hlinkClick xmlns:r="http://schemas.openxmlformats.org/officeDocument/2006/relationships" r:id="rId4" tooltip="Trade Ally/Vendor Information"/>
          <a:extLst>
            <a:ext uri="{FF2B5EF4-FFF2-40B4-BE49-F238E27FC236}">
              <a16:creationId xmlns:a16="http://schemas.microsoft.com/office/drawing/2014/main" id="{00000000-0008-0000-0F00-00001E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31" name="Arrow: Chevron 30">
          <a:hlinkClick xmlns:r="http://schemas.openxmlformats.org/officeDocument/2006/relationships" r:id="rId2" tooltip="Customer Information"/>
          <a:extLst>
            <a:ext uri="{FF2B5EF4-FFF2-40B4-BE49-F238E27FC236}">
              <a16:creationId xmlns:a16="http://schemas.microsoft.com/office/drawing/2014/main" id="{00000000-0008-0000-0F00-00001F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32" name="Arrow: Chevron 31">
          <a:hlinkClick xmlns:r="http://schemas.openxmlformats.org/officeDocument/2006/relationships" r:id="rId5" tooltip="Building Information"/>
          <a:extLst>
            <a:ext uri="{FF2B5EF4-FFF2-40B4-BE49-F238E27FC236}">
              <a16:creationId xmlns:a16="http://schemas.microsoft.com/office/drawing/2014/main" id="{00000000-0008-0000-0F00-000020000000}"/>
            </a:ext>
          </a:extLst>
        </xdr:cNvPr>
        <xdr:cNvSpPr/>
      </xdr:nvSpPr>
      <xdr:spPr>
        <a:xfrm>
          <a:off x="6289432" y="660848"/>
          <a:ext cx="1823981"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34" name="Arrow: Chevron 33">
          <a:hlinkClick xmlns:r="http://schemas.openxmlformats.org/officeDocument/2006/relationships" r:id="rId1" tooltip="Equipment Input"/>
          <a:extLst>
            <a:ext uri="{FF2B5EF4-FFF2-40B4-BE49-F238E27FC236}">
              <a16:creationId xmlns:a16="http://schemas.microsoft.com/office/drawing/2014/main" id="{00000000-0008-0000-0F00-000022000000}"/>
            </a:ext>
          </a:extLst>
        </xdr:cNvPr>
        <xdr:cNvSpPr/>
      </xdr:nvSpPr>
      <xdr:spPr>
        <a:xfrm>
          <a:off x="7867562" y="661800"/>
          <a:ext cx="181636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35" name="Arrow: Chevron 34">
          <a:hlinkClick xmlns:r="http://schemas.openxmlformats.org/officeDocument/2006/relationships" r:id="rId6" tooltip="Payment"/>
          <a:extLst>
            <a:ext uri="{FF2B5EF4-FFF2-40B4-BE49-F238E27FC236}">
              <a16:creationId xmlns:a16="http://schemas.microsoft.com/office/drawing/2014/main" id="{00000000-0008-0000-0F00-000023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36" name="Arrow: Chevron 35">
          <a:hlinkClick xmlns:r="http://schemas.openxmlformats.org/officeDocument/2006/relationships" r:id="rId7" tooltip="Project Review"/>
          <a:extLst>
            <a:ext uri="{FF2B5EF4-FFF2-40B4-BE49-F238E27FC236}">
              <a16:creationId xmlns:a16="http://schemas.microsoft.com/office/drawing/2014/main" id="{00000000-0008-0000-0F00-000024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18" name="Straight Connector 17">
          <a:extLst>
            <a:ext uri="{FF2B5EF4-FFF2-40B4-BE49-F238E27FC236}">
              <a16:creationId xmlns:a16="http://schemas.microsoft.com/office/drawing/2014/main" id="{00000000-0008-0000-0F00-000012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19" name="Straight Connector 18">
          <a:extLst>
            <a:ext uri="{FF2B5EF4-FFF2-40B4-BE49-F238E27FC236}">
              <a16:creationId xmlns:a16="http://schemas.microsoft.com/office/drawing/2014/main" id="{00000000-0008-0000-0F00-000013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20" name="Straight Connector 19">
          <a:extLst>
            <a:ext uri="{FF2B5EF4-FFF2-40B4-BE49-F238E27FC236}">
              <a16:creationId xmlns:a16="http://schemas.microsoft.com/office/drawing/2014/main" id="{00000000-0008-0000-0F00-000014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21" name="Rectangle 20">
          <a:hlinkClick xmlns:r="http://schemas.openxmlformats.org/officeDocument/2006/relationships" r:id="rId8" tooltip="Welcome"/>
          <a:extLst>
            <a:ext uri="{FF2B5EF4-FFF2-40B4-BE49-F238E27FC236}">
              <a16:creationId xmlns:a16="http://schemas.microsoft.com/office/drawing/2014/main" id="{00000000-0008-0000-0F00-000015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22" name="Rectangle 21">
          <a:hlinkClick xmlns:r="http://schemas.openxmlformats.org/officeDocument/2006/relationships" r:id="rId9" tooltip="Instructions"/>
          <a:extLst>
            <a:ext uri="{FF2B5EF4-FFF2-40B4-BE49-F238E27FC236}">
              <a16:creationId xmlns:a16="http://schemas.microsoft.com/office/drawing/2014/main" id="{00000000-0008-0000-0F00-000016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23" name="Rectangle 22">
          <a:hlinkClick xmlns:r="http://schemas.openxmlformats.org/officeDocument/2006/relationships" r:id="rId10" tooltip="Contact"/>
          <a:extLst>
            <a:ext uri="{FF2B5EF4-FFF2-40B4-BE49-F238E27FC236}">
              <a16:creationId xmlns:a16="http://schemas.microsoft.com/office/drawing/2014/main" id="{00000000-0008-0000-0F00-000017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3" name="Rectangle 32">
          <a:hlinkClick xmlns:r="http://schemas.openxmlformats.org/officeDocument/2006/relationships" r:id="rId11" tooltip=" "/>
          <a:extLst>
            <a:ext uri="{FF2B5EF4-FFF2-40B4-BE49-F238E27FC236}">
              <a16:creationId xmlns:a16="http://schemas.microsoft.com/office/drawing/2014/main" id="{00000000-0008-0000-0F00-000021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7" name="Rectangle 36">
          <a:hlinkClick xmlns:r="http://schemas.openxmlformats.org/officeDocument/2006/relationships" r:id="rId12" tooltip=" "/>
          <a:extLst>
            <a:ext uri="{FF2B5EF4-FFF2-40B4-BE49-F238E27FC236}">
              <a16:creationId xmlns:a16="http://schemas.microsoft.com/office/drawing/2014/main" id="{00000000-0008-0000-0F00-000025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26" name="Picture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42</xdr:col>
      <xdr:colOff>145676</xdr:colOff>
      <xdr:row>8</xdr:row>
      <xdr:rowOff>100854</xdr:rowOff>
    </xdr:from>
    <xdr:to>
      <xdr:col>44</xdr:col>
      <xdr:colOff>48499</xdr:colOff>
      <xdr:row>10</xdr:row>
      <xdr:rowOff>108922</xdr:rowOff>
    </xdr:to>
    <xdr:sp macro="" textlink="">
      <xdr:nvSpPr>
        <xdr:cNvPr id="15" name="Arrow: Right 14">
          <a:hlinkClick xmlns:r="http://schemas.openxmlformats.org/officeDocument/2006/relationships" r:id="rId1" tooltip="Forward: Lighting"/>
          <a:extLst>
            <a:ext uri="{FF2B5EF4-FFF2-40B4-BE49-F238E27FC236}">
              <a16:creationId xmlns:a16="http://schemas.microsoft.com/office/drawing/2014/main" id="{00000000-0008-0000-1000-00000F000000}"/>
            </a:ext>
          </a:extLst>
        </xdr:cNvPr>
        <xdr:cNvSpPr/>
      </xdr:nvSpPr>
      <xdr:spPr>
        <a:xfrm>
          <a:off x="13323794" y="1714501"/>
          <a:ext cx="530352" cy="41148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20" name="Arrow: Left 19">
          <a:hlinkClick xmlns:r="http://schemas.openxmlformats.org/officeDocument/2006/relationships" r:id="rId2" tooltip="Back: Building Information"/>
          <a:extLst>
            <a:ext uri="{FF2B5EF4-FFF2-40B4-BE49-F238E27FC236}">
              <a16:creationId xmlns:a16="http://schemas.microsoft.com/office/drawing/2014/main" id="{00000000-0008-0000-1000-000014000000}"/>
            </a:ext>
          </a:extLst>
        </xdr:cNvPr>
        <xdr:cNvSpPr/>
      </xdr:nvSpPr>
      <xdr:spPr>
        <a:xfrm>
          <a:off x="526675" y="1714501"/>
          <a:ext cx="526676" cy="41148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40" name="Straight Connector 39">
          <a:extLst>
            <a:ext uri="{FF2B5EF4-FFF2-40B4-BE49-F238E27FC236}">
              <a16:creationId xmlns:a16="http://schemas.microsoft.com/office/drawing/2014/main" id="{00000000-0008-0000-1000-000028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44" name="Arrow: Chevron 43">
          <a:hlinkClick xmlns:r="http://schemas.openxmlformats.org/officeDocument/2006/relationships" r:id="rId3" tooltip="Terms &amp; Conditions"/>
          <a:extLst>
            <a:ext uri="{FF2B5EF4-FFF2-40B4-BE49-F238E27FC236}">
              <a16:creationId xmlns:a16="http://schemas.microsoft.com/office/drawing/2014/main" id="{00000000-0008-0000-1000-00002C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45" name="Arrow: Chevron 44">
          <a:hlinkClick xmlns:r="http://schemas.openxmlformats.org/officeDocument/2006/relationships" r:id="rId4" tooltip="Trade Ally/Vendor Information"/>
          <a:extLst>
            <a:ext uri="{FF2B5EF4-FFF2-40B4-BE49-F238E27FC236}">
              <a16:creationId xmlns:a16="http://schemas.microsoft.com/office/drawing/2014/main" id="{00000000-0008-0000-1000-00002D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46" name="Arrow: Chevron 45">
          <a:hlinkClick xmlns:r="http://schemas.openxmlformats.org/officeDocument/2006/relationships" r:id="rId5" tooltip="Customer Information"/>
          <a:extLst>
            <a:ext uri="{FF2B5EF4-FFF2-40B4-BE49-F238E27FC236}">
              <a16:creationId xmlns:a16="http://schemas.microsoft.com/office/drawing/2014/main" id="{00000000-0008-0000-1000-00002E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47" name="Arrow: Chevron 46">
          <a:hlinkClick xmlns:r="http://schemas.openxmlformats.org/officeDocument/2006/relationships" r:id="rId2" tooltip="Building Information"/>
          <a:extLst>
            <a:ext uri="{FF2B5EF4-FFF2-40B4-BE49-F238E27FC236}">
              <a16:creationId xmlns:a16="http://schemas.microsoft.com/office/drawing/2014/main" id="{00000000-0008-0000-1000-00002F000000}"/>
            </a:ext>
          </a:extLst>
        </xdr:cNvPr>
        <xdr:cNvSpPr/>
      </xdr:nvSpPr>
      <xdr:spPr>
        <a:xfrm>
          <a:off x="6289432" y="660848"/>
          <a:ext cx="1823981"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48" name="Arrow: Chevron 47">
          <a:hlinkClick xmlns:r="http://schemas.openxmlformats.org/officeDocument/2006/relationships" r:id="rId6" tooltip="Equipment Input"/>
          <a:extLst>
            <a:ext uri="{FF2B5EF4-FFF2-40B4-BE49-F238E27FC236}">
              <a16:creationId xmlns:a16="http://schemas.microsoft.com/office/drawing/2014/main" id="{00000000-0008-0000-1000-000030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49" name="Arrow: Chevron 48">
          <a:hlinkClick xmlns:r="http://schemas.openxmlformats.org/officeDocument/2006/relationships" r:id="rId7" tooltip="Payment"/>
          <a:extLst>
            <a:ext uri="{FF2B5EF4-FFF2-40B4-BE49-F238E27FC236}">
              <a16:creationId xmlns:a16="http://schemas.microsoft.com/office/drawing/2014/main" id="{00000000-0008-0000-1000-000031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50" name="Arrow: Chevron 49">
          <a:hlinkClick xmlns:r="http://schemas.openxmlformats.org/officeDocument/2006/relationships" r:id="rId8" tooltip="Project Review"/>
          <a:extLst>
            <a:ext uri="{FF2B5EF4-FFF2-40B4-BE49-F238E27FC236}">
              <a16:creationId xmlns:a16="http://schemas.microsoft.com/office/drawing/2014/main" id="{00000000-0008-0000-1000-000032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26" name="Straight Connector 25">
          <a:extLst>
            <a:ext uri="{FF2B5EF4-FFF2-40B4-BE49-F238E27FC236}">
              <a16:creationId xmlns:a16="http://schemas.microsoft.com/office/drawing/2014/main" id="{00000000-0008-0000-1000-00001A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28" name="Straight Connector 27">
          <a:extLst>
            <a:ext uri="{FF2B5EF4-FFF2-40B4-BE49-F238E27FC236}">
              <a16:creationId xmlns:a16="http://schemas.microsoft.com/office/drawing/2014/main" id="{00000000-0008-0000-1000-00001C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30" name="Straight Connector 29">
          <a:extLst>
            <a:ext uri="{FF2B5EF4-FFF2-40B4-BE49-F238E27FC236}">
              <a16:creationId xmlns:a16="http://schemas.microsoft.com/office/drawing/2014/main" id="{00000000-0008-0000-1000-00001E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32" name="Rectangle 31">
          <a:hlinkClick xmlns:r="http://schemas.openxmlformats.org/officeDocument/2006/relationships" r:id="rId9" tooltip="Welcome"/>
          <a:extLst>
            <a:ext uri="{FF2B5EF4-FFF2-40B4-BE49-F238E27FC236}">
              <a16:creationId xmlns:a16="http://schemas.microsoft.com/office/drawing/2014/main" id="{00000000-0008-0000-1000-000020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34" name="Rectangle 33">
          <a:hlinkClick xmlns:r="http://schemas.openxmlformats.org/officeDocument/2006/relationships" r:id="rId10" tooltip="Instructions"/>
          <a:extLst>
            <a:ext uri="{FF2B5EF4-FFF2-40B4-BE49-F238E27FC236}">
              <a16:creationId xmlns:a16="http://schemas.microsoft.com/office/drawing/2014/main" id="{00000000-0008-0000-1000-000022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35" name="Rectangle 34">
          <a:hlinkClick xmlns:r="http://schemas.openxmlformats.org/officeDocument/2006/relationships" r:id="rId11" tooltip="Contact"/>
          <a:extLst>
            <a:ext uri="{FF2B5EF4-FFF2-40B4-BE49-F238E27FC236}">
              <a16:creationId xmlns:a16="http://schemas.microsoft.com/office/drawing/2014/main" id="{00000000-0008-0000-1000-000023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36" name="Rectangle 35">
          <a:hlinkClick xmlns:r="http://schemas.openxmlformats.org/officeDocument/2006/relationships" r:id="rId12" tooltip=" "/>
          <a:extLst>
            <a:ext uri="{FF2B5EF4-FFF2-40B4-BE49-F238E27FC236}">
              <a16:creationId xmlns:a16="http://schemas.microsoft.com/office/drawing/2014/main" id="{00000000-0008-0000-1000-000024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37" name="Rectangle 36">
          <a:hlinkClick xmlns:r="http://schemas.openxmlformats.org/officeDocument/2006/relationships" r:id="rId13" tooltip=" "/>
          <a:extLst>
            <a:ext uri="{FF2B5EF4-FFF2-40B4-BE49-F238E27FC236}">
              <a16:creationId xmlns:a16="http://schemas.microsoft.com/office/drawing/2014/main" id="{00000000-0008-0000-1000-000025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38" name="Arrow: Right 37">
          <a:hlinkClick xmlns:r="http://schemas.openxmlformats.org/officeDocument/2006/relationships" r:id="rId14" tooltip="Forward: Lighting"/>
          <a:extLst>
            <a:ext uri="{FF2B5EF4-FFF2-40B4-BE49-F238E27FC236}">
              <a16:creationId xmlns:a16="http://schemas.microsoft.com/office/drawing/2014/main" id="{00000000-0008-0000-1000-000026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212910</xdr:colOff>
      <xdr:row>8</xdr:row>
      <xdr:rowOff>100854</xdr:rowOff>
    </xdr:from>
    <xdr:to>
      <xdr:col>3</xdr:col>
      <xdr:colOff>112057</xdr:colOff>
      <xdr:row>10</xdr:row>
      <xdr:rowOff>108922</xdr:rowOff>
    </xdr:to>
    <xdr:sp macro="" textlink="">
      <xdr:nvSpPr>
        <xdr:cNvPr id="39" name="Arrow: Left 38">
          <a:hlinkClick xmlns:r="http://schemas.openxmlformats.org/officeDocument/2006/relationships" r:id="rId15" tooltip="Back: Building Information"/>
          <a:extLst>
            <a:ext uri="{FF2B5EF4-FFF2-40B4-BE49-F238E27FC236}">
              <a16:creationId xmlns:a16="http://schemas.microsoft.com/office/drawing/2014/main" id="{00000000-0008-0000-1000-000027000000}"/>
            </a:ext>
          </a:extLst>
        </xdr:cNvPr>
        <xdr:cNvSpPr/>
      </xdr:nvSpPr>
      <xdr:spPr>
        <a:xfrm>
          <a:off x="527235" y="1701054"/>
          <a:ext cx="527797" cy="40811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xdr:col>
      <xdr:colOff>256708</xdr:colOff>
      <xdr:row>2</xdr:row>
      <xdr:rowOff>167095</xdr:rowOff>
    </xdr:to>
    <xdr:pic>
      <xdr:nvPicPr>
        <xdr:cNvPr id="31" name="Picture 30">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twoCellAnchor editAs="oneCell">
    <xdr:from>
      <xdr:col>34</xdr:col>
      <xdr:colOff>186366</xdr:colOff>
      <xdr:row>12</xdr:row>
      <xdr:rowOff>84026</xdr:rowOff>
    </xdr:from>
    <xdr:to>
      <xdr:col>38</xdr:col>
      <xdr:colOff>87517</xdr:colOff>
      <xdr:row>18</xdr:row>
      <xdr:rowOff>31928</xdr:rowOff>
    </xdr:to>
    <xdr:pic>
      <xdr:nvPicPr>
        <xdr:cNvPr id="68" name="Picture 67">
          <a:hlinkClick xmlns:r="http://schemas.openxmlformats.org/officeDocument/2006/relationships" r:id="rId17" tooltip="HVAC"/>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0873416" y="2484326"/>
          <a:ext cx="1158451" cy="1148052"/>
        </a:xfrm>
        <a:prstGeom prst="rect">
          <a:avLst/>
        </a:prstGeom>
      </xdr:spPr>
    </xdr:pic>
    <xdr:clientData/>
  </xdr:twoCellAnchor>
  <xdr:twoCellAnchor editAs="oneCell">
    <xdr:from>
      <xdr:col>16</xdr:col>
      <xdr:colOff>174382</xdr:colOff>
      <xdr:row>12</xdr:row>
      <xdr:rowOff>89745</xdr:rowOff>
    </xdr:from>
    <xdr:to>
      <xdr:col>20</xdr:col>
      <xdr:colOff>102965</xdr:colOff>
      <xdr:row>18</xdr:row>
      <xdr:rowOff>61182</xdr:rowOff>
    </xdr:to>
    <xdr:pic>
      <xdr:nvPicPr>
        <xdr:cNvPr id="69" name="Picture 68">
          <a:hlinkClick xmlns:r="http://schemas.openxmlformats.org/officeDocument/2006/relationships" r:id="rId19" tooltip="Lighting Controls"/>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203582" y="2490045"/>
          <a:ext cx="1185883" cy="1171587"/>
        </a:xfrm>
        <a:prstGeom prst="rect">
          <a:avLst/>
        </a:prstGeom>
      </xdr:spPr>
    </xdr:pic>
    <xdr:clientData/>
  </xdr:twoCellAnchor>
  <xdr:twoCellAnchor editAs="oneCell">
    <xdr:from>
      <xdr:col>7</xdr:col>
      <xdr:colOff>172015</xdr:colOff>
      <xdr:row>12</xdr:row>
      <xdr:rowOff>88760</xdr:rowOff>
    </xdr:from>
    <xdr:to>
      <xdr:col>11</xdr:col>
      <xdr:colOff>100598</xdr:colOff>
      <xdr:row>18</xdr:row>
      <xdr:rowOff>62167</xdr:rowOff>
    </xdr:to>
    <xdr:pic>
      <xdr:nvPicPr>
        <xdr:cNvPr id="70" name="Picture 69">
          <a:hlinkClick xmlns:r="http://schemas.openxmlformats.org/officeDocument/2006/relationships" r:id="rId1" tooltip="Lighting"/>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372290" y="2489060"/>
          <a:ext cx="1185883" cy="1173557"/>
        </a:xfrm>
        <a:prstGeom prst="rect">
          <a:avLst/>
        </a:prstGeom>
      </xdr:spPr>
    </xdr:pic>
    <xdr:clientData/>
  </xdr:twoCellAnchor>
  <xdr:twoCellAnchor editAs="oneCell">
    <xdr:from>
      <xdr:col>25</xdr:col>
      <xdr:colOff>186153</xdr:colOff>
      <xdr:row>12</xdr:row>
      <xdr:rowOff>87775</xdr:rowOff>
    </xdr:from>
    <xdr:to>
      <xdr:col>29</xdr:col>
      <xdr:colOff>114736</xdr:colOff>
      <xdr:row>18</xdr:row>
      <xdr:rowOff>63153</xdr:rowOff>
    </xdr:to>
    <xdr:pic>
      <xdr:nvPicPr>
        <xdr:cNvPr id="71" name="Picture 70">
          <a:hlinkClick xmlns:r="http://schemas.openxmlformats.org/officeDocument/2006/relationships" r:id="rId22" tooltip="Refrigeration"/>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8044278" y="2488075"/>
          <a:ext cx="1185883" cy="1175528"/>
        </a:xfrm>
        <a:prstGeom prst="rect">
          <a:avLst/>
        </a:prstGeom>
      </xdr:spPr>
    </xdr:pic>
    <xdr:clientData/>
  </xdr:twoCellAnchor>
  <xdr:twoCellAnchor editAs="oneCell">
    <xdr:from>
      <xdr:col>16</xdr:col>
      <xdr:colOff>185988</xdr:colOff>
      <xdr:row>22</xdr:row>
      <xdr:rowOff>79898</xdr:rowOff>
    </xdr:from>
    <xdr:to>
      <xdr:col>20</xdr:col>
      <xdr:colOff>92242</xdr:colOff>
      <xdr:row>28</xdr:row>
      <xdr:rowOff>30975</xdr:rowOff>
    </xdr:to>
    <xdr:pic>
      <xdr:nvPicPr>
        <xdr:cNvPr id="72" name="Picture 71">
          <a:hlinkClick xmlns:r="http://schemas.openxmlformats.org/officeDocument/2006/relationships" r:id="rId24" tooltip="Compressed Air / Process"/>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215188" y="4480448"/>
          <a:ext cx="1163554" cy="1151227"/>
        </a:xfrm>
        <a:prstGeom prst="rect">
          <a:avLst/>
        </a:prstGeom>
      </xdr:spPr>
    </xdr:pic>
    <xdr:clientData/>
  </xdr:twoCellAnchor>
  <xdr:twoCellAnchor editAs="oneCell">
    <xdr:from>
      <xdr:col>7</xdr:col>
      <xdr:colOff>172650</xdr:colOff>
      <xdr:row>22</xdr:row>
      <xdr:rowOff>111266</xdr:rowOff>
    </xdr:from>
    <xdr:to>
      <xdr:col>11</xdr:col>
      <xdr:colOff>96786</xdr:colOff>
      <xdr:row>28</xdr:row>
      <xdr:rowOff>80225</xdr:rowOff>
    </xdr:to>
    <xdr:pic>
      <xdr:nvPicPr>
        <xdr:cNvPr id="73" name="Picture 72">
          <a:hlinkClick xmlns:r="http://schemas.openxmlformats.org/officeDocument/2006/relationships" r:id="rId26" tooltip="Motors and Drives"/>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372925" y="4511816"/>
          <a:ext cx="1181436" cy="1169109"/>
        </a:xfrm>
        <a:prstGeom prst="rect">
          <a:avLst/>
        </a:prstGeom>
      </xdr:spPr>
    </xdr:pic>
    <xdr:clientData/>
  </xdr:twoCellAnchor>
  <xdr:twoCellAnchor editAs="oneCell">
    <xdr:from>
      <xdr:col>25</xdr:col>
      <xdr:colOff>183897</xdr:colOff>
      <xdr:row>22</xdr:row>
      <xdr:rowOff>67775</xdr:rowOff>
    </xdr:from>
    <xdr:to>
      <xdr:col>29</xdr:col>
      <xdr:colOff>115723</xdr:colOff>
      <xdr:row>28</xdr:row>
      <xdr:rowOff>42449</xdr:rowOff>
    </xdr:to>
    <xdr:pic>
      <xdr:nvPicPr>
        <xdr:cNvPr id="74" name="Picture 73">
          <a:hlinkClick xmlns:r="http://schemas.openxmlformats.org/officeDocument/2006/relationships" r:id="rId28" tooltip="Water Heating / Cooking"/>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8042022" y="4468325"/>
          <a:ext cx="1189126" cy="1174824"/>
        </a:xfrm>
        <a:prstGeom prst="rect">
          <a:avLst/>
        </a:prstGeom>
      </xdr:spPr>
    </xdr:pic>
    <xdr:clientData/>
  </xdr:twoCellAnchor>
  <xdr:twoCellAnchor editAs="oneCell">
    <xdr:from>
      <xdr:col>34</xdr:col>
      <xdr:colOff>188195</xdr:colOff>
      <xdr:row>22</xdr:row>
      <xdr:rowOff>84589</xdr:rowOff>
    </xdr:from>
    <xdr:to>
      <xdr:col>38</xdr:col>
      <xdr:colOff>84418</xdr:colOff>
      <xdr:row>28</xdr:row>
      <xdr:rowOff>25635</xdr:rowOff>
    </xdr:to>
    <xdr:pic>
      <xdr:nvPicPr>
        <xdr:cNvPr id="75" name="Picture 74">
          <a:hlinkClick xmlns:r="http://schemas.openxmlformats.org/officeDocument/2006/relationships" r:id="rId30" tooltip="Miscellaneous"/>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875245" y="4485139"/>
          <a:ext cx="1153523" cy="11411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293034</xdr:colOff>
      <xdr:row>8</xdr:row>
      <xdr:rowOff>0</xdr:rowOff>
    </xdr:from>
    <xdr:to>
      <xdr:col>10</xdr:col>
      <xdr:colOff>293034</xdr:colOff>
      <xdr:row>10</xdr:row>
      <xdr:rowOff>99508</xdr:rowOff>
    </xdr:to>
    <xdr:cxnSp macro="">
      <xdr:nvCxnSpPr>
        <xdr:cNvPr id="23" name="Straight Connector 22">
          <a:extLst>
            <a:ext uri="{FF2B5EF4-FFF2-40B4-BE49-F238E27FC236}">
              <a16:creationId xmlns:a16="http://schemas.microsoft.com/office/drawing/2014/main" id="{00000000-0008-0000-1100-000017000000}"/>
            </a:ext>
          </a:extLst>
        </xdr:cNvPr>
        <xdr:cNvCxnSpPr/>
      </xdr:nvCxnSpPr>
      <xdr:spPr>
        <a:xfrm>
          <a:off x="2489387" y="1613647"/>
          <a:ext cx="0" cy="5029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xdr:row>
      <xdr:rowOff>0</xdr:rowOff>
    </xdr:from>
    <xdr:to>
      <xdr:col>15</xdr:col>
      <xdr:colOff>0</xdr:colOff>
      <xdr:row>10</xdr:row>
      <xdr:rowOff>99509</xdr:rowOff>
    </xdr:to>
    <xdr:cxnSp macro="">
      <xdr:nvCxnSpPr>
        <xdr:cNvPr id="28" name="Straight Connector 27">
          <a:extLst>
            <a:ext uri="{FF2B5EF4-FFF2-40B4-BE49-F238E27FC236}">
              <a16:creationId xmlns:a16="http://schemas.microsoft.com/office/drawing/2014/main" id="{00000000-0008-0000-1100-00001C000000}"/>
            </a:ext>
          </a:extLst>
        </xdr:cNvPr>
        <xdr:cNvCxnSpPr/>
      </xdr:nvCxnSpPr>
      <xdr:spPr>
        <a:xfrm>
          <a:off x="3765176" y="1613647"/>
          <a:ext cx="0" cy="50292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8</xdr:row>
      <xdr:rowOff>0</xdr:rowOff>
    </xdr:from>
    <xdr:to>
      <xdr:col>19</xdr:col>
      <xdr:colOff>0</xdr:colOff>
      <xdr:row>10</xdr:row>
      <xdr:rowOff>99509</xdr:rowOff>
    </xdr:to>
    <xdr:cxnSp macro="">
      <xdr:nvCxnSpPr>
        <xdr:cNvPr id="29" name="Straight Connector 28">
          <a:extLst>
            <a:ext uri="{FF2B5EF4-FFF2-40B4-BE49-F238E27FC236}">
              <a16:creationId xmlns:a16="http://schemas.microsoft.com/office/drawing/2014/main" id="{00000000-0008-0000-1100-00001D000000}"/>
            </a:ext>
          </a:extLst>
        </xdr:cNvPr>
        <xdr:cNvCxnSpPr/>
      </xdr:nvCxnSpPr>
      <xdr:spPr>
        <a:xfrm>
          <a:off x="5020235" y="1613647"/>
          <a:ext cx="0" cy="50292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8</xdr:row>
      <xdr:rowOff>0</xdr:rowOff>
    </xdr:from>
    <xdr:to>
      <xdr:col>23</xdr:col>
      <xdr:colOff>0</xdr:colOff>
      <xdr:row>10</xdr:row>
      <xdr:rowOff>99509</xdr:rowOff>
    </xdr:to>
    <xdr:cxnSp macro="">
      <xdr:nvCxnSpPr>
        <xdr:cNvPr id="30" name="Straight Connector 29">
          <a:extLst>
            <a:ext uri="{FF2B5EF4-FFF2-40B4-BE49-F238E27FC236}">
              <a16:creationId xmlns:a16="http://schemas.microsoft.com/office/drawing/2014/main" id="{00000000-0008-0000-1100-00001E000000}"/>
            </a:ext>
          </a:extLst>
        </xdr:cNvPr>
        <xdr:cNvCxnSpPr/>
      </xdr:nvCxnSpPr>
      <xdr:spPr>
        <a:xfrm>
          <a:off x="6275294" y="1613647"/>
          <a:ext cx="0" cy="50292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313229</xdr:colOff>
      <xdr:row>8</xdr:row>
      <xdr:rowOff>9413</xdr:rowOff>
    </xdr:from>
    <xdr:to>
      <xdr:col>30</xdr:col>
      <xdr:colOff>313229</xdr:colOff>
      <xdr:row>10</xdr:row>
      <xdr:rowOff>108922</xdr:rowOff>
    </xdr:to>
    <xdr:cxnSp macro="">
      <xdr:nvCxnSpPr>
        <xdr:cNvPr id="31" name="Straight Connector 30">
          <a:extLst>
            <a:ext uri="{FF2B5EF4-FFF2-40B4-BE49-F238E27FC236}">
              <a16:creationId xmlns:a16="http://schemas.microsoft.com/office/drawing/2014/main" id="{00000000-0008-0000-1100-00001F000000}"/>
            </a:ext>
          </a:extLst>
        </xdr:cNvPr>
        <xdr:cNvCxnSpPr/>
      </xdr:nvCxnSpPr>
      <xdr:spPr>
        <a:xfrm>
          <a:off x="9726170" y="1623060"/>
          <a:ext cx="0" cy="50292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11206</xdr:colOff>
      <xdr:row>7</xdr:row>
      <xdr:rowOff>190500</xdr:rowOff>
    </xdr:from>
    <xdr:to>
      <xdr:col>27</xdr:col>
      <xdr:colOff>11206</xdr:colOff>
      <xdr:row>10</xdr:row>
      <xdr:rowOff>88303</xdr:rowOff>
    </xdr:to>
    <xdr:cxnSp macro="">
      <xdr:nvCxnSpPr>
        <xdr:cNvPr id="32" name="Straight Connector 31">
          <a:extLst>
            <a:ext uri="{FF2B5EF4-FFF2-40B4-BE49-F238E27FC236}">
              <a16:creationId xmlns:a16="http://schemas.microsoft.com/office/drawing/2014/main" id="{00000000-0008-0000-1100-000020000000}"/>
            </a:ext>
          </a:extLst>
        </xdr:cNvPr>
        <xdr:cNvCxnSpPr/>
      </xdr:nvCxnSpPr>
      <xdr:spPr>
        <a:xfrm>
          <a:off x="8482853" y="1602441"/>
          <a:ext cx="0" cy="50292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0</xdr:colOff>
      <xdr:row>8</xdr:row>
      <xdr:rowOff>0</xdr:rowOff>
    </xdr:from>
    <xdr:to>
      <xdr:col>35</xdr:col>
      <xdr:colOff>0</xdr:colOff>
      <xdr:row>10</xdr:row>
      <xdr:rowOff>99509</xdr:rowOff>
    </xdr:to>
    <xdr:cxnSp macro="">
      <xdr:nvCxnSpPr>
        <xdr:cNvPr id="34" name="Straight Connector 33">
          <a:extLst>
            <a:ext uri="{FF2B5EF4-FFF2-40B4-BE49-F238E27FC236}">
              <a16:creationId xmlns:a16="http://schemas.microsoft.com/office/drawing/2014/main" id="{00000000-0008-0000-1100-000022000000}"/>
            </a:ext>
          </a:extLst>
        </xdr:cNvPr>
        <xdr:cNvCxnSpPr/>
      </xdr:nvCxnSpPr>
      <xdr:spPr>
        <a:xfrm>
          <a:off x="11609294" y="1613647"/>
          <a:ext cx="0" cy="50292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212910</xdr:colOff>
      <xdr:row>8</xdr:row>
      <xdr:rowOff>100854</xdr:rowOff>
    </xdr:from>
    <xdr:to>
      <xdr:col>3</xdr:col>
      <xdr:colOff>112057</xdr:colOff>
      <xdr:row>10</xdr:row>
      <xdr:rowOff>108922</xdr:rowOff>
    </xdr:to>
    <xdr:sp macro="" textlink="">
      <xdr:nvSpPr>
        <xdr:cNvPr id="35" name="Arrow: Left 34">
          <a:hlinkClick xmlns:r="http://schemas.openxmlformats.org/officeDocument/2006/relationships" r:id="rId1" tooltip="Back: Equipment Type"/>
          <a:extLst>
            <a:ext uri="{FF2B5EF4-FFF2-40B4-BE49-F238E27FC236}">
              <a16:creationId xmlns:a16="http://schemas.microsoft.com/office/drawing/2014/main" id="{00000000-0008-0000-1100-000023000000}"/>
            </a:ext>
          </a:extLst>
        </xdr:cNvPr>
        <xdr:cNvSpPr/>
      </xdr:nvSpPr>
      <xdr:spPr>
        <a:xfrm>
          <a:off x="526675" y="1714501"/>
          <a:ext cx="526676" cy="41148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42</xdr:col>
      <xdr:colOff>145676</xdr:colOff>
      <xdr:row>8</xdr:row>
      <xdr:rowOff>100854</xdr:rowOff>
    </xdr:from>
    <xdr:to>
      <xdr:col>44</xdr:col>
      <xdr:colOff>48499</xdr:colOff>
      <xdr:row>10</xdr:row>
      <xdr:rowOff>108922</xdr:rowOff>
    </xdr:to>
    <xdr:sp macro="" textlink="">
      <xdr:nvSpPr>
        <xdr:cNvPr id="38" name="Arrow: Right 37">
          <a:hlinkClick xmlns:r="http://schemas.openxmlformats.org/officeDocument/2006/relationships" r:id="rId2" tooltip="Foward: Lighting Controls"/>
          <a:extLst>
            <a:ext uri="{FF2B5EF4-FFF2-40B4-BE49-F238E27FC236}">
              <a16:creationId xmlns:a16="http://schemas.microsoft.com/office/drawing/2014/main" id="{00000000-0008-0000-1100-000026000000}"/>
            </a:ext>
          </a:extLst>
        </xdr:cNvPr>
        <xdr:cNvSpPr/>
      </xdr:nvSpPr>
      <xdr:spPr>
        <a:xfrm>
          <a:off x="13347326" y="1701054"/>
          <a:ext cx="531473" cy="40811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276225</xdr:colOff>
      <xdr:row>0</xdr:row>
      <xdr:rowOff>85725</xdr:rowOff>
    </xdr:from>
    <xdr:to>
      <xdr:col>4</xdr:col>
      <xdr:colOff>285750</xdr:colOff>
      <xdr:row>2</xdr:row>
      <xdr:rowOff>114300</xdr:rowOff>
    </xdr:to>
    <xdr:cxnSp macro="">
      <xdr:nvCxnSpPr>
        <xdr:cNvPr id="47" name="Straight Connector 46">
          <a:extLst>
            <a:ext uri="{FF2B5EF4-FFF2-40B4-BE49-F238E27FC236}">
              <a16:creationId xmlns:a16="http://schemas.microsoft.com/office/drawing/2014/main" id="{00000000-0008-0000-1100-00002F000000}"/>
            </a:ext>
          </a:extLst>
        </xdr:cNvPr>
        <xdr:cNvCxnSpPr/>
      </xdr:nvCxnSpPr>
      <xdr:spPr>
        <a:xfrm>
          <a:off x="1524000" y="83820"/>
          <a:ext cx="15240" cy="42672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3</xdr:row>
      <xdr:rowOff>61725</xdr:rowOff>
    </xdr:from>
    <xdr:to>
      <xdr:col>10</xdr:col>
      <xdr:colOff>254822</xdr:colOff>
      <xdr:row>7</xdr:row>
      <xdr:rowOff>99601</xdr:rowOff>
    </xdr:to>
    <xdr:sp macro="" textlink="M2S1">
      <xdr:nvSpPr>
        <xdr:cNvPr id="54" name="Arrow: Chevron 53">
          <a:hlinkClick xmlns:r="http://schemas.openxmlformats.org/officeDocument/2006/relationships" r:id="rId3" tooltip="Terms &amp; Conditions"/>
          <a:extLst>
            <a:ext uri="{FF2B5EF4-FFF2-40B4-BE49-F238E27FC236}">
              <a16:creationId xmlns:a16="http://schemas.microsoft.com/office/drawing/2014/main" id="{00000000-0008-0000-1100-000036000000}"/>
            </a:ext>
          </a:extLst>
        </xdr:cNvPr>
        <xdr:cNvSpPr/>
      </xdr:nvSpPr>
      <xdr:spPr>
        <a:xfrm>
          <a:off x="1554480" y="659895"/>
          <a:ext cx="182644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7066</xdr:colOff>
      <xdr:row>3</xdr:row>
      <xdr:rowOff>68393</xdr:rowOff>
    </xdr:from>
    <xdr:to>
      <xdr:col>15</xdr:col>
      <xdr:colOff>276567</xdr:colOff>
      <xdr:row>7</xdr:row>
      <xdr:rowOff>98649</xdr:rowOff>
    </xdr:to>
    <xdr:sp macro="" textlink="M2S2">
      <xdr:nvSpPr>
        <xdr:cNvPr id="55" name="Arrow: Chevron 54">
          <a:hlinkClick xmlns:r="http://schemas.openxmlformats.org/officeDocument/2006/relationships" r:id="rId4" tooltip="Trade Ally/Vendor Information"/>
          <a:extLst>
            <a:ext uri="{FF2B5EF4-FFF2-40B4-BE49-F238E27FC236}">
              <a16:creationId xmlns:a16="http://schemas.microsoft.com/office/drawing/2014/main" id="{00000000-0008-0000-1100-000037000000}"/>
            </a:ext>
          </a:extLst>
        </xdr:cNvPr>
        <xdr:cNvSpPr/>
      </xdr:nvSpPr>
      <xdr:spPr>
        <a:xfrm>
          <a:off x="3129361" y="664658"/>
          <a:ext cx="1831601"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26906</xdr:colOff>
      <xdr:row>3</xdr:row>
      <xdr:rowOff>65535</xdr:rowOff>
    </xdr:from>
    <xdr:to>
      <xdr:col>20</xdr:col>
      <xdr:colOff>290693</xdr:colOff>
      <xdr:row>7</xdr:row>
      <xdr:rowOff>103411</xdr:rowOff>
    </xdr:to>
    <xdr:sp macro="" textlink="M2S3">
      <xdr:nvSpPr>
        <xdr:cNvPr id="56" name="Arrow: Chevron 55">
          <a:hlinkClick xmlns:r="http://schemas.openxmlformats.org/officeDocument/2006/relationships" r:id="rId5" tooltip="Customer Information"/>
          <a:extLst>
            <a:ext uri="{FF2B5EF4-FFF2-40B4-BE49-F238E27FC236}">
              <a16:creationId xmlns:a16="http://schemas.microsoft.com/office/drawing/2014/main" id="{00000000-0008-0000-1100-000038000000}"/>
            </a:ext>
          </a:extLst>
        </xdr:cNvPr>
        <xdr:cNvSpPr/>
      </xdr:nvSpPr>
      <xdr:spPr>
        <a:xfrm>
          <a:off x="4715111" y="661800"/>
          <a:ext cx="1825887"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53252</xdr:colOff>
      <xdr:row>3</xdr:row>
      <xdr:rowOff>65535</xdr:rowOff>
    </xdr:from>
    <xdr:to>
      <xdr:col>30</xdr:col>
      <xdr:colOff>313229</xdr:colOff>
      <xdr:row>7</xdr:row>
      <xdr:rowOff>103411</xdr:rowOff>
    </xdr:to>
    <xdr:sp macro="" textlink="MAIN3">
      <xdr:nvSpPr>
        <xdr:cNvPr id="58" name="Arrow: Chevron 57">
          <a:hlinkClick xmlns:r="http://schemas.openxmlformats.org/officeDocument/2006/relationships" r:id="rId1" tooltip="Equipment Input"/>
          <a:extLst>
            <a:ext uri="{FF2B5EF4-FFF2-40B4-BE49-F238E27FC236}">
              <a16:creationId xmlns:a16="http://schemas.microsoft.com/office/drawing/2014/main" id="{00000000-0008-0000-1100-00003A000000}"/>
            </a:ext>
          </a:extLst>
        </xdr:cNvPr>
        <xdr:cNvSpPr/>
      </xdr:nvSpPr>
      <xdr:spPr>
        <a:xfrm>
          <a:off x="7867562" y="661800"/>
          <a:ext cx="1816362" cy="830356"/>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30</xdr:col>
      <xdr:colOff>63568</xdr:colOff>
      <xdr:row>3</xdr:row>
      <xdr:rowOff>68393</xdr:rowOff>
    </xdr:from>
    <xdr:to>
      <xdr:col>35</xdr:col>
      <xdr:colOff>312114</xdr:colOff>
      <xdr:row>7</xdr:row>
      <xdr:rowOff>98649</xdr:rowOff>
    </xdr:to>
    <xdr:sp macro="" textlink="M5S1">
      <xdr:nvSpPr>
        <xdr:cNvPr id="59" name="Arrow: Chevron 58">
          <a:hlinkClick xmlns:r="http://schemas.openxmlformats.org/officeDocument/2006/relationships" r:id="rId6" tooltip="Payment"/>
          <a:extLst>
            <a:ext uri="{FF2B5EF4-FFF2-40B4-BE49-F238E27FC236}">
              <a16:creationId xmlns:a16="http://schemas.microsoft.com/office/drawing/2014/main" id="{00000000-0008-0000-1100-00003B000000}"/>
            </a:ext>
          </a:extLst>
        </xdr:cNvPr>
        <xdr:cNvSpPr/>
      </xdr:nvSpPr>
      <xdr:spPr>
        <a:xfrm>
          <a:off x="9438073" y="664658"/>
          <a:ext cx="1806836" cy="824641"/>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35</xdr:col>
      <xdr:colOff>58644</xdr:colOff>
      <xdr:row>3</xdr:row>
      <xdr:rowOff>60773</xdr:rowOff>
    </xdr:from>
    <xdr:to>
      <xdr:col>40</xdr:col>
      <xdr:colOff>309096</xdr:colOff>
      <xdr:row>7</xdr:row>
      <xdr:rowOff>100554</xdr:rowOff>
    </xdr:to>
    <xdr:sp macro="" textlink="M5S2">
      <xdr:nvSpPr>
        <xdr:cNvPr id="60" name="Arrow: Chevron 59">
          <a:hlinkClick xmlns:r="http://schemas.openxmlformats.org/officeDocument/2006/relationships" r:id="rId7" tooltip="Project Review"/>
          <a:extLst>
            <a:ext uri="{FF2B5EF4-FFF2-40B4-BE49-F238E27FC236}">
              <a16:creationId xmlns:a16="http://schemas.microsoft.com/office/drawing/2014/main" id="{00000000-0008-0000-1100-00003C000000}"/>
            </a:ext>
          </a:extLst>
        </xdr:cNvPr>
        <xdr:cNvSpPr/>
      </xdr:nvSpPr>
      <xdr:spPr>
        <a:xfrm>
          <a:off x="10997154" y="658943"/>
          <a:ext cx="1808742" cy="83035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41</xdr:col>
      <xdr:colOff>0</xdr:colOff>
      <xdr:row>0</xdr:row>
      <xdr:rowOff>85725</xdr:rowOff>
    </xdr:from>
    <xdr:to>
      <xdr:col>41</xdr:col>
      <xdr:colOff>9525</xdr:colOff>
      <xdr:row>2</xdr:row>
      <xdr:rowOff>114300</xdr:rowOff>
    </xdr:to>
    <xdr:cxnSp macro="">
      <xdr:nvCxnSpPr>
        <xdr:cNvPr id="33" name="Straight Connector 32">
          <a:extLst>
            <a:ext uri="{FF2B5EF4-FFF2-40B4-BE49-F238E27FC236}">
              <a16:creationId xmlns:a16="http://schemas.microsoft.com/office/drawing/2014/main" id="{00000000-0008-0000-1100-000021000000}"/>
            </a:ext>
          </a:extLst>
        </xdr:cNvPr>
        <xdr:cNvCxnSpPr/>
      </xdr:nvCxnSpPr>
      <xdr:spPr>
        <a:xfrm>
          <a:off x="128873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0</xdr:row>
      <xdr:rowOff>85725</xdr:rowOff>
    </xdr:from>
    <xdr:to>
      <xdr:col>9</xdr:col>
      <xdr:colOff>9525</xdr:colOff>
      <xdr:row>2</xdr:row>
      <xdr:rowOff>114300</xdr:rowOff>
    </xdr:to>
    <xdr:cxnSp macro="">
      <xdr:nvCxnSpPr>
        <xdr:cNvPr id="36" name="Straight Connector 35">
          <a:extLst>
            <a:ext uri="{FF2B5EF4-FFF2-40B4-BE49-F238E27FC236}">
              <a16:creationId xmlns:a16="http://schemas.microsoft.com/office/drawing/2014/main" id="{00000000-0008-0000-1100-000024000000}"/>
            </a:ext>
          </a:extLst>
        </xdr:cNvPr>
        <xdr:cNvCxnSpPr/>
      </xdr:nvCxnSpPr>
      <xdr:spPr>
        <a:xfrm>
          <a:off x="28289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0</xdr:row>
      <xdr:rowOff>85725</xdr:rowOff>
    </xdr:from>
    <xdr:to>
      <xdr:col>13</xdr:col>
      <xdr:colOff>9525</xdr:colOff>
      <xdr:row>2</xdr:row>
      <xdr:rowOff>114300</xdr:rowOff>
    </xdr:to>
    <xdr:cxnSp macro="">
      <xdr:nvCxnSpPr>
        <xdr:cNvPr id="40" name="Straight Connector 39">
          <a:extLst>
            <a:ext uri="{FF2B5EF4-FFF2-40B4-BE49-F238E27FC236}">
              <a16:creationId xmlns:a16="http://schemas.microsoft.com/office/drawing/2014/main" id="{00000000-0008-0000-1100-000028000000}"/>
            </a:ext>
          </a:extLst>
        </xdr:cNvPr>
        <xdr:cNvCxnSpPr/>
      </xdr:nvCxnSpPr>
      <xdr:spPr>
        <a:xfrm>
          <a:off x="4086225" y="85725"/>
          <a:ext cx="9525" cy="4286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291352</xdr:colOff>
      <xdr:row>0</xdr:row>
      <xdr:rowOff>11208</xdr:rowOff>
    </xdr:from>
    <xdr:to>
      <xdr:col>9</xdr:col>
      <xdr:colOff>0</xdr:colOff>
      <xdr:row>3</xdr:row>
      <xdr:rowOff>11208</xdr:rowOff>
    </xdr:to>
    <xdr:sp macro="" textlink="">
      <xdr:nvSpPr>
        <xdr:cNvPr id="41" name="Rectangle 40">
          <a:hlinkClick xmlns:r="http://schemas.openxmlformats.org/officeDocument/2006/relationships" r:id="rId8" tooltip="Welcome"/>
          <a:extLst>
            <a:ext uri="{FF2B5EF4-FFF2-40B4-BE49-F238E27FC236}">
              <a16:creationId xmlns:a16="http://schemas.microsoft.com/office/drawing/2014/main" id="{00000000-0008-0000-1100-000029000000}"/>
            </a:ext>
          </a:extLst>
        </xdr:cNvPr>
        <xdr:cNvSpPr/>
      </xdr:nvSpPr>
      <xdr:spPr>
        <a:xfrm>
          <a:off x="1548652" y="11208"/>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6724</xdr:colOff>
      <xdr:row>0</xdr:row>
      <xdr:rowOff>6726</xdr:rowOff>
    </xdr:from>
    <xdr:to>
      <xdr:col>13</xdr:col>
      <xdr:colOff>29136</xdr:colOff>
      <xdr:row>3</xdr:row>
      <xdr:rowOff>6726</xdr:rowOff>
    </xdr:to>
    <xdr:sp macro="" textlink="">
      <xdr:nvSpPr>
        <xdr:cNvPr id="43" name="Rectangle 42">
          <a:hlinkClick xmlns:r="http://schemas.openxmlformats.org/officeDocument/2006/relationships" r:id="rId9" tooltip="Instructions"/>
          <a:extLst>
            <a:ext uri="{FF2B5EF4-FFF2-40B4-BE49-F238E27FC236}">
              <a16:creationId xmlns:a16="http://schemas.microsoft.com/office/drawing/2014/main" id="{00000000-0008-0000-1100-00002B000000}"/>
            </a:ext>
          </a:extLst>
        </xdr:cNvPr>
        <xdr:cNvSpPr/>
      </xdr:nvSpPr>
      <xdr:spPr>
        <a:xfrm>
          <a:off x="2835649" y="6726"/>
          <a:ext cx="127971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302559</xdr:colOff>
      <xdr:row>0</xdr:row>
      <xdr:rowOff>11206</xdr:rowOff>
    </xdr:from>
    <xdr:to>
      <xdr:col>45</xdr:col>
      <xdr:colOff>0</xdr:colOff>
      <xdr:row>3</xdr:row>
      <xdr:rowOff>11206</xdr:rowOff>
    </xdr:to>
    <xdr:sp macro="" textlink="">
      <xdr:nvSpPr>
        <xdr:cNvPr id="44" name="Rectangle 43">
          <a:hlinkClick xmlns:r="http://schemas.openxmlformats.org/officeDocument/2006/relationships" r:id="rId10" tooltip="Contact"/>
          <a:extLst>
            <a:ext uri="{FF2B5EF4-FFF2-40B4-BE49-F238E27FC236}">
              <a16:creationId xmlns:a16="http://schemas.microsoft.com/office/drawing/2014/main" id="{00000000-0008-0000-1100-00002C000000}"/>
            </a:ext>
          </a:extLst>
        </xdr:cNvPr>
        <xdr:cNvSpPr/>
      </xdr:nvSpPr>
      <xdr:spPr>
        <a:xfrm>
          <a:off x="12875559" y="11206"/>
          <a:ext cx="1278591"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309282</xdr:colOff>
      <xdr:row>0</xdr:row>
      <xdr:rowOff>0</xdr:rowOff>
    </xdr:from>
    <xdr:to>
      <xdr:col>37</xdr:col>
      <xdr:colOff>17930</xdr:colOff>
      <xdr:row>3</xdr:row>
      <xdr:rowOff>0</xdr:rowOff>
    </xdr:to>
    <xdr:sp macro="" textlink="">
      <xdr:nvSpPr>
        <xdr:cNvPr id="45" name="Rectangle 44">
          <a:hlinkClick xmlns:r="http://schemas.openxmlformats.org/officeDocument/2006/relationships" r:id="rId11" tooltip=" "/>
          <a:extLst>
            <a:ext uri="{FF2B5EF4-FFF2-40B4-BE49-F238E27FC236}">
              <a16:creationId xmlns:a16="http://schemas.microsoft.com/office/drawing/2014/main" id="{00000000-0008-0000-1100-00002D000000}"/>
            </a:ext>
          </a:extLst>
        </xdr:cNvPr>
        <xdr:cNvSpPr/>
      </xdr:nvSpPr>
      <xdr:spPr>
        <a:xfrm>
          <a:off x="10367682" y="0"/>
          <a:ext cx="1280273"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293594</xdr:colOff>
      <xdr:row>0</xdr:row>
      <xdr:rowOff>6723</xdr:rowOff>
    </xdr:from>
    <xdr:to>
      <xdr:col>41</xdr:col>
      <xdr:colOff>2241</xdr:colOff>
      <xdr:row>3</xdr:row>
      <xdr:rowOff>6723</xdr:rowOff>
    </xdr:to>
    <xdr:sp macro="" textlink="">
      <xdr:nvSpPr>
        <xdr:cNvPr id="51" name="Rectangle 50">
          <a:hlinkClick xmlns:r="http://schemas.openxmlformats.org/officeDocument/2006/relationships" r:id="rId12" tooltip=" "/>
          <a:extLst>
            <a:ext uri="{FF2B5EF4-FFF2-40B4-BE49-F238E27FC236}">
              <a16:creationId xmlns:a16="http://schemas.microsoft.com/office/drawing/2014/main" id="{00000000-0008-0000-1100-000033000000}"/>
            </a:ext>
          </a:extLst>
        </xdr:cNvPr>
        <xdr:cNvSpPr/>
      </xdr:nvSpPr>
      <xdr:spPr>
        <a:xfrm>
          <a:off x="11609294" y="6723"/>
          <a:ext cx="1280272" cy="600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291353</xdr:colOff>
      <xdr:row>7</xdr:row>
      <xdr:rowOff>183776</xdr:rowOff>
    </xdr:from>
    <xdr:to>
      <xdr:col>10</xdr:col>
      <xdr:colOff>291353</xdr:colOff>
      <xdr:row>11</xdr:row>
      <xdr:rowOff>15687</xdr:rowOff>
    </xdr:to>
    <xdr:sp macro="" textlink="">
      <xdr:nvSpPr>
        <xdr:cNvPr id="3" name="Rectangle 2">
          <a:hlinkClick xmlns:r="http://schemas.openxmlformats.org/officeDocument/2006/relationships" r:id="rId13" tooltip="Lighting"/>
          <a:extLst>
            <a:ext uri="{FF2B5EF4-FFF2-40B4-BE49-F238E27FC236}">
              <a16:creationId xmlns:a16="http://schemas.microsoft.com/office/drawing/2014/main" id="{00000000-0008-0000-1100-000003000000}"/>
            </a:ext>
          </a:extLst>
        </xdr:cNvPr>
        <xdr:cNvSpPr/>
      </xdr:nvSpPr>
      <xdr:spPr>
        <a:xfrm>
          <a:off x="2173941"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290072</xdr:colOff>
      <xdr:row>7</xdr:row>
      <xdr:rowOff>183776</xdr:rowOff>
    </xdr:from>
    <xdr:to>
      <xdr:col>14</xdr:col>
      <xdr:colOff>290072</xdr:colOff>
      <xdr:row>11</xdr:row>
      <xdr:rowOff>15687</xdr:rowOff>
    </xdr:to>
    <xdr:sp macro="" textlink="">
      <xdr:nvSpPr>
        <xdr:cNvPr id="52" name="Rectangle 51">
          <a:hlinkClick xmlns:r="http://schemas.openxmlformats.org/officeDocument/2006/relationships" r:id="rId14" tooltip="Lighting Controls"/>
          <a:extLst>
            <a:ext uri="{FF2B5EF4-FFF2-40B4-BE49-F238E27FC236}">
              <a16:creationId xmlns:a16="http://schemas.microsoft.com/office/drawing/2014/main" id="{00000000-0008-0000-1100-000034000000}"/>
            </a:ext>
          </a:extLst>
        </xdr:cNvPr>
        <xdr:cNvSpPr/>
      </xdr:nvSpPr>
      <xdr:spPr>
        <a:xfrm>
          <a:off x="3427719"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299997</xdr:colOff>
      <xdr:row>7</xdr:row>
      <xdr:rowOff>183776</xdr:rowOff>
    </xdr:from>
    <xdr:to>
      <xdr:col>18</xdr:col>
      <xdr:colOff>299997</xdr:colOff>
      <xdr:row>11</xdr:row>
      <xdr:rowOff>15687</xdr:rowOff>
    </xdr:to>
    <xdr:sp macro="" textlink="">
      <xdr:nvSpPr>
        <xdr:cNvPr id="53" name="Rectangle 52">
          <a:hlinkClick xmlns:r="http://schemas.openxmlformats.org/officeDocument/2006/relationships" r:id="rId15" tooltip="Refrigeration"/>
          <a:extLst>
            <a:ext uri="{FF2B5EF4-FFF2-40B4-BE49-F238E27FC236}">
              <a16:creationId xmlns:a16="http://schemas.microsoft.com/office/drawing/2014/main" id="{00000000-0008-0000-1100-000035000000}"/>
            </a:ext>
          </a:extLst>
        </xdr:cNvPr>
        <xdr:cNvSpPr/>
      </xdr:nvSpPr>
      <xdr:spPr>
        <a:xfrm>
          <a:off x="4692703"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309922</xdr:colOff>
      <xdr:row>7</xdr:row>
      <xdr:rowOff>183776</xdr:rowOff>
    </xdr:from>
    <xdr:to>
      <xdr:col>22</xdr:col>
      <xdr:colOff>309922</xdr:colOff>
      <xdr:row>11</xdr:row>
      <xdr:rowOff>15687</xdr:rowOff>
    </xdr:to>
    <xdr:sp macro="" textlink="">
      <xdr:nvSpPr>
        <xdr:cNvPr id="61" name="Rectangle 60">
          <a:hlinkClick xmlns:r="http://schemas.openxmlformats.org/officeDocument/2006/relationships" r:id="rId16" tooltip="HVAC"/>
          <a:extLst>
            <a:ext uri="{FF2B5EF4-FFF2-40B4-BE49-F238E27FC236}">
              <a16:creationId xmlns:a16="http://schemas.microsoft.com/office/drawing/2014/main" id="{00000000-0008-0000-1100-00003D000000}"/>
            </a:ext>
          </a:extLst>
        </xdr:cNvPr>
        <xdr:cNvSpPr/>
      </xdr:nvSpPr>
      <xdr:spPr>
        <a:xfrm>
          <a:off x="5957687"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6083</xdr:colOff>
      <xdr:row>7</xdr:row>
      <xdr:rowOff>183776</xdr:rowOff>
    </xdr:from>
    <xdr:to>
      <xdr:col>27</xdr:col>
      <xdr:colOff>6083</xdr:colOff>
      <xdr:row>11</xdr:row>
      <xdr:rowOff>15687</xdr:rowOff>
    </xdr:to>
    <xdr:sp macro="" textlink="">
      <xdr:nvSpPr>
        <xdr:cNvPr id="62" name="Rectangle 61">
          <a:hlinkClick xmlns:r="http://schemas.openxmlformats.org/officeDocument/2006/relationships" r:id="rId17" tooltip="Motors and Drives"/>
          <a:extLst>
            <a:ext uri="{FF2B5EF4-FFF2-40B4-BE49-F238E27FC236}">
              <a16:creationId xmlns:a16="http://schemas.microsoft.com/office/drawing/2014/main" id="{00000000-0008-0000-1100-00003E000000}"/>
            </a:ext>
          </a:extLst>
        </xdr:cNvPr>
        <xdr:cNvSpPr/>
      </xdr:nvSpPr>
      <xdr:spPr>
        <a:xfrm>
          <a:off x="7222671"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16008</xdr:colOff>
      <xdr:row>7</xdr:row>
      <xdr:rowOff>183776</xdr:rowOff>
    </xdr:from>
    <xdr:to>
      <xdr:col>31</xdr:col>
      <xdr:colOff>16008</xdr:colOff>
      <xdr:row>11</xdr:row>
      <xdr:rowOff>15687</xdr:rowOff>
    </xdr:to>
    <xdr:sp macro="" textlink="">
      <xdr:nvSpPr>
        <xdr:cNvPr id="63" name="Rectangle 62">
          <a:hlinkClick xmlns:r="http://schemas.openxmlformats.org/officeDocument/2006/relationships" r:id="rId18" tooltip="Compressed Air / Process"/>
          <a:extLst>
            <a:ext uri="{FF2B5EF4-FFF2-40B4-BE49-F238E27FC236}">
              <a16:creationId xmlns:a16="http://schemas.microsoft.com/office/drawing/2014/main" id="{00000000-0008-0000-1100-00003F000000}"/>
            </a:ext>
          </a:extLst>
        </xdr:cNvPr>
        <xdr:cNvSpPr/>
      </xdr:nvSpPr>
      <xdr:spPr>
        <a:xfrm>
          <a:off x="8487655"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25933</xdr:colOff>
      <xdr:row>7</xdr:row>
      <xdr:rowOff>183776</xdr:rowOff>
    </xdr:from>
    <xdr:to>
      <xdr:col>35</xdr:col>
      <xdr:colOff>25933</xdr:colOff>
      <xdr:row>11</xdr:row>
      <xdr:rowOff>15687</xdr:rowOff>
    </xdr:to>
    <xdr:sp macro="" textlink="">
      <xdr:nvSpPr>
        <xdr:cNvPr id="64" name="Rectangle 63">
          <a:hlinkClick xmlns:r="http://schemas.openxmlformats.org/officeDocument/2006/relationships" r:id="rId19" tooltip="Water Heating / Food Services"/>
          <a:extLst>
            <a:ext uri="{FF2B5EF4-FFF2-40B4-BE49-F238E27FC236}">
              <a16:creationId xmlns:a16="http://schemas.microsoft.com/office/drawing/2014/main" id="{00000000-0008-0000-1100-000040000000}"/>
            </a:ext>
          </a:extLst>
        </xdr:cNvPr>
        <xdr:cNvSpPr/>
      </xdr:nvSpPr>
      <xdr:spPr>
        <a:xfrm>
          <a:off x="9752639"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24650</xdr:colOff>
      <xdr:row>7</xdr:row>
      <xdr:rowOff>183776</xdr:rowOff>
    </xdr:from>
    <xdr:to>
      <xdr:col>39</xdr:col>
      <xdr:colOff>24650</xdr:colOff>
      <xdr:row>11</xdr:row>
      <xdr:rowOff>15687</xdr:rowOff>
    </xdr:to>
    <xdr:sp macro="" textlink="">
      <xdr:nvSpPr>
        <xdr:cNvPr id="65" name="Rectangle 64">
          <a:hlinkClick xmlns:r="http://schemas.openxmlformats.org/officeDocument/2006/relationships" r:id="rId20" tooltip="Miscellaneous"/>
          <a:extLst>
            <a:ext uri="{FF2B5EF4-FFF2-40B4-BE49-F238E27FC236}">
              <a16:creationId xmlns:a16="http://schemas.microsoft.com/office/drawing/2014/main" id="{00000000-0008-0000-1100-000041000000}"/>
            </a:ext>
          </a:extLst>
        </xdr:cNvPr>
        <xdr:cNvSpPr/>
      </xdr:nvSpPr>
      <xdr:spPr>
        <a:xfrm>
          <a:off x="11006415" y="1595717"/>
          <a:ext cx="1255059" cy="638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clientData/>
  </xdr:twoCellAnchor>
  <xdr:twoCellAnchor>
    <xdr:from>
      <xdr:col>20</xdr:col>
      <xdr:colOff>41032</xdr:colOff>
      <xdr:row>3</xdr:row>
      <xdr:rowOff>64583</xdr:rowOff>
    </xdr:from>
    <xdr:to>
      <xdr:col>25</xdr:col>
      <xdr:colOff>302913</xdr:colOff>
      <xdr:row>7</xdr:row>
      <xdr:rowOff>102459</xdr:rowOff>
    </xdr:to>
    <xdr:sp macro="" textlink="M2S4">
      <xdr:nvSpPr>
        <xdr:cNvPr id="66" name="Arrow: Chevron 65">
          <a:hlinkClick xmlns:r="http://schemas.openxmlformats.org/officeDocument/2006/relationships" r:id="rId21" tooltip="Building Information"/>
          <a:extLst>
            <a:ext uri="{FF2B5EF4-FFF2-40B4-BE49-F238E27FC236}">
              <a16:creationId xmlns:a16="http://schemas.microsoft.com/office/drawing/2014/main" id="{00000000-0008-0000-1100-000042000000}"/>
            </a:ext>
          </a:extLst>
        </xdr:cNvPr>
        <xdr:cNvSpPr/>
      </xdr:nvSpPr>
      <xdr:spPr>
        <a:xfrm>
          <a:off x="6327532" y="664658"/>
          <a:ext cx="1833506" cy="837976"/>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145677</xdr:colOff>
      <xdr:row>13</xdr:row>
      <xdr:rowOff>78441</xdr:rowOff>
    </xdr:from>
    <xdr:to>
      <xdr:col>12</xdr:col>
      <xdr:colOff>101281</xdr:colOff>
      <xdr:row>14</xdr:row>
      <xdr:rowOff>67235</xdr:rowOff>
    </xdr:to>
    <xdr:grpSp>
      <xdr:nvGrpSpPr>
        <xdr:cNvPr id="48" name="Group 47">
          <a:extLst>
            <a:ext uri="{FF2B5EF4-FFF2-40B4-BE49-F238E27FC236}">
              <a16:creationId xmlns:a16="http://schemas.microsoft.com/office/drawing/2014/main" id="{00000000-0008-0000-1100-000030000000}"/>
            </a:ext>
          </a:extLst>
        </xdr:cNvPr>
        <xdr:cNvGrpSpPr/>
      </xdr:nvGrpSpPr>
      <xdr:grpSpPr>
        <a:xfrm>
          <a:off x="1714501" y="2700617"/>
          <a:ext cx="2151956" cy="190500"/>
          <a:chOff x="1390358" y="2723028"/>
          <a:chExt cx="2151956" cy="190500"/>
        </a:xfrm>
      </xdr:grpSpPr>
      <xdr:sp macro="" textlink="">
        <xdr:nvSpPr>
          <xdr:cNvPr id="49" name="Rectangle 48">
            <a:hlinkClick xmlns:r="http://schemas.openxmlformats.org/officeDocument/2006/relationships" r:id="rId22" tooltip="Standard"/>
            <a:extLst>
              <a:ext uri="{FF2B5EF4-FFF2-40B4-BE49-F238E27FC236}">
                <a16:creationId xmlns:a16="http://schemas.microsoft.com/office/drawing/2014/main" id="{00000000-0008-0000-1100-000031000000}"/>
              </a:ext>
            </a:extLst>
          </xdr:cNvPr>
          <xdr:cNvSpPr/>
        </xdr:nvSpPr>
        <xdr:spPr>
          <a:xfrm>
            <a:off x="1390358" y="2723028"/>
            <a:ext cx="1070651" cy="190500"/>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50" name="Rectangle 49">
            <a:hlinkClick xmlns:r="http://schemas.openxmlformats.org/officeDocument/2006/relationships" r:id="rId23" tooltip="Custom"/>
            <a:extLst>
              <a:ext uri="{FF2B5EF4-FFF2-40B4-BE49-F238E27FC236}">
                <a16:creationId xmlns:a16="http://schemas.microsoft.com/office/drawing/2014/main" id="{00000000-0008-0000-1100-000032000000}"/>
              </a:ext>
            </a:extLst>
          </xdr:cNvPr>
          <xdr:cNvSpPr/>
        </xdr:nvSpPr>
        <xdr:spPr>
          <a:xfrm>
            <a:off x="2472466" y="2723028"/>
            <a:ext cx="1069848" cy="190500"/>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0</xdr:col>
      <xdr:colOff>0</xdr:colOff>
      <xdr:row>0</xdr:row>
      <xdr:rowOff>0</xdr:rowOff>
    </xdr:from>
    <xdr:to>
      <xdr:col>4</xdr:col>
      <xdr:colOff>262423</xdr:colOff>
      <xdr:row>2</xdr:row>
      <xdr:rowOff>180430</xdr:rowOff>
    </xdr:to>
    <xdr:pic>
      <xdr:nvPicPr>
        <xdr:cNvPr id="39" name="Picture 38">
          <a:extLst>
            <a:ext uri="{FF2B5EF4-FFF2-40B4-BE49-F238E27FC236}">
              <a16:creationId xmlns:a16="http://schemas.microsoft.com/office/drawing/2014/main" id="{00000000-0008-0000-1100-000027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11767" cy="570507"/>
        </a:xfrm>
        <a:prstGeom prst="rect">
          <a:avLst/>
        </a:prstGeom>
        <a:solidFill>
          <a:schemeClr val="bg1"/>
        </a:solid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F11:H39" totalsRowShown="0">
  <autoFilter ref="F11:H39" xr:uid="{00000000-0009-0000-0100-000016000000}"/>
  <sortState xmlns:xlrd2="http://schemas.microsoft.com/office/spreadsheetml/2017/richdata2" ref="F12:H39">
    <sortCondition ref="F11:F39"/>
  </sortState>
  <tableColumns count="3">
    <tableColumn id="1" xr3:uid="{00000000-0010-0000-0F00-000001000000}" name="Building Type"/>
    <tableColumn id="2" xr3:uid="{012EE1D3-CD84-485D-B59E-074B7EDC9514}" name="Waste Heat Factor (e)"/>
    <tableColumn id="3" xr3:uid="{E371E3AC-A18A-417A-AFAC-FA46190A5616}" name="Lighting Coincidence Factor"/>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82:D98" totalsRowShown="0">
  <autoFilter ref="C82:D98"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C71:D80" totalsRowShown="0">
  <autoFilter ref="C71:D80" xr:uid="{00000000-0009-0000-0100-00002B000000}"/>
  <tableColumns count="2">
    <tableColumn id="1" xr3:uid="{00000000-0010-0000-1C00-000001000000}" name="Rate Schedules"/>
    <tableColumn id="2" xr3:uid="{00000000-0010-0000-1C00-000002000000}" name="Rat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5" totalsRowShown="0">
  <autoFilter ref="A60:A65" xr:uid="{00000000-0009-0000-0100-00002C000000}"/>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41:H46" totalsRowShown="0">
  <autoFilter ref="F41:H46" xr:uid="{00000000-0009-0000-0100-00002E000000}"/>
  <sortState xmlns:xlrd2="http://schemas.microsoft.com/office/spreadsheetml/2017/richdata2" ref="F42:F47">
    <sortCondition ref="F42"/>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68:A74" totalsRowShown="0">
  <autoFilter ref="A68:A74" xr:uid="{00000000-0009-0000-0100-00002F000000}"/>
  <sortState xmlns:xlrd2="http://schemas.microsoft.com/office/spreadsheetml/2017/richdata2" ref="A69:A74">
    <sortCondition ref="A69"/>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100:D112" totalsRowShown="0">
  <autoFilter ref="C100:D112" xr:uid="{9919102D-53DA-4750-B123-AE16CB929FEB}"/>
  <tableColumns count="2">
    <tableColumn id="1" xr3:uid="{E971C422-A0DF-407A-810E-59EFF0DE1F82}" name="Tests/Rates/Caps"/>
    <tableColumn id="2" xr3:uid="{E6B94532-F98C-4B3E-9352-D56CE4FDE74E}" name="Value" dataDxfId="649"/>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76:A78" totalsRowShown="0">
  <autoFilter ref="A76:A78"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J18:U23" totalsRowShown="0">
  <autoFilter ref="J18:U23" xr:uid="{0862F6BE-6689-4E94-8380-725C6AE2599D}"/>
  <tableColumns count="12">
    <tableColumn id="1" xr3:uid="{43EF493E-3768-4697-B4AF-0A98C71A925F}" name="Payment to"/>
    <tableColumn id="2" xr3:uid="{D3318855-A63D-4387-BA7E-ABEDEDD244B4}" name="Company" dataDxfId="648">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647">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18:D69" totalsRowShown="0">
  <autoFilter ref="C18:D69" xr:uid="{00000000-0009-0000-0100-000018000000}"/>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0:A83" totalsRowShown="0">
  <autoFilter ref="A80:A83"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14:D116" totalsRowShown="0" headerRowDxfId="646" dataDxfId="645">
  <autoFilter ref="C114:D116" xr:uid="{4006C8D3-4E41-433A-8082-3DB838C080D7}"/>
  <tableColumns count="2">
    <tableColumn id="1" xr3:uid="{3AD87508-FC4D-4B42-BB18-789A39A72F02}" name="WBP Energy Savings % Below Baseline" dataDxfId="644"/>
    <tableColumn id="2" xr3:uid="{C53A8002-A38F-4660-BAB0-2CC0907E8BCF}" name="Incentive Rate" dataDxfId="64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85:A93" totalsRowShown="0">
  <autoFilter ref="A85:A93" xr:uid="{6F283F39-100C-4495-8665-57CDBE2EA3EC}"/>
  <sortState xmlns:xlrd2="http://schemas.microsoft.com/office/spreadsheetml/2017/richdata2" ref="A86:A92">
    <sortCondition ref="A85:A92"/>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J25:U30" totalsRowShown="0">
  <autoFilter ref="J25:U30" xr:uid="{E444B727-113C-49A4-A17A-A8E783547E95}"/>
  <tableColumns count="12">
    <tableColumn id="1" xr3:uid="{B0D78A6C-B16B-4DF1-9AF4-5EDD28F0FE92}" name="Payment to"/>
    <tableColumn id="2" xr3:uid="{54FBAF29-726F-4651-950F-D2488E8A4A8E}" name="Company" dataDxfId="642">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641">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J37:J43" totalsRowShown="0">
  <autoFilter ref="J37:J43"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18:D136" totalsRowShown="0" tableBorderDxfId="640">
  <autoFilter ref="C118:D136"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GRAMTYPE" displayName="PROGRAMTYPE" ref="A95:A97" totalsRowShown="0">
  <autoFilter ref="A95:A97" xr:uid="{00000000-0009-0000-0100-000003000000}"/>
  <sortState xmlns:xlrd2="http://schemas.microsoft.com/office/spreadsheetml/2017/richdata2" ref="A96:B98">
    <sortCondition descending="1" ref="A95:A98"/>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0:A102" totalsRowShown="0">
  <autoFilter ref="A100:A102" xr:uid="{0E4FDCE4-66D1-4FBA-BDDA-ECA15BC8AF84}"/>
  <sortState xmlns:xlrd2="http://schemas.microsoft.com/office/spreadsheetml/2017/richdata2" ref="A101:B103">
    <sortCondition descending="1" ref="A95:A98"/>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69E84EE-EA2E-4F4F-9C80-54660C09F621}" name="Table72" displayName="Table72" ref="L37:L40" totalsRowShown="0">
  <autoFilter ref="L37:L40" xr:uid="{1A70287E-1E6A-4511-8DF3-D43C221E312F}"/>
  <tableColumns count="1">
    <tableColumn id="1" xr3:uid="{329457A8-9DFA-4463-B403-994F47752565}"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C35" totalsRowShown="0" headerRowDxfId="618" dataDxfId="616" headerRowBorderDxfId="617" tableBorderDxfId="615" totalsRowBorderDxfId="614">
  <autoFilter ref="B2:AC35" xr:uid="{4895173A-855F-4E2D-AC5D-F9E9E41D1188}"/>
  <tableColumns count="28">
    <tableColumn id="4" xr3:uid="{B50287D4-9A5B-4479-9E21-9768FB203FF4}" name="Measure Number" dataDxfId="613"/>
    <tableColumn id="6" xr3:uid="{DE98E972-897B-4C73-8D3D-EE0A0686CEA2}" name="Measure Name" dataDxfId="612"/>
    <tableColumn id="3" xr3:uid="{2B262458-0F3F-4815-848B-15794C90CBC1}" name="Primary Key" dataDxfId="611"/>
    <tableColumn id="2" xr3:uid="{0EBDA415-A26A-4682-947A-DADB173F14A4}" name="TRM Measure Name" dataDxfId="610"/>
    <tableColumn id="1" xr3:uid="{3DCD48CC-CC9E-4205-91D4-554261CED467}" name="Program" dataDxfId="609"/>
    <tableColumn id="5" xr3:uid="{DEB1FA13-F476-420D-BC33-2F818663C744}" name="End Use" dataDxfId="608"/>
    <tableColumn id="11" xr3:uid="{CCA66FCC-BC9C-4340-9653-BCCD965F0D38}" name="Current Unit" dataDxfId="607"/>
    <tableColumn id="12" xr3:uid="{644D938F-6D77-4172-8FB4-6EF72CEB6F61}" name="Current Incentive" dataDxfId="606"/>
    <tableColumn id="20" xr3:uid="{C722D32F-F2D5-4D38-9FEB-C3BE8C65A774}" name="Previous Incentive" dataDxfId="605"/>
    <tableColumn id="13" xr3:uid="{20ACE862-480F-402E-9B54-D6E0F102225C}" name="Incremental Measure Cost ($/Unit)" dataDxfId="604"/>
    <tableColumn id="14" xr3:uid="{D62D38F6-2C86-4505-8031-9D230C728057}" name="Electric Energy Savings (Annual kWh/unit)" dataDxfId="603"/>
    <tableColumn id="19" xr3:uid="{3A773825-9FAB-40E4-8654-EEB5C7A2421A}" name="Coincident Peak Demand Savings (kW/unit)" dataDxfId="602"/>
    <tableColumn id="23" xr3:uid="{125BF0C0-72FB-4C60-A66F-3F5AF909171D}" name="Measure Life (Years)" dataDxfId="601"/>
    <tableColumn id="24" xr3:uid="{BE25DCC4-F8E9-4B93-9BD0-64509F7C090D}" name="Efficient Definition" dataDxfId="600"/>
    <tableColumn id="25" xr3:uid="{319F27B7-8902-48DB-9ACA-D9262D36F815}" name="Measure Efficiency Value" dataDxfId="599"/>
    <tableColumn id="27" xr3:uid="{3E70ADD7-1287-4B4B-BD26-1CEA755E20D1}" name="Baseline Definition" dataDxfId="598"/>
    <tableColumn id="28" xr3:uid="{775DB3FA-2FFA-423A-BFF0-54FB1617E873}" name="Baseline Efficiency Value" dataDxfId="597"/>
    <tableColumn id="32" xr3:uid="{FEBD03E6-E46F-4FED-BBF8-6C4421D4D287}" name="Effective Start Date" dataDxfId="596"/>
    <tableColumn id="8" xr3:uid="{50EACB37-426F-4542-97EC-DBD66945DA21}" name="Order" dataDxfId="595"/>
    <tableColumn id="16" xr3:uid="{934AEC36-8C2D-472F-8252-5BA37A41AB4E}" name="Reporting Methodology" dataDxfId="594"/>
    <tableColumn id="7" xr3:uid="{887277F5-3A85-4129-9AAD-19F0A9A0F81E}" name="Eff Category 1" dataDxfId="593"/>
    <tableColumn id="18" xr3:uid="{3633352C-5B73-4757-A215-6D2A537DCA68}" name="Ineff Dropdown 1" dataDxfId="592"/>
    <tableColumn id="17" xr3:uid="{0BE5747A-0C12-4BD5-9281-33646F34B7ED}" name="Ineff Dropdown 2" dataDxfId="591"/>
    <tableColumn id="9" xr3:uid="{8CE2CEB6-1F50-4401-B50D-2B2BEDDB2ED7}" name="Baseline Min Wattage" dataDxfId="590"/>
    <tableColumn id="10" xr3:uid="{F80BFA11-A03D-45F7-9E74-66400A05CAA7}" name="Baseline Max Wattage" dataDxfId="589"/>
    <tableColumn id="21" xr3:uid="{709CBDAF-D0A3-41EF-B873-D462BCBA4317}" name="Eff Min Wattage" dataDxfId="588"/>
    <tableColumn id="22" xr3:uid="{07D4AA8C-45DF-41FB-9DA8-65D461BAB30F}" name="Eff Max Wattage" dataDxfId="587"/>
    <tableColumn id="15" xr3:uid="{AE2C127F-5D54-42AB-9016-8BE2DF9E9ED1}" name="Column1" dataDxfId="58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A28:A34" totalsRowShown="0">
  <autoFilter ref="A28:A34" xr:uid="{00000000-0009-0000-0100-000019000000}"/>
  <tableColumns count="1">
    <tableColumn id="1" xr3:uid="{00000000-0010-0000-1100-000001000000}" name="Space Conditioning"/>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43:AC51" totalsRowShown="0" headerRowDxfId="585" dataDxfId="583" headerRowBorderDxfId="584" tableBorderDxfId="582" totalsRowBorderDxfId="581">
  <autoFilter ref="B43:AC51" xr:uid="{747A3E90-CEBA-4A10-8B01-EA60600CF868}"/>
  <tableColumns count="28">
    <tableColumn id="8" xr3:uid="{FDC2648E-FE9D-4DE6-800D-0A6BCFB68755}" name="Measure Number" dataDxfId="580"/>
    <tableColumn id="9" xr3:uid="{9443964C-4DE3-4AC9-A717-FA221537F8F7}" name="Measure Name" dataDxfId="579"/>
    <tableColumn id="2" xr3:uid="{580E1CA2-E1FE-4D5C-819C-B33F2C812C52}" name="Primary Key" dataDxfId="578"/>
    <tableColumn id="1" xr3:uid="{091114A7-7258-4D8E-9F19-AE34E7328ABD}" name="TRM Measure Name" dataDxfId="577"/>
    <tableColumn id="3" xr3:uid="{D7F3515E-B418-4D48-AC6D-EACF949C125D}" name="Program" dataDxfId="576"/>
    <tableColumn id="4" xr3:uid="{001A4F95-6AF4-4322-84BB-39669907A6ED}" name="End Use" dataDxfId="575"/>
    <tableColumn id="10" xr3:uid="{75AD3656-C2FC-406C-AA1C-CB765542C05A}" name="Current Unit" dataDxfId="574"/>
    <tableColumn id="11" xr3:uid="{02B27251-CDDD-405A-8CA7-AFE8CB86BC6B}" name="Current Incentive" dataDxfId="573"/>
    <tableColumn id="27" xr3:uid="{0576F4BF-0AB9-46B8-9F70-F9A467323224}" name="Previous Incentive" dataDxfId="572"/>
    <tableColumn id="12" xr3:uid="{2835465A-B00B-4979-91CE-86CBCCE6D9C1}" name="Incremental Measure Cost ($/Unit)" dataDxfId="571"/>
    <tableColumn id="13" xr3:uid="{C6C9DE10-3EEE-488A-98FF-AECB4E6FB03D}" name="Electric Energy Savings (Annual kWh/unit)" dataDxfId="570"/>
    <tableColumn id="18" xr3:uid="{5F6CED27-CCB8-4E5F-A5A2-E97A1C78478A}" name="Coincident Peak Demand Savings (kW/unit)" dataDxfId="569"/>
    <tableColumn id="22" xr3:uid="{376B6F99-609F-41BD-BFCA-43D14987181D}" name="Measure Life (Years)" dataDxfId="568"/>
    <tableColumn id="23" xr3:uid="{2A8FB1F4-A8EC-462D-A510-718FB0830B64}" name="Efficient Definition" dataDxfId="567"/>
    <tableColumn id="6" xr3:uid="{E3AD8E3C-0072-4033-802F-BADC0200C967}" name="Measure Efficiency Value" dataDxfId="566"/>
    <tableColumn id="26" xr3:uid="{290AA83B-7B1C-4A73-A707-3D5D684105C5}" name="Baseline Definition" dataDxfId="565"/>
    <tableColumn id="7" xr3:uid="{12D03A51-588B-4F2F-AF55-06F60DB400B4}" name="Baseline Efficiency Value" dataDxfId="564"/>
    <tableColumn id="31" xr3:uid="{AD455FBC-C675-44E7-8D06-82B334C2365B}" name="Effective Start Date" dataDxfId="563"/>
    <tableColumn id="5" xr3:uid="{494F2E2F-CDC0-4ECF-8A9D-36B48C00D495}" name="Order" dataDxfId="562"/>
    <tableColumn id="25" xr3:uid="{861D363D-19E5-4248-B01F-6CEFE08F13B7}" name="Reporting Methodology" dataDxfId="561"/>
    <tableColumn id="15" xr3:uid="{69633EB4-7565-419E-8811-C29B9B35FB0B}" name="Column1" dataDxfId="560"/>
    <tableColumn id="16" xr3:uid="{64A02FF5-7829-4627-96B9-26112BF1B264}" name="Column12" dataDxfId="559"/>
    <tableColumn id="17" xr3:uid="{E60E0210-AB94-4857-9232-3E0DB1A8EDEE}" name="Column13" dataDxfId="558"/>
    <tableColumn id="19" xr3:uid="{9932F5A7-4B22-440E-B8DE-485DB36FCC73}" name="Column14" dataDxfId="557"/>
    <tableColumn id="20" xr3:uid="{BFA934FC-60B6-436A-AC0E-C7E32330C147}" name="Column15" dataDxfId="556"/>
    <tableColumn id="21" xr3:uid="{D06F08DD-328E-4B62-B9CD-E11767B47426}" name="Column16" dataDxfId="555"/>
    <tableColumn id="24" xr3:uid="{8DFE7ECF-B0E0-458C-AF57-991656F4F55A}" name="Column17" dataDxfId="554"/>
    <tableColumn id="14" xr3:uid="{0BE83C23-21CD-40AA-96CB-61389B008ED4}" name="Column18" dataDxfId="553"/>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53:AC60" totalsRowShown="0" headerRowDxfId="552" dataDxfId="550" headerRowBorderDxfId="551" tableBorderDxfId="549" totalsRowBorderDxfId="548">
  <autoFilter ref="B53:AC60" xr:uid="{4DFAC92A-2E58-4E04-8C90-2CD673C74E58}"/>
  <sortState xmlns:xlrd2="http://schemas.microsoft.com/office/spreadsheetml/2017/richdata2" ref="B54:AC60">
    <sortCondition ref="B53:B60"/>
  </sortState>
  <tableColumns count="28">
    <tableColumn id="4" xr3:uid="{7396AA55-7F22-4742-8BCA-B431911FB667}" name="Measure Number" dataDxfId="547" dataCellStyle="Currency"/>
    <tableColumn id="6" xr3:uid="{EF59B868-3023-424F-B661-FD996B14CAC3}" name="Measure Name" dataDxfId="546" dataCellStyle="Currency"/>
    <tableColumn id="3" xr3:uid="{EBAF61C7-EF0B-4A45-A6D0-6A9D0CECAD3B}" name="Primary Key" dataDxfId="545"/>
    <tableColumn id="2" xr3:uid="{3A01A698-E800-46E3-9C02-AB1A0BF7016C}" name="TRM Measure Name" dataDxfId="544"/>
    <tableColumn id="1" xr3:uid="{6334B704-3F51-4842-BFB6-5DBF30694599}" name="Program" dataDxfId="543"/>
    <tableColumn id="5" xr3:uid="{319F8E1A-0F00-4444-8223-B42336D8E08D}" name="End Use" dataDxfId="542"/>
    <tableColumn id="11" xr3:uid="{8074B9B8-431C-4DC5-9209-B6CE88B36530}" name="Current Unit" dataDxfId="541"/>
    <tableColumn id="12" xr3:uid="{FB94462D-B4A6-4CA7-AA03-140EF8B5D3DA}" name="Current Incentive" dataDxfId="540"/>
    <tableColumn id="22" xr3:uid="{376B30BB-6119-40AF-865F-F11B5CE04AC1}" name="Previous Incentive" dataDxfId="539"/>
    <tableColumn id="13" xr3:uid="{1EEBD042-0356-4850-BC09-A8D51754940A}" name="Incremental Measure Cost ($/Unit)" dataDxfId="538" dataCellStyle="Currency"/>
    <tableColumn id="14" xr3:uid="{382BC016-D2EE-46BA-808B-8E9BF6D2D965}" name="Electric Energy Savings (Annual kWh/unit)" dataDxfId="537" dataCellStyle="Currency"/>
    <tableColumn id="19" xr3:uid="{BC599A20-E7CE-4D1F-AD6D-8899782513A8}" name="Coincident Peak Demand Savings (kW/unit)" dataDxfId="536" dataCellStyle="Currency"/>
    <tableColumn id="23" xr3:uid="{453024FC-8B0C-4496-8297-95F7D9BB8377}" name="Measure Life (Years)" dataDxfId="535" dataCellStyle="Currency"/>
    <tableColumn id="48" xr3:uid="{66BB351A-88B6-4D25-9FCF-561DCC04EC0F}" name="Efficient Definition" dataDxfId="534" dataCellStyle="Currency"/>
    <tableColumn id="49" xr3:uid="{CC66C07E-2FAC-425B-8FA3-EB663A50489D}" name="Measure Efficiency Value" dataDxfId="533" dataCellStyle="Currency"/>
    <tableColumn id="47" xr3:uid="{F01DC29F-FB3A-4078-8162-7C4EDDE46DF1}" name="Baseline Definition" dataDxfId="532" dataCellStyle="Currency"/>
    <tableColumn id="50" xr3:uid="{8EE30D04-4CC5-40EE-89DA-E8F121829F36}" name="Baseline Efficiency Value" dataDxfId="531" dataCellStyle="Currency"/>
    <tableColumn id="32" xr3:uid="{6F7794D1-7561-4363-83C1-3A2BCCEAA0CE}" name="Effective Start Date" dataDxfId="530"/>
    <tableColumn id="8" xr3:uid="{623B4961-7F78-4163-9C64-18D8EFF544EE}" name="Order" dataDxfId="529" dataCellStyle="Currency"/>
    <tableColumn id="21" xr3:uid="{AF3B4455-19C1-47DD-8B3D-DFD5AD9E4A06}" name="Reporting Methodology" dataDxfId="528" dataCellStyle="Currency"/>
    <tableColumn id="9" xr3:uid="{5D94E84A-5241-473E-B4DF-1A5BE442FAE4}" name="Column1" dataDxfId="527"/>
    <tableColumn id="10" xr3:uid="{58F23796-2A7D-4195-A91E-C753125E9A18}" name="Column12" dataDxfId="526"/>
    <tableColumn id="15" xr3:uid="{5C29BEEB-D854-42C3-85DC-7BF657C2F9EB}" name="Column13" dataDxfId="525"/>
    <tableColumn id="16" xr3:uid="{A7BCDA7B-0595-4FBD-B15F-93A28A7FB5E4}" name="Column14" dataDxfId="524"/>
    <tableColumn id="17" xr3:uid="{7CC67657-8CAD-4520-B2CE-4DA448DA18CC}" name="Column15" dataDxfId="523"/>
    <tableColumn id="18" xr3:uid="{5A0E82A7-A7F7-4D02-A5F1-6FAA820309D5}" name="Column16" dataDxfId="522"/>
    <tableColumn id="20" xr3:uid="{59337226-7EAC-46A7-9FB9-B226BB9797D9}" name="Column17" dataDxfId="521"/>
    <tableColumn id="7" xr3:uid="{9055B788-CA1C-4A35-ABC2-4E0D60D48F07}" name="Column18" dataDxfId="520"/>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62:AC69" totalsRowShown="0" headerRowDxfId="519" dataDxfId="517" headerRowBorderDxfId="518" tableBorderDxfId="516" totalsRowBorderDxfId="515">
  <autoFilter ref="B62:AC69" xr:uid="{529A9E0E-B2EF-4F90-83A6-B434512113B0}"/>
  <sortState xmlns:xlrd2="http://schemas.microsoft.com/office/spreadsheetml/2017/richdata2" ref="B63:AC69">
    <sortCondition ref="B62:B69"/>
  </sortState>
  <tableColumns count="28">
    <tableColumn id="4" xr3:uid="{F705076F-E71C-4ABA-A87C-FABFCB9CF780}" name="Measure Number" dataDxfId="514"/>
    <tableColumn id="6" xr3:uid="{54BCF062-710F-467F-92E2-43A373A0B2BD}" name="Measure Name" dataDxfId="513"/>
    <tableColumn id="3" xr3:uid="{7B6651D1-66FB-4B91-9DA6-F495F88E1C3F}" name="Primary Key" dataDxfId="512"/>
    <tableColumn id="2" xr3:uid="{6BD2A3DC-2DCF-4E6B-A1FE-4F7FC958BCDB}" name="TRM Measure Name" dataDxfId="511"/>
    <tableColumn id="1" xr3:uid="{CF0477F3-7367-449C-810F-E6DE6BF2D3F0}" name="Program" dataDxfId="510"/>
    <tableColumn id="5" xr3:uid="{FCC19A53-B89B-4AA2-A665-7AE66C2B3DD0}" name="End Use" dataDxfId="509"/>
    <tableColumn id="11" xr3:uid="{16FA27E7-DBBC-45E5-89B1-22A2713EB2D9}" name="Current Unit" dataDxfId="508"/>
    <tableColumn id="12" xr3:uid="{028FFD7D-2525-4AA8-B0BC-C68C5064467A}" name="Current Incentive" dataDxfId="507"/>
    <tableColumn id="22" xr3:uid="{1B6708F9-6261-4838-BEC2-9221841BA8AB}" name="Previous Incentive" dataDxfId="506"/>
    <tableColumn id="13" xr3:uid="{8ADF76B2-2B9C-4427-B151-EBC430438B4A}" name="Incremental Measure Cost ($/Unit)" dataDxfId="505" dataCellStyle="Currency"/>
    <tableColumn id="14" xr3:uid="{77A68DF0-D65C-452C-954F-D9E2B9E9DAEC}" name="Electric Energy Savings (Annual kWh/unit)" dataDxfId="504" dataCellStyle="Currency"/>
    <tableColumn id="19" xr3:uid="{B2CD3A06-0F7C-4DFC-A219-2D2D2FAE1163}" name="Coincident Peak Demand Savings (kW/unit)" dataDxfId="503" dataCellStyle="Currency"/>
    <tableColumn id="23" xr3:uid="{D5A506F4-5282-4AC1-AED2-F9DD3E2CD546}" name="Measure Life (Years)" dataDxfId="502"/>
    <tableColumn id="24" xr3:uid="{665754EB-7B37-44D5-AB7E-A6C5549516D1}" name="Efficient Definition" dataDxfId="501"/>
    <tableColumn id="25" xr3:uid="{E6C77467-6BC8-4A2D-93EB-F4C29B0AE9F1}" name="Measure Efficiency Value" dataDxfId="500"/>
    <tableColumn id="27" xr3:uid="{E23D5012-011E-4365-8CAB-0DE5CCE40A82}" name="Baseline Definition" dataDxfId="499"/>
    <tableColumn id="28" xr3:uid="{FC03256C-5FD9-41A0-B3C2-F9E71FCD25C1}" name="Baseline Efficiency Value" dataDxfId="498"/>
    <tableColumn id="32" xr3:uid="{7B8995A6-90B7-4AB3-BFC0-2CE75D5A4C1A}" name="Effective Start Date" dataDxfId="497"/>
    <tableColumn id="8" xr3:uid="{22748CB9-6CD4-457A-B7A6-8DF9C908ACF3}" name="Order" dataDxfId="496" dataCellStyle="Currency"/>
    <tableColumn id="21" xr3:uid="{92EEFE38-53F7-429A-B7E0-3EA3FE80F447}" name="Reporting Methodology" dataDxfId="495" dataCellStyle="Currency"/>
    <tableColumn id="9" xr3:uid="{661938AC-0C02-4DC2-A51B-646BA53EDC8C}" name="Column1" dataDxfId="494"/>
    <tableColumn id="10" xr3:uid="{36E7BB71-7744-49CB-B7B7-6BA97EC3CB20}" name="Column12" dataDxfId="493"/>
    <tableColumn id="15" xr3:uid="{96E41E09-B918-410D-B574-7234E20D09AE}" name="Column13" dataDxfId="492"/>
    <tableColumn id="16" xr3:uid="{37C3A048-98A5-42D5-883C-FBD5B63542D9}" name="Column14" dataDxfId="491"/>
    <tableColumn id="17" xr3:uid="{BC41D72A-5E1C-49C3-9341-675EC675A9B6}" name="Column15" dataDxfId="490"/>
    <tableColumn id="18" xr3:uid="{E747ED5B-2C57-4E01-AF7B-4FCC4F3401FE}" name="Column16" dataDxfId="489"/>
    <tableColumn id="20" xr3:uid="{D7FC891E-D02A-4578-851B-D360B4931672}" name="Column17" dataDxfId="488"/>
    <tableColumn id="7" xr3:uid="{FFAE539B-C108-4CC1-9856-F459EFAAA8C2}" name="Column18" dataDxfId="487"/>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38:AC41" totalsRowShown="0" headerRowDxfId="486" headerRowBorderDxfId="485" tableBorderDxfId="484" totalsRowBorderDxfId="483">
  <autoFilter ref="B38:AC41" xr:uid="{0D216161-6CFE-4334-9795-10DE0EEF6234}"/>
  <sortState xmlns:xlrd2="http://schemas.microsoft.com/office/spreadsheetml/2017/richdata2" ref="B39:S40">
    <sortCondition ref="C38:C40"/>
  </sortState>
  <tableColumns count="28">
    <tableColumn id="1" xr3:uid="{8CB526F0-71FE-4976-BC42-475D002F5066}" name="Measure Number" dataDxfId="482"/>
    <tableColumn id="2" xr3:uid="{36194668-B8A7-453C-876C-BF6C1DA51303}" name="Measure Name" dataDxfId="481"/>
    <tableColumn id="4" xr3:uid="{EF5B10BE-2545-46F2-B5C2-82E7DD2266DB}" name="Primary Key" dataDxfId="480"/>
    <tableColumn id="3" xr3:uid="{89A1DAFF-7A20-49BC-BDD8-2115CA480742}" name="TRM Measure Name" dataDxfId="479"/>
    <tableColumn id="5" xr3:uid="{9BB9CE2E-F0EE-4991-8E08-FFA6913E0DA4}" name="Program" dataDxfId="478"/>
    <tableColumn id="6" xr3:uid="{E9F0243A-D7C4-43B9-B25F-A21F977CACAA}" name="End Use" dataDxfId="477"/>
    <tableColumn id="9" xr3:uid="{70D514D0-5B31-45B7-91E8-B12961604E7A}" name="Current Unit" dataDxfId="476"/>
    <tableColumn id="10" xr3:uid="{01B402E4-E126-4EB5-B3E4-7AF15E2BB23A}" name="Current Incentive" dataDxfId="475"/>
    <tableColumn id="28" xr3:uid="{F56B5D5D-F953-48B0-B7B8-7381C7353FE5}" name="Previous Incentive" dataDxfId="474"/>
    <tableColumn id="11" xr3:uid="{76D948F9-45E0-473B-928F-B26B1505432F}" name="Incremental Measure Cost ($/Unit)" dataDxfId="473" dataCellStyle="Currency"/>
    <tableColumn id="12" xr3:uid="{4401BE6F-F8FD-4FF3-A9ED-13B785CAD664}" name="Electric Energy Savings (Annual kWh/unit)" dataDxfId="472" dataCellStyle="Currency"/>
    <tableColumn id="15" xr3:uid="{E1E6D00A-77E2-4638-A4EB-CD5893EAF1EC}" name="Coincident Peak Demand Savings (kW/unit)" dataDxfId="471" dataCellStyle="Currency"/>
    <tableColumn id="16" xr3:uid="{B059D9A0-9B17-402A-A917-93923BACE2D1}" name="Measure Life (Years)" dataDxfId="470"/>
    <tableColumn id="17" xr3:uid="{76EB9592-65AF-4F61-8336-5A673D61AF42}" name="Efficient Definition" dataDxfId="469"/>
    <tableColumn id="18" xr3:uid="{C80D1ACB-7BFE-49FF-BE52-3E5D564FF917}" name="Measure Efficiency Value" dataDxfId="468"/>
    <tableColumn id="19" xr3:uid="{3D2C6735-CF8C-41AA-A935-CA2EFA3314DB}" name="Baseline Definition" dataDxfId="467"/>
    <tableColumn id="20" xr3:uid="{4B2B9CF7-D2B6-4198-8210-33E3962ACB45}" name="Baseline Efficiency Value" dataDxfId="466"/>
    <tableColumn id="21" xr3:uid="{4812D602-7483-491C-A7FE-9ECF8EF3B9BD}" name="Effective Start Date" dataDxfId="465"/>
    <tableColumn id="8" xr3:uid="{F8D968CD-440B-415E-9377-D0B9A5B04E6D}" name="Order" dataDxfId="464"/>
    <tableColumn id="27" xr3:uid="{E11253B3-5D20-47BF-8AAB-1C62C0F35313}" name="Reporting Methodology" dataDxfId="463"/>
    <tableColumn id="13" xr3:uid="{4FF4BF62-EA2B-4956-AB3F-89308ABA3D24}" name="ESF"/>
    <tableColumn id="14" xr3:uid="{B82AD9E7-9071-4B0C-AF0A-849D2E5123A5}" name="WHFe"/>
    <tableColumn id="23" xr3:uid="{16FB46A0-99F9-4FE2-B423-C8530F913DDB}" name="Min Watts Controlled"/>
    <tableColumn id="22" xr3:uid="{17CB45E8-5B9A-4038-B3E0-EA9B0B16D567}" name="Column1"/>
    <tableColumn id="24" xr3:uid="{4D0683E9-833E-4238-A0EC-036746E47E5E}" name="Column12"/>
    <tableColumn id="25" xr3:uid="{FB63CF45-7F85-4517-90A7-1AC69CF7892D}" name="Column13"/>
    <tableColumn id="26" xr3:uid="{76C4637E-F12E-4507-AE72-F33B476CCADA}" name="Column14"/>
    <tableColumn id="7" xr3:uid="{704B2361-3B30-4F5E-9087-E60D7E4B1260}" name="Column15"/>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STDHVAC" displayName="STDHVAC" ref="B71:AC82" totalsRowShown="0" headerRowDxfId="462" dataDxfId="460" headerRowBorderDxfId="461" tableBorderDxfId="459" totalsRowBorderDxfId="458">
  <autoFilter ref="B71:AC82" xr:uid="{15259CC4-176A-4EC4-AF98-004B1046CF1B}"/>
  <sortState xmlns:xlrd2="http://schemas.microsoft.com/office/spreadsheetml/2017/richdata2" ref="B72:AC82">
    <sortCondition ref="T71:T81"/>
  </sortState>
  <tableColumns count="28">
    <tableColumn id="4" xr3:uid="{EF1203CD-4833-4584-90C1-A285B5022572}" name="Measure Number" dataDxfId="457"/>
    <tableColumn id="6" xr3:uid="{2F743EF2-5DB7-41B7-A4A6-88ACFE71FD86}" name="Measure Name" dataDxfId="456"/>
    <tableColumn id="3" xr3:uid="{6B8F5FB5-EB91-4C45-9511-536B2893F3A4}" name="Primary Key" dataDxfId="455"/>
    <tableColumn id="2" xr3:uid="{D39568F2-1E25-40EF-817D-12BF53185ACB}" name="TRM Measure Name" dataDxfId="454"/>
    <tableColumn id="1" xr3:uid="{846A0C8C-DDC3-4766-848A-43B63A78F641}" name="Program" dataDxfId="453"/>
    <tableColumn id="5" xr3:uid="{8FD35228-D073-4140-8FD3-4E0EBA879A19}" name="End Use" dataDxfId="452"/>
    <tableColumn id="11" xr3:uid="{BF599330-8475-4184-9986-03BF09E97999}" name="Current Unit" dataDxfId="451"/>
    <tableColumn id="12" xr3:uid="{B404E44C-B5E0-4768-B7E4-B5F9819DBF98}" name="Current Incentive" dataDxfId="450"/>
    <tableColumn id="22" xr3:uid="{BD85CB70-4548-42EC-8EA5-4755D379431D}" name="Previous Incentive" dataDxfId="449"/>
    <tableColumn id="13" xr3:uid="{1C6308F4-FD23-4F88-AB2E-92DB235BC271}" name="Incremental Measure Cost ($/Unit)" dataDxfId="448" dataCellStyle="Currency"/>
    <tableColumn id="14" xr3:uid="{1D52133D-8E2B-4099-893C-CCA5E4C9DADD}" name="Electric Energy Savings (Annual kWh/unit)" dataDxfId="447" dataCellStyle="Currency"/>
    <tableColumn id="19" xr3:uid="{ABC4A4B5-A19E-4490-81C9-DE2E4748A990}" name="Coincident Peak Demand Savings (kW/unit)" dataDxfId="446" dataCellStyle="Currency"/>
    <tableColumn id="23" xr3:uid="{4F003242-CFB2-4A08-8F5D-D9E190588D91}" name="Measure Life (Years)" dataDxfId="445"/>
    <tableColumn id="24" xr3:uid="{27971936-FB2A-4844-859A-F56EC8E10FBF}" name="Efficient Definition" dataDxfId="444"/>
    <tableColumn id="25" xr3:uid="{BE3A10F6-D0A9-4CCB-B0C2-0C332E8C012E}" name="Measure Efficiency Value" dataDxfId="443"/>
    <tableColumn id="27" xr3:uid="{74FA14D2-A6F9-429D-B7E4-A26795CD6AA0}" name="Baseline Definition" dataDxfId="442"/>
    <tableColumn id="28" xr3:uid="{8F226CDA-92EB-4F20-B2B8-BDA24A85422B}" name="Baseline Efficiency Value" dataDxfId="441"/>
    <tableColumn id="32" xr3:uid="{3995FF26-83A5-4865-B23C-0F0867F6A82C}" name="Effective Start Date" dataDxfId="440"/>
    <tableColumn id="8" xr3:uid="{F69F1267-64D8-4060-B813-6DE5FE31B89D}" name="Order" dataDxfId="439" dataCellStyle="Currency"/>
    <tableColumn id="21" xr3:uid="{3DEA0AC2-568C-4E8C-80FF-AC04DE9EDB85}" name="Reporting Methodology" dataDxfId="438" dataCellStyle="Currency"/>
    <tableColumn id="9" xr3:uid="{BCBE1F25-1843-468E-8345-4BE809BBBA36}" name="Baseline Min Efficiency" dataDxfId="437"/>
    <tableColumn id="7" xr3:uid="{315B96D2-160F-4A75-973A-AD5FEEBB4D45}" name="Baseline Min Efficiency 2" dataDxfId="436">
      <calculatedColumnFormula>STDHVAC[[#This Row],[Baseline Efficiency Value 2]]</calculatedColumnFormula>
    </tableColumn>
    <tableColumn id="10" xr3:uid="{EB5B936F-3342-447B-83D3-E83A69FF871A}" name="Min Tons" dataDxfId="435"/>
    <tableColumn id="15" xr3:uid="{03ABD814-7760-4FAD-BB30-D55398CDAFD0}" name="Max Tons" dataDxfId="434"/>
    <tableColumn id="16" xr3:uid="{118AF807-3A93-4E5F-8ED8-FC4B05ED217E}" name="EFLHcool" dataDxfId="433"/>
    <tableColumn id="17" xr3:uid="{8B58974A-F554-4562-8038-711FFD65C51B}" name="EFLHheat" dataDxfId="432"/>
    <tableColumn id="18" xr3:uid="{2378824E-5BCF-450C-9B09-6C7AB1B0D1DF}" name="Baseline Definition 2" dataDxfId="431"/>
    <tableColumn id="20" xr3:uid="{8C3491DA-AACE-4415-9D2F-50E7F58ED80B}" name="Baseline Efficiency Value 2" dataDxfId="430">
      <calculatedColumnFormula>1.12*STDHVAC[[#This Row],[Baseline Efficiency Value]]-0.02*STDHVAC[[#This Row],[Baseline Efficiency Value]]^2</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84:AC86" totalsRowShown="0" headerRowDxfId="429" dataDxfId="427" headerRowBorderDxfId="428" tableBorderDxfId="426" totalsRowBorderDxfId="425">
  <autoFilter ref="B84:AC86" xr:uid="{D906B8BA-C43A-49EE-B248-99454B01BEF4}"/>
  <sortState xmlns:xlrd2="http://schemas.microsoft.com/office/spreadsheetml/2017/richdata2" ref="B85:Q86">
    <sortCondition ref="B2:B8"/>
  </sortState>
  <tableColumns count="28">
    <tableColumn id="4" xr3:uid="{225D9977-5A9B-4C07-BEEE-9F5B846832F8}" name="Measure Number" dataDxfId="424"/>
    <tableColumn id="6" xr3:uid="{8DDC89C3-D662-41F0-9D0C-F0D818606A1A}" name="Measure Name" dataDxfId="423"/>
    <tableColumn id="3" xr3:uid="{AA138027-E499-4B45-BA08-385F979FDCAB}" name="Primary Key" dataDxfId="422"/>
    <tableColumn id="2" xr3:uid="{583B2FF0-5951-45F1-BF88-0FB3F4E603CD}" name="TRM Measure Name" dataDxfId="421"/>
    <tableColumn id="1" xr3:uid="{6181219D-8728-4DB4-8551-390970A39551}" name="Program" dataDxfId="420"/>
    <tableColumn id="5" xr3:uid="{E4D07A45-564F-47AB-B810-F3D38868E727}" name="End Use" dataDxfId="419"/>
    <tableColumn id="11" xr3:uid="{182B5276-718C-45E9-ABA5-D68074E2467D}" name="Current Unit" dataDxfId="418"/>
    <tableColumn id="12" xr3:uid="{838762A6-1925-4C85-AFA9-F3D4039702AA}" name="Current Incentive" dataDxfId="417"/>
    <tableColumn id="22" xr3:uid="{72C0B630-AA53-44CC-8CAF-8DE52A759852}" name="Previous Incentive" dataDxfId="416"/>
    <tableColumn id="13" xr3:uid="{F84625CC-627B-421A-99AD-CE69DB824238}" name="Incremental Measure Cost ($/Unit)" dataDxfId="415" dataCellStyle="Currency"/>
    <tableColumn id="14" xr3:uid="{4B9340BD-F95C-419B-93DA-31926594EE21}" name="Electric Energy Savings (Annual kWh/unit)" dataDxfId="414" dataCellStyle="Currency"/>
    <tableColumn id="19" xr3:uid="{EB3A29BC-50EB-4239-A23D-E13B0A96227B}" name="Coincident Peak Demand Savings (kW/unit)" dataDxfId="413" dataCellStyle="Currency"/>
    <tableColumn id="23" xr3:uid="{41CC8F50-C68C-4BA3-8E56-EA7F903C8C0D}" name="Measure Life (Years)" dataDxfId="412"/>
    <tableColumn id="24" xr3:uid="{81DD189B-AD2E-400A-96A2-1071E23B7144}" name="Efficient Definition" dataDxfId="411"/>
    <tableColumn id="25" xr3:uid="{543EECEF-CE84-4410-93DB-AF9CFD5788F0}" name="Measure Efficiency Value" dataDxfId="410"/>
    <tableColumn id="27" xr3:uid="{B17525EA-29A0-436A-8B4C-2D38CAD90BBA}" name="Baseline Definition" dataDxfId="409"/>
    <tableColumn id="28" xr3:uid="{8F419597-CFA6-45BD-9326-ED48265AEC59}" name="Baseline Efficiency Value" dataDxfId="408"/>
    <tableColumn id="32" xr3:uid="{55A79FAA-0012-4A82-B3A9-33B5A5B669F7}" name="Effective Start Date" dataDxfId="407"/>
    <tableColumn id="8" xr3:uid="{F19A4A45-16DD-47A6-A84A-A8DEBE5EB426}" name="Order" dataDxfId="406" dataCellStyle="Currency"/>
    <tableColumn id="21" xr3:uid="{49A73E83-8C57-4A58-9950-BF6C159BC0D6}" name="Reporting Methodology" dataDxfId="405" dataCellStyle="Currency"/>
    <tableColumn id="9" xr3:uid="{CD5863DD-BBF7-45F8-9506-AFB8E26BBA27}" name="Column1" dataDxfId="404"/>
    <tableColumn id="10" xr3:uid="{4A2C6D4B-AF15-4BB5-B430-399EF46D496B}" name="Column12" dataDxfId="403"/>
    <tableColumn id="15" xr3:uid="{1BA8D291-90D7-41F3-B896-10A545C85AD7}" name="Column13" dataDxfId="402"/>
    <tableColumn id="16" xr3:uid="{F614B735-7845-4C61-A12D-4C2C6BE1E5A0}" name="Column14" dataDxfId="401"/>
    <tableColumn id="17" xr3:uid="{074E873E-2F71-4D0A-B43F-1551134036B6}" name="Column15" dataDxfId="400"/>
    <tableColumn id="18" xr3:uid="{986AF68F-C14B-4F6A-80E4-20B434942C22}" name="Column16" dataDxfId="399"/>
    <tableColumn id="20" xr3:uid="{FF744056-AA0D-48DB-8714-9D3797CF972A}" name="Column17" dataDxfId="398"/>
    <tableColumn id="7" xr3:uid="{94F2E2D7-C902-4BAD-A53E-547FD0F13B3E}" name="Column18" dataDxfId="39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1" totalsRowShown="0">
  <autoFilter ref="B2:C11" xr:uid="{1E20E6F0-0E1A-4EB1-AAEC-11267E2611DC}"/>
  <sortState xmlns:xlrd2="http://schemas.microsoft.com/office/spreadsheetml/2017/richdata2" ref="B3:C11">
    <sortCondition ref="C2:C11"/>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26" totalsRowShown="0" headerRowDxfId="396" dataDxfId="395" tableBorderDxfId="394">
  <autoFilter ref="E2:G26" xr:uid="{C2546198-7A75-4CB5-BC11-7803441FF206}"/>
  <sortState xmlns:xlrd2="http://schemas.microsoft.com/office/spreadsheetml/2017/richdata2" ref="E3:G19">
    <sortCondition ref="E2:E19"/>
  </sortState>
  <tableColumns count="3">
    <tableColumn id="1" xr3:uid="{9A034548-812C-4994-AB5F-D8EFAE6CD1AD}" name="Ineff Dropdown 1" dataDxfId="393"/>
    <tableColumn id="2" xr3:uid="{1DD21FEF-D18F-444F-864B-BAEBDAB57564}" name="Options" dataDxfId="392"/>
    <tableColumn id="3" xr3:uid="{0B87D163-CD0F-4C8B-AB64-9223D8091D4F}" name="Order" dataDxfId="391"/>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723" totalsRowShown="0" dataDxfId="390">
  <autoFilter ref="I2:P723" xr:uid="{D33AE522-11A3-40EF-8E65-141AF2247A4A}"/>
  <sortState xmlns:xlrd2="http://schemas.microsoft.com/office/spreadsheetml/2017/richdata2" ref="I3:P723">
    <sortCondition ref="J2:J723"/>
  </sortState>
  <tableColumns count="8">
    <tableColumn id="1" xr3:uid="{DDB28C97-D767-4D4B-A6A9-973711A850D0}" name="Ineff DropDown 2" dataDxfId="389"/>
    <tableColumn id="5" xr3:uid="{A473129C-F5E6-45A3-AAF5-8E386C67A188}" name="Match" dataDxfId="388">
      <calculatedColumnFormula>"HID_"&amp;STDLIGHTINEFCAT2[[#This Row],[Ineff DropDown 2]]</calculatedColumnFormula>
    </tableColumn>
    <tableColumn id="7" xr3:uid="{E4CC710B-362B-4EFA-8D08-B316DE0406A7}" name="Full Name" dataDxfId="387">
      <calculatedColumnFormula>STDLIGHTINEFCAT2[[#This Row],[Match]]&amp;"_"&amp;STDLIGHTINEFCAT2[[#This Row],[Options]]</calculatedColumnFormula>
    </tableColumn>
    <tableColumn id="2" xr3:uid="{798B8782-2C90-42E4-A461-A131AEE930CD}" name="Options" dataDxfId="386"/>
    <tableColumn id="8" xr3:uid="{A55F709E-6D14-44FD-A115-567B493A202B}" name="Nominal Wattage" dataDxfId="385"/>
    <tableColumn id="3" xr3:uid="{91566C9B-538E-4D24-BBC0-8BE3E7B5E861}" name="System Wattage" dataDxfId="384"/>
    <tableColumn id="4" xr3:uid="{F75E009F-8F20-4FA4-B435-406408865243}" name="Logic Order" dataDxfId="383"/>
    <tableColumn id="6" xr3:uid="{1086AC86-4459-44D9-83C3-D8FB64250316}" name="Notes" dataDxfId="382"/>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Q2:AB46" totalsRowShown="0" headerRowDxfId="380" dataDxfId="379" headerRowCellStyle="Normal 2">
  <autoFilter ref="Q2:AB46" xr:uid="{00000000-0009-0000-0100-000002000000}"/>
  <sortState xmlns:xlrd2="http://schemas.microsoft.com/office/spreadsheetml/2017/richdata2" ref="Q3:AB46">
    <sortCondition ref="AA2:AA46"/>
  </sortState>
  <tableColumns count="12">
    <tableColumn id="10" xr3:uid="{00000000-0010-0000-0000-00000A000000}" name="Measure Number" dataDxfId="378"/>
    <tableColumn id="1" xr3:uid="{00000000-0010-0000-0000-000001000000}" name="Eff Desc 1" dataDxfId="377"/>
    <tableColumn id="2" xr3:uid="{00000000-0010-0000-0000-000002000000}" name="Eff Desc 2" dataDxfId="376"/>
    <tableColumn id="3" xr3:uid="{00000000-0010-0000-0000-000003000000}" name="Eff Watt 1" dataDxfId="375"/>
    <tableColumn id="4" xr3:uid="{00000000-0010-0000-0000-000004000000}" name="Eff Watt 2" dataDxfId="374"/>
    <tableColumn id="5" xr3:uid="{00000000-0010-0000-0000-000005000000}" name="Measure Group" dataDxfId="373"/>
    <tableColumn id="6" xr3:uid="{00000000-0010-0000-0000-000006000000}" name="Measure Subgroup 1" dataDxfId="372"/>
    <tableColumn id="7" xr3:uid="{00000000-0010-0000-0000-000007000000}" name="Measure Subgroup 2" dataDxfId="371"/>
    <tableColumn id="8" xr3:uid="{00000000-0010-0000-0000-000008000000}" name="Unit" dataDxfId="370"/>
    <tableColumn id="12" xr3:uid="{721909E7-8ECD-450A-9641-C3EBFCD3E43D}" name="EUL" dataDxfId="369"/>
    <tableColumn id="9" xr3:uid="{00000000-0010-0000-0000-000009000000}" name="Order" dataDxfId="368" dataCellStyle="Normal 2"/>
    <tableColumn id="11" xr3:uid="{00000000-0010-0000-0000-00000B000000}" name="Source (Standard Wattage Table)" dataDxfId="367"/>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JECTTYPE" displayName="PROJECT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F50:AZ58" totalsRowShown="0" headerRowDxfId="366" dataDxfId="365">
  <autoFilter ref="AF50:AZ58" xr:uid="{00000000-0009-0000-0100-000022000000}"/>
  <sortState xmlns:xlrd2="http://schemas.microsoft.com/office/spreadsheetml/2017/richdata2" ref="AF51:AZ58">
    <sortCondition ref="AP50:AP58"/>
  </sortState>
  <tableColumns count="21">
    <tableColumn id="1" xr3:uid="{00000000-0010-0000-0600-000001000000}" name="Measure Number" dataDxfId="364"/>
    <tableColumn id="14" xr3:uid="{00000000-0010-0000-0600-00000E000000}" name="Project Category" dataDxfId="363"/>
    <tableColumn id="2" xr3:uid="{00000000-0010-0000-0600-000002000000}" name="Proj Desc 1" dataDxfId="362"/>
    <tableColumn id="3" xr3:uid="{00000000-0010-0000-0600-000003000000}" name="Proj Desc 2" dataDxfId="361"/>
    <tableColumn id="4" xr3:uid="{00000000-0010-0000-0600-000004000000}" name="Inc Rate" dataDxfId="360"/>
    <tableColumn id="5" xr3:uid="{00000000-0010-0000-0600-000005000000}" name="EUL" dataDxfId="359"/>
    <tableColumn id="6" xr3:uid="{00000000-0010-0000-0600-000006000000}" name="Measure Group" dataDxfId="358"/>
    <tableColumn id="7" xr3:uid="{00000000-0010-0000-0600-000007000000}" name="Measure Subgroup 1" dataDxfId="357"/>
    <tableColumn id="8" xr3:uid="{00000000-0010-0000-0600-000008000000}" name="Measure Subgroup 2" dataDxfId="356"/>
    <tableColumn id="9" xr3:uid="{00000000-0010-0000-0600-000009000000}" name="Units" dataDxfId="355"/>
    <tableColumn id="10" xr3:uid="{00000000-0010-0000-0600-00000A000000}" name="Order" dataDxfId="354"/>
    <tableColumn id="11" xr3:uid="{00000000-0010-0000-0600-00000B000000}" name="End Use Category" dataDxfId="353"/>
    <tableColumn id="12" xr3:uid="{00000000-0010-0000-0600-00000C000000}" name="Factor" dataDxfId="352"/>
    <tableColumn id="15" xr3:uid="{00000000-0010-0000-0600-00000F000000}" name="Cost Basis" dataDxfId="351"/>
    <tableColumn id="13" xr3:uid="{00000000-0010-0000-0600-00000D000000}" name="Application Tab" dataDxfId="350"/>
    <tableColumn id="16" xr3:uid="{00000000-0010-0000-0600-000010000000}" name="Wattage Unit" dataDxfId="349"/>
    <tableColumn id="17" xr3:uid="{A7474920-BA87-4150-B94D-B0B1A3C6E855}" name="Default kW Controlled" dataDxfId="348"/>
    <tableColumn id="18" xr3:uid="{E8B503A9-8948-40F1-A918-4603F0F43A8E}" name="Energy Savings Factor" dataDxfId="347" dataCellStyle="Percent"/>
    <tableColumn id="19" xr3:uid="{97E947BC-747A-44AE-B403-30EDB9EEBED9}" name="Incremental Cost" dataDxfId="346"/>
    <tableColumn id="20" xr3:uid="{FF3572D8-144A-47BD-B415-29EA4A555FD4}" name="Hours" dataDxfId="345"/>
    <tableColumn id="21" xr3:uid="{A4AD1E76-A7BC-4A99-82CB-8915D5A1696E}" name="WHFe" dataDxfId="344"/>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F61:AZ73" totalsRowShown="0" headerRowDxfId="343" dataDxfId="342">
  <autoFilter ref="AF61:AZ73" xr:uid="{00000000-0009-0000-0100-000023000000}"/>
  <sortState xmlns:xlrd2="http://schemas.microsoft.com/office/spreadsheetml/2017/richdata2" ref="AF62:AU73">
    <sortCondition ref="AP61:AP73"/>
  </sortState>
  <tableColumns count="21">
    <tableColumn id="1" xr3:uid="{00000000-0010-0000-0700-000001000000}" name="Measure Number" dataDxfId="341"/>
    <tableColumn id="14" xr3:uid="{00000000-0010-0000-0700-00000E000000}" name="Project Category" dataDxfId="340"/>
    <tableColumn id="2" xr3:uid="{00000000-0010-0000-0700-000002000000}" name="Proj Desc 1" dataDxfId="339"/>
    <tableColumn id="3" xr3:uid="{00000000-0010-0000-0700-000003000000}" name="Proj Desc 2" dataDxfId="338"/>
    <tableColumn id="4" xr3:uid="{00000000-0010-0000-0700-000004000000}" name="Inc Rate" dataDxfId="337"/>
    <tableColumn id="5" xr3:uid="{00000000-0010-0000-0700-000005000000}" name="EUL" dataDxfId="336"/>
    <tableColumn id="6" xr3:uid="{00000000-0010-0000-0700-000006000000}" name="Measure Group" dataDxfId="335"/>
    <tableColumn id="7" xr3:uid="{00000000-0010-0000-0700-000007000000}" name="Measure Subgroup 1" dataDxfId="334"/>
    <tableColumn id="8" xr3:uid="{00000000-0010-0000-0700-000008000000}" name="Measure Subgroup 2" dataDxfId="333"/>
    <tableColumn id="9" xr3:uid="{00000000-0010-0000-0700-000009000000}" name="Units" dataDxfId="332"/>
    <tableColumn id="10" xr3:uid="{00000000-0010-0000-0700-00000A000000}" name="Order" dataDxfId="331"/>
    <tableColumn id="11" xr3:uid="{00000000-0010-0000-0700-00000B000000}" name="End Use Category" dataDxfId="330"/>
    <tableColumn id="12" xr3:uid="{00000000-0010-0000-0700-00000C000000}" name="Factor" dataDxfId="329"/>
    <tableColumn id="15" xr3:uid="{00000000-0010-0000-0700-00000F000000}" name="Cost Basis" dataDxfId="328"/>
    <tableColumn id="13" xr3:uid="{00000000-0010-0000-0700-00000D000000}" name="Application Tab" dataDxfId="327"/>
    <tableColumn id="16" xr3:uid="{00000000-0010-0000-0700-000010000000}" name="Unit of Measure" dataDxfId="326"/>
    <tableColumn id="17" xr3:uid="{860FFF12-C393-47F4-A022-D918CDC034DC}" name="Column1" dataDxfId="325"/>
    <tableColumn id="18" xr3:uid="{60B6B001-7E44-4CE9-AB1C-23C206EE021D}" name="Column2" dataDxfId="324"/>
    <tableColumn id="19" xr3:uid="{7AF5E648-9A65-409C-A037-8D0C5D623DCC}" name="Column3" dataDxfId="323"/>
    <tableColumn id="20" xr3:uid="{00B1D855-9E19-4A1A-873F-3E0D90C7F66D}" name="Column4" dataDxfId="322"/>
    <tableColumn id="21" xr3:uid="{1C08BDE9-7377-4B8F-A7EB-A69341AEDAC4}" name="Column5" dataDxfId="321"/>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F75:AZ93" totalsRowShown="0" headerRowDxfId="320" dataDxfId="319">
  <autoFilter ref="AF75:AZ93" xr:uid="{00000000-0009-0000-0100-000024000000}"/>
  <sortState xmlns:xlrd2="http://schemas.microsoft.com/office/spreadsheetml/2017/richdata2" ref="AF76:AU93">
    <sortCondition ref="AP75:AP93"/>
  </sortState>
  <tableColumns count="21">
    <tableColumn id="1" xr3:uid="{00000000-0010-0000-0800-000001000000}" name="Measure Number" dataDxfId="318"/>
    <tableColumn id="14" xr3:uid="{00000000-0010-0000-0800-00000E000000}" name="Project Category" dataDxfId="317"/>
    <tableColumn id="2" xr3:uid="{00000000-0010-0000-0800-000002000000}" name="Proj Desc 1" dataDxfId="316"/>
    <tableColumn id="3" xr3:uid="{00000000-0010-0000-0800-000003000000}" name="Proj Desc 2" dataDxfId="315"/>
    <tableColumn id="4" xr3:uid="{00000000-0010-0000-0800-000004000000}" name="Inc Rate" dataDxfId="314"/>
    <tableColumn id="5" xr3:uid="{00000000-0010-0000-0800-000005000000}" name="EUL" dataDxfId="313"/>
    <tableColumn id="6" xr3:uid="{00000000-0010-0000-0800-000006000000}" name="Measure Group" dataDxfId="312"/>
    <tableColumn id="7" xr3:uid="{00000000-0010-0000-0800-000007000000}" name="Measure Subgroup 1" dataDxfId="311"/>
    <tableColumn id="8" xr3:uid="{00000000-0010-0000-0800-000008000000}" name="Measure Subgroup 2" dataDxfId="310"/>
    <tableColumn id="9" xr3:uid="{00000000-0010-0000-0800-000009000000}" name="Units" dataDxfId="309"/>
    <tableColumn id="10" xr3:uid="{00000000-0010-0000-0800-00000A000000}" name="Order" dataDxfId="308"/>
    <tableColumn id="11" xr3:uid="{00000000-0010-0000-0800-00000B000000}" name="End Use Category" dataDxfId="307"/>
    <tableColumn id="12" xr3:uid="{00000000-0010-0000-0800-00000C000000}" name="Factor" dataDxfId="306"/>
    <tableColumn id="15" xr3:uid="{00000000-0010-0000-0800-00000F000000}" name="Cost Basis" dataDxfId="305"/>
    <tableColumn id="13" xr3:uid="{00000000-0010-0000-0800-00000D000000}" name="Application Tab" dataDxfId="304"/>
    <tableColumn id="16" xr3:uid="{00000000-0010-0000-0800-000010000000}" name="Unit of Measure" dataDxfId="303"/>
    <tableColumn id="17" xr3:uid="{93E1D749-BEF2-4F59-BCE3-D4EA863316E7}" name="Column1" dataDxfId="302"/>
    <tableColumn id="18" xr3:uid="{36A61F01-375A-41FA-B8ED-32025F27DEC8}" name="Column2" dataDxfId="301"/>
    <tableColumn id="19" xr3:uid="{DFEE06F6-1450-4EA8-A1B0-AE8FD9AE4F11}" name="Column3" dataDxfId="300"/>
    <tableColumn id="20" xr3:uid="{4B5659A9-0079-48A8-AD19-EF0F40281982}" name="Column4" dataDxfId="299"/>
    <tableColumn id="21" xr3:uid="{FB14990D-693E-42F7-A15A-AF58473BF337}" name="Column5" dataDxfId="298"/>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F95:AZ115" totalsRowShown="0" headerRowDxfId="297" dataDxfId="296">
  <autoFilter ref="AF95:AZ115" xr:uid="{00000000-0009-0000-0100-000025000000}"/>
  <sortState xmlns:xlrd2="http://schemas.microsoft.com/office/spreadsheetml/2017/richdata2" ref="AF96:AU115">
    <sortCondition ref="AP95:AP115"/>
  </sortState>
  <tableColumns count="21">
    <tableColumn id="1" xr3:uid="{00000000-0010-0000-0900-000001000000}" name="Measure Number" dataDxfId="295"/>
    <tableColumn id="14" xr3:uid="{00000000-0010-0000-0900-00000E000000}" name="Project Category" dataDxfId="294"/>
    <tableColumn id="2" xr3:uid="{00000000-0010-0000-0900-000002000000}" name="Proj Desc 1" dataDxfId="293"/>
    <tableColumn id="3" xr3:uid="{00000000-0010-0000-0900-000003000000}" name="Proj Desc 2" dataDxfId="292"/>
    <tableColumn id="4" xr3:uid="{00000000-0010-0000-0900-000004000000}" name="Inc Rate" dataDxfId="291"/>
    <tableColumn id="5" xr3:uid="{00000000-0010-0000-0900-000005000000}" name="EUL" dataDxfId="290"/>
    <tableColumn id="6" xr3:uid="{00000000-0010-0000-0900-000006000000}" name="Measure Group" dataDxfId="289"/>
    <tableColumn id="7" xr3:uid="{00000000-0010-0000-0900-000007000000}" name="Measure Subgroup 1" dataDxfId="288"/>
    <tableColumn id="8" xr3:uid="{00000000-0010-0000-0900-000008000000}" name="Measure Subgroup 2" dataDxfId="287"/>
    <tableColumn id="9" xr3:uid="{00000000-0010-0000-0900-000009000000}" name="Units" dataDxfId="286"/>
    <tableColumn id="10" xr3:uid="{00000000-0010-0000-0900-00000A000000}" name="Order" dataDxfId="285"/>
    <tableColumn id="11" xr3:uid="{00000000-0010-0000-0900-00000B000000}" name="End Use Category" dataDxfId="284"/>
    <tableColumn id="12" xr3:uid="{00000000-0010-0000-0900-00000C000000}" name="Factor" dataDxfId="283"/>
    <tableColumn id="15" xr3:uid="{00000000-0010-0000-0900-00000F000000}" name="Cost Basis" dataDxfId="282"/>
    <tableColumn id="13" xr3:uid="{00000000-0010-0000-0900-00000D000000}" name="Application Tab" dataDxfId="281"/>
    <tableColumn id="16" xr3:uid="{00000000-0010-0000-0900-000010000000}" name="Unit of Measure" dataDxfId="280"/>
    <tableColumn id="17" xr3:uid="{C704F676-1278-471D-9721-3D931E59AFB0}" name="Column1" dataDxfId="279"/>
    <tableColumn id="18" xr3:uid="{995F7C20-167B-438E-BE46-77D7D1D4DE6F}" name="Column2" dataDxfId="278"/>
    <tableColumn id="19" xr3:uid="{9159918E-61C0-4133-A7A9-F6B943AEC199}" name="Column3" dataDxfId="277"/>
    <tableColumn id="20" xr3:uid="{09A22320-4E84-479B-A447-E08474170828}" name="Column4" dataDxfId="276"/>
    <tableColumn id="21" xr3:uid="{A965E22E-F6CC-4E7F-88B5-362187A09A22}" name="Column5" dataDxfId="275"/>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F117:AZ129" totalsRowShown="0" headerRowDxfId="274" dataDxfId="273">
  <autoFilter ref="AF117:AZ129" xr:uid="{00000000-0009-0000-0100-000026000000}"/>
  <sortState xmlns:xlrd2="http://schemas.microsoft.com/office/spreadsheetml/2017/richdata2" ref="AF118:AZ129">
    <sortCondition ref="AP117:AP129"/>
  </sortState>
  <tableColumns count="21">
    <tableColumn id="1" xr3:uid="{00000000-0010-0000-0A00-000001000000}" name="Measure Number" dataDxfId="272"/>
    <tableColumn id="14" xr3:uid="{00000000-0010-0000-0A00-00000E000000}" name="Project Category" dataDxfId="271"/>
    <tableColumn id="2" xr3:uid="{00000000-0010-0000-0A00-000002000000}" name="Proj Desc 1" dataDxfId="270"/>
    <tableColumn id="3" xr3:uid="{00000000-0010-0000-0A00-000003000000}" name="Proj Desc 2" dataDxfId="269"/>
    <tableColumn id="4" xr3:uid="{00000000-0010-0000-0A00-000004000000}" name="Inc Rate" dataDxfId="268"/>
    <tableColumn id="5" xr3:uid="{00000000-0010-0000-0A00-000005000000}" name="EUL" dataDxfId="267"/>
    <tableColumn id="6" xr3:uid="{00000000-0010-0000-0A00-000006000000}" name="Measure Group" dataDxfId="266"/>
    <tableColumn id="7" xr3:uid="{00000000-0010-0000-0A00-000007000000}" name="Measure Subgroup 1" dataDxfId="265"/>
    <tableColumn id="8" xr3:uid="{00000000-0010-0000-0A00-000008000000}" name="Measure Subgroup 2" dataDxfId="264"/>
    <tableColumn id="9" xr3:uid="{00000000-0010-0000-0A00-000009000000}" name="Units" dataDxfId="263"/>
    <tableColumn id="10" xr3:uid="{00000000-0010-0000-0A00-00000A000000}" name="Order" dataDxfId="262"/>
    <tableColumn id="11" xr3:uid="{00000000-0010-0000-0A00-00000B000000}" name="End Use Category" dataDxfId="261"/>
    <tableColumn id="12" xr3:uid="{00000000-0010-0000-0A00-00000C000000}" name="Factor" dataDxfId="260"/>
    <tableColumn id="15" xr3:uid="{00000000-0010-0000-0A00-00000F000000}" name="Cost Basis" dataDxfId="259"/>
    <tableColumn id="13" xr3:uid="{00000000-0010-0000-0A00-00000D000000}" name="Application Tab" dataDxfId="258"/>
    <tableColumn id="16" xr3:uid="{00000000-0010-0000-0A00-000010000000}" name="Unit of Measure" dataDxfId="257"/>
    <tableColumn id="17" xr3:uid="{0FE395D3-A9AA-4380-9017-AC0851981E69}" name="Column1" dataDxfId="256"/>
    <tableColumn id="18" xr3:uid="{E0109EE5-9041-40CE-B063-250D7125F323}" name="Column2" dataDxfId="255"/>
    <tableColumn id="19" xr3:uid="{D7E24197-C531-4ED6-95C9-883FAA0860E1}" name="Column3" dataDxfId="254"/>
    <tableColumn id="20" xr3:uid="{A66A7023-2243-4E0E-A329-74861E419093}" name="Column4" dataDxfId="253"/>
    <tableColumn id="21" xr3:uid="{DE43A767-F5F6-4E30-A28F-78D52700FFC5}" name="Column5" dataDxfId="252"/>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F131:AZ139" totalsRowShown="0" headerRowDxfId="251" dataDxfId="250">
  <autoFilter ref="AF131:AZ139" xr:uid="{00000000-0009-0000-0100-000027000000}"/>
  <sortState xmlns:xlrd2="http://schemas.microsoft.com/office/spreadsheetml/2017/richdata2" ref="AF132:AU138">
    <sortCondition ref="AG131:AG138"/>
  </sortState>
  <tableColumns count="21">
    <tableColumn id="1" xr3:uid="{00000000-0010-0000-0B00-000001000000}" name="Measure Number" dataDxfId="249"/>
    <tableColumn id="14" xr3:uid="{00000000-0010-0000-0B00-00000E000000}" name="Project Category" dataDxfId="248"/>
    <tableColumn id="2" xr3:uid="{00000000-0010-0000-0B00-000002000000}" name="Proj Desc 1" dataDxfId="247"/>
    <tableColumn id="3" xr3:uid="{00000000-0010-0000-0B00-000003000000}" name="Proj Desc 2" dataDxfId="246"/>
    <tableColumn id="4" xr3:uid="{00000000-0010-0000-0B00-000004000000}" name="Inc Rate" dataDxfId="245"/>
    <tableColumn id="5" xr3:uid="{00000000-0010-0000-0B00-000005000000}" name="EUL" dataDxfId="244"/>
    <tableColumn id="6" xr3:uid="{00000000-0010-0000-0B00-000006000000}" name="Measure Group" dataDxfId="243"/>
    <tableColumn id="7" xr3:uid="{00000000-0010-0000-0B00-000007000000}" name="Measure Subgroup 1" dataDxfId="242"/>
    <tableColumn id="8" xr3:uid="{00000000-0010-0000-0B00-000008000000}" name="Measure Subgroup 2" dataDxfId="241"/>
    <tableColumn id="9" xr3:uid="{00000000-0010-0000-0B00-000009000000}" name="Units" dataDxfId="240"/>
    <tableColumn id="10" xr3:uid="{00000000-0010-0000-0B00-00000A000000}" name="Order" dataDxfId="239"/>
    <tableColumn id="11" xr3:uid="{00000000-0010-0000-0B00-00000B000000}" name="End Use Category" dataDxfId="238"/>
    <tableColumn id="12" xr3:uid="{00000000-0010-0000-0B00-00000C000000}" name="Factor" dataDxfId="237"/>
    <tableColumn id="15" xr3:uid="{00000000-0010-0000-0B00-00000F000000}" name="Cost Basis" dataDxfId="236"/>
    <tableColumn id="13" xr3:uid="{00000000-0010-0000-0B00-00000D000000}" name="Application Tab" dataDxfId="235"/>
    <tableColumn id="16" xr3:uid="{00000000-0010-0000-0B00-000010000000}" name="Unit of Measure" dataDxfId="234"/>
    <tableColumn id="17" xr3:uid="{FF6E1137-D502-4FB8-B8AC-3AFB4E4E3562}" name="Column1" dataDxfId="233"/>
    <tableColumn id="18" xr3:uid="{71599747-B30F-401F-8173-E43004A2A303}" name="Column2" dataDxfId="232"/>
    <tableColumn id="19" xr3:uid="{80730337-86BF-46F6-BD3F-170643D03E96}" name="Column3" dataDxfId="231"/>
    <tableColumn id="20" xr3:uid="{3B790E0F-1ECB-435D-955B-64FD3E35BD86}" name="Column4" dataDxfId="230"/>
    <tableColumn id="21" xr3:uid="{7BCC4B07-4CB4-4214-A18C-BB0FB24CD667}" name="Column5" dataDxfId="229"/>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6" totalsRowShown="0" headerRowDxfId="228" dataDxfId="227" headerRowCellStyle="Normal 2">
  <autoFilter ref="E2:O126" xr:uid="{00000000-0009-0000-0100-000001000000}"/>
  <tableColumns count="11">
    <tableColumn id="5" xr3:uid="{00000000-0010-0000-0C00-000005000000}" name="Measure Number" dataDxfId="226"/>
    <tableColumn id="1" xr3:uid="{00000000-0010-0000-0C00-000001000000}" name="Base Desc 1" dataDxfId="225"/>
    <tableColumn id="2" xr3:uid="{00000000-0010-0000-0C00-000002000000}" name="Base Desc 2" dataDxfId="224"/>
    <tableColumn id="3" xr3:uid="{00000000-0010-0000-0C00-000003000000}" name="Base Watt 1" dataDxfId="223"/>
    <tableColumn id="4" xr3:uid="{00000000-0010-0000-0C00-000004000000}" name="Base Watt 2" dataDxfId="222"/>
    <tableColumn id="7" xr3:uid="{00000000-0010-0000-0C00-000007000000}" name="Measure Group" dataDxfId="221"/>
    <tableColumn id="8" xr3:uid="{00000000-0010-0000-0C00-000008000000}" name="Measure Subgroup 1" dataDxfId="220"/>
    <tableColumn id="6" xr3:uid="{00000000-0010-0000-0C00-000006000000}" name="Measure Subgroup 2" dataDxfId="219"/>
    <tableColumn id="9" xr3:uid="{00000000-0010-0000-0C00-000009000000}" name="Unit" dataDxfId="218"/>
    <tableColumn id="10" xr3:uid="{00000000-0010-0000-0C00-00000A000000}" name="Order" dataDxfId="217"/>
    <tableColumn id="11" xr3:uid="{00000000-0010-0000-0C00-00000B000000}" name="Source (Standard Wattage Table)" dataDxfId="216"/>
  </tableColumns>
  <tableStyleInfo name="TableStyleMedium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F2:AZ46" totalsRowShown="0" headerRowDxfId="215" dataDxfId="214">
  <autoFilter ref="AF2:AZ46" xr:uid="{00000000-0009-0000-0100-000020000000}"/>
  <sortState xmlns:xlrd2="http://schemas.microsoft.com/office/spreadsheetml/2017/richdata2" ref="AF3:AZ46">
    <sortCondition ref="AP2:AP46"/>
  </sortState>
  <tableColumns count="21">
    <tableColumn id="1" xr3:uid="{00000000-0010-0000-0D00-000001000000}" name="Measure Number" dataDxfId="213"/>
    <tableColumn id="14" xr3:uid="{00000000-0010-0000-0D00-00000E000000}" name="Project Category" dataDxfId="212"/>
    <tableColumn id="2" xr3:uid="{00000000-0010-0000-0D00-000002000000}" name="Proj Desc 1" dataDxfId="211"/>
    <tableColumn id="3" xr3:uid="{00000000-0010-0000-0D00-000003000000}" name="Proj Desc 2" dataDxfId="210"/>
    <tableColumn id="5" xr3:uid="{00000000-0010-0000-0D00-000005000000}" name="Inc Rate" dataDxfId="209"/>
    <tableColumn id="4" xr3:uid="{00000000-0010-0000-0D00-000004000000}" name="EUL" dataDxfId="208"/>
    <tableColumn id="6" xr3:uid="{00000000-0010-0000-0D00-000006000000}" name="Measure Group" dataDxfId="207"/>
    <tableColumn id="7" xr3:uid="{00000000-0010-0000-0D00-000007000000}" name="Measure Subgroup 1" dataDxfId="206"/>
    <tableColumn id="8" xr3:uid="{00000000-0010-0000-0D00-000008000000}" name="Measure Subgroup 2" dataDxfId="205"/>
    <tableColumn id="9" xr3:uid="{00000000-0010-0000-0D00-000009000000}" name="Units" dataDxfId="204"/>
    <tableColumn id="10" xr3:uid="{00000000-0010-0000-0D00-00000A000000}" name="Order" dataDxfId="203"/>
    <tableColumn id="11" xr3:uid="{00000000-0010-0000-0D00-00000B000000}" name="End Use Category" dataDxfId="202"/>
    <tableColumn id="12" xr3:uid="{00000000-0010-0000-0D00-00000C000000}" name="Factor" dataDxfId="201"/>
    <tableColumn id="15" xr3:uid="{00000000-0010-0000-0D00-00000F000000}" name="Cost Basis" dataDxfId="200"/>
    <tableColumn id="13" xr3:uid="{00000000-0010-0000-0D00-00000D000000}" name="Application Tab" dataDxfId="199"/>
    <tableColumn id="16" xr3:uid="{00000000-0010-0000-0D00-000010000000}" name="Unit of Measure" dataDxfId="198"/>
    <tableColumn id="17" xr3:uid="{75641CDF-F8A0-4E47-A3B5-434F6A14BD42}" name="Column1" dataDxfId="197"/>
    <tableColumn id="18" xr3:uid="{70E5A639-029D-4D84-AD34-B84D119F16AA}" name="Column2" dataDxfId="196"/>
    <tableColumn id="19" xr3:uid="{EF60AA42-7DF7-4938-A665-AB1DBAA13AAE}" name="Column3" dataDxfId="195"/>
    <tableColumn id="20" xr3:uid="{7286DCD9-0013-4518-A174-1C0BFF44A31F}" name="Column4" dataDxfId="194"/>
    <tableColumn id="21" xr3:uid="{13F99EAB-C4D9-423E-A157-C375D610109B}" name="Column5" dataDxfId="193"/>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25E835C-2300-4AAF-939C-8CC9A98FF75A}" name="Table7" displayName="Table7" ref="BB5:BR35" totalsRowShown="0" headerRowDxfId="192" dataDxfId="190" headerRowBorderDxfId="191" tableBorderDxfId="189">
  <autoFilter ref="BB5:BR35" xr:uid="{517CFE9A-9A69-450E-BC82-94CDC7471AE5}"/>
  <tableColumns count="17">
    <tableColumn id="1" xr3:uid="{C437F186-9A30-4DB0-B975-69E7FD9DCAEA}" name="Removed Version"/>
    <tableColumn id="2" xr3:uid="{2E7509F7-F11C-4D55-99DB-CA60675DAA17}" name="Measure Number" dataDxfId="188"/>
    <tableColumn id="3" xr3:uid="{39B058CB-0957-4BF1-ACA3-5A4FC2309C73}" name="Project Category" dataDxfId="187"/>
    <tableColumn id="4" xr3:uid="{97DBCA57-7F62-4A2E-A763-9C1C45FF2B2A}" name="Proj Desc 1" dataDxfId="186"/>
    <tableColumn id="5" xr3:uid="{6ACEE752-3162-45F8-B456-863CBFA33506}" name="Proj Desc 2" dataDxfId="185"/>
    <tableColumn id="6" xr3:uid="{4170A263-0345-444D-9584-277F79F8B85B}" name="Inc Rate" dataDxfId="184"/>
    <tableColumn id="7" xr3:uid="{4577F756-B0AB-4BA3-BE11-94D4A013517F}" name="EUL" dataDxfId="183"/>
    <tableColumn id="8" xr3:uid="{BF4C22E6-3227-4428-9BCD-2420A37D8872}" name="Measure Group" dataDxfId="182"/>
    <tableColumn id="9" xr3:uid="{5EE73A81-F741-4FA7-9A6C-8FC13C28D07F}" name="Measure Subgroup 1" dataDxfId="181"/>
    <tableColumn id="10" xr3:uid="{30AC11DB-023D-4CAD-B346-808B07781C2F}" name="Measure Subgroup 2" dataDxfId="180"/>
    <tableColumn id="11" xr3:uid="{E47C361F-EC42-4A3A-A1DE-B0410BF03970}" name="Units" dataDxfId="179"/>
    <tableColumn id="12" xr3:uid="{2DCAFD41-1542-45D2-871F-223D4B90391A}" name="Order" dataDxfId="178"/>
    <tableColumn id="13" xr3:uid="{0962E0E6-63CB-4664-848E-5CB09DD4B02E}" name="End Use Category" dataDxfId="177"/>
    <tableColumn id="14" xr3:uid="{7E321D7C-57DB-4160-BCEA-B7DA1EE5D1CB}" name="Factor" dataDxfId="176"/>
    <tableColumn id="15" xr3:uid="{B1828DB2-8C5E-4C4E-8A3D-AEA85993E4B1}" name="Cost Basis" dataDxfId="175"/>
    <tableColumn id="16" xr3:uid="{7D2DE63E-9273-47D3-95D4-CE0E4422437D}" name="Application Tab" dataDxfId="174"/>
    <tableColumn id="17" xr3:uid="{2BB85DA6-7BC5-4FBF-85B0-E05834FB4022}" name="Unit of Measure" dataDxfId="17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F142:AZ143" totalsRowShown="0" headerRowDxfId="172" dataDxfId="170" headerRowBorderDxfId="171" tableBorderDxfId="169" totalsRowBorderDxfId="168">
  <autoFilter ref="AF142:AZ143" xr:uid="{D4DD773A-45AB-49D9-B60E-1C66B1070B96}"/>
  <tableColumns count="21">
    <tableColumn id="1" xr3:uid="{56F3C84F-9BBA-420F-BD2F-9389365EB032}" name="Measure Number" dataDxfId="167"/>
    <tableColumn id="2" xr3:uid="{234941C6-27CB-4EEB-9113-BE1A59342E0A}" name="Project Category" dataDxfId="166"/>
    <tableColumn id="3" xr3:uid="{B8ADCC95-4E06-40AD-BF07-4405A5E1CC8E}" name="Proj Desc 1" dataDxfId="165"/>
    <tableColumn id="4" xr3:uid="{FDA6403A-FB6A-44DC-84CA-6537926D7E56}" name="Proj Desc 2" dataDxfId="164"/>
    <tableColumn id="5" xr3:uid="{B1DE5218-D25D-4D79-AFD8-9E3D0A314732}" name="Inc Rate" dataDxfId="163"/>
    <tableColumn id="6" xr3:uid="{974A0AA5-13F6-4957-AF87-54AB67458C54}" name="EUL" dataDxfId="162"/>
    <tableColumn id="7" xr3:uid="{099106BF-12AD-41C3-ADF7-3E79BD10DAC3}" name="Measure Group" dataDxfId="161"/>
    <tableColumn id="8" xr3:uid="{A21EB03A-4EFB-474C-B66D-E62E9F321A23}" name="Measure Subgroup 1" dataDxfId="160"/>
    <tableColumn id="9" xr3:uid="{B297D1ED-36F1-43A2-B1A2-51E267C20320}" name="Measure Subgroup 2" dataDxfId="159"/>
    <tableColumn id="10" xr3:uid="{6E7962DE-B1E2-465F-BB9F-66DA8EAB2BA8}" name="Units" dataDxfId="158"/>
    <tableColumn id="11" xr3:uid="{F9425AA2-F0B8-49FA-BB70-A2AF8A27C998}" name="Order" dataDxfId="157"/>
    <tableColumn id="12" xr3:uid="{E298F3F5-D9F3-4C04-BB76-B8D7E158F261}" name="End Use Category" dataDxfId="156"/>
    <tableColumn id="13" xr3:uid="{2046277B-72FE-4ED1-92C0-92893E4A88C1}" name="Factor" dataDxfId="155"/>
    <tableColumn id="14" xr3:uid="{3BDAA324-C14D-4390-BDBE-287E2790B8F0}" name="Cost Basis" dataDxfId="154"/>
    <tableColumn id="15" xr3:uid="{4FF7FE8F-6428-46E8-81FE-C564C84EB0D4}" name="Application Tab" dataDxfId="153"/>
    <tableColumn id="16" xr3:uid="{61B628D3-38B1-4077-8F37-B0A883137237}" name="Unit of Measure" dataDxfId="152"/>
    <tableColumn id="17" xr3:uid="{450FF0BC-D6AD-4577-9738-E7ABE18BB3FE}" name="Column1" dataDxfId="151"/>
    <tableColumn id="18" xr3:uid="{CDC9C354-F380-4A94-AF89-8683A359248A}" name="Column2" dataDxfId="150"/>
    <tableColumn id="19" xr3:uid="{C2C08157-F5D6-4D24-AEB5-3927625A9811}" name="Column3" dataDxfId="149"/>
    <tableColumn id="20" xr3:uid="{3DD4F2DD-05C0-4ADB-AF2E-50CC4DE01944}" name="Column4" dataDxfId="148"/>
    <tableColumn id="21" xr3:uid="{BFB8420E-2767-4DBB-93FF-0BA932708D57}" name="Column5" dataDxfId="147"/>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2" totalsRowShown="0" headerRowDxfId="146">
  <autoFilter ref="A11:G32" xr:uid="{00000000-0009-0000-0100-000011000000}"/>
  <tableColumns count="7">
    <tableColumn id="1" xr3:uid="{00000000-0010-0000-0E00-000001000000}" name="Year"/>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145">
      <calculatedColumnFormula>K53</calculatedColumnFormula>
    </tableColumn>
    <tableColumn id="10" xr3:uid="{00000000-0010-0000-0E00-00000A000000}" name="NPV ACC $/kW" dataDxfId="144">
      <calculatedColumnFormula>L53</calculatedColumnFormula>
    </tableColumn>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6000000}" name="Table47" displayName="Table47" ref="B2:F16" totalsRowShown="0" headerRowDxfId="143" headerRowBorderDxfId="142" tableBorderDxfId="141" totalsRowBorderDxfId="140">
  <autoFilter ref="B2:F16" xr:uid="{00000000-0009-0000-0100-000006000000}"/>
  <sortState xmlns:xlrd2="http://schemas.microsoft.com/office/spreadsheetml/2017/richdata2" ref="B3:F16">
    <sortCondition ref="B67:B81"/>
  </sortState>
  <tableColumns count="5">
    <tableColumn id="3" xr3:uid="{00000000-0010-0000-2600-000003000000}" name="Location" dataDxfId="139"/>
    <tableColumn id="2" xr3:uid="{00000000-0010-0000-2600-000002000000}" name="Retrofit IECC" dataDxfId="138"/>
    <tableColumn id="4" xr3:uid="{00000000-0010-0000-2600-000004000000}" name="Retrofit ASHRAE 90.1" dataDxfId="137"/>
    <tableColumn id="5" xr3:uid="{00000000-0010-0000-2600-000005000000}" name="NC IECC" dataDxfId="136"/>
    <tableColumn id="6" xr3:uid="{00000000-0010-0000-2600-000006000000}" name="NC ASHRAE 90.1" dataDxfId="135"/>
  </tableColumns>
  <tableStyleInfo name="TableStyleMedium3"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CODES" displayName="CITYCOUNTCODES" ref="H2:M491" totalsRowShown="0">
  <autoFilter ref="H2:M491" xr:uid="{00000000-0009-0000-0100-000012000000}"/>
  <sortState xmlns:xlrd2="http://schemas.microsoft.com/office/spreadsheetml/2017/richdata2" ref="H3:M491">
    <sortCondition ref="I2:I491"/>
  </sortState>
  <tableColumns count="6">
    <tableColumn id="1" xr3:uid="{00000000-0010-0000-2700-000001000000}" name="ZIP Code"/>
    <tableColumn id="2" xr3:uid="{00000000-0010-0000-2700-000002000000}" name="City"/>
    <tableColumn id="4" xr3:uid="{00000000-0010-0000-2700-000004000000}" name="NC City Code"/>
    <tableColumn id="5" xr3:uid="{00000000-0010-0000-2700-000005000000}" name="County"/>
    <tableColumn id="7" xr3:uid="{00000000-0010-0000-2700-000007000000}" name="NC County Code"/>
    <tableColumn id="9" xr3:uid="{00000000-0010-0000-2700-000009000000}" name="No Code"/>
  </tableColumns>
  <tableStyleInfo name="TableStyleMedium7"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Table5" displayName="Table5" ref="O2:O367" totalsRowShown="0">
  <autoFilter ref="O2:O367" xr:uid="{00000000-0009-0000-0100-000039000000}"/>
  <sortState xmlns:xlrd2="http://schemas.microsoft.com/office/spreadsheetml/2017/richdata2" ref="O3:O367">
    <sortCondition ref="O2:O367"/>
  </sortState>
  <tableColumns count="1">
    <tableColumn id="1" xr3:uid="{00000000-0010-0000-2800-000001000000}" name="City"/>
  </tableColumns>
  <tableStyleInfo name="TableStyleMedium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35F0D091-EDF2-4FF4-8316-FC0BDA545410}" name="LPDWATT" displayName="LPDWATT" ref="Q2:AH37" totalsRowShown="0" headerRowDxfId="134">
  <autoFilter ref="Q2:AH37" xr:uid="{A127AC12-5472-4A41-9FCA-EE23AEAF9B90}"/>
  <sortState xmlns:xlrd2="http://schemas.microsoft.com/office/spreadsheetml/2017/richdata2" ref="Q3:AE34">
    <sortCondition ref="Q52:Q91"/>
  </sortState>
  <tableColumns count="18">
    <tableColumn id="1" xr3:uid="{628A0000-915E-45C3-8619-48EB8879F5F0}" name="Building Area Type"/>
    <tableColumn id="15" xr3:uid="{AE73E14D-77C8-4B31-92B2-3D40BDE3F13E}" name="IECC 2009"/>
    <tableColumn id="14" xr3:uid="{B05A6E3F-3408-4E04-ADB4-97555487F5DB}" name="IECC 2012"/>
    <tableColumn id="13" xr3:uid="{21AF7B1D-349B-494B-B190-2D98E06935FC}" name="IECC 2015"/>
    <tableColumn id="12" xr3:uid="{3CC5DC93-7760-422B-A0CE-F0572EEC8CC3}" name="IECC 2018"/>
    <tableColumn id="11" xr3:uid="{47F078AB-1683-4004-8C18-0A01BAD9E621}" name="ASHRAE 90.1 2007"/>
    <tableColumn id="9" xr3:uid="{02B125E2-D1A9-4853-926A-47102CDBA0A8}" name="ASHRAE 90.1 2010"/>
    <tableColumn id="10" xr3:uid="{8EB9A760-84CE-48F2-8DE3-AC930D97B133}" name="ASHRAE 90.1 2013"/>
    <tableColumn id="2" xr3:uid="{CB992A67-279A-44A0-8AA4-25C5D6C229DD}" name="ASHRAE 90.1 2016"/>
    <tableColumn id="3" xr3:uid="{37E2DDAD-8EE1-4110-A347-EC2C4FF52AB1}" name="End Use "/>
    <tableColumn id="4" xr3:uid="{042DD533-3170-46CA-914A-43B7DB1014A2}" name="EUL"/>
    <tableColumn id="8" xr3:uid="{FFAD6F98-3B4D-46EF-A78D-E5A0CF9737AD}" name="Unit of Measure"/>
    <tableColumn id="17" xr3:uid="{45C2D52D-5CB5-471F-889D-6102156BBF88}" name="CBECS 2012 Midwest Electricity Energy Intensity (kWh/sq ft)" dataDxfId="133">
      <calculatedColumnFormula>INDEX(Table71[CBECS 2012 Midwest Electricity Energy Intensity (kWh/sq ft)],MATCH(LPDWATT[[#This Row],[CBECS Building Activity]],Table71[Principal building activity],0))</calculatedColumnFormula>
    </tableColumn>
    <tableColumn id="18" xr3:uid="{4A7C05B6-84D2-46BF-8801-0DBD3D4C1055}" name="CBECS Building Activity"/>
    <tableColumn id="5" xr3:uid="{DD38F0D9-E350-442C-B3DA-1007C2CE068E}" name="IL TRM v8.0 Lighting Coincidence Factor" dataDxfId="132"/>
    <tableColumn id="6" xr3:uid="{A5534E04-9908-44F4-BFB0-7ED8DB264BB2}" name="IL TRM v8.0 Operating Hours"/>
    <tableColumn id="16" xr3:uid="{1F2A6DE8-2FBB-45FE-B438-1973CA9C544E}" name="IL TRM v8.0 WHFe" dataDxfId="131"/>
    <tableColumn id="7" xr3:uid="{E9B8CA68-C0D8-47F1-9B60-9BE3D2918531}" name="IL TRM v8.0 Building Area Assumption"/>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B20:B24" totalsRowShown="0">
  <autoFilter ref="B20:B24" xr:uid="{C54925B7-0CF2-49D6-A9A4-E1BBED33EF7B}"/>
  <tableColumns count="1">
    <tableColumn id="1" xr3:uid="{435B7D4D-67D7-4207-A53D-7C955507B7E6}" name="Codes"/>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A5CC6EE6-DBD9-4A62-BD6A-12286FE49DAB}" name="NCLIGHTINCCOST" displayName="NCLIGHTINCCOST" ref="B31:C34" totalsRowShown="0" headerRowDxfId="130" dataDxfId="129">
  <autoFilter ref="B31:C34" xr:uid="{C8CA22F1-54B9-4ACA-89E8-19DBE6F34C69}"/>
  <tableColumns count="2">
    <tableColumn id="1" xr3:uid="{61335964-85B7-409C-BF82-E33DC4B8FF53}" name="% below code" dataDxfId="128" dataCellStyle="Percent"/>
    <tableColumn id="2" xr3:uid="{04032557-9516-4FF3-8343-654AD9605820}" name="WI Incremental Cost ($/sq ft)" dataDxfId="12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J11:U16" totalsRowShown="0">
  <autoFilter ref="J11:U16" xr:uid="{00000000-0009-0000-0100-00001D000000}"/>
  <tableColumns count="12">
    <tableColumn id="1" xr3:uid="{00000000-0010-0000-1500-000001000000}" name="Payment to"/>
    <tableColumn id="2" xr3:uid="{00000000-0010-0000-1500-000002000000}" name="Company" dataDxfId="655">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654">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16" totalsRowShown="0">
  <autoFilter ref="C11:D16" xr:uid="{00000000-0009-0000-0100-00001E000000}"/>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X11:AC27" totalsRowShown="0">
  <autoFilter ref="X11:AC27" xr:uid="{00000000-0009-0000-0100-000017000000}"/>
  <sortState xmlns:xlrd2="http://schemas.microsoft.com/office/spreadsheetml/2017/richdata2" ref="X12:AC27">
    <sortCondition ref="AC11:AC27"/>
  </sortState>
  <tableColumns count="6">
    <tableColumn id="1" xr3:uid="{00000000-0010-0000-1700-000001000000}" name="End Use to Coincident Peak Demand Factors"/>
    <tableColumn id="8" xr3:uid="{00000000-0010-0000-1700-000008000000}" name="Source"/>
    <tableColumn id="2" xr3:uid="{00000000-0010-0000-1700-000002000000}" name="Factor" dataDxfId="653"/>
    <tableColumn id="3" xr3:uid="{00000000-0010-0000-1700-000003000000}" name="Rate ($/kWh)" dataDxfId="652"/>
    <tableColumn id="5" xr3:uid="{AC59A936-DF0C-4CD2-A15F-42718FC9360A}" name="Bonus Rate ($/kWh)" dataDxfId="651"/>
    <tableColumn id="4" xr3:uid="{CEC7DA9D-10D0-486A-95B9-ED018C6108A6}" name="Measure Number Indicator" dataDxfId="65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4.xml"/><Relationship Id="rId13" Type="http://schemas.openxmlformats.org/officeDocument/2006/relationships/table" Target="../tables/table9.xml"/><Relationship Id="rId18" Type="http://schemas.openxmlformats.org/officeDocument/2006/relationships/table" Target="../tables/table14.xml"/><Relationship Id="rId26" Type="http://schemas.openxmlformats.org/officeDocument/2006/relationships/table" Target="../tables/table22.xml"/><Relationship Id="rId3" Type="http://schemas.openxmlformats.org/officeDocument/2006/relationships/hyperlink" Target="mailto:EKruzan@trccompanies.com" TargetMode="External"/><Relationship Id="rId21" Type="http://schemas.openxmlformats.org/officeDocument/2006/relationships/table" Target="../tables/table17.xml"/><Relationship Id="rId7" Type="http://schemas.openxmlformats.org/officeDocument/2006/relationships/table" Target="../tables/table3.xml"/><Relationship Id="rId12" Type="http://schemas.openxmlformats.org/officeDocument/2006/relationships/table" Target="../tables/table8.xml"/><Relationship Id="rId17" Type="http://schemas.openxmlformats.org/officeDocument/2006/relationships/table" Target="../tables/table13.xml"/><Relationship Id="rId25" Type="http://schemas.openxmlformats.org/officeDocument/2006/relationships/table" Target="../tables/table21.xml"/><Relationship Id="rId2" Type="http://schemas.openxmlformats.org/officeDocument/2006/relationships/hyperlink" Target="mailto:MBSharp@trccompanies.com" TargetMode="External"/><Relationship Id="rId16" Type="http://schemas.openxmlformats.org/officeDocument/2006/relationships/table" Target="../tables/table12.xml"/><Relationship Id="rId20" Type="http://schemas.openxmlformats.org/officeDocument/2006/relationships/table" Target="../tables/table16.xml"/><Relationship Id="rId29" Type="http://schemas.openxmlformats.org/officeDocument/2006/relationships/table" Target="../tables/table25.xml"/><Relationship Id="rId1" Type="http://schemas.openxmlformats.org/officeDocument/2006/relationships/hyperlink" Target="mailto:ABlaize@trccompanies.com" TargetMode="External"/><Relationship Id="rId6" Type="http://schemas.openxmlformats.org/officeDocument/2006/relationships/table" Target="../tables/table2.xml"/><Relationship Id="rId11" Type="http://schemas.openxmlformats.org/officeDocument/2006/relationships/table" Target="../tables/table7.xml"/><Relationship Id="rId24" Type="http://schemas.openxmlformats.org/officeDocument/2006/relationships/table" Target="../tables/table20.xml"/><Relationship Id="rId32" Type="http://schemas.openxmlformats.org/officeDocument/2006/relationships/table" Target="../tables/table28.xml"/><Relationship Id="rId5" Type="http://schemas.openxmlformats.org/officeDocument/2006/relationships/table" Target="../tables/table1.xml"/><Relationship Id="rId15" Type="http://schemas.openxmlformats.org/officeDocument/2006/relationships/table" Target="../tables/table11.xml"/><Relationship Id="rId23" Type="http://schemas.openxmlformats.org/officeDocument/2006/relationships/table" Target="../tables/table19.xml"/><Relationship Id="rId28" Type="http://schemas.openxmlformats.org/officeDocument/2006/relationships/table" Target="../tables/table24.xml"/><Relationship Id="rId10" Type="http://schemas.openxmlformats.org/officeDocument/2006/relationships/table" Target="../tables/table6.xml"/><Relationship Id="rId19" Type="http://schemas.openxmlformats.org/officeDocument/2006/relationships/table" Target="../tables/table15.xml"/><Relationship Id="rId31" Type="http://schemas.openxmlformats.org/officeDocument/2006/relationships/table" Target="../tables/table27.xml"/><Relationship Id="rId4" Type="http://schemas.openxmlformats.org/officeDocument/2006/relationships/printerSettings" Target="../printerSettings/printerSettings2.bin"/><Relationship Id="rId9" Type="http://schemas.openxmlformats.org/officeDocument/2006/relationships/table" Target="../tables/table5.xml"/><Relationship Id="rId14" Type="http://schemas.openxmlformats.org/officeDocument/2006/relationships/table" Target="../tables/table10.xml"/><Relationship Id="rId22" Type="http://schemas.openxmlformats.org/officeDocument/2006/relationships/table" Target="../tables/table18.xml"/><Relationship Id="rId27" Type="http://schemas.openxmlformats.org/officeDocument/2006/relationships/table" Target="../tables/table23.xml"/><Relationship Id="rId30" Type="http://schemas.openxmlformats.org/officeDocument/2006/relationships/table" Target="../tables/table26.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mailto:businessrebates@evergy.com" TargetMode="External"/><Relationship Id="rId1" Type="http://schemas.openxmlformats.org/officeDocument/2006/relationships/hyperlink" Target="mailto:businessrebates@evergy.com?subject=Evergy%20Standard/Custom%20Incentive%20Application%20Submission"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7.xml"/><Relationship Id="rId5" Type="http://schemas.openxmlformats.org/officeDocument/2006/relationships/printerSettings" Target="../printerSettings/printerSettings35.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ctrlProp" Target="../ctrlProps/ctrlProp3.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8.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table" Target="../tables/table29.xml"/><Relationship Id="rId1" Type="http://schemas.openxmlformats.org/officeDocument/2006/relationships/printerSettings" Target="../printerSettings/printerSettings4.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table" Target="../tables/table36.xml"/></Relationships>
</file>

<file path=xl/worksheets/_rels/sheet6.xml.rels><?xml version="1.0" encoding="UTF-8" standalone="yes"?>
<Relationships xmlns="http://schemas.openxmlformats.org/package/2006/relationships"><Relationship Id="rId8" Type="http://schemas.openxmlformats.org/officeDocument/2006/relationships/table" Target="../tables/table45.xml"/><Relationship Id="rId13" Type="http://schemas.openxmlformats.org/officeDocument/2006/relationships/table" Target="../tables/table50.xml"/><Relationship Id="rId3" Type="http://schemas.openxmlformats.org/officeDocument/2006/relationships/table" Target="../tables/table40.xml"/><Relationship Id="rId7" Type="http://schemas.openxmlformats.org/officeDocument/2006/relationships/table" Target="../tables/table44.xml"/><Relationship Id="rId12" Type="http://schemas.openxmlformats.org/officeDocument/2006/relationships/table" Target="../tables/table49.xml"/><Relationship Id="rId2" Type="http://schemas.openxmlformats.org/officeDocument/2006/relationships/table" Target="../tables/table39.xml"/><Relationship Id="rId1" Type="http://schemas.openxmlformats.org/officeDocument/2006/relationships/printerSettings" Target="../printerSettings/printerSettings5.bin"/><Relationship Id="rId6" Type="http://schemas.openxmlformats.org/officeDocument/2006/relationships/table" Target="../tables/table43.xml"/><Relationship Id="rId11" Type="http://schemas.openxmlformats.org/officeDocument/2006/relationships/table" Target="../tables/table48.xml"/><Relationship Id="rId5" Type="http://schemas.openxmlformats.org/officeDocument/2006/relationships/table" Target="../tables/table42.xml"/><Relationship Id="rId10" Type="http://schemas.openxmlformats.org/officeDocument/2006/relationships/table" Target="../tables/table47.xml"/><Relationship Id="rId4" Type="http://schemas.openxmlformats.org/officeDocument/2006/relationships/table" Target="../tables/table41.xml"/><Relationship Id="rId9" Type="http://schemas.openxmlformats.org/officeDocument/2006/relationships/table" Target="../tables/table4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3.xml"/><Relationship Id="rId7" Type="http://schemas.openxmlformats.org/officeDocument/2006/relationships/table" Target="../tables/table57.xml"/><Relationship Id="rId2" Type="http://schemas.openxmlformats.org/officeDocument/2006/relationships/table" Target="../tables/table52.xml"/><Relationship Id="rId1" Type="http://schemas.openxmlformats.org/officeDocument/2006/relationships/printerSettings" Target="../printerSettings/printerSettings7.bin"/><Relationship Id="rId6" Type="http://schemas.openxmlformats.org/officeDocument/2006/relationships/table" Target="../tables/table56.xml"/><Relationship Id="rId5" Type="http://schemas.openxmlformats.org/officeDocument/2006/relationships/table" Target="../tables/table55.xml"/><Relationship Id="rId4" Type="http://schemas.openxmlformats.org/officeDocument/2006/relationships/table" Target="../tables/table5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theme="3"/>
  </sheetPr>
  <dimension ref="A1:AQ300"/>
  <sheetViews>
    <sheetView showGridLines="0" showRowColHeaders="0" zoomScaleNormal="100" workbookViewId="0">
      <pane ySplit="4" topLeftCell="A35" activePane="bottomLeft" state="frozen"/>
      <selection activeCell="AX18" sqref="AX18:AX19"/>
      <selection pane="bottomLeft" activeCell="A38" sqref="A38"/>
    </sheetView>
  </sheetViews>
  <sheetFormatPr defaultColWidth="1.7109375" defaultRowHeight="15.75"/>
  <cols>
    <col min="1" max="1" width="13.140625" style="8" bestFit="1" customWidth="1"/>
    <col min="2" max="2" width="12.28515625" style="8" bestFit="1" customWidth="1"/>
    <col min="3" max="3" width="8.28515625" style="8" bestFit="1" customWidth="1"/>
    <col min="4" max="4" width="8.28515625" style="8" customWidth="1"/>
    <col min="5" max="5" width="53.42578125" style="8" customWidth="1"/>
    <col min="6" max="6" width="4.42578125" customWidth="1"/>
    <col min="7" max="7" width="7" customWidth="1"/>
    <col min="8" max="8" width="163.5703125" bestFit="1" customWidth="1"/>
  </cols>
  <sheetData>
    <row r="1" spans="1:43" ht="15">
      <c r="A1" s="691" t="s">
        <v>103</v>
      </c>
      <c r="B1" s="691"/>
      <c r="C1" s="691"/>
      <c r="D1" s="691"/>
      <c r="E1" s="691"/>
      <c r="G1" s="2" t="s">
        <v>665</v>
      </c>
    </row>
    <row r="2" spans="1:43" ht="15">
      <c r="A2" s="691"/>
      <c r="B2" s="691"/>
      <c r="C2" s="691"/>
      <c r="D2" s="691"/>
      <c r="E2" s="691"/>
      <c r="G2" t="s">
        <v>661</v>
      </c>
      <c r="H2" t="s">
        <v>664</v>
      </c>
    </row>
    <row r="3" spans="1:43">
      <c r="A3" s="691"/>
      <c r="B3" s="691"/>
      <c r="C3" s="691"/>
      <c r="D3" s="691"/>
      <c r="E3" s="691"/>
      <c r="G3" t="s">
        <v>662</v>
      </c>
      <c r="H3" t="s">
        <v>672</v>
      </c>
      <c r="AQ3" s="136"/>
    </row>
    <row r="4" spans="1:43" ht="15">
      <c r="A4" s="2" t="s">
        <v>106</v>
      </c>
      <c r="B4" s="2" t="s">
        <v>104</v>
      </c>
      <c r="C4" s="2" t="s">
        <v>105</v>
      </c>
      <c r="D4" s="2" t="s">
        <v>2751</v>
      </c>
      <c r="E4" s="3" t="s">
        <v>107</v>
      </c>
      <c r="G4" t="s">
        <v>663</v>
      </c>
      <c r="H4" t="s">
        <v>666</v>
      </c>
    </row>
    <row r="5" spans="1:43" ht="15" customHeight="1">
      <c r="A5" s="4">
        <v>43552</v>
      </c>
      <c r="B5" s="5" t="s">
        <v>1233</v>
      </c>
      <c r="C5" s="6" t="s">
        <v>1925</v>
      </c>
      <c r="D5" s="6"/>
      <c r="E5" s="629" t="s">
        <v>1926</v>
      </c>
    </row>
    <row r="6" spans="1:43" ht="15" customHeight="1">
      <c r="A6" s="4">
        <v>43566</v>
      </c>
      <c r="B6" s="5" t="s">
        <v>1233</v>
      </c>
      <c r="C6" s="6" t="s">
        <v>1929</v>
      </c>
      <c r="D6" s="6"/>
      <c r="E6" s="629" t="s">
        <v>1930</v>
      </c>
    </row>
    <row r="7" spans="1:43" ht="15" customHeight="1">
      <c r="A7" s="4">
        <v>43642</v>
      </c>
      <c r="B7" s="5" t="s">
        <v>1233</v>
      </c>
      <c r="C7" s="6" t="s">
        <v>1978</v>
      </c>
      <c r="D7" s="6"/>
      <c r="E7" s="629" t="s">
        <v>1969</v>
      </c>
    </row>
    <row r="8" spans="1:43" ht="15" customHeight="1">
      <c r="A8" s="4">
        <v>43671</v>
      </c>
      <c r="B8" s="5" t="s">
        <v>1233</v>
      </c>
      <c r="C8" s="6"/>
      <c r="D8" s="6"/>
      <c r="E8" s="629" t="s">
        <v>1970</v>
      </c>
    </row>
    <row r="9" spans="1:43" ht="15" customHeight="1">
      <c r="A9" s="4" t="s">
        <v>2053</v>
      </c>
      <c r="B9" s="5" t="s">
        <v>1233</v>
      </c>
      <c r="C9" s="6"/>
      <c r="D9" s="6"/>
      <c r="E9" s="629" t="s">
        <v>2052</v>
      </c>
    </row>
    <row r="10" spans="1:43" ht="15" customHeight="1">
      <c r="A10" s="4">
        <v>43707</v>
      </c>
      <c r="B10" s="5" t="s">
        <v>1233</v>
      </c>
      <c r="C10" s="6"/>
      <c r="D10" s="6"/>
      <c r="E10" s="629" t="s">
        <v>2064</v>
      </c>
    </row>
    <row r="11" spans="1:43" ht="15" customHeight="1">
      <c r="A11" s="4">
        <v>43732</v>
      </c>
      <c r="B11" s="5" t="s">
        <v>1233</v>
      </c>
      <c r="C11" s="6" t="s">
        <v>2081</v>
      </c>
      <c r="D11" s="6"/>
      <c r="E11" s="629" t="s">
        <v>2091</v>
      </c>
    </row>
    <row r="12" spans="1:43" ht="15" customHeight="1">
      <c r="A12" s="4">
        <v>43740</v>
      </c>
      <c r="B12" s="5" t="s">
        <v>1233</v>
      </c>
      <c r="C12" s="6"/>
      <c r="D12" s="6"/>
      <c r="E12" s="629" t="s">
        <v>2110</v>
      </c>
    </row>
    <row r="13" spans="1:43" ht="15" customHeight="1">
      <c r="A13" s="4">
        <v>43817</v>
      </c>
      <c r="B13" s="5" t="s">
        <v>2111</v>
      </c>
      <c r="C13" s="6" t="s">
        <v>2202</v>
      </c>
      <c r="D13" s="6" t="s">
        <v>2752</v>
      </c>
      <c r="E13" s="629" t="s">
        <v>2112</v>
      </c>
    </row>
    <row r="14" spans="1:43" ht="15" customHeight="1">
      <c r="A14" s="4">
        <v>43852</v>
      </c>
      <c r="B14" s="5" t="s">
        <v>1233</v>
      </c>
      <c r="C14" s="6"/>
      <c r="D14" s="6" t="s">
        <v>2752</v>
      </c>
      <c r="E14" s="631" t="s">
        <v>2633</v>
      </c>
    </row>
    <row r="15" spans="1:43" ht="15" customHeight="1">
      <c r="A15" s="4">
        <v>43858</v>
      </c>
      <c r="B15" s="5" t="s">
        <v>1233</v>
      </c>
      <c r="C15" s="6"/>
      <c r="D15" s="6" t="s">
        <v>2752</v>
      </c>
      <c r="E15" s="631" t="s">
        <v>2702</v>
      </c>
    </row>
    <row r="16" spans="1:43" ht="15" customHeight="1">
      <c r="A16" s="4">
        <v>43859</v>
      </c>
      <c r="B16" s="5" t="s">
        <v>1233</v>
      </c>
      <c r="C16" s="6"/>
      <c r="D16" s="6" t="s">
        <v>2752</v>
      </c>
      <c r="E16" s="631" t="s">
        <v>2706</v>
      </c>
    </row>
    <row r="17" spans="1:6" ht="15" customHeight="1">
      <c r="A17" s="4">
        <v>43864</v>
      </c>
      <c r="B17" s="5" t="s">
        <v>1233</v>
      </c>
      <c r="C17" s="6" t="s">
        <v>2707</v>
      </c>
      <c r="D17" s="6" t="s">
        <v>2752</v>
      </c>
      <c r="E17" s="631" t="s">
        <v>2708</v>
      </c>
    </row>
    <row r="18" spans="1:6" ht="15" customHeight="1">
      <c r="A18" s="4">
        <v>43865</v>
      </c>
      <c r="B18" s="5" t="s">
        <v>1233</v>
      </c>
      <c r="C18" s="606" t="s">
        <v>2731</v>
      </c>
      <c r="D18" s="6" t="s">
        <v>2752</v>
      </c>
      <c r="E18" s="631" t="s">
        <v>2716</v>
      </c>
      <c r="F18" s="1"/>
    </row>
    <row r="19" spans="1:6" ht="15" customHeight="1">
      <c r="A19" s="4">
        <v>43868</v>
      </c>
      <c r="B19" s="5" t="s">
        <v>1233</v>
      </c>
      <c r="C19" s="606"/>
      <c r="D19" s="6" t="s">
        <v>2752</v>
      </c>
      <c r="E19" s="631" t="s">
        <v>2732</v>
      </c>
    </row>
    <row r="20" spans="1:6" ht="15" customHeight="1">
      <c r="A20" s="4">
        <v>43871</v>
      </c>
      <c r="B20" s="5" t="s">
        <v>1233</v>
      </c>
      <c r="C20" s="606"/>
      <c r="D20" s="6" t="s">
        <v>2752</v>
      </c>
      <c r="E20" s="631" t="s">
        <v>2733</v>
      </c>
    </row>
    <row r="21" spans="1:6" ht="15" customHeight="1">
      <c r="A21" s="4">
        <v>43879</v>
      </c>
      <c r="B21" s="5" t="s">
        <v>1233</v>
      </c>
      <c r="C21" s="6" t="s">
        <v>2831</v>
      </c>
      <c r="D21" s="6" t="s">
        <v>2752</v>
      </c>
      <c r="E21" s="631" t="s">
        <v>2740</v>
      </c>
    </row>
    <row r="22" spans="1:6" ht="15" customHeight="1">
      <c r="A22" s="4">
        <v>43879</v>
      </c>
      <c r="B22" s="5" t="s">
        <v>1233</v>
      </c>
      <c r="C22" s="6"/>
      <c r="D22" s="6" t="s">
        <v>2752</v>
      </c>
      <c r="E22" s="631" t="s">
        <v>2750</v>
      </c>
    </row>
    <row r="23" spans="1:6" ht="15" customHeight="1">
      <c r="A23" s="4">
        <v>43893</v>
      </c>
      <c r="B23" s="5" t="s">
        <v>1233</v>
      </c>
      <c r="C23" s="6"/>
      <c r="D23" s="6" t="s">
        <v>2752</v>
      </c>
      <c r="E23" s="631" t="s">
        <v>2833</v>
      </c>
    </row>
    <row r="24" spans="1:6" ht="15" customHeight="1">
      <c r="A24" s="4">
        <v>43893</v>
      </c>
      <c r="B24" s="5" t="s">
        <v>2111</v>
      </c>
      <c r="C24" s="6"/>
      <c r="D24" s="6" t="s">
        <v>2752</v>
      </c>
      <c r="E24" s="631" t="s">
        <v>2828</v>
      </c>
    </row>
    <row r="25" spans="1:6" ht="15" customHeight="1">
      <c r="A25" s="4">
        <v>43901</v>
      </c>
      <c r="B25" s="5" t="s">
        <v>1233</v>
      </c>
      <c r="C25" s="6" t="s">
        <v>2834</v>
      </c>
      <c r="D25" s="6" t="s">
        <v>2840</v>
      </c>
      <c r="E25" s="631" t="s">
        <v>2851</v>
      </c>
    </row>
    <row r="26" spans="1:6" ht="15" customHeight="1">
      <c r="A26" s="4">
        <v>43901</v>
      </c>
      <c r="B26" s="5" t="s">
        <v>1233</v>
      </c>
      <c r="C26" s="6" t="s">
        <v>2834</v>
      </c>
      <c r="D26" s="6" t="s">
        <v>220</v>
      </c>
      <c r="E26" s="631" t="s">
        <v>2859</v>
      </c>
    </row>
    <row r="27" spans="1:6" ht="15" customHeight="1">
      <c r="A27" s="4">
        <v>43902</v>
      </c>
      <c r="B27" s="5" t="s">
        <v>2111</v>
      </c>
      <c r="C27" s="6"/>
      <c r="D27" s="6" t="s">
        <v>2709</v>
      </c>
      <c r="E27" s="631" t="s">
        <v>2861</v>
      </c>
    </row>
    <row r="28" spans="1:6" s="180" customFormat="1" ht="15" customHeight="1">
      <c r="A28" s="4">
        <v>43902</v>
      </c>
      <c r="B28" s="5" t="s">
        <v>1233</v>
      </c>
      <c r="C28" s="6" t="s">
        <v>2834</v>
      </c>
      <c r="D28" s="6" t="s">
        <v>220</v>
      </c>
      <c r="E28" s="629" t="s">
        <v>2865</v>
      </c>
    </row>
    <row r="29" spans="1:6" ht="14.25" customHeight="1">
      <c r="A29" s="4">
        <v>43902</v>
      </c>
      <c r="B29" s="5" t="s">
        <v>1233</v>
      </c>
      <c r="C29" s="6" t="s">
        <v>2863</v>
      </c>
      <c r="D29" s="6" t="s">
        <v>2752</v>
      </c>
      <c r="E29" s="629" t="s">
        <v>2864</v>
      </c>
    </row>
    <row r="30" spans="1:6" ht="108">
      <c r="A30" s="4">
        <v>43920</v>
      </c>
      <c r="B30" s="5" t="s">
        <v>2111</v>
      </c>
      <c r="C30" s="6" t="s">
        <v>2866</v>
      </c>
      <c r="D30" s="6" t="s">
        <v>2709</v>
      </c>
      <c r="E30" s="631" t="s">
        <v>2867</v>
      </c>
    </row>
    <row r="31" spans="1:6">
      <c r="A31" s="4"/>
      <c r="B31" s="5"/>
      <c r="C31" s="6" t="s">
        <v>2866</v>
      </c>
      <c r="D31" s="6" t="s">
        <v>220</v>
      </c>
      <c r="E31" s="631" t="s">
        <v>2868</v>
      </c>
    </row>
    <row r="32" spans="1:6" ht="409.5">
      <c r="A32" s="4">
        <v>43962</v>
      </c>
      <c r="B32" s="5" t="s">
        <v>2111</v>
      </c>
      <c r="C32" s="6" t="s">
        <v>2878</v>
      </c>
      <c r="D32" s="6" t="s">
        <v>2752</v>
      </c>
      <c r="E32" s="631" t="s">
        <v>2879</v>
      </c>
    </row>
    <row r="33" spans="1:5" ht="270">
      <c r="A33" s="4">
        <v>43990</v>
      </c>
      <c r="B33" s="5" t="s">
        <v>2111</v>
      </c>
      <c r="C33" s="6" t="s">
        <v>2866</v>
      </c>
      <c r="D33" s="6" t="s">
        <v>220</v>
      </c>
      <c r="E33" s="631" t="s">
        <v>2881</v>
      </c>
    </row>
    <row r="34" spans="1:5" ht="162">
      <c r="A34" s="4">
        <v>43990</v>
      </c>
      <c r="B34" s="5" t="s">
        <v>2111</v>
      </c>
      <c r="C34" s="6" t="s">
        <v>2882</v>
      </c>
      <c r="D34" s="6" t="s">
        <v>2709</v>
      </c>
      <c r="E34" s="631" t="s">
        <v>2883</v>
      </c>
    </row>
    <row r="35" spans="1:5" ht="409.5">
      <c r="A35" s="4">
        <v>44018</v>
      </c>
      <c r="B35" s="5" t="s">
        <v>2111</v>
      </c>
      <c r="C35" s="6" t="s">
        <v>2834</v>
      </c>
      <c r="D35" s="6" t="s">
        <v>2752</v>
      </c>
      <c r="E35" s="631" t="s">
        <v>2907</v>
      </c>
    </row>
    <row r="36" spans="1:5">
      <c r="A36" s="4">
        <v>44028</v>
      </c>
      <c r="B36" s="5" t="s">
        <v>2111</v>
      </c>
      <c r="C36" s="6" t="s">
        <v>2866</v>
      </c>
      <c r="D36" s="6" t="s">
        <v>2752</v>
      </c>
      <c r="E36" s="631" t="s">
        <v>2914</v>
      </c>
    </row>
    <row r="37" spans="1:5">
      <c r="A37" s="4">
        <v>44034</v>
      </c>
      <c r="B37" s="5" t="s">
        <v>2111</v>
      </c>
      <c r="C37" s="6" t="s">
        <v>2882</v>
      </c>
      <c r="D37" s="6" t="s">
        <v>2752</v>
      </c>
      <c r="E37" s="631" t="s">
        <v>2915</v>
      </c>
    </row>
    <row r="38" spans="1:5">
      <c r="A38" s="4"/>
      <c r="B38" s="5"/>
      <c r="C38" s="6"/>
      <c r="D38" s="6"/>
      <c r="E38" s="631"/>
    </row>
    <row r="39" spans="1:5">
      <c r="A39" s="4"/>
      <c r="B39" s="5"/>
      <c r="C39" s="6"/>
      <c r="D39" s="6"/>
      <c r="E39" s="631"/>
    </row>
    <row r="40" spans="1:5">
      <c r="A40" s="4"/>
      <c r="B40" s="5"/>
      <c r="C40" s="6"/>
      <c r="D40" s="6"/>
      <c r="E40" s="631"/>
    </row>
    <row r="41" spans="1:5">
      <c r="A41" s="4"/>
      <c r="B41" s="5"/>
      <c r="C41" s="6"/>
      <c r="D41" s="6"/>
      <c r="E41" s="631"/>
    </row>
    <row r="42" spans="1:5">
      <c r="A42" s="4"/>
      <c r="B42" s="5"/>
      <c r="C42" s="6"/>
      <c r="D42" s="6"/>
      <c r="E42" s="631"/>
    </row>
    <row r="43" spans="1:5">
      <c r="A43" s="4"/>
      <c r="B43" s="5"/>
      <c r="C43" s="6"/>
      <c r="D43" s="6"/>
      <c r="E43" s="631"/>
    </row>
    <row r="44" spans="1:5">
      <c r="A44" s="4"/>
      <c r="B44" s="5"/>
      <c r="C44" s="6"/>
      <c r="D44" s="6"/>
      <c r="E44" s="631"/>
    </row>
    <row r="45" spans="1:5">
      <c r="A45" s="4"/>
      <c r="B45" s="5"/>
      <c r="C45" s="6"/>
      <c r="D45" s="6"/>
      <c r="E45" s="631"/>
    </row>
    <row r="46" spans="1:5">
      <c r="A46" s="4"/>
      <c r="B46" s="5"/>
      <c r="C46" s="6"/>
      <c r="D46" s="6"/>
      <c r="E46" s="631"/>
    </row>
    <row r="47" spans="1:5">
      <c r="A47" s="4"/>
      <c r="B47" s="5"/>
      <c r="C47" s="6"/>
      <c r="D47" s="6"/>
      <c r="E47" s="631"/>
    </row>
    <row r="48" spans="1:5">
      <c r="A48" s="4"/>
      <c r="B48" s="5"/>
      <c r="C48" s="6"/>
      <c r="D48" s="6"/>
      <c r="E48" s="631"/>
    </row>
    <row r="49" spans="1:5">
      <c r="A49" s="4"/>
      <c r="B49" s="5"/>
      <c r="C49" s="6"/>
      <c r="D49" s="6"/>
      <c r="E49" s="631"/>
    </row>
    <row r="50" spans="1:5">
      <c r="A50" s="4"/>
      <c r="B50" s="5"/>
      <c r="C50" s="6"/>
      <c r="D50" s="6"/>
      <c r="E50" s="631"/>
    </row>
    <row r="51" spans="1:5">
      <c r="A51" s="4"/>
      <c r="B51" s="5"/>
      <c r="C51" s="6"/>
      <c r="D51" s="6"/>
      <c r="E51" s="631"/>
    </row>
    <row r="52" spans="1:5">
      <c r="A52" s="4"/>
      <c r="B52" s="5"/>
      <c r="C52" s="6"/>
      <c r="D52" s="6"/>
      <c r="E52" s="631"/>
    </row>
    <row r="53" spans="1:5">
      <c r="A53" s="4"/>
      <c r="B53" s="5"/>
      <c r="C53" s="6"/>
      <c r="D53" s="6"/>
      <c r="E53" s="631"/>
    </row>
    <row r="54" spans="1:5">
      <c r="A54" s="4"/>
      <c r="B54" s="5"/>
      <c r="C54" s="6"/>
      <c r="D54" s="6"/>
      <c r="E54" s="631"/>
    </row>
    <row r="55" spans="1:5">
      <c r="A55" s="4"/>
      <c r="B55" s="5"/>
      <c r="C55" s="6"/>
      <c r="D55" s="6"/>
      <c r="E55" s="631"/>
    </row>
    <row r="56" spans="1:5">
      <c r="A56" s="4"/>
      <c r="B56" s="5"/>
      <c r="C56" s="6"/>
      <c r="D56" s="6"/>
      <c r="E56" s="631"/>
    </row>
    <row r="57" spans="1:5">
      <c r="A57" s="4"/>
      <c r="B57" s="5"/>
      <c r="C57" s="6"/>
      <c r="D57" s="6"/>
      <c r="E57" s="631"/>
    </row>
    <row r="58" spans="1:5">
      <c r="A58" s="4"/>
      <c r="B58" s="5"/>
      <c r="C58" s="6"/>
      <c r="D58" s="6"/>
      <c r="E58" s="631"/>
    </row>
    <row r="59" spans="1:5">
      <c r="A59" s="4"/>
      <c r="B59" s="5"/>
      <c r="C59" s="6"/>
      <c r="D59" s="6"/>
      <c r="E59" s="631"/>
    </row>
    <row r="60" spans="1:5">
      <c r="A60" s="4"/>
      <c r="B60" s="5"/>
      <c r="C60" s="6"/>
      <c r="D60" s="6"/>
      <c r="E60" s="631"/>
    </row>
    <row r="61" spans="1:5">
      <c r="A61" s="4"/>
      <c r="B61" s="5"/>
      <c r="C61" s="6"/>
      <c r="D61" s="6"/>
      <c r="E61" s="631"/>
    </row>
    <row r="62" spans="1:5">
      <c r="A62" s="4"/>
      <c r="B62" s="5"/>
      <c r="C62" s="6"/>
      <c r="D62" s="6"/>
      <c r="E62" s="631"/>
    </row>
    <row r="63" spans="1:5">
      <c r="A63" s="4"/>
      <c r="B63" s="5"/>
      <c r="C63" s="6"/>
      <c r="D63" s="6"/>
      <c r="E63" s="631"/>
    </row>
    <row r="64" spans="1:5">
      <c r="A64" s="4"/>
      <c r="B64" s="5"/>
      <c r="C64" s="6"/>
      <c r="D64" s="6"/>
      <c r="E64" s="631"/>
    </row>
    <row r="65" spans="1:5">
      <c r="A65" s="4"/>
      <c r="B65" s="5"/>
      <c r="C65" s="6"/>
      <c r="D65" s="6"/>
      <c r="E65" s="631"/>
    </row>
    <row r="66" spans="1:5">
      <c r="A66" s="4"/>
      <c r="B66" s="5"/>
      <c r="C66" s="6"/>
      <c r="D66" s="6"/>
      <c r="E66" s="631"/>
    </row>
    <row r="67" spans="1:5">
      <c r="A67" s="4"/>
      <c r="B67" s="5"/>
      <c r="C67" s="6"/>
      <c r="D67" s="6"/>
      <c r="E67" s="631"/>
    </row>
    <row r="68" spans="1:5">
      <c r="A68" s="4"/>
      <c r="B68" s="5"/>
      <c r="C68" s="6"/>
      <c r="D68" s="6"/>
      <c r="E68" s="631"/>
    </row>
    <row r="69" spans="1:5">
      <c r="A69" s="4"/>
      <c r="B69" s="5"/>
      <c r="C69" s="6"/>
      <c r="D69" s="6"/>
      <c r="E69" s="631"/>
    </row>
    <row r="70" spans="1:5">
      <c r="A70" s="4"/>
      <c r="B70" s="5"/>
      <c r="C70" s="6"/>
      <c r="D70" s="6"/>
      <c r="E70" s="631"/>
    </row>
    <row r="71" spans="1:5">
      <c r="A71" s="4"/>
      <c r="B71" s="5"/>
      <c r="C71" s="6"/>
      <c r="D71" s="6"/>
      <c r="E71" s="631"/>
    </row>
    <row r="72" spans="1:5">
      <c r="A72" s="4"/>
      <c r="B72" s="5"/>
      <c r="C72" s="6"/>
      <c r="D72" s="6"/>
      <c r="E72" s="631"/>
    </row>
    <row r="73" spans="1:5">
      <c r="A73" s="4"/>
      <c r="B73" s="5"/>
      <c r="C73" s="6"/>
      <c r="D73" s="6"/>
      <c r="E73" s="631"/>
    </row>
    <row r="74" spans="1:5">
      <c r="A74" s="4"/>
      <c r="B74" s="5"/>
      <c r="C74" s="6"/>
      <c r="D74" s="6"/>
      <c r="E74" s="631"/>
    </row>
    <row r="75" spans="1:5">
      <c r="A75" s="4"/>
      <c r="B75" s="5"/>
      <c r="C75" s="6"/>
      <c r="D75" s="6"/>
      <c r="E75" s="631"/>
    </row>
    <row r="76" spans="1:5">
      <c r="A76" s="4"/>
      <c r="B76" s="5"/>
      <c r="C76" s="6"/>
      <c r="D76" s="6"/>
      <c r="E76" s="631"/>
    </row>
    <row r="77" spans="1:5">
      <c r="A77" s="4"/>
      <c r="B77" s="5"/>
      <c r="C77" s="6"/>
      <c r="D77" s="6"/>
      <c r="E77" s="631"/>
    </row>
    <row r="78" spans="1:5">
      <c r="A78" s="4"/>
      <c r="B78" s="5"/>
      <c r="C78" s="6"/>
      <c r="D78" s="6"/>
      <c r="E78" s="631"/>
    </row>
    <row r="79" spans="1:5">
      <c r="A79" s="4"/>
      <c r="B79" s="5"/>
      <c r="C79" s="6"/>
      <c r="D79" s="6"/>
      <c r="E79" s="631"/>
    </row>
    <row r="80" spans="1:5">
      <c r="A80" s="4"/>
      <c r="B80" s="5"/>
      <c r="C80" s="6"/>
      <c r="D80" s="6"/>
      <c r="E80" s="631"/>
    </row>
    <row r="81" spans="1:5">
      <c r="A81" s="4"/>
      <c r="B81" s="5"/>
      <c r="C81" s="6"/>
      <c r="D81" s="6"/>
      <c r="E81" s="631"/>
    </row>
    <row r="82" spans="1:5">
      <c r="A82" s="4"/>
      <c r="B82" s="5"/>
      <c r="C82" s="6"/>
      <c r="D82" s="6"/>
      <c r="E82" s="631"/>
    </row>
    <row r="83" spans="1:5">
      <c r="A83" s="4"/>
      <c r="B83" s="5"/>
      <c r="C83" s="6"/>
      <c r="D83" s="6"/>
      <c r="E83" s="631"/>
    </row>
    <row r="84" spans="1:5">
      <c r="A84" s="4"/>
      <c r="B84" s="5"/>
      <c r="C84" s="6"/>
      <c r="D84" s="6"/>
      <c r="E84" s="631"/>
    </row>
    <row r="85" spans="1:5">
      <c r="A85" s="4"/>
      <c r="B85" s="5"/>
      <c r="C85" s="6"/>
      <c r="D85" s="6"/>
      <c r="E85" s="631"/>
    </row>
    <row r="86" spans="1:5">
      <c r="A86" s="4"/>
      <c r="B86" s="5"/>
      <c r="C86" s="6"/>
      <c r="D86" s="6"/>
      <c r="E86" s="631"/>
    </row>
    <row r="87" spans="1:5">
      <c r="A87" s="4"/>
      <c r="B87" s="5"/>
      <c r="C87" s="6"/>
      <c r="D87" s="6"/>
      <c r="E87" s="631"/>
    </row>
    <row r="88" spans="1:5">
      <c r="A88" s="4"/>
      <c r="B88" s="5"/>
      <c r="C88" s="6"/>
      <c r="D88" s="6"/>
      <c r="E88" s="631"/>
    </row>
    <row r="89" spans="1:5">
      <c r="A89" s="4"/>
      <c r="B89" s="5"/>
      <c r="C89" s="6"/>
      <c r="D89" s="6"/>
      <c r="E89" s="631"/>
    </row>
    <row r="90" spans="1:5">
      <c r="A90" s="4"/>
      <c r="B90" s="5"/>
      <c r="C90" s="6"/>
      <c r="D90" s="6"/>
      <c r="E90" s="631"/>
    </row>
    <row r="91" spans="1:5">
      <c r="A91" s="4"/>
      <c r="B91" s="5"/>
      <c r="C91" s="6"/>
      <c r="D91" s="6"/>
      <c r="E91" s="631"/>
    </row>
    <row r="92" spans="1:5">
      <c r="A92" s="4"/>
      <c r="B92" s="5"/>
      <c r="C92" s="6"/>
      <c r="D92" s="6"/>
      <c r="E92" s="631"/>
    </row>
    <row r="93" spans="1:5">
      <c r="A93" s="4"/>
      <c r="B93" s="5"/>
      <c r="C93" s="6"/>
      <c r="D93" s="6"/>
      <c r="E93" s="631"/>
    </row>
    <row r="94" spans="1:5">
      <c r="A94" s="4"/>
      <c r="B94" s="5"/>
      <c r="C94" s="6"/>
      <c r="D94" s="6"/>
      <c r="E94" s="631"/>
    </row>
    <row r="95" spans="1:5">
      <c r="A95" s="4"/>
      <c r="B95" s="5"/>
      <c r="C95" s="6"/>
      <c r="D95" s="6"/>
      <c r="E95" s="631"/>
    </row>
    <row r="96" spans="1:5">
      <c r="A96" s="4"/>
      <c r="B96" s="5"/>
      <c r="C96" s="6"/>
      <c r="D96" s="6"/>
      <c r="E96" s="631"/>
    </row>
    <row r="97" spans="1:5">
      <c r="A97" s="4"/>
      <c r="B97" s="5"/>
      <c r="C97" s="6"/>
      <c r="D97" s="6"/>
      <c r="E97" s="631"/>
    </row>
    <row r="98" spans="1:5">
      <c r="A98" s="4"/>
      <c r="B98" s="5"/>
      <c r="C98" s="6"/>
      <c r="D98" s="6"/>
      <c r="E98" s="631"/>
    </row>
    <row r="99" spans="1:5">
      <c r="A99" s="4"/>
      <c r="B99" s="5"/>
      <c r="C99" s="6"/>
      <c r="D99" s="6"/>
      <c r="E99" s="631"/>
    </row>
    <row r="100" spans="1:5">
      <c r="A100" s="4"/>
      <c r="B100" s="5"/>
      <c r="C100" s="6"/>
      <c r="D100" s="6"/>
      <c r="E100" s="631"/>
    </row>
    <row r="101" spans="1:5">
      <c r="A101" s="4"/>
      <c r="B101" s="5"/>
      <c r="C101" s="6"/>
      <c r="D101" s="6"/>
      <c r="E101" s="631"/>
    </row>
    <row r="102" spans="1:5">
      <c r="A102" s="4"/>
      <c r="B102" s="5"/>
      <c r="C102" s="6"/>
      <c r="D102" s="6"/>
      <c r="E102" s="631"/>
    </row>
    <row r="103" spans="1:5">
      <c r="A103" s="4"/>
      <c r="B103" s="5"/>
      <c r="C103" s="6"/>
      <c r="D103" s="6"/>
      <c r="E103" s="631"/>
    </row>
    <row r="104" spans="1:5">
      <c r="A104" s="4"/>
      <c r="B104" s="5"/>
      <c r="C104" s="6"/>
      <c r="D104" s="6"/>
      <c r="E104" s="631"/>
    </row>
    <row r="105" spans="1:5">
      <c r="A105" s="4"/>
      <c r="B105" s="5"/>
      <c r="C105" s="6"/>
      <c r="D105" s="6"/>
      <c r="E105" s="631"/>
    </row>
    <row r="106" spans="1:5">
      <c r="A106" s="4"/>
      <c r="B106" s="5"/>
      <c r="C106" s="6"/>
      <c r="D106" s="6"/>
      <c r="E106" s="631"/>
    </row>
    <row r="107" spans="1:5">
      <c r="A107" s="4"/>
      <c r="B107" s="5"/>
      <c r="C107" s="6"/>
      <c r="D107" s="6"/>
      <c r="E107" s="631"/>
    </row>
    <row r="108" spans="1:5">
      <c r="A108" s="4"/>
      <c r="B108" s="5"/>
      <c r="C108" s="6"/>
      <c r="D108" s="6"/>
      <c r="E108" s="631"/>
    </row>
    <row r="109" spans="1:5">
      <c r="A109" s="4"/>
      <c r="B109" s="5"/>
      <c r="C109" s="6"/>
      <c r="D109" s="6"/>
      <c r="E109" s="631"/>
    </row>
    <row r="110" spans="1:5">
      <c r="A110" s="4"/>
      <c r="B110" s="5"/>
      <c r="C110" s="6"/>
      <c r="D110" s="6"/>
      <c r="E110" s="631"/>
    </row>
    <row r="111" spans="1:5">
      <c r="A111" s="4"/>
      <c r="B111" s="5"/>
      <c r="C111" s="6"/>
      <c r="D111" s="6"/>
      <c r="E111" s="631"/>
    </row>
    <row r="112" spans="1:5">
      <c r="A112" s="4"/>
      <c r="B112" s="5"/>
      <c r="C112" s="6"/>
      <c r="D112" s="6"/>
      <c r="E112" s="631"/>
    </row>
    <row r="113" spans="1:5">
      <c r="A113" s="4"/>
      <c r="B113" s="5"/>
      <c r="C113" s="6"/>
      <c r="D113" s="6"/>
      <c r="E113" s="631"/>
    </row>
    <row r="114" spans="1:5">
      <c r="A114" s="4"/>
      <c r="B114" s="5"/>
      <c r="C114" s="6"/>
      <c r="D114" s="6"/>
      <c r="E114" s="631"/>
    </row>
    <row r="115" spans="1:5">
      <c r="A115" s="4"/>
      <c r="B115" s="5"/>
      <c r="C115" s="6"/>
      <c r="D115" s="6"/>
      <c r="E115" s="631"/>
    </row>
    <row r="116" spans="1:5">
      <c r="A116" s="4"/>
      <c r="B116" s="5"/>
      <c r="C116" s="6"/>
      <c r="D116" s="6"/>
      <c r="E116" s="631"/>
    </row>
    <row r="117" spans="1:5">
      <c r="A117" s="4"/>
      <c r="B117" s="5"/>
      <c r="C117" s="6"/>
      <c r="D117" s="6"/>
      <c r="E117" s="631"/>
    </row>
    <row r="118" spans="1:5">
      <c r="A118" s="4"/>
      <c r="B118" s="5"/>
      <c r="C118" s="6"/>
      <c r="D118" s="6"/>
      <c r="E118" s="631"/>
    </row>
    <row r="119" spans="1:5">
      <c r="A119" s="4"/>
      <c r="B119" s="5"/>
      <c r="C119" s="6"/>
      <c r="D119" s="6"/>
      <c r="E119" s="631"/>
    </row>
    <row r="120" spans="1:5">
      <c r="A120" s="4"/>
      <c r="B120" s="5"/>
      <c r="C120" s="6"/>
      <c r="D120" s="6"/>
      <c r="E120" s="631"/>
    </row>
    <row r="121" spans="1:5">
      <c r="A121" s="4"/>
      <c r="B121" s="5"/>
      <c r="C121" s="6"/>
      <c r="D121" s="6"/>
      <c r="E121" s="631"/>
    </row>
    <row r="122" spans="1:5">
      <c r="A122" s="4"/>
      <c r="B122" s="5"/>
      <c r="C122" s="6"/>
      <c r="D122" s="6"/>
      <c r="E122" s="631"/>
    </row>
    <row r="123" spans="1:5">
      <c r="A123" s="4"/>
      <c r="B123" s="5"/>
      <c r="C123" s="6"/>
      <c r="D123" s="6"/>
      <c r="E123" s="631"/>
    </row>
    <row r="124" spans="1:5">
      <c r="A124" s="4"/>
      <c r="B124" s="5"/>
      <c r="C124" s="6"/>
      <c r="D124" s="6"/>
      <c r="E124" s="631"/>
    </row>
    <row r="125" spans="1:5">
      <c r="A125" s="4"/>
      <c r="B125" s="5"/>
      <c r="C125" s="6"/>
      <c r="D125" s="6"/>
      <c r="E125" s="631"/>
    </row>
    <row r="126" spans="1:5">
      <c r="A126" s="4"/>
      <c r="B126" s="5"/>
      <c r="C126" s="6"/>
      <c r="D126" s="6"/>
      <c r="E126" s="631"/>
    </row>
    <row r="127" spans="1:5">
      <c r="A127" s="4"/>
      <c r="B127" s="5"/>
      <c r="C127" s="6"/>
      <c r="D127" s="6"/>
      <c r="E127" s="631"/>
    </row>
    <row r="128" spans="1:5">
      <c r="A128" s="4"/>
      <c r="B128" s="5"/>
      <c r="C128" s="6"/>
      <c r="D128" s="6"/>
      <c r="E128" s="631"/>
    </row>
    <row r="129" spans="1:5">
      <c r="A129" s="4"/>
      <c r="B129" s="5"/>
      <c r="C129" s="6"/>
      <c r="D129" s="6"/>
      <c r="E129" s="631"/>
    </row>
    <row r="130" spans="1:5">
      <c r="A130" s="4"/>
      <c r="B130" s="5"/>
      <c r="C130" s="6"/>
      <c r="D130" s="6"/>
      <c r="E130" s="631"/>
    </row>
    <row r="131" spans="1:5">
      <c r="A131" s="4"/>
      <c r="B131" s="5"/>
      <c r="C131" s="6"/>
      <c r="D131" s="6"/>
      <c r="E131" s="631"/>
    </row>
    <row r="132" spans="1:5">
      <c r="A132" s="4"/>
      <c r="B132" s="5"/>
      <c r="C132" s="6"/>
      <c r="D132" s="6"/>
      <c r="E132" s="631"/>
    </row>
    <row r="133" spans="1:5">
      <c r="A133" s="4"/>
      <c r="B133" s="5"/>
      <c r="C133" s="6"/>
      <c r="D133" s="6"/>
      <c r="E133" s="631"/>
    </row>
    <row r="134" spans="1:5">
      <c r="A134" s="4"/>
      <c r="B134" s="5"/>
      <c r="C134" s="6"/>
      <c r="D134" s="6"/>
      <c r="E134" s="631"/>
    </row>
    <row r="135" spans="1:5">
      <c r="A135" s="4"/>
      <c r="B135" s="5"/>
      <c r="C135" s="6"/>
      <c r="D135" s="6"/>
      <c r="E135" s="631"/>
    </row>
    <row r="136" spans="1:5">
      <c r="A136" s="4"/>
      <c r="B136" s="5"/>
      <c r="C136" s="6"/>
      <c r="D136" s="6"/>
      <c r="E136" s="631"/>
    </row>
    <row r="137" spans="1:5">
      <c r="A137" s="4"/>
      <c r="B137" s="5"/>
      <c r="C137" s="6"/>
      <c r="D137" s="6"/>
      <c r="E137" s="631"/>
    </row>
    <row r="138" spans="1:5">
      <c r="A138" s="4"/>
      <c r="B138" s="5"/>
      <c r="C138" s="6"/>
      <c r="D138" s="6"/>
      <c r="E138" s="631"/>
    </row>
    <row r="139" spans="1:5">
      <c r="A139" s="4"/>
      <c r="B139" s="5"/>
      <c r="C139" s="6"/>
      <c r="D139" s="6"/>
      <c r="E139" s="631"/>
    </row>
    <row r="140" spans="1:5">
      <c r="A140" s="4"/>
      <c r="B140" s="5"/>
      <c r="C140" s="6"/>
      <c r="D140" s="6"/>
      <c r="E140" s="631"/>
    </row>
    <row r="141" spans="1:5">
      <c r="A141" s="4"/>
      <c r="B141" s="5"/>
      <c r="C141" s="6"/>
      <c r="D141" s="6"/>
      <c r="E141" s="631"/>
    </row>
    <row r="142" spans="1:5">
      <c r="A142" s="4"/>
      <c r="B142" s="5"/>
      <c r="C142" s="6"/>
      <c r="D142" s="6"/>
      <c r="E142" s="631"/>
    </row>
    <row r="143" spans="1:5">
      <c r="A143" s="4"/>
      <c r="B143" s="5"/>
      <c r="C143" s="6"/>
      <c r="D143" s="6"/>
      <c r="E143" s="631"/>
    </row>
    <row r="144" spans="1:5">
      <c r="A144" s="4"/>
      <c r="B144" s="5"/>
      <c r="C144" s="6"/>
      <c r="D144" s="6"/>
      <c r="E144" s="631"/>
    </row>
    <row r="145" spans="1:5">
      <c r="A145" s="4"/>
      <c r="B145" s="5"/>
      <c r="C145" s="6"/>
      <c r="D145" s="6"/>
      <c r="E145" s="631"/>
    </row>
    <row r="146" spans="1:5">
      <c r="A146" s="4"/>
      <c r="B146" s="5"/>
      <c r="C146" s="6"/>
      <c r="D146" s="6"/>
      <c r="E146" s="631"/>
    </row>
    <row r="147" spans="1:5">
      <c r="A147" s="4"/>
      <c r="B147" s="5"/>
      <c r="C147" s="6"/>
      <c r="D147" s="6"/>
      <c r="E147" s="631"/>
    </row>
    <row r="148" spans="1:5">
      <c r="A148" s="4"/>
      <c r="B148" s="5"/>
      <c r="C148" s="6"/>
      <c r="D148" s="6"/>
      <c r="E148" s="631"/>
    </row>
    <row r="149" spans="1:5">
      <c r="A149" s="4"/>
      <c r="B149" s="5"/>
      <c r="C149" s="6"/>
      <c r="D149" s="6"/>
      <c r="E149" s="631"/>
    </row>
    <row r="150" spans="1:5">
      <c r="A150" s="4"/>
      <c r="B150" s="5"/>
      <c r="C150" s="6"/>
      <c r="D150" s="6"/>
      <c r="E150" s="7"/>
    </row>
    <row r="151" spans="1:5">
      <c r="A151" s="4"/>
      <c r="B151" s="5"/>
      <c r="C151" s="6"/>
      <c r="D151" s="6"/>
      <c r="E151" s="7"/>
    </row>
    <row r="152" spans="1:5">
      <c r="A152" s="4"/>
      <c r="B152" s="5"/>
      <c r="C152" s="6"/>
      <c r="D152" s="6"/>
      <c r="E152" s="7"/>
    </row>
    <row r="153" spans="1:5">
      <c r="A153" s="4"/>
      <c r="B153" s="5"/>
      <c r="C153" s="6"/>
      <c r="D153" s="6"/>
      <c r="E153" s="7"/>
    </row>
    <row r="154" spans="1:5">
      <c r="A154" s="4"/>
      <c r="B154" s="5"/>
      <c r="C154" s="6"/>
      <c r="D154" s="6"/>
      <c r="E154" s="7"/>
    </row>
    <row r="155" spans="1:5">
      <c r="A155" s="4"/>
      <c r="B155" s="5"/>
      <c r="C155" s="6"/>
      <c r="D155" s="6"/>
      <c r="E155" s="7"/>
    </row>
    <row r="156" spans="1:5">
      <c r="A156" s="4"/>
      <c r="B156" s="5"/>
      <c r="C156" s="6"/>
      <c r="D156" s="6"/>
      <c r="E156" s="7"/>
    </row>
    <row r="157" spans="1:5">
      <c r="A157" s="4"/>
      <c r="B157" s="5"/>
      <c r="C157" s="6"/>
      <c r="D157" s="6"/>
      <c r="E157" s="7"/>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row r="279" spans="1:5">
      <c r="A279" s="4"/>
      <c r="B279" s="5"/>
      <c r="C279" s="6"/>
      <c r="D279" s="6"/>
      <c r="E279" s="7"/>
    </row>
    <row r="280" spans="1:5">
      <c r="A280" s="4"/>
      <c r="B280" s="5"/>
      <c r="C280" s="6"/>
      <c r="D280" s="6"/>
      <c r="E280" s="7"/>
    </row>
    <row r="281" spans="1:5">
      <c r="A281" s="4"/>
      <c r="B281" s="5"/>
      <c r="C281" s="6"/>
      <c r="D281" s="6"/>
      <c r="E281" s="7"/>
    </row>
    <row r="282" spans="1:5">
      <c r="A282" s="4"/>
      <c r="B282" s="5"/>
      <c r="C282" s="6"/>
      <c r="D282" s="6"/>
      <c r="E282" s="7"/>
    </row>
    <row r="283" spans="1:5">
      <c r="A283" s="4"/>
      <c r="B283" s="5"/>
      <c r="C283" s="6"/>
      <c r="D283" s="6"/>
      <c r="E283" s="7"/>
    </row>
    <row r="284" spans="1:5">
      <c r="A284" s="4"/>
      <c r="B284" s="5"/>
      <c r="C284" s="6"/>
      <c r="D284" s="6"/>
      <c r="E284" s="7"/>
    </row>
    <row r="285" spans="1:5">
      <c r="A285" s="4"/>
      <c r="B285" s="5"/>
      <c r="C285" s="6"/>
      <c r="D285" s="6"/>
      <c r="E285" s="7"/>
    </row>
    <row r="286" spans="1:5">
      <c r="A286" s="4"/>
      <c r="B286" s="5"/>
      <c r="C286" s="6"/>
      <c r="D286" s="6"/>
      <c r="E286" s="7"/>
    </row>
    <row r="287" spans="1:5">
      <c r="A287" s="4"/>
      <c r="B287" s="5"/>
      <c r="C287" s="6"/>
      <c r="D287" s="6"/>
      <c r="E287" s="7"/>
    </row>
    <row r="288" spans="1:5">
      <c r="A288" s="4"/>
      <c r="B288" s="5"/>
      <c r="C288" s="6"/>
      <c r="D288" s="6"/>
      <c r="E288" s="7"/>
    </row>
    <row r="289" spans="1:5">
      <c r="A289" s="4"/>
      <c r="B289" s="5"/>
      <c r="C289" s="6"/>
      <c r="D289" s="6"/>
      <c r="E289" s="7"/>
    </row>
    <row r="290" spans="1:5">
      <c r="A290" s="4"/>
      <c r="B290" s="5"/>
      <c r="C290" s="6"/>
      <c r="D290" s="6"/>
      <c r="E290" s="7"/>
    </row>
    <row r="291" spans="1:5">
      <c r="A291" s="4"/>
      <c r="B291" s="5"/>
      <c r="C291" s="6"/>
      <c r="D291" s="6"/>
      <c r="E291" s="7"/>
    </row>
    <row r="292" spans="1:5">
      <c r="A292" s="4"/>
      <c r="B292" s="5"/>
      <c r="C292" s="6"/>
      <c r="D292" s="6"/>
      <c r="E292" s="7"/>
    </row>
    <row r="293" spans="1:5">
      <c r="A293" s="4"/>
      <c r="B293" s="5"/>
      <c r="C293" s="6"/>
      <c r="D293" s="6"/>
      <c r="E293" s="7"/>
    </row>
    <row r="294" spans="1:5">
      <c r="A294" s="4"/>
      <c r="B294" s="5"/>
      <c r="C294" s="6"/>
      <c r="D294" s="6"/>
      <c r="E294" s="7"/>
    </row>
    <row r="295" spans="1:5">
      <c r="A295" s="4"/>
      <c r="B295" s="5"/>
      <c r="C295" s="6"/>
      <c r="D295" s="6"/>
      <c r="E295" s="7"/>
    </row>
    <row r="296" spans="1:5">
      <c r="A296" s="4"/>
      <c r="B296" s="5"/>
      <c r="C296" s="6"/>
      <c r="D296" s="6"/>
      <c r="E296" s="7"/>
    </row>
    <row r="297" spans="1:5">
      <c r="A297" s="4"/>
      <c r="B297" s="5"/>
      <c r="C297" s="6"/>
      <c r="D297" s="6"/>
      <c r="E297" s="7"/>
    </row>
    <row r="298" spans="1:5">
      <c r="A298" s="4"/>
      <c r="B298" s="5"/>
      <c r="C298" s="6"/>
      <c r="D298" s="6"/>
      <c r="E298" s="7"/>
    </row>
    <row r="299" spans="1:5">
      <c r="A299" s="4"/>
      <c r="B299" s="5"/>
      <c r="C299" s="6"/>
      <c r="D299" s="6"/>
      <c r="E299" s="7"/>
    </row>
    <row r="300" spans="1:5">
      <c r="A300" s="4"/>
      <c r="B300" s="5"/>
      <c r="C300" s="6"/>
      <c r="D300" s="6"/>
      <c r="E300" s="7"/>
    </row>
  </sheetData>
  <sheetProtection algorithmName="SHA-512" hashValue="hK4ei+hBpWsN/7AvOQ7xPOYdxwAwur1RBc6czLt4qPFa9p3shHELZ1/6WJPeSwOOWRoDR2iEjfv31/+Y07lJtQ==" saltValue="VmniTuVOyMhj1UBkvRzAig==" spinCount="100000" sheet="1" objects="1" scenarios="1"/>
  <mergeCells count="1">
    <mergeCell ref="A1:E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AS220"/>
  <sheetViews>
    <sheetView showGridLines="0" showRowColHeaders="0" tabSelected="1" zoomScale="85" zoomScaleNormal="85" workbookViewId="0"/>
  </sheetViews>
  <sheetFormatPr defaultColWidth="0" defaultRowHeight="15.95" customHeight="1" zeroHeight="1"/>
  <cols>
    <col min="1" max="45" width="4.7109375" customWidth="1"/>
    <col min="46" max="71" width="4.7109375" hidden="1" customWidth="1"/>
    <col min="72" max="16384" width="4.7109375" hidden="1"/>
  </cols>
  <sheetData>
    <row r="1" spans="1:45" s="13" customFormat="1" ht="15.95" customHeight="1">
      <c r="A1" s="40"/>
      <c r="B1" s="139"/>
      <c r="C1" s="139"/>
      <c r="D1" s="139"/>
      <c r="E1" s="139"/>
      <c r="F1" s="710" t="str">
        <f>M1S1</f>
        <v>Welcome</v>
      </c>
      <c r="G1" s="710"/>
      <c r="H1" s="710"/>
      <c r="I1" s="710"/>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s="13" customFormat="1" ht="15.95" customHeight="1">
      <c r="B2" s="139"/>
      <c r="C2" s="139"/>
      <c r="D2" s="139"/>
      <c r="E2" s="139"/>
      <c r="F2" s="711"/>
      <c r="G2" s="711"/>
      <c r="H2" s="711"/>
      <c r="I2" s="711"/>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s="140" customFormat="1" ht="15.95" customHeight="1" thickBot="1">
      <c r="A3" s="141"/>
      <c r="B3" s="142"/>
      <c r="C3" s="142"/>
      <c r="D3" s="142"/>
      <c r="E3" s="142"/>
      <c r="F3" s="712"/>
      <c r="G3" s="712"/>
      <c r="H3" s="712"/>
      <c r="I3" s="712"/>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row>
    <row r="5" spans="1:45" ht="15.95" customHeight="1">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row>
    <row r="6" spans="1:45" ht="15.95" customHeight="1">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row>
    <row r="7" spans="1:45" ht="15.95" customHeight="1">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702" t="s">
        <v>1516</v>
      </c>
      <c r="AQ7" s="702"/>
      <c r="AR7" s="702"/>
      <c r="AS7" s="36"/>
    </row>
    <row r="8" spans="1:45" ht="15.95" customHeight="1">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702"/>
      <c r="AQ8" s="702"/>
      <c r="AR8" s="702"/>
      <c r="AS8" s="36"/>
    </row>
    <row r="9" spans="1:45" ht="15.95" customHeight="1">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37"/>
      <c r="AQ9" s="37"/>
      <c r="AR9" s="37"/>
      <c r="AS9" s="37"/>
    </row>
    <row r="10" spans="1:45" ht="15.95" customHeight="1">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235"/>
      <c r="AQ10" s="235"/>
      <c r="AR10" s="235"/>
      <c r="AS10" s="235"/>
    </row>
    <row r="11" spans="1:45" s="143" customFormat="1" ht="15.95" customHeight="1">
      <c r="AP11" s="235"/>
      <c r="AQ11" s="235"/>
      <c r="AR11" s="235"/>
      <c r="AS11" s="235"/>
    </row>
    <row r="12" spans="1:45" ht="15.95" customHeight="1">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235"/>
      <c r="AQ12" s="235"/>
      <c r="AR12" s="235"/>
      <c r="AS12" s="235"/>
    </row>
    <row r="13" spans="1:45" ht="15.95" customHeight="1">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235"/>
      <c r="AQ13" s="235"/>
      <c r="AR13" s="235"/>
      <c r="AS13" s="235"/>
    </row>
    <row r="14" spans="1:45" ht="15.95" customHeight="1">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235"/>
      <c r="AQ14" s="235"/>
      <c r="AR14" s="235"/>
      <c r="AS14" s="235"/>
    </row>
    <row r="15" spans="1:45" ht="15.95" customHeight="1">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235"/>
      <c r="AQ15" s="235"/>
      <c r="AR15" s="235"/>
      <c r="AS15" s="235"/>
    </row>
    <row r="16" spans="1:45" ht="15.95" customHeight="1">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235"/>
      <c r="AQ16" s="235"/>
      <c r="AR16" s="235"/>
      <c r="AS16" s="235"/>
    </row>
    <row r="17" spans="4:45" ht="15.95" customHeight="1">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235"/>
      <c r="AQ17" s="235"/>
      <c r="AR17" s="235"/>
      <c r="AS17" s="235"/>
    </row>
    <row r="18" spans="4:45" ht="15.95" customHeight="1">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235"/>
      <c r="AQ18" s="235"/>
      <c r="AR18" s="235"/>
      <c r="AS18" s="235"/>
    </row>
    <row r="19" spans="4:45" ht="15.95" customHeight="1">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235"/>
      <c r="AQ19" s="235"/>
      <c r="AR19" s="235"/>
      <c r="AS19" s="235"/>
    </row>
    <row r="20" spans="4:45" ht="15.95" customHeight="1">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235"/>
      <c r="AQ20" s="235"/>
      <c r="AR20" s="235"/>
      <c r="AS20" s="235"/>
    </row>
    <row r="21" spans="4:45" ht="15.95" customHeight="1">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235"/>
      <c r="AQ21" s="235"/>
      <c r="AR21" s="235"/>
      <c r="AS21" s="235"/>
    </row>
    <row r="22" spans="4:45" ht="15.95" customHeight="1">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235"/>
      <c r="AQ22" s="235"/>
      <c r="AR22" s="235"/>
      <c r="AS22" s="235"/>
    </row>
    <row r="23" spans="4:45" ht="15.95" customHeight="1">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235"/>
      <c r="AQ23" s="235"/>
      <c r="AR23" s="235"/>
      <c r="AS23" s="235"/>
    </row>
    <row r="24" spans="4:45" ht="15.95" customHeight="1">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235"/>
      <c r="AQ24" s="235"/>
      <c r="AR24" s="235"/>
      <c r="AS24" s="235"/>
    </row>
    <row r="25" spans="4:45" ht="15.95" customHeight="1">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235"/>
      <c r="AQ25" s="235"/>
      <c r="AR25" s="235"/>
      <c r="AS25" s="235"/>
    </row>
    <row r="26" spans="4:45" ht="15.95" customHeight="1">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235"/>
      <c r="AQ26" s="235"/>
      <c r="AR26" s="235"/>
      <c r="AS26" s="235"/>
    </row>
    <row r="27" spans="4:45" ht="15.95" customHeight="1">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235"/>
      <c r="AQ27" s="235"/>
      <c r="AR27" s="235"/>
      <c r="AS27" s="235"/>
    </row>
    <row r="28" spans="4:45" ht="15.95" customHeight="1">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235"/>
      <c r="AQ28" s="235"/>
      <c r="AR28" s="235"/>
      <c r="AS28" s="235"/>
    </row>
    <row r="29" spans="4:45" ht="15.95" customHeight="1">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235"/>
      <c r="AQ29" s="235"/>
      <c r="AR29" s="235"/>
      <c r="AS29" s="235"/>
    </row>
    <row r="30" spans="4:45" ht="15.95" customHeight="1">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235"/>
      <c r="AQ30" s="235"/>
      <c r="AR30" s="235"/>
      <c r="AS30" s="235"/>
    </row>
    <row r="31" spans="4:45" ht="15.95" customHeight="1">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235"/>
      <c r="AQ31" s="235"/>
      <c r="AR31" s="235"/>
      <c r="AS31" s="235"/>
    </row>
    <row r="32" spans="4:45" ht="15.95" customHeight="1">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235"/>
      <c r="AQ32" s="235"/>
      <c r="AR32" s="235"/>
      <c r="AS32" s="235"/>
    </row>
    <row r="33" spans="4:45" ht="15.95" customHeight="1">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235"/>
      <c r="AQ33" s="235"/>
      <c r="AR33" s="235"/>
      <c r="AS33" s="235"/>
    </row>
    <row r="34" spans="4:45" ht="15.95" customHeight="1">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235"/>
      <c r="AQ34" s="235"/>
      <c r="AR34" s="235"/>
      <c r="AS34" s="235"/>
    </row>
    <row r="35" spans="4:45" ht="15.95" customHeight="1">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235"/>
      <c r="AQ35" s="235"/>
      <c r="AR35" s="235"/>
      <c r="AS35" s="235"/>
    </row>
    <row r="36" spans="4:45" ht="15.95" customHeight="1">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235"/>
      <c r="AQ36" s="235"/>
      <c r="AR36" s="235"/>
      <c r="AS36" s="235"/>
    </row>
    <row r="37" spans="4:45" ht="15.95" customHeight="1">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235"/>
      <c r="AQ37" s="235"/>
      <c r="AR37" s="235"/>
      <c r="AS37" s="235"/>
    </row>
    <row r="38" spans="4:45" ht="15.95" customHeight="1">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235"/>
      <c r="AQ38" s="235"/>
      <c r="AR38" s="235"/>
      <c r="AS38" s="235"/>
    </row>
    <row r="39" spans="4:45" ht="15.95" customHeight="1">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235"/>
      <c r="AQ39" s="235"/>
      <c r="AR39" s="235"/>
      <c r="AS39" s="235"/>
    </row>
    <row r="40" spans="4:45" ht="15.95" customHeight="1">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235"/>
      <c r="AQ40" s="235"/>
      <c r="AR40" s="235"/>
      <c r="AS40" s="235"/>
    </row>
    <row r="41" spans="4:45" ht="15.95" customHeight="1">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235"/>
      <c r="AQ41" s="235"/>
      <c r="AR41" s="235"/>
      <c r="AS41" s="235"/>
    </row>
    <row r="42" spans="4:45" ht="15.95" hidden="1" customHeight="1">
      <c r="AO42" s="235"/>
      <c r="AP42" s="235"/>
      <c r="AQ42" s="235"/>
      <c r="AR42" s="235"/>
      <c r="AS42" s="235"/>
    </row>
    <row r="43" spans="4:45" ht="15.95" hidden="1" customHeight="1">
      <c r="AO43" s="235"/>
      <c r="AP43" s="235"/>
      <c r="AQ43" s="235"/>
      <c r="AR43" s="235"/>
      <c r="AS43" s="235"/>
    </row>
    <row r="44" spans="4:45" ht="15.95" hidden="1" customHeight="1">
      <c r="AO44" s="235"/>
      <c r="AP44" s="235"/>
      <c r="AQ44" s="235"/>
      <c r="AR44" s="235"/>
      <c r="AS44" s="235"/>
    </row>
    <row r="45" spans="4:45" ht="15.95" hidden="1" customHeight="1">
      <c r="AO45" s="235"/>
      <c r="AP45" s="235"/>
      <c r="AQ45" s="235"/>
      <c r="AR45" s="235"/>
      <c r="AS45" s="235"/>
    </row>
    <row r="46" spans="4:45" ht="15.95" hidden="1" customHeight="1">
      <c r="AO46" s="235"/>
      <c r="AP46" s="235"/>
      <c r="AQ46" s="235"/>
      <c r="AR46" s="235"/>
      <c r="AS46" s="235"/>
    </row>
    <row r="47" spans="4:45" ht="15.95" hidden="1" customHeight="1">
      <c r="AO47" s="235"/>
      <c r="AP47" s="235"/>
      <c r="AQ47" s="235"/>
      <c r="AR47" s="235"/>
      <c r="AS47" s="235"/>
    </row>
    <row r="48" spans="4:45" ht="15.95" hidden="1" customHeight="1">
      <c r="AO48" s="235"/>
      <c r="AP48" s="235"/>
      <c r="AQ48" s="235"/>
      <c r="AR48" s="235"/>
      <c r="AS48" s="235"/>
    </row>
    <row r="49" spans="3:45" ht="15.95" hidden="1" customHeight="1">
      <c r="AO49" s="235"/>
      <c r="AP49" s="235"/>
      <c r="AQ49" s="235"/>
      <c r="AR49" s="235"/>
      <c r="AS49" s="235"/>
    </row>
    <row r="50" spans="3:45" ht="15.95" hidden="1" customHeight="1">
      <c r="AO50" s="235"/>
      <c r="AP50" s="235"/>
      <c r="AQ50" s="235"/>
      <c r="AR50" s="235"/>
      <c r="AS50" s="235"/>
    </row>
    <row r="51" spans="3:45" ht="15.95" hidden="1" customHeight="1">
      <c r="AO51" s="235"/>
      <c r="AP51" s="235"/>
      <c r="AQ51" s="235"/>
      <c r="AR51" s="235"/>
      <c r="AS51" s="235"/>
    </row>
    <row r="52" spans="3:45" ht="15.95" hidden="1" customHeight="1">
      <c r="AO52" s="235"/>
      <c r="AP52" s="235"/>
      <c r="AQ52" s="235"/>
      <c r="AR52" s="235"/>
      <c r="AS52" s="235"/>
    </row>
    <row r="53" spans="3:45" ht="15.95" hidden="1" customHeight="1">
      <c r="AO53" s="235"/>
      <c r="AP53" s="235"/>
      <c r="AQ53" s="235"/>
      <c r="AR53" s="235"/>
      <c r="AS53" s="235"/>
    </row>
    <row r="54" spans="3:45" ht="15.95" hidden="1" customHeight="1">
      <c r="AO54" s="235"/>
      <c r="AP54" s="235"/>
      <c r="AQ54" s="235"/>
      <c r="AR54" s="235"/>
      <c r="AS54" s="235"/>
    </row>
    <row r="55" spans="3:45" ht="15.95" hidden="1" customHeight="1">
      <c r="AO55" s="235"/>
      <c r="AP55" s="235"/>
      <c r="AQ55" s="235"/>
      <c r="AR55" s="235"/>
      <c r="AS55" s="235"/>
    </row>
    <row r="56" spans="3:45" ht="15.95" hidden="1" customHeight="1">
      <c r="AO56" s="235"/>
      <c r="AP56" s="235"/>
      <c r="AQ56" s="235"/>
      <c r="AR56" s="235"/>
      <c r="AS56" s="235"/>
    </row>
    <row r="57" spans="3:45" ht="15.95" hidden="1" customHeight="1">
      <c r="AO57" s="235"/>
      <c r="AP57" s="235"/>
      <c r="AQ57" s="235"/>
      <c r="AR57" s="235"/>
      <c r="AS57" s="235"/>
    </row>
    <row r="58" spans="3:45" ht="15.95" hidden="1" customHeight="1">
      <c r="AO58" s="235"/>
      <c r="AP58" s="235"/>
      <c r="AQ58" s="235"/>
      <c r="AR58" s="235"/>
      <c r="AS58" s="235"/>
    </row>
    <row r="59" spans="3:45" ht="15.95" hidden="1" customHeight="1">
      <c r="AO59" s="235"/>
      <c r="AP59" s="235"/>
      <c r="AQ59" s="235"/>
      <c r="AR59" s="235"/>
      <c r="AS59" s="235"/>
    </row>
    <row r="60" spans="3:45" ht="15.95" hidden="1" customHeight="1">
      <c r="AO60" s="235"/>
      <c r="AP60" s="235"/>
      <c r="AQ60" s="235"/>
      <c r="AR60" s="235"/>
      <c r="AS60" s="235"/>
    </row>
    <row r="61" spans="3:45" ht="15.95" hidden="1" customHeight="1">
      <c r="AO61" s="235"/>
      <c r="AP61" s="235"/>
      <c r="AQ61" s="235"/>
      <c r="AR61" s="235"/>
      <c r="AS61" s="235"/>
    </row>
    <row r="62" spans="3:45" ht="15.95" customHeight="1">
      <c r="C62" s="705" t="s">
        <v>70</v>
      </c>
      <c r="D62" s="705"/>
      <c r="E62" s="705"/>
      <c r="F62" s="705"/>
      <c r="G62" s="705"/>
      <c r="H62" s="705"/>
      <c r="I62" s="704">
        <f>EXPIRATION_DATE</f>
        <v>44196</v>
      </c>
      <c r="J62" s="704"/>
      <c r="K62" s="704"/>
      <c r="L62" s="704"/>
      <c r="M62" s="704"/>
      <c r="N62" s="704"/>
      <c r="O62" s="704"/>
      <c r="P62" s="706" t="str">
        <f ca="1">EXPIRATION</f>
        <v/>
      </c>
      <c r="Q62" s="706"/>
      <c r="R62" s="706"/>
      <c r="S62" s="706"/>
      <c r="T62" s="706"/>
      <c r="U62" s="71"/>
      <c r="V62" s="71"/>
      <c r="W62" s="71"/>
      <c r="X62" s="71"/>
      <c r="Y62" s="71"/>
      <c r="Z62" s="71"/>
      <c r="AA62" s="71"/>
      <c r="AC62" s="705"/>
      <c r="AD62" s="705"/>
      <c r="AE62" s="705"/>
      <c r="AF62" s="705"/>
      <c r="AG62" s="705"/>
      <c r="AH62" s="705"/>
      <c r="AI62" s="705"/>
      <c r="AJ62" s="705"/>
      <c r="AK62" s="704"/>
      <c r="AL62" s="704"/>
      <c r="AM62" s="704"/>
      <c r="AN62" s="704"/>
      <c r="AO62" s="704"/>
      <c r="AP62" s="704"/>
      <c r="AQ62" s="704"/>
    </row>
    <row r="63" spans="3:45" s="14" customFormat="1" ht="15.95" hidden="1" customHeight="1">
      <c r="C63" s="24"/>
      <c r="D63" s="24"/>
      <c r="E63" s="24"/>
      <c r="F63" s="24"/>
      <c r="G63" s="24"/>
      <c r="H63" s="24"/>
      <c r="I63" s="25"/>
      <c r="J63" s="25"/>
      <c r="K63" s="25"/>
      <c r="L63" s="25"/>
      <c r="M63" s="25"/>
      <c r="N63" s="25"/>
      <c r="O63" s="26"/>
      <c r="P63" s="26"/>
      <c r="Q63" s="26"/>
      <c r="R63" s="26"/>
      <c r="S63" s="26"/>
      <c r="T63" s="27"/>
    </row>
    <row r="64" spans="3:45" s="14" customFormat="1" ht="15.95" hidden="1" customHeight="1">
      <c r="C64" s="24"/>
      <c r="D64" s="24"/>
      <c r="E64" s="24"/>
      <c r="F64" s="24"/>
      <c r="G64" s="24"/>
      <c r="H64" s="24"/>
      <c r="I64" s="25"/>
      <c r="J64" s="25"/>
      <c r="K64" s="25"/>
      <c r="L64" s="25"/>
      <c r="M64" s="25"/>
      <c r="N64" s="25"/>
      <c r="O64" s="26"/>
      <c r="P64" s="26"/>
      <c r="Q64" s="26"/>
      <c r="R64" s="26"/>
      <c r="S64" s="26"/>
      <c r="T64" s="27"/>
    </row>
    <row r="65" spans="3:20" s="14" customFormat="1" ht="15.95" hidden="1" customHeight="1">
      <c r="C65" s="24"/>
      <c r="D65" s="24"/>
      <c r="E65" s="24"/>
      <c r="F65" s="24"/>
      <c r="G65" s="24"/>
      <c r="H65" s="24"/>
      <c r="I65" s="25"/>
      <c r="J65" s="25"/>
      <c r="K65" s="25"/>
      <c r="L65" s="25"/>
      <c r="M65" s="25"/>
      <c r="N65" s="25"/>
      <c r="O65" s="26"/>
      <c r="P65" s="26"/>
      <c r="Q65" s="26"/>
      <c r="R65" s="26"/>
      <c r="S65" s="26"/>
      <c r="T65" s="27"/>
    </row>
    <row r="66" spans="3:20" s="14" customFormat="1" ht="15.95" hidden="1" customHeight="1">
      <c r="C66" s="41"/>
      <c r="D66" s="41"/>
      <c r="E66" s="41"/>
      <c r="F66" s="41"/>
      <c r="G66" s="41"/>
      <c r="H66" s="41"/>
      <c r="I66" s="32"/>
      <c r="J66" s="32"/>
      <c r="K66" s="32"/>
      <c r="L66" s="32"/>
      <c r="M66" s="32"/>
      <c r="N66" s="32"/>
      <c r="O66" s="33"/>
      <c r="P66" s="33"/>
      <c r="Q66" s="33"/>
      <c r="R66" s="33"/>
      <c r="S66" s="33"/>
      <c r="T66" s="42"/>
    </row>
    <row r="67" spans="3:20" s="14" customFormat="1" ht="15.95" hidden="1" customHeight="1">
      <c r="C67" s="24"/>
      <c r="D67" s="24"/>
      <c r="E67" s="24"/>
      <c r="F67" s="24"/>
      <c r="G67" s="24"/>
      <c r="H67" s="24"/>
      <c r="I67" s="25"/>
      <c r="J67" s="25"/>
      <c r="K67" s="25"/>
      <c r="L67" s="25"/>
      <c r="M67" s="25"/>
      <c r="N67" s="25"/>
      <c r="O67" s="26"/>
      <c r="P67" s="26"/>
      <c r="Q67" s="26"/>
      <c r="R67" s="26"/>
      <c r="S67" s="26"/>
      <c r="T67" s="27"/>
    </row>
    <row r="68" spans="3:20" s="14" customFormat="1" ht="15.95" hidden="1" customHeight="1">
      <c r="C68" s="24"/>
      <c r="D68" s="24"/>
      <c r="E68" s="24"/>
      <c r="F68" s="24"/>
      <c r="G68" s="24"/>
      <c r="H68" s="24"/>
      <c r="I68" s="25"/>
      <c r="J68" s="25"/>
      <c r="K68" s="25"/>
      <c r="L68" s="25"/>
      <c r="M68" s="25"/>
      <c r="N68" s="25"/>
      <c r="O68" s="26"/>
      <c r="P68" s="26"/>
      <c r="Q68" s="26"/>
      <c r="R68" s="26"/>
      <c r="S68" s="26"/>
      <c r="T68" s="27"/>
    </row>
    <row r="69" spans="3:20" s="14" customFormat="1" ht="15.95" hidden="1" customHeight="1">
      <c r="C69" s="24"/>
      <c r="D69" s="24"/>
      <c r="E69" s="24"/>
      <c r="F69" s="24"/>
      <c r="G69" s="24"/>
      <c r="H69" s="24"/>
      <c r="I69" s="25"/>
      <c r="J69" s="25"/>
      <c r="K69" s="25"/>
      <c r="L69" s="25"/>
      <c r="M69" s="25"/>
      <c r="N69" s="25"/>
      <c r="O69" s="26"/>
      <c r="P69" s="26"/>
      <c r="Q69" s="26"/>
      <c r="R69" s="26"/>
      <c r="S69" s="26"/>
      <c r="T69" s="27"/>
    </row>
    <row r="70" spans="3:20" s="14" customFormat="1" ht="15.95" hidden="1" customHeight="1">
      <c r="C70" s="24"/>
      <c r="D70" s="24"/>
      <c r="E70" s="24"/>
      <c r="F70" s="24"/>
      <c r="G70" s="24"/>
      <c r="H70" s="24"/>
      <c r="I70" s="25"/>
      <c r="J70" s="25"/>
      <c r="K70" s="25"/>
      <c r="L70" s="25"/>
      <c r="M70" s="25"/>
      <c r="N70" s="25"/>
      <c r="O70" s="26"/>
      <c r="P70" s="26"/>
      <c r="Q70" s="26"/>
      <c r="R70" s="26"/>
      <c r="S70" s="26"/>
      <c r="T70" s="27"/>
    </row>
    <row r="71" spans="3:20" s="14" customFormat="1" ht="15.95" hidden="1" customHeight="1">
      <c r="C71" s="24"/>
      <c r="D71" s="24"/>
      <c r="E71" s="24"/>
      <c r="F71" s="24"/>
      <c r="G71" s="24"/>
      <c r="H71" s="24"/>
      <c r="I71" s="25">
        <v>1</v>
      </c>
      <c r="J71" s="25"/>
      <c r="K71" s="25"/>
      <c r="L71" s="25"/>
      <c r="M71" s="25"/>
      <c r="N71" s="25"/>
      <c r="O71" s="26"/>
      <c r="P71" s="26"/>
      <c r="Q71" s="26"/>
      <c r="R71" s="26"/>
      <c r="S71" s="26"/>
      <c r="T71" s="27"/>
    </row>
    <row r="72" spans="3:20" s="14" customFormat="1" ht="15.95" hidden="1" customHeight="1">
      <c r="C72" s="24"/>
      <c r="D72" s="24"/>
      <c r="E72" s="24"/>
      <c r="F72" s="24"/>
      <c r="G72" s="24"/>
      <c r="H72" s="24"/>
      <c r="I72" s="25"/>
      <c r="J72" s="25"/>
      <c r="K72" s="25"/>
      <c r="L72" s="25"/>
      <c r="M72" s="25"/>
      <c r="N72" s="25"/>
      <c r="O72" s="26"/>
      <c r="P72" s="26"/>
      <c r="Q72" s="26"/>
      <c r="R72" s="26"/>
      <c r="S72" s="26"/>
      <c r="T72" s="27"/>
    </row>
    <row r="73" spans="3:20" s="14" customFormat="1" ht="15.95" hidden="1" customHeight="1">
      <c r="C73" s="24"/>
      <c r="D73" s="24"/>
      <c r="E73" s="24"/>
      <c r="F73" s="24"/>
      <c r="G73" s="24"/>
      <c r="H73" s="24"/>
      <c r="I73" s="25"/>
      <c r="J73" s="25"/>
      <c r="K73" s="25"/>
      <c r="L73" s="25"/>
      <c r="M73" s="25"/>
      <c r="N73" s="25"/>
      <c r="O73" s="26"/>
      <c r="P73" s="26"/>
      <c r="Q73" s="26"/>
      <c r="R73" s="26"/>
      <c r="S73" s="26"/>
      <c r="T73" s="27"/>
    </row>
    <row r="74" spans="3:20" s="14" customFormat="1" ht="15.95" hidden="1" customHeight="1">
      <c r="C74" s="24"/>
      <c r="D74" s="24"/>
      <c r="E74" s="24"/>
      <c r="F74" s="24"/>
      <c r="G74" s="24"/>
      <c r="H74" s="24"/>
      <c r="I74" s="25"/>
      <c r="J74" s="25"/>
      <c r="K74" s="25"/>
      <c r="L74" s="25"/>
      <c r="M74" s="25"/>
      <c r="N74" s="25"/>
      <c r="O74" s="26"/>
      <c r="P74" s="26"/>
      <c r="Q74" s="26"/>
      <c r="R74" s="26"/>
      <c r="S74" s="26"/>
      <c r="T74" s="27"/>
    </row>
    <row r="75" spans="3:20" s="14" customFormat="1" ht="15.95" hidden="1" customHeight="1">
      <c r="C75" s="24"/>
      <c r="D75" s="24"/>
      <c r="E75" s="24"/>
      <c r="F75" s="24"/>
      <c r="G75" s="24"/>
      <c r="H75" s="24"/>
      <c r="I75" s="25"/>
      <c r="J75" s="25"/>
      <c r="K75" s="25"/>
      <c r="L75" s="25"/>
      <c r="M75" s="25"/>
      <c r="N75" s="25"/>
      <c r="O75" s="26"/>
      <c r="P75" s="26"/>
      <c r="Q75" s="26"/>
      <c r="R75" s="26"/>
      <c r="S75" s="26"/>
      <c r="T75" s="27"/>
    </row>
    <row r="76" spans="3:20" s="14" customFormat="1" ht="15.95" hidden="1" customHeight="1">
      <c r="C76" s="24"/>
      <c r="D76" s="24"/>
      <c r="E76" s="24"/>
      <c r="F76" s="24"/>
      <c r="G76" s="24"/>
      <c r="H76" s="24"/>
      <c r="I76" s="25"/>
      <c r="J76" s="25"/>
      <c r="K76" s="25"/>
      <c r="L76" s="25"/>
      <c r="M76" s="25"/>
      <c r="N76" s="25"/>
      <c r="O76" s="26"/>
      <c r="P76" s="26"/>
      <c r="Q76" s="26"/>
      <c r="R76" s="26"/>
      <c r="S76" s="26"/>
      <c r="T76" s="27"/>
    </row>
    <row r="77" spans="3:20" s="14" customFormat="1" ht="15.95" hidden="1" customHeight="1">
      <c r="C77" s="24"/>
      <c r="D77" s="24"/>
      <c r="E77" s="24"/>
      <c r="F77" s="24"/>
      <c r="G77" s="24"/>
      <c r="H77" s="24"/>
      <c r="I77" s="25"/>
      <c r="J77" s="25"/>
      <c r="K77" s="25"/>
      <c r="L77" s="25"/>
      <c r="M77" s="25"/>
      <c r="N77" s="25"/>
      <c r="O77" s="26"/>
      <c r="P77" s="26"/>
      <c r="Q77" s="26"/>
      <c r="R77" s="26"/>
      <c r="S77" s="26"/>
      <c r="T77" s="27"/>
    </row>
    <row r="78" spans="3:20" s="14" customFormat="1" ht="15.95" hidden="1" customHeight="1">
      <c r="C78" s="24"/>
      <c r="D78" s="24"/>
      <c r="E78" s="24"/>
      <c r="F78" s="24"/>
      <c r="G78" s="24"/>
      <c r="H78" s="24"/>
      <c r="I78" s="25"/>
      <c r="J78" s="25"/>
      <c r="K78" s="25"/>
      <c r="L78" s="25"/>
      <c r="M78" s="25"/>
      <c r="N78" s="25"/>
      <c r="O78" s="26"/>
      <c r="P78" s="26"/>
      <c r="Q78" s="26"/>
      <c r="R78" s="26"/>
      <c r="S78" s="26"/>
      <c r="T78" s="27"/>
    </row>
    <row r="79" spans="3:20" s="14" customFormat="1" ht="15.95" hidden="1" customHeight="1">
      <c r="C79" s="24"/>
      <c r="D79" s="24"/>
      <c r="E79" s="24"/>
      <c r="F79" s="24"/>
      <c r="G79" s="24"/>
      <c r="H79" s="24"/>
      <c r="I79" s="25"/>
      <c r="J79" s="25"/>
      <c r="K79" s="25"/>
      <c r="L79" s="25"/>
      <c r="M79" s="25"/>
      <c r="N79" s="25"/>
      <c r="O79" s="26"/>
      <c r="P79" s="26"/>
      <c r="Q79" s="26"/>
      <c r="R79" s="26"/>
      <c r="S79" s="26"/>
      <c r="T79" s="27"/>
    </row>
    <row r="80" spans="3:20" s="14" customFormat="1" ht="15.95" hidden="1" customHeight="1">
      <c r="C80" s="24"/>
      <c r="D80" s="24"/>
      <c r="E80" s="24"/>
      <c r="F80" s="24"/>
      <c r="G80" s="24"/>
      <c r="H80" s="24"/>
      <c r="I80" s="25"/>
      <c r="J80" s="25"/>
      <c r="K80" s="25"/>
      <c r="L80" s="25"/>
      <c r="M80" s="25"/>
      <c r="N80" s="25"/>
      <c r="O80" s="26"/>
      <c r="P80" s="26"/>
      <c r="Q80" s="26"/>
      <c r="R80" s="26"/>
      <c r="S80" s="26"/>
      <c r="T80" s="27"/>
    </row>
    <row r="81" spans="3:20" s="14" customFormat="1" ht="15.95" hidden="1" customHeight="1">
      <c r="C81" s="24"/>
      <c r="D81" s="24"/>
      <c r="E81" s="24"/>
      <c r="F81" s="24"/>
      <c r="G81" s="24"/>
      <c r="H81" s="24"/>
      <c r="I81" s="25"/>
      <c r="J81" s="25"/>
      <c r="K81" s="25"/>
      <c r="L81" s="25"/>
      <c r="M81" s="25"/>
      <c r="N81" s="25"/>
      <c r="O81" s="26"/>
      <c r="P81" s="26"/>
      <c r="Q81" s="26"/>
      <c r="R81" s="26"/>
      <c r="S81" s="26"/>
      <c r="T81" s="27"/>
    </row>
    <row r="82" spans="3:20" s="14" customFormat="1" ht="15.95" hidden="1" customHeight="1">
      <c r="C82" s="24"/>
      <c r="D82" s="24"/>
      <c r="E82" s="24"/>
      <c r="F82" s="24"/>
      <c r="G82" s="24"/>
      <c r="H82" s="24"/>
      <c r="I82" s="25"/>
      <c r="J82" s="25"/>
      <c r="K82" s="25"/>
      <c r="L82" s="25"/>
      <c r="M82" s="25"/>
      <c r="N82" s="25"/>
      <c r="O82" s="26"/>
      <c r="P82" s="26"/>
      <c r="Q82" s="26"/>
      <c r="R82" s="26"/>
      <c r="S82" s="26"/>
      <c r="T82" s="27"/>
    </row>
    <row r="83" spans="3:20" s="14" customFormat="1" ht="15.95" hidden="1" customHeight="1">
      <c r="C83" s="24"/>
      <c r="D83" s="24"/>
      <c r="E83" s="24"/>
      <c r="F83" s="24"/>
      <c r="G83" s="24"/>
      <c r="H83" s="24"/>
      <c r="I83" s="25"/>
      <c r="J83" s="25"/>
      <c r="K83" s="25"/>
      <c r="L83" s="25"/>
      <c r="M83" s="25"/>
      <c r="N83" s="25"/>
      <c r="O83" s="26"/>
      <c r="P83" s="26"/>
      <c r="Q83" s="26"/>
      <c r="R83" s="26"/>
      <c r="S83" s="26"/>
      <c r="T83" s="27"/>
    </row>
    <row r="84" spans="3:20" s="14" customFormat="1" ht="15.95" hidden="1" customHeight="1">
      <c r="C84" s="24"/>
      <c r="D84" s="24"/>
      <c r="E84" s="24"/>
      <c r="F84" s="24"/>
      <c r="G84" s="24"/>
      <c r="H84" s="24"/>
      <c r="I84" s="25"/>
      <c r="J84" s="25"/>
      <c r="K84" s="25"/>
      <c r="L84" s="25"/>
      <c r="M84" s="25"/>
      <c r="N84" s="25"/>
      <c r="O84" s="26"/>
      <c r="P84" s="26"/>
      <c r="Q84" s="26"/>
      <c r="R84" s="26"/>
      <c r="S84" s="26"/>
      <c r="T84" s="27"/>
    </row>
    <row r="85" spans="3:20" s="14" customFormat="1" ht="15.95" hidden="1" customHeight="1">
      <c r="C85" s="24"/>
      <c r="D85" s="24"/>
      <c r="E85" s="24"/>
      <c r="F85" s="24"/>
      <c r="G85" s="24"/>
      <c r="H85" s="24"/>
      <c r="I85" s="25"/>
      <c r="J85" s="25"/>
      <c r="K85" s="25"/>
      <c r="L85" s="25"/>
      <c r="M85" s="25"/>
      <c r="N85" s="25"/>
      <c r="O85" s="26"/>
      <c r="P85" s="26"/>
      <c r="Q85" s="26"/>
      <c r="R85" s="26"/>
      <c r="S85" s="26"/>
      <c r="T85" s="27"/>
    </row>
    <row r="86" spans="3:20" s="14" customFormat="1" ht="15.95" hidden="1" customHeight="1">
      <c r="C86" s="24"/>
      <c r="D86" s="24"/>
      <c r="E86" s="24"/>
      <c r="F86" s="24"/>
      <c r="G86" s="24"/>
      <c r="H86" s="24"/>
      <c r="I86" s="25"/>
      <c r="J86" s="25"/>
      <c r="K86" s="25"/>
      <c r="L86" s="25"/>
      <c r="M86" s="25"/>
      <c r="N86" s="25"/>
      <c r="O86" s="26"/>
      <c r="P86" s="26"/>
      <c r="Q86" s="26"/>
      <c r="R86" s="26"/>
      <c r="S86" s="26"/>
      <c r="T86" s="27"/>
    </row>
    <row r="87" spans="3:20" s="14" customFormat="1" ht="15.95" hidden="1" customHeight="1">
      <c r="C87" s="24"/>
      <c r="D87" s="24"/>
      <c r="E87" s="24"/>
      <c r="F87" s="24"/>
      <c r="G87" s="24"/>
      <c r="H87" s="24"/>
      <c r="I87" s="25"/>
      <c r="J87" s="25"/>
      <c r="K87" s="25"/>
      <c r="L87" s="25"/>
      <c r="M87" s="25"/>
      <c r="N87" s="25"/>
      <c r="O87" s="26"/>
      <c r="P87" s="26"/>
      <c r="Q87" s="26"/>
      <c r="R87" s="26"/>
      <c r="S87" s="26"/>
      <c r="T87" s="27"/>
    </row>
    <row r="88" spans="3:20" s="14" customFormat="1" ht="15.95" hidden="1" customHeight="1">
      <c r="C88" s="24"/>
      <c r="D88" s="24"/>
      <c r="E88" s="24"/>
      <c r="F88" s="24"/>
      <c r="G88" s="24"/>
      <c r="H88" s="24"/>
      <c r="I88" s="25"/>
      <c r="J88" s="25"/>
      <c r="K88" s="25"/>
      <c r="L88" s="25"/>
      <c r="M88" s="25"/>
      <c r="N88" s="25"/>
      <c r="O88" s="26"/>
      <c r="P88" s="26"/>
      <c r="Q88" s="26"/>
      <c r="R88" s="26"/>
      <c r="S88" s="26"/>
      <c r="T88" s="27"/>
    </row>
    <row r="89" spans="3:20" s="14" customFormat="1" ht="15.95" hidden="1" customHeight="1">
      <c r="C89" s="24"/>
      <c r="D89" s="24"/>
      <c r="E89" s="24"/>
      <c r="F89" s="24"/>
      <c r="G89" s="24"/>
      <c r="H89" s="24"/>
      <c r="I89" s="25"/>
      <c r="J89" s="25"/>
      <c r="K89" s="25"/>
      <c r="L89" s="25"/>
      <c r="M89" s="25"/>
      <c r="N89" s="25"/>
      <c r="O89" s="26"/>
      <c r="P89" s="26"/>
      <c r="Q89" s="26"/>
      <c r="R89" s="26"/>
      <c r="S89" s="26"/>
      <c r="T89" s="27"/>
    </row>
    <row r="90" spans="3:20" s="14" customFormat="1" ht="15.95" hidden="1" customHeight="1">
      <c r="C90" s="24"/>
      <c r="D90" s="24"/>
      <c r="E90" s="24"/>
      <c r="F90" s="24"/>
      <c r="G90" s="24"/>
      <c r="H90" s="24"/>
      <c r="I90" s="25"/>
      <c r="J90" s="25"/>
      <c r="K90" s="25"/>
      <c r="L90" s="25"/>
      <c r="M90" s="25"/>
      <c r="N90" s="25"/>
      <c r="O90" s="26"/>
      <c r="P90" s="26"/>
      <c r="Q90" s="26"/>
      <c r="R90" s="26"/>
      <c r="S90" s="26"/>
      <c r="T90" s="27"/>
    </row>
    <row r="91" spans="3:20" s="14" customFormat="1" ht="15.95" hidden="1" customHeight="1">
      <c r="C91" s="24"/>
      <c r="D91" s="24"/>
      <c r="E91" s="24"/>
      <c r="F91" s="24"/>
      <c r="G91" s="24"/>
      <c r="H91" s="24"/>
      <c r="I91" s="25"/>
      <c r="J91" s="25"/>
      <c r="K91" s="25"/>
      <c r="L91" s="25"/>
      <c r="M91" s="25"/>
      <c r="N91" s="25"/>
      <c r="O91" s="26"/>
      <c r="P91" s="26"/>
      <c r="Q91" s="26"/>
      <c r="R91" s="26"/>
      <c r="S91" s="26"/>
      <c r="T91" s="27"/>
    </row>
    <row r="92" spans="3:20" s="14" customFormat="1" ht="15.95" hidden="1" customHeight="1">
      <c r="C92" s="24"/>
      <c r="D92" s="24"/>
      <c r="E92" s="24"/>
      <c r="F92" s="24"/>
      <c r="G92" s="24"/>
      <c r="H92" s="24"/>
      <c r="I92" s="25"/>
      <c r="J92" s="25"/>
      <c r="K92" s="25"/>
      <c r="L92" s="25"/>
      <c r="M92" s="25"/>
      <c r="N92" s="25"/>
      <c r="O92" s="26"/>
      <c r="P92" s="26"/>
      <c r="Q92" s="26"/>
      <c r="R92" s="26"/>
      <c r="S92" s="26"/>
      <c r="T92" s="27"/>
    </row>
    <row r="93" spans="3:20" s="14" customFormat="1" ht="15.95" hidden="1" customHeight="1">
      <c r="C93" s="24"/>
      <c r="D93" s="24"/>
      <c r="E93" s="24"/>
      <c r="F93" s="24"/>
      <c r="G93" s="24"/>
      <c r="H93" s="24"/>
      <c r="I93" s="25"/>
      <c r="J93" s="25"/>
      <c r="K93" s="25"/>
      <c r="L93" s="25"/>
      <c r="M93" s="25"/>
      <c r="N93" s="25"/>
      <c r="O93" s="26"/>
      <c r="P93" s="26"/>
      <c r="Q93" s="26"/>
      <c r="R93" s="26"/>
      <c r="S93" s="26"/>
      <c r="T93" s="27"/>
    </row>
    <row r="94" spans="3:20" s="14" customFormat="1" ht="15.95" hidden="1" customHeight="1">
      <c r="C94" s="24"/>
      <c r="D94" s="24"/>
      <c r="E94" s="24"/>
      <c r="F94" s="24"/>
      <c r="G94" s="24"/>
      <c r="H94" s="24"/>
      <c r="I94" s="25"/>
      <c r="J94" s="25"/>
      <c r="K94" s="25"/>
      <c r="L94" s="25"/>
      <c r="M94" s="25"/>
      <c r="N94" s="25"/>
      <c r="O94" s="26"/>
      <c r="P94" s="26"/>
      <c r="Q94" s="26"/>
      <c r="R94" s="26"/>
      <c r="S94" s="26"/>
      <c r="T94" s="27"/>
    </row>
    <row r="95" spans="3:20" s="14" customFormat="1" ht="15.95" hidden="1" customHeight="1">
      <c r="C95" s="24"/>
      <c r="D95" s="24"/>
      <c r="E95" s="24"/>
      <c r="F95" s="24"/>
      <c r="G95" s="24"/>
      <c r="H95" s="24"/>
      <c r="I95" s="25"/>
      <c r="J95" s="25"/>
      <c r="K95" s="25"/>
      <c r="L95" s="25"/>
      <c r="M95" s="25"/>
      <c r="N95" s="25"/>
      <c r="O95" s="26"/>
      <c r="P95" s="26"/>
      <c r="Q95" s="26"/>
      <c r="R95" s="26"/>
      <c r="S95" s="26"/>
      <c r="T95" s="27"/>
    </row>
    <row r="96" spans="3:20" s="14" customFormat="1" ht="15.95" hidden="1" customHeight="1">
      <c r="C96" s="24"/>
      <c r="D96" s="24"/>
      <c r="E96" s="24"/>
      <c r="F96" s="24"/>
      <c r="G96" s="24"/>
      <c r="H96" s="24"/>
      <c r="I96" s="25"/>
      <c r="J96" s="25"/>
      <c r="K96" s="25"/>
      <c r="L96" s="25"/>
      <c r="M96" s="25"/>
      <c r="N96" s="25"/>
      <c r="O96" s="26"/>
      <c r="P96" s="26"/>
      <c r="Q96" s="26"/>
      <c r="R96" s="26"/>
      <c r="S96" s="26"/>
      <c r="T96" s="27"/>
    </row>
    <row r="97" spans="3:20" s="14" customFormat="1" ht="15.95" hidden="1" customHeight="1">
      <c r="C97" s="24"/>
      <c r="D97" s="24"/>
      <c r="E97" s="24"/>
      <c r="F97" s="24"/>
      <c r="G97" s="24"/>
      <c r="H97" s="24"/>
      <c r="I97" s="25"/>
      <c r="J97" s="25"/>
      <c r="K97" s="25"/>
      <c r="L97" s="25"/>
      <c r="M97" s="25"/>
      <c r="N97" s="25"/>
      <c r="O97" s="26"/>
      <c r="P97" s="26"/>
      <c r="Q97" s="26"/>
      <c r="R97" s="26"/>
      <c r="S97" s="26"/>
      <c r="T97" s="27"/>
    </row>
    <row r="98" spans="3:20" s="14" customFormat="1" ht="15.95" hidden="1" customHeight="1">
      <c r="C98" s="24"/>
      <c r="D98" s="24"/>
      <c r="E98" s="24"/>
      <c r="F98" s="24"/>
      <c r="G98" s="24"/>
      <c r="H98" s="24"/>
      <c r="I98" s="25"/>
      <c r="J98" s="25"/>
      <c r="K98" s="25"/>
      <c r="L98" s="25"/>
      <c r="M98" s="25"/>
      <c r="N98" s="25"/>
      <c r="O98" s="26"/>
      <c r="P98" s="26"/>
      <c r="Q98" s="26"/>
      <c r="R98" s="26"/>
      <c r="S98" s="26"/>
      <c r="T98" s="27"/>
    </row>
    <row r="99" spans="3:20" s="14" customFormat="1" ht="15.95" hidden="1" customHeight="1">
      <c r="C99" s="24"/>
      <c r="D99" s="24"/>
      <c r="E99" s="24"/>
      <c r="F99" s="24"/>
      <c r="G99" s="24"/>
      <c r="H99" s="24"/>
      <c r="I99" s="25"/>
      <c r="J99" s="25"/>
      <c r="K99" s="25"/>
      <c r="L99" s="25"/>
      <c r="M99" s="25"/>
      <c r="N99" s="25"/>
      <c r="O99" s="26"/>
      <c r="P99" s="26"/>
      <c r="Q99" s="26"/>
      <c r="R99" s="26"/>
      <c r="S99" s="26"/>
      <c r="T99" s="27"/>
    </row>
    <row r="100" spans="3:20" s="14" customFormat="1" ht="15.95" hidden="1" customHeight="1">
      <c r="C100" s="24"/>
      <c r="D100" s="24"/>
      <c r="E100" s="24"/>
      <c r="F100" s="24"/>
      <c r="G100" s="24"/>
      <c r="H100" s="24"/>
      <c r="I100" s="25"/>
      <c r="J100" s="25"/>
      <c r="K100" s="25"/>
      <c r="L100" s="25"/>
      <c r="M100" s="25"/>
      <c r="N100" s="25"/>
      <c r="O100" s="26"/>
      <c r="P100" s="26"/>
      <c r="Q100" s="26"/>
      <c r="R100" s="26"/>
      <c r="S100" s="26"/>
      <c r="T100" s="27"/>
    </row>
    <row r="101" spans="3:20" s="14" customFormat="1" ht="15.95" hidden="1" customHeight="1">
      <c r="C101" s="24"/>
      <c r="D101" s="24"/>
      <c r="E101" s="24"/>
      <c r="F101" s="24"/>
      <c r="G101" s="24"/>
      <c r="H101" s="24"/>
      <c r="I101" s="25"/>
      <c r="J101" s="25"/>
      <c r="K101" s="25"/>
      <c r="L101" s="25"/>
      <c r="M101" s="25"/>
      <c r="N101" s="25"/>
      <c r="O101" s="26"/>
      <c r="P101" s="26"/>
      <c r="Q101" s="26"/>
      <c r="R101" s="26"/>
      <c r="S101" s="26"/>
      <c r="T101" s="27"/>
    </row>
    <row r="102" spans="3:20" s="14" customFormat="1" ht="15.95" hidden="1" customHeight="1">
      <c r="C102" s="24"/>
      <c r="D102" s="24"/>
      <c r="E102" s="24"/>
      <c r="F102" s="24"/>
      <c r="G102" s="24"/>
      <c r="H102" s="24"/>
      <c r="I102" s="25"/>
      <c r="J102" s="25"/>
      <c r="K102" s="25"/>
      <c r="L102" s="25"/>
      <c r="M102" s="25"/>
      <c r="N102" s="25"/>
      <c r="O102" s="26"/>
      <c r="P102" s="26"/>
      <c r="Q102" s="26"/>
      <c r="R102" s="26"/>
      <c r="S102" s="26"/>
      <c r="T102" s="27"/>
    </row>
    <row r="103" spans="3:20" s="14" customFormat="1" ht="15.95" hidden="1" customHeight="1">
      <c r="C103" s="24"/>
      <c r="D103" s="24"/>
      <c r="E103" s="24"/>
      <c r="F103" s="24"/>
      <c r="G103" s="24"/>
      <c r="H103" s="24"/>
      <c r="I103" s="25"/>
      <c r="J103" s="25"/>
      <c r="K103" s="25"/>
      <c r="L103" s="25"/>
      <c r="M103" s="25"/>
      <c r="N103" s="25"/>
      <c r="O103" s="26"/>
      <c r="P103" s="26"/>
      <c r="Q103" s="26"/>
      <c r="R103" s="26"/>
      <c r="S103" s="26"/>
      <c r="T103" s="27"/>
    </row>
    <row r="104" spans="3:20" s="14" customFormat="1" ht="15.95" hidden="1" customHeight="1">
      <c r="C104" s="24"/>
      <c r="D104" s="24"/>
      <c r="E104" s="24"/>
      <c r="F104" s="24"/>
      <c r="G104" s="24"/>
      <c r="H104" s="24"/>
      <c r="I104" s="25"/>
      <c r="J104" s="25"/>
      <c r="K104" s="25"/>
      <c r="L104" s="25"/>
      <c r="M104" s="25"/>
      <c r="N104" s="25"/>
      <c r="O104" s="26"/>
      <c r="P104" s="26"/>
      <c r="Q104" s="26"/>
      <c r="R104" s="26"/>
      <c r="S104" s="26"/>
      <c r="T104" s="27"/>
    </row>
    <row r="105" spans="3:20" s="14" customFormat="1" ht="15.95" hidden="1" customHeight="1">
      <c r="C105" s="24"/>
      <c r="D105" s="24"/>
      <c r="E105" s="24"/>
      <c r="F105" s="24"/>
      <c r="G105" s="24"/>
      <c r="H105" s="24"/>
      <c r="I105" s="25"/>
      <c r="J105" s="25"/>
      <c r="K105" s="25"/>
      <c r="L105" s="25"/>
      <c r="M105" s="25"/>
      <c r="N105" s="25"/>
      <c r="O105" s="26"/>
      <c r="P105" s="26"/>
      <c r="Q105" s="26"/>
      <c r="R105" s="26"/>
      <c r="S105" s="26"/>
      <c r="T105" s="27"/>
    </row>
    <row r="106" spans="3:20" s="14" customFormat="1" ht="15.95" hidden="1" customHeight="1">
      <c r="C106" s="24"/>
      <c r="D106" s="24"/>
      <c r="E106" s="24"/>
      <c r="F106" s="24"/>
      <c r="G106" s="24"/>
      <c r="H106" s="24"/>
      <c r="I106" s="25"/>
      <c r="J106" s="25"/>
      <c r="K106" s="25"/>
      <c r="L106" s="25"/>
      <c r="M106" s="25"/>
      <c r="N106" s="25"/>
      <c r="O106" s="26"/>
      <c r="P106" s="26"/>
      <c r="Q106" s="26"/>
      <c r="R106" s="26"/>
      <c r="S106" s="26"/>
      <c r="T106" s="27"/>
    </row>
    <row r="107" spans="3:20" s="14" customFormat="1" ht="15.95" hidden="1" customHeight="1">
      <c r="C107" s="24"/>
      <c r="D107" s="24"/>
      <c r="E107" s="24"/>
      <c r="F107" s="24"/>
      <c r="G107" s="24"/>
      <c r="H107" s="24"/>
      <c r="I107" s="25"/>
      <c r="J107" s="25"/>
      <c r="K107" s="25"/>
      <c r="L107" s="25"/>
      <c r="M107" s="25"/>
      <c r="N107" s="25"/>
      <c r="O107" s="26"/>
      <c r="P107" s="26"/>
      <c r="Q107" s="26"/>
      <c r="R107" s="26"/>
      <c r="S107" s="26"/>
      <c r="T107" s="27"/>
    </row>
    <row r="108" spans="3:20" s="14" customFormat="1" ht="15.95" hidden="1" customHeight="1">
      <c r="C108" s="24"/>
      <c r="D108" s="24"/>
      <c r="E108" s="24"/>
      <c r="F108" s="24"/>
      <c r="G108" s="24"/>
      <c r="H108" s="24"/>
      <c r="I108" s="25"/>
      <c r="J108" s="25"/>
      <c r="K108" s="25"/>
      <c r="L108" s="25"/>
      <c r="M108" s="25"/>
      <c r="N108" s="25"/>
      <c r="O108" s="26"/>
      <c r="P108" s="26"/>
      <c r="Q108" s="26"/>
      <c r="R108" s="26"/>
      <c r="S108" s="26"/>
      <c r="T108" s="27"/>
    </row>
    <row r="109" spans="3:20" s="14" customFormat="1" ht="15.95" hidden="1" customHeight="1">
      <c r="C109" s="24"/>
      <c r="D109" s="24"/>
      <c r="E109" s="24"/>
      <c r="F109" s="24"/>
      <c r="G109" s="24"/>
      <c r="H109" s="24"/>
      <c r="I109" s="25"/>
      <c r="J109" s="25"/>
      <c r="K109" s="25"/>
      <c r="L109" s="25"/>
      <c r="M109" s="25"/>
      <c r="N109" s="25"/>
      <c r="O109" s="26"/>
      <c r="P109" s="26"/>
      <c r="Q109" s="26"/>
      <c r="R109" s="26"/>
      <c r="S109" s="26"/>
      <c r="T109" s="27"/>
    </row>
    <row r="110" spans="3:20" s="14" customFormat="1" ht="15.95" hidden="1" customHeight="1">
      <c r="C110" s="24"/>
      <c r="D110" s="24"/>
      <c r="E110" s="24"/>
      <c r="F110" s="24"/>
      <c r="G110" s="24"/>
      <c r="H110" s="24"/>
      <c r="I110" s="25"/>
      <c r="J110" s="25"/>
      <c r="K110" s="25"/>
      <c r="L110" s="25"/>
      <c r="M110" s="25"/>
      <c r="N110" s="25"/>
      <c r="O110" s="26"/>
      <c r="P110" s="26"/>
      <c r="Q110" s="26"/>
      <c r="R110" s="26"/>
      <c r="S110" s="26"/>
      <c r="T110" s="27"/>
    </row>
    <row r="111" spans="3:20" s="14" customFormat="1" ht="15.95" hidden="1" customHeight="1">
      <c r="C111" s="24"/>
      <c r="D111" s="24"/>
      <c r="E111" s="24"/>
      <c r="F111" s="24"/>
      <c r="G111" s="24"/>
      <c r="H111" s="24"/>
      <c r="I111" s="25"/>
      <c r="J111" s="25"/>
      <c r="K111" s="25"/>
      <c r="L111" s="25"/>
      <c r="M111" s="25"/>
      <c r="N111" s="25"/>
      <c r="O111" s="26"/>
      <c r="P111" s="26"/>
      <c r="Q111" s="26"/>
      <c r="R111" s="26"/>
      <c r="S111" s="26"/>
      <c r="T111" s="27"/>
    </row>
    <row r="112" spans="3:20" s="14" customFormat="1" ht="15.95" hidden="1" customHeight="1">
      <c r="C112" s="24"/>
      <c r="D112" s="24"/>
      <c r="E112" s="24"/>
      <c r="F112" s="24"/>
      <c r="G112" s="24"/>
      <c r="H112" s="24"/>
      <c r="I112" s="25"/>
      <c r="J112" s="25"/>
      <c r="K112" s="25"/>
      <c r="L112" s="25"/>
      <c r="M112" s="25"/>
      <c r="N112" s="25"/>
      <c r="O112" s="26"/>
      <c r="P112" s="26"/>
      <c r="Q112" s="26"/>
      <c r="R112" s="26"/>
      <c r="S112" s="26"/>
      <c r="T112" s="27"/>
    </row>
    <row r="113" spans="3:20" s="14" customFormat="1" ht="15.95" hidden="1" customHeight="1">
      <c r="C113" s="24"/>
      <c r="D113" s="24"/>
      <c r="E113" s="24"/>
      <c r="F113" s="24"/>
      <c r="G113" s="24"/>
      <c r="H113" s="24"/>
      <c r="I113" s="25"/>
      <c r="J113" s="25"/>
      <c r="K113" s="25"/>
      <c r="L113" s="25"/>
      <c r="M113" s="25"/>
      <c r="N113" s="25"/>
      <c r="O113" s="26"/>
      <c r="P113" s="26"/>
      <c r="Q113" s="26"/>
      <c r="R113" s="26"/>
      <c r="S113" s="26"/>
      <c r="T113" s="27"/>
    </row>
    <row r="114" spans="3:20" s="14" customFormat="1" ht="15.95" hidden="1" customHeight="1">
      <c r="C114" s="24"/>
      <c r="D114" s="24"/>
      <c r="E114" s="24"/>
      <c r="F114" s="24"/>
      <c r="G114" s="24"/>
      <c r="H114" s="24"/>
      <c r="I114" s="25"/>
      <c r="J114" s="25"/>
      <c r="K114" s="25"/>
      <c r="L114" s="25"/>
      <c r="M114" s="25"/>
      <c r="N114" s="25"/>
      <c r="O114" s="26"/>
      <c r="P114" s="26"/>
      <c r="Q114" s="26"/>
      <c r="R114" s="26"/>
      <c r="S114" s="26"/>
      <c r="T114" s="27"/>
    </row>
    <row r="115" spans="3:20" s="14" customFormat="1" ht="15.95" hidden="1" customHeight="1">
      <c r="C115" s="24"/>
      <c r="D115" s="24"/>
      <c r="E115" s="24"/>
      <c r="F115" s="24"/>
      <c r="G115" s="24"/>
      <c r="H115" s="24"/>
      <c r="I115" s="25"/>
      <c r="J115" s="25"/>
      <c r="K115" s="25"/>
      <c r="L115" s="25"/>
      <c r="M115" s="25"/>
      <c r="N115" s="25"/>
      <c r="O115" s="26"/>
      <c r="P115" s="26"/>
      <c r="Q115" s="26"/>
      <c r="R115" s="26"/>
      <c r="S115" s="26"/>
      <c r="T115" s="27"/>
    </row>
    <row r="116" spans="3:20" s="14" customFormat="1" ht="15.95" hidden="1" customHeight="1">
      <c r="C116" s="24"/>
      <c r="D116" s="24"/>
      <c r="E116" s="24"/>
      <c r="F116" s="24"/>
      <c r="G116" s="24"/>
      <c r="H116" s="24"/>
      <c r="I116" s="25"/>
      <c r="J116" s="25"/>
      <c r="K116" s="25"/>
      <c r="L116" s="25"/>
      <c r="M116" s="25"/>
      <c r="N116" s="25"/>
      <c r="O116" s="26"/>
      <c r="P116" s="26"/>
      <c r="Q116" s="26"/>
      <c r="R116" s="26"/>
      <c r="S116" s="26"/>
      <c r="T116" s="27"/>
    </row>
    <row r="117" spans="3:20" s="14" customFormat="1" ht="15.95" hidden="1" customHeight="1">
      <c r="C117" s="24"/>
      <c r="D117" s="24"/>
      <c r="E117" s="24"/>
      <c r="F117" s="24"/>
      <c r="G117" s="24"/>
      <c r="H117" s="24"/>
      <c r="I117" s="25"/>
      <c r="J117" s="25"/>
      <c r="K117" s="25"/>
      <c r="L117" s="25"/>
      <c r="M117" s="25"/>
      <c r="N117" s="25"/>
      <c r="O117" s="26"/>
      <c r="P117" s="26"/>
      <c r="Q117" s="26"/>
      <c r="R117" s="26"/>
      <c r="S117" s="26"/>
      <c r="T117" s="27"/>
    </row>
    <row r="118" spans="3:20" s="14" customFormat="1" ht="15.95" hidden="1" customHeight="1">
      <c r="C118" s="24"/>
      <c r="D118" s="24"/>
      <c r="E118" s="24"/>
      <c r="F118" s="24"/>
      <c r="G118" s="24"/>
      <c r="H118" s="24"/>
      <c r="I118" s="25"/>
      <c r="J118" s="25"/>
      <c r="K118" s="25"/>
      <c r="L118" s="25"/>
      <c r="M118" s="25"/>
      <c r="N118" s="25"/>
      <c r="O118" s="26"/>
      <c r="P118" s="26"/>
      <c r="Q118" s="26"/>
      <c r="R118" s="26"/>
      <c r="S118" s="26"/>
      <c r="T118" s="27"/>
    </row>
    <row r="119" spans="3:20" s="14" customFormat="1" ht="15.95" hidden="1" customHeight="1">
      <c r="C119" s="24"/>
      <c r="D119" s="24"/>
      <c r="E119" s="24"/>
      <c r="F119" s="24"/>
      <c r="G119" s="24"/>
      <c r="H119" s="24"/>
      <c r="I119" s="25"/>
      <c r="J119" s="25"/>
      <c r="K119" s="25"/>
      <c r="L119" s="25"/>
      <c r="M119" s="25"/>
      <c r="N119" s="25"/>
      <c r="O119" s="26"/>
      <c r="P119" s="26"/>
      <c r="Q119" s="26"/>
      <c r="R119" s="26"/>
      <c r="S119" s="26"/>
      <c r="T119" s="27"/>
    </row>
    <row r="120" spans="3:20" s="14" customFormat="1" ht="15.95" hidden="1" customHeight="1">
      <c r="C120" s="24"/>
      <c r="D120" s="24"/>
      <c r="E120" s="24"/>
      <c r="F120" s="24"/>
      <c r="G120" s="24"/>
      <c r="H120" s="24"/>
      <c r="I120" s="25"/>
      <c r="J120" s="25"/>
      <c r="K120" s="25"/>
      <c r="L120" s="25"/>
      <c r="M120" s="25"/>
      <c r="N120" s="25"/>
      <c r="O120" s="26"/>
      <c r="P120" s="26"/>
      <c r="Q120" s="26"/>
      <c r="R120" s="26"/>
      <c r="S120" s="26"/>
      <c r="T120" s="27"/>
    </row>
    <row r="121" spans="3:20" s="14" customFormat="1" ht="15.95" hidden="1" customHeight="1">
      <c r="C121" s="24"/>
      <c r="D121" s="24"/>
      <c r="E121" s="24"/>
      <c r="F121" s="24"/>
      <c r="G121" s="24"/>
      <c r="H121" s="24"/>
      <c r="I121" s="25"/>
      <c r="J121" s="25"/>
      <c r="K121" s="25"/>
      <c r="L121" s="25"/>
      <c r="M121" s="25"/>
      <c r="N121" s="25"/>
      <c r="O121" s="26"/>
      <c r="P121" s="26"/>
      <c r="Q121" s="26"/>
      <c r="R121" s="26"/>
      <c r="S121" s="26"/>
      <c r="T121" s="27"/>
    </row>
    <row r="122" spans="3:20" s="14" customFormat="1" ht="15.95" hidden="1" customHeight="1">
      <c r="C122" s="24"/>
      <c r="D122" s="24"/>
      <c r="E122" s="24"/>
      <c r="F122" s="24"/>
      <c r="G122" s="24"/>
      <c r="H122" s="24"/>
      <c r="I122" s="25"/>
      <c r="J122" s="25"/>
      <c r="K122" s="25"/>
      <c r="L122" s="25"/>
      <c r="M122" s="25"/>
      <c r="N122" s="25"/>
      <c r="O122" s="26"/>
      <c r="P122" s="26"/>
      <c r="Q122" s="26"/>
      <c r="R122" s="26"/>
      <c r="S122" s="26"/>
      <c r="T122" s="27"/>
    </row>
    <row r="123" spans="3:20" s="14" customFormat="1" ht="15.95" hidden="1" customHeight="1">
      <c r="C123" s="24"/>
      <c r="D123" s="24"/>
      <c r="E123" s="24"/>
      <c r="F123" s="24"/>
      <c r="G123" s="24"/>
      <c r="H123" s="24"/>
      <c r="I123" s="25"/>
      <c r="J123" s="25"/>
      <c r="K123" s="25"/>
      <c r="L123" s="25"/>
      <c r="M123" s="25"/>
      <c r="N123" s="25"/>
      <c r="O123" s="26"/>
      <c r="P123" s="26"/>
      <c r="Q123" s="26"/>
      <c r="R123" s="26"/>
      <c r="S123" s="26"/>
      <c r="T123" s="27"/>
    </row>
    <row r="124" spans="3:20" s="14" customFormat="1" ht="15.95" hidden="1" customHeight="1">
      <c r="C124" s="24"/>
      <c r="D124" s="24"/>
      <c r="E124" s="24"/>
      <c r="F124" s="24"/>
      <c r="G124" s="24"/>
      <c r="H124" s="24"/>
      <c r="I124" s="25"/>
      <c r="J124" s="25"/>
      <c r="K124" s="25"/>
      <c r="L124" s="25"/>
      <c r="M124" s="25"/>
      <c r="N124" s="25"/>
      <c r="O124" s="26"/>
      <c r="P124" s="26"/>
      <c r="Q124" s="26"/>
      <c r="R124" s="26"/>
      <c r="S124" s="26"/>
      <c r="T124" s="27"/>
    </row>
    <row r="125" spans="3:20" s="14" customFormat="1" ht="15.95" hidden="1" customHeight="1">
      <c r="C125" s="24"/>
      <c r="D125" s="24"/>
      <c r="E125" s="24"/>
      <c r="F125" s="24"/>
      <c r="G125" s="24"/>
      <c r="H125" s="24"/>
      <c r="I125" s="25"/>
      <c r="J125" s="25"/>
      <c r="K125" s="25"/>
      <c r="L125" s="25"/>
      <c r="M125" s="25"/>
      <c r="N125" s="25"/>
      <c r="O125" s="26"/>
      <c r="P125" s="26"/>
      <c r="Q125" s="26"/>
      <c r="R125" s="26"/>
      <c r="S125" s="26"/>
      <c r="T125" s="27"/>
    </row>
    <row r="126" spans="3:20" s="14" customFormat="1" ht="15.95" hidden="1" customHeight="1">
      <c r="C126" s="24"/>
      <c r="D126" s="24"/>
      <c r="E126" s="24"/>
      <c r="F126" s="24"/>
      <c r="G126" s="24"/>
      <c r="H126" s="24"/>
      <c r="I126" s="25"/>
      <c r="J126" s="25"/>
      <c r="K126" s="25"/>
      <c r="L126" s="25"/>
      <c r="M126" s="25"/>
      <c r="N126" s="25"/>
      <c r="O126" s="26"/>
      <c r="P126" s="26"/>
      <c r="Q126" s="26"/>
      <c r="R126" s="26"/>
      <c r="S126" s="26"/>
      <c r="T126" s="27"/>
    </row>
    <row r="127" spans="3:20" s="14" customFormat="1" ht="15.95" hidden="1" customHeight="1">
      <c r="C127" s="24"/>
      <c r="D127" s="24"/>
      <c r="E127" s="24"/>
      <c r="F127" s="24"/>
      <c r="G127" s="24"/>
      <c r="H127" s="24"/>
      <c r="I127" s="25"/>
      <c r="J127" s="25"/>
      <c r="K127" s="25"/>
      <c r="L127" s="25"/>
      <c r="M127" s="25"/>
      <c r="N127" s="25"/>
      <c r="O127" s="26"/>
      <c r="P127" s="26"/>
      <c r="Q127" s="26"/>
      <c r="R127" s="26"/>
      <c r="S127" s="26"/>
      <c r="T127" s="27"/>
    </row>
    <row r="128" spans="3:20" s="14" customFormat="1" ht="15.95" hidden="1" customHeight="1">
      <c r="C128" s="24"/>
      <c r="D128" s="24"/>
      <c r="E128" s="24"/>
      <c r="F128" s="24"/>
      <c r="G128" s="24"/>
      <c r="H128" s="24"/>
      <c r="I128" s="25"/>
      <c r="J128" s="25"/>
      <c r="K128" s="25"/>
      <c r="L128" s="25"/>
      <c r="M128" s="25"/>
      <c r="N128" s="25"/>
      <c r="O128" s="26"/>
      <c r="P128" s="26"/>
      <c r="Q128" s="26"/>
      <c r="R128" s="26"/>
      <c r="S128" s="26"/>
      <c r="T128" s="27"/>
    </row>
    <row r="129" spans="3:20" s="14" customFormat="1" ht="15.95" hidden="1" customHeight="1">
      <c r="C129" s="24"/>
      <c r="D129" s="24"/>
      <c r="E129" s="24"/>
      <c r="F129" s="24"/>
      <c r="G129" s="24"/>
      <c r="H129" s="24"/>
      <c r="I129" s="25"/>
      <c r="J129" s="25"/>
      <c r="K129" s="25"/>
      <c r="L129" s="25"/>
      <c r="M129" s="25"/>
      <c r="N129" s="25"/>
      <c r="O129" s="26"/>
      <c r="P129" s="26"/>
      <c r="Q129" s="26"/>
      <c r="R129" s="26"/>
      <c r="S129" s="26"/>
      <c r="T129" s="27"/>
    </row>
    <row r="130" spans="3:20" s="14" customFormat="1" ht="15.95" hidden="1" customHeight="1">
      <c r="C130" s="24"/>
      <c r="D130" s="24"/>
      <c r="E130" s="24"/>
      <c r="F130" s="24"/>
      <c r="G130" s="24"/>
      <c r="H130" s="24"/>
      <c r="I130" s="25"/>
      <c r="J130" s="25"/>
      <c r="K130" s="25"/>
      <c r="L130" s="25"/>
      <c r="M130" s="25"/>
      <c r="N130" s="25"/>
      <c r="O130" s="26"/>
      <c r="P130" s="26"/>
      <c r="Q130" s="26"/>
      <c r="R130" s="26"/>
      <c r="S130" s="26"/>
      <c r="T130" s="27"/>
    </row>
    <row r="131" spans="3:20" s="14" customFormat="1" ht="15.95" hidden="1" customHeight="1">
      <c r="C131" s="24"/>
      <c r="D131" s="24"/>
      <c r="E131" s="24"/>
      <c r="F131" s="24"/>
      <c r="G131" s="24"/>
      <c r="H131" s="24"/>
      <c r="I131" s="25"/>
      <c r="J131" s="25"/>
      <c r="K131" s="25"/>
      <c r="L131" s="25"/>
      <c r="M131" s="25"/>
      <c r="N131" s="25"/>
      <c r="O131" s="26"/>
      <c r="P131" s="26"/>
      <c r="Q131" s="26"/>
      <c r="R131" s="26"/>
      <c r="S131" s="26"/>
      <c r="T131" s="27"/>
    </row>
    <row r="132" spans="3:20" s="14" customFormat="1" ht="15.95" hidden="1" customHeight="1">
      <c r="C132" s="24"/>
      <c r="D132" s="24"/>
      <c r="E132" s="24"/>
      <c r="F132" s="24"/>
      <c r="G132" s="24"/>
      <c r="H132" s="24"/>
      <c r="I132" s="25"/>
      <c r="J132" s="25"/>
      <c r="K132" s="25"/>
      <c r="L132" s="25"/>
      <c r="M132" s="25"/>
      <c r="N132" s="25"/>
      <c r="O132" s="26"/>
      <c r="P132" s="26"/>
      <c r="Q132" s="26"/>
      <c r="R132" s="26"/>
      <c r="S132" s="26"/>
      <c r="T132" s="27"/>
    </row>
    <row r="133" spans="3:20" s="14" customFormat="1" ht="15.95" hidden="1" customHeight="1">
      <c r="C133" s="24"/>
      <c r="D133" s="24"/>
      <c r="E133" s="24"/>
      <c r="F133" s="24"/>
      <c r="G133" s="24"/>
      <c r="H133" s="24"/>
      <c r="I133" s="25"/>
      <c r="J133" s="25"/>
      <c r="K133" s="25"/>
      <c r="L133" s="25"/>
      <c r="M133" s="25"/>
      <c r="N133" s="25"/>
      <c r="O133" s="26"/>
      <c r="P133" s="26"/>
      <c r="Q133" s="26"/>
      <c r="R133" s="26"/>
      <c r="S133" s="26"/>
      <c r="T133" s="27"/>
    </row>
    <row r="134" spans="3:20" s="14" customFormat="1" ht="15.95" hidden="1" customHeight="1">
      <c r="C134" s="24"/>
      <c r="D134" s="24"/>
      <c r="E134" s="24"/>
      <c r="F134" s="24"/>
      <c r="G134" s="24"/>
      <c r="H134" s="24"/>
      <c r="I134" s="25"/>
      <c r="J134" s="25"/>
      <c r="K134" s="25"/>
      <c r="L134" s="25"/>
      <c r="M134" s="25"/>
      <c r="N134" s="25"/>
      <c r="O134" s="26"/>
      <c r="P134" s="26"/>
      <c r="Q134" s="26"/>
      <c r="R134" s="26"/>
      <c r="S134" s="26"/>
      <c r="T134" s="27"/>
    </row>
    <row r="135" spans="3:20" s="14" customFormat="1" ht="15.95" hidden="1" customHeight="1">
      <c r="C135" s="24"/>
      <c r="D135" s="24"/>
      <c r="E135" s="24"/>
      <c r="F135" s="24"/>
      <c r="G135" s="24"/>
      <c r="H135" s="24"/>
      <c r="I135" s="25"/>
      <c r="J135" s="25"/>
      <c r="K135" s="25"/>
      <c r="L135" s="25"/>
      <c r="M135" s="25"/>
      <c r="N135" s="25"/>
      <c r="O135" s="26"/>
      <c r="P135" s="26"/>
      <c r="Q135" s="26"/>
      <c r="R135" s="26"/>
      <c r="S135" s="26"/>
      <c r="T135" s="27"/>
    </row>
    <row r="136" spans="3:20" s="14" customFormat="1" ht="15.95" hidden="1" customHeight="1">
      <c r="C136" s="24"/>
      <c r="D136" s="24"/>
      <c r="E136" s="24"/>
      <c r="F136" s="24"/>
      <c r="G136" s="24"/>
      <c r="H136" s="24"/>
      <c r="I136" s="25"/>
      <c r="J136" s="25"/>
      <c r="K136" s="25"/>
      <c r="L136" s="25"/>
      <c r="M136" s="25"/>
      <c r="N136" s="25"/>
      <c r="O136" s="26"/>
      <c r="P136" s="26"/>
      <c r="Q136" s="26"/>
      <c r="R136" s="26"/>
      <c r="S136" s="26"/>
      <c r="T136" s="27"/>
    </row>
    <row r="137" spans="3:20" s="14" customFormat="1" ht="15.95" hidden="1" customHeight="1">
      <c r="C137" s="24"/>
      <c r="D137" s="24"/>
      <c r="E137" s="24"/>
      <c r="F137" s="24"/>
      <c r="G137" s="24"/>
      <c r="H137" s="24"/>
      <c r="I137" s="25"/>
      <c r="J137" s="25"/>
      <c r="K137" s="25"/>
      <c r="L137" s="25"/>
      <c r="M137" s="25"/>
      <c r="N137" s="25"/>
      <c r="O137" s="26"/>
      <c r="P137" s="26"/>
      <c r="Q137" s="26"/>
      <c r="R137" s="26"/>
      <c r="S137" s="26"/>
      <c r="T137" s="27"/>
    </row>
    <row r="138" spans="3:20" s="14" customFormat="1" ht="15.95" hidden="1" customHeight="1">
      <c r="C138" s="24"/>
      <c r="D138" s="24"/>
      <c r="E138" s="24"/>
      <c r="F138" s="24"/>
      <c r="G138" s="24"/>
      <c r="H138" s="24"/>
      <c r="I138" s="25"/>
      <c r="J138" s="25"/>
      <c r="K138" s="25"/>
      <c r="L138" s="25"/>
      <c r="M138" s="25"/>
      <c r="N138" s="25"/>
      <c r="O138" s="26"/>
      <c r="P138" s="26"/>
      <c r="Q138" s="26"/>
      <c r="R138" s="26"/>
      <c r="S138" s="26"/>
      <c r="T138" s="27"/>
    </row>
    <row r="139" spans="3:20" s="14" customFormat="1" ht="15.95" hidden="1" customHeight="1">
      <c r="C139" s="24"/>
      <c r="D139" s="24"/>
      <c r="E139" s="24"/>
      <c r="F139" s="24"/>
      <c r="G139" s="24"/>
      <c r="H139" s="24"/>
      <c r="I139" s="25"/>
      <c r="J139" s="25"/>
      <c r="K139" s="25"/>
      <c r="L139" s="25"/>
      <c r="M139" s="25"/>
      <c r="N139" s="25"/>
      <c r="O139" s="26"/>
      <c r="P139" s="26"/>
      <c r="Q139" s="26"/>
      <c r="R139" s="26"/>
      <c r="S139" s="26"/>
      <c r="T139" s="27"/>
    </row>
    <row r="140" spans="3:20" s="14" customFormat="1" ht="15.95" hidden="1" customHeight="1">
      <c r="C140" s="24"/>
      <c r="D140" s="24"/>
      <c r="E140" s="24"/>
      <c r="F140" s="24"/>
      <c r="G140" s="24"/>
      <c r="H140" s="24"/>
      <c r="I140" s="25"/>
      <c r="J140" s="25"/>
      <c r="K140" s="25"/>
      <c r="L140" s="25"/>
      <c r="M140" s="25"/>
      <c r="N140" s="25"/>
      <c r="O140" s="26"/>
      <c r="P140" s="26"/>
      <c r="Q140" s="26"/>
      <c r="R140" s="26"/>
      <c r="S140" s="26"/>
      <c r="T140" s="27"/>
    </row>
    <row r="141" spans="3:20" s="14" customFormat="1" ht="15.95" hidden="1" customHeight="1">
      <c r="C141" s="24"/>
      <c r="D141" s="24"/>
      <c r="E141" s="24"/>
      <c r="F141" s="24"/>
      <c r="G141" s="24"/>
      <c r="H141" s="24"/>
      <c r="I141" s="25"/>
      <c r="J141" s="25"/>
      <c r="K141" s="25"/>
      <c r="L141" s="25"/>
      <c r="M141" s="25"/>
      <c r="N141" s="25"/>
      <c r="O141" s="26"/>
      <c r="P141" s="26"/>
      <c r="Q141" s="26"/>
      <c r="R141" s="26"/>
      <c r="S141" s="26"/>
      <c r="T141" s="27"/>
    </row>
    <row r="142" spans="3:20" s="14" customFormat="1" ht="15.95" hidden="1" customHeight="1">
      <c r="C142" s="24"/>
      <c r="D142" s="24"/>
      <c r="E142" s="24"/>
      <c r="F142" s="24"/>
      <c r="G142" s="24"/>
      <c r="H142" s="24"/>
      <c r="I142" s="25"/>
      <c r="J142" s="25"/>
      <c r="K142" s="25"/>
      <c r="L142" s="25"/>
      <c r="M142" s="25"/>
      <c r="N142" s="25"/>
      <c r="O142" s="26"/>
      <c r="P142" s="26"/>
      <c r="Q142" s="26"/>
      <c r="R142" s="26"/>
      <c r="S142" s="26"/>
      <c r="T142" s="27"/>
    </row>
    <row r="143" spans="3:20" s="14" customFormat="1" ht="15.95" hidden="1" customHeight="1">
      <c r="C143" s="24"/>
      <c r="D143" s="24"/>
      <c r="E143" s="24"/>
      <c r="F143" s="24"/>
      <c r="G143" s="24"/>
      <c r="H143" s="24"/>
      <c r="I143" s="25"/>
      <c r="J143" s="25"/>
      <c r="K143" s="25"/>
      <c r="L143" s="25"/>
      <c r="M143" s="25"/>
      <c r="N143" s="25"/>
      <c r="O143" s="26"/>
      <c r="P143" s="26"/>
      <c r="Q143" s="26"/>
      <c r="R143" s="26"/>
      <c r="S143" s="26"/>
      <c r="T143" s="27"/>
    </row>
    <row r="144" spans="3:20" s="14" customFormat="1" ht="15.95" hidden="1" customHeight="1">
      <c r="C144" s="24"/>
      <c r="D144" s="24"/>
      <c r="E144" s="24"/>
      <c r="F144" s="24"/>
      <c r="G144" s="24"/>
      <c r="H144" s="24"/>
      <c r="I144" s="25"/>
      <c r="J144" s="25"/>
      <c r="K144" s="25"/>
      <c r="L144" s="25"/>
      <c r="M144" s="25"/>
      <c r="N144" s="25"/>
      <c r="O144" s="26"/>
      <c r="P144" s="26"/>
      <c r="Q144" s="26"/>
      <c r="R144" s="26"/>
      <c r="S144" s="26"/>
      <c r="T144" s="27"/>
    </row>
    <row r="145" spans="3:20" s="14" customFormat="1" ht="15.95" hidden="1" customHeight="1">
      <c r="C145" s="24"/>
      <c r="D145" s="24"/>
      <c r="E145" s="24"/>
      <c r="F145" s="24"/>
      <c r="G145" s="24"/>
      <c r="H145" s="24"/>
      <c r="I145" s="25"/>
      <c r="J145" s="25"/>
      <c r="K145" s="25"/>
      <c r="L145" s="25"/>
      <c r="M145" s="25"/>
      <c r="N145" s="25"/>
      <c r="O145" s="26"/>
      <c r="P145" s="26"/>
      <c r="Q145" s="26"/>
      <c r="R145" s="26"/>
      <c r="S145" s="26"/>
      <c r="T145" s="27"/>
    </row>
    <row r="146" spans="3:20" s="14" customFormat="1" ht="15.95" hidden="1" customHeight="1">
      <c r="C146" s="24"/>
      <c r="D146" s="24"/>
      <c r="E146" s="24"/>
      <c r="F146" s="24"/>
      <c r="G146" s="24"/>
      <c r="H146" s="24"/>
      <c r="I146" s="25"/>
      <c r="J146" s="25"/>
      <c r="K146" s="25"/>
      <c r="L146" s="25"/>
      <c r="M146" s="25"/>
      <c r="N146" s="25"/>
      <c r="O146" s="26"/>
      <c r="P146" s="26"/>
      <c r="Q146" s="26"/>
      <c r="R146" s="26"/>
      <c r="S146" s="26"/>
      <c r="T146" s="27"/>
    </row>
    <row r="147" spans="3:20" s="14" customFormat="1" ht="15.95" hidden="1" customHeight="1">
      <c r="C147" s="24"/>
      <c r="D147" s="24"/>
      <c r="E147" s="24"/>
      <c r="F147" s="24"/>
      <c r="G147" s="24"/>
      <c r="H147" s="24"/>
      <c r="I147" s="25"/>
      <c r="J147" s="25"/>
      <c r="K147" s="25"/>
      <c r="L147" s="25"/>
      <c r="M147" s="25"/>
      <c r="N147" s="25"/>
      <c r="O147" s="26"/>
      <c r="P147" s="26"/>
      <c r="Q147" s="26"/>
      <c r="R147" s="26"/>
      <c r="S147" s="26"/>
      <c r="T147" s="27"/>
    </row>
    <row r="148" spans="3:20" s="14" customFormat="1" ht="15.95" hidden="1" customHeight="1">
      <c r="C148" s="24"/>
      <c r="D148" s="24"/>
      <c r="E148" s="24"/>
      <c r="F148" s="24"/>
      <c r="G148" s="24"/>
      <c r="H148" s="24"/>
      <c r="I148" s="25"/>
      <c r="J148" s="25"/>
      <c r="K148" s="25"/>
      <c r="L148" s="25"/>
      <c r="M148" s="25"/>
      <c r="N148" s="25"/>
      <c r="O148" s="26"/>
      <c r="P148" s="26"/>
      <c r="Q148" s="26"/>
      <c r="R148" s="26"/>
      <c r="S148" s="26"/>
      <c r="T148" s="27"/>
    </row>
    <row r="149" spans="3:20" s="14" customFormat="1" ht="15.95" hidden="1" customHeight="1">
      <c r="C149" s="24"/>
      <c r="D149" s="24"/>
      <c r="E149" s="24"/>
      <c r="F149" s="24"/>
      <c r="G149" s="24"/>
      <c r="H149" s="24"/>
      <c r="I149" s="25"/>
      <c r="J149" s="25"/>
      <c r="K149" s="25"/>
      <c r="L149" s="25"/>
      <c r="M149" s="25"/>
      <c r="N149" s="25"/>
      <c r="O149" s="26"/>
      <c r="P149" s="26"/>
      <c r="Q149" s="26"/>
      <c r="R149" s="26"/>
      <c r="S149" s="26"/>
      <c r="T149" s="27"/>
    </row>
    <row r="150" spans="3:20" s="14" customFormat="1" ht="15.95" hidden="1" customHeight="1">
      <c r="C150" s="24"/>
      <c r="D150" s="24"/>
      <c r="E150" s="24"/>
      <c r="F150" s="24"/>
      <c r="G150" s="24"/>
      <c r="H150" s="24"/>
      <c r="I150" s="25"/>
      <c r="J150" s="25"/>
      <c r="K150" s="25"/>
      <c r="L150" s="25"/>
      <c r="M150" s="25"/>
      <c r="N150" s="25"/>
      <c r="O150" s="26"/>
      <c r="P150" s="26"/>
      <c r="Q150" s="26"/>
      <c r="R150" s="26"/>
      <c r="S150" s="26"/>
      <c r="T150" s="27"/>
    </row>
    <row r="151" spans="3:20" s="14" customFormat="1" ht="15.95" hidden="1" customHeight="1">
      <c r="C151" s="24"/>
      <c r="D151" s="24"/>
      <c r="E151" s="24"/>
      <c r="F151" s="24"/>
      <c r="G151" s="24"/>
      <c r="H151" s="24"/>
      <c r="I151" s="25"/>
      <c r="J151" s="25"/>
      <c r="K151" s="25"/>
      <c r="L151" s="25"/>
      <c r="M151" s="25"/>
      <c r="N151" s="25"/>
      <c r="O151" s="26"/>
      <c r="P151" s="26"/>
      <c r="Q151" s="26"/>
      <c r="R151" s="26"/>
      <c r="S151" s="26"/>
      <c r="T151" s="27"/>
    </row>
    <row r="152" spans="3:20" s="14" customFormat="1" ht="15.95" hidden="1" customHeight="1">
      <c r="C152" s="24"/>
      <c r="D152" s="24"/>
      <c r="E152" s="24"/>
      <c r="F152" s="24"/>
      <c r="G152" s="24"/>
      <c r="H152" s="24"/>
      <c r="I152" s="25"/>
      <c r="J152" s="25"/>
      <c r="K152" s="25"/>
      <c r="L152" s="25"/>
      <c r="M152" s="25"/>
      <c r="N152" s="25"/>
      <c r="O152" s="26"/>
      <c r="P152" s="26"/>
      <c r="Q152" s="26"/>
      <c r="R152" s="26"/>
      <c r="S152" s="26"/>
      <c r="T152" s="27"/>
    </row>
    <row r="153" spans="3:20" s="14" customFormat="1" ht="15.95" hidden="1" customHeight="1">
      <c r="C153" s="24"/>
      <c r="D153" s="24"/>
      <c r="E153" s="24"/>
      <c r="F153" s="24"/>
      <c r="G153" s="24"/>
      <c r="H153" s="24"/>
      <c r="I153" s="25"/>
      <c r="J153" s="25"/>
      <c r="K153" s="25"/>
      <c r="L153" s="25"/>
      <c r="M153" s="25"/>
      <c r="N153" s="25"/>
      <c r="O153" s="26"/>
      <c r="P153" s="26"/>
      <c r="Q153" s="26"/>
      <c r="R153" s="26"/>
      <c r="S153" s="26"/>
      <c r="T153" s="27"/>
    </row>
    <row r="154" spans="3:20" s="14" customFormat="1" ht="15.95" hidden="1" customHeight="1">
      <c r="C154" s="24"/>
      <c r="D154" s="24"/>
      <c r="E154" s="24"/>
      <c r="F154" s="24"/>
      <c r="G154" s="24"/>
      <c r="H154" s="24"/>
      <c r="I154" s="25"/>
      <c r="J154" s="25"/>
      <c r="K154" s="25"/>
      <c r="L154" s="25"/>
      <c r="M154" s="25"/>
      <c r="N154" s="25"/>
      <c r="O154" s="26"/>
      <c r="P154" s="26"/>
      <c r="Q154" s="26"/>
      <c r="R154" s="26"/>
      <c r="S154" s="26"/>
      <c r="T154" s="27"/>
    </row>
    <row r="155" spans="3:20" s="14" customFormat="1" ht="15.95" hidden="1" customHeight="1">
      <c r="C155" s="24"/>
      <c r="D155" s="24"/>
      <c r="E155" s="24"/>
      <c r="F155" s="24"/>
      <c r="G155" s="24"/>
      <c r="H155" s="24"/>
      <c r="I155" s="25"/>
      <c r="J155" s="25"/>
      <c r="K155" s="25"/>
      <c r="L155" s="25"/>
      <c r="M155" s="25"/>
      <c r="N155" s="25"/>
      <c r="O155" s="26"/>
      <c r="P155" s="26"/>
      <c r="Q155" s="26"/>
      <c r="R155" s="26"/>
      <c r="S155" s="26"/>
      <c r="T155" s="27"/>
    </row>
    <row r="156" spans="3:20" s="14" customFormat="1" ht="15.95" hidden="1" customHeight="1">
      <c r="C156" s="24"/>
      <c r="D156" s="24"/>
      <c r="E156" s="24"/>
      <c r="F156" s="24"/>
      <c r="G156" s="24"/>
      <c r="H156" s="24"/>
      <c r="I156" s="25"/>
      <c r="J156" s="25"/>
      <c r="K156" s="25"/>
      <c r="L156" s="25"/>
      <c r="M156" s="25"/>
      <c r="N156" s="25"/>
      <c r="O156" s="26"/>
      <c r="P156" s="26"/>
      <c r="Q156" s="26"/>
      <c r="R156" s="26"/>
      <c r="S156" s="26"/>
      <c r="T156" s="27"/>
    </row>
    <row r="157" spans="3:20" s="14" customFormat="1" ht="15.95" hidden="1" customHeight="1">
      <c r="C157" s="24"/>
      <c r="D157" s="24"/>
      <c r="E157" s="24"/>
      <c r="F157" s="24"/>
      <c r="G157" s="24"/>
      <c r="H157" s="24"/>
      <c r="I157" s="25"/>
      <c r="J157" s="25"/>
      <c r="K157" s="25"/>
      <c r="L157" s="25"/>
      <c r="M157" s="25"/>
      <c r="N157" s="25"/>
      <c r="O157" s="26"/>
      <c r="P157" s="26"/>
      <c r="Q157" s="26"/>
      <c r="R157" s="26"/>
      <c r="S157" s="26"/>
      <c r="T157" s="27"/>
    </row>
    <row r="158" spans="3:20" s="14" customFormat="1" ht="15.95" hidden="1" customHeight="1">
      <c r="C158" s="24"/>
      <c r="D158" s="24"/>
      <c r="E158" s="24"/>
      <c r="F158" s="24"/>
      <c r="G158" s="24"/>
      <c r="H158" s="24"/>
      <c r="I158" s="25"/>
      <c r="J158" s="25"/>
      <c r="K158" s="25"/>
      <c r="L158" s="25"/>
      <c r="M158" s="25"/>
      <c r="N158" s="25"/>
      <c r="O158" s="26"/>
      <c r="P158" s="26"/>
      <c r="Q158" s="26"/>
      <c r="R158" s="26"/>
      <c r="S158" s="26"/>
      <c r="T158" s="27"/>
    </row>
    <row r="159" spans="3:20" s="14" customFormat="1" ht="15.95" hidden="1" customHeight="1">
      <c r="C159" s="24"/>
      <c r="D159" s="24"/>
      <c r="E159" s="24"/>
      <c r="F159" s="24"/>
      <c r="G159" s="24"/>
      <c r="H159" s="24"/>
      <c r="I159" s="25"/>
      <c r="J159" s="25"/>
      <c r="K159" s="25"/>
      <c r="L159" s="25"/>
      <c r="M159" s="25"/>
      <c r="N159" s="25"/>
      <c r="O159" s="26"/>
      <c r="P159" s="26"/>
      <c r="Q159" s="26"/>
      <c r="R159" s="26"/>
      <c r="S159" s="26"/>
      <c r="T159" s="27"/>
    </row>
    <row r="160" spans="3:20" s="14" customFormat="1" ht="15.95" hidden="1" customHeight="1">
      <c r="C160" s="24"/>
      <c r="D160" s="24"/>
      <c r="E160" s="24"/>
      <c r="F160" s="24"/>
      <c r="G160" s="24"/>
      <c r="H160" s="24"/>
      <c r="I160" s="25"/>
      <c r="J160" s="25"/>
      <c r="K160" s="25"/>
      <c r="L160" s="25"/>
      <c r="M160" s="25"/>
      <c r="N160" s="25"/>
      <c r="O160" s="26"/>
      <c r="P160" s="26"/>
      <c r="Q160" s="26"/>
      <c r="R160" s="26"/>
      <c r="S160" s="26"/>
      <c r="T160" s="27"/>
    </row>
    <row r="161" spans="3:20" s="14" customFormat="1" ht="15.95" hidden="1" customHeight="1">
      <c r="C161" s="24"/>
      <c r="D161" s="24"/>
      <c r="E161" s="24"/>
      <c r="F161" s="24"/>
      <c r="G161" s="24"/>
      <c r="H161" s="24"/>
      <c r="I161" s="25"/>
      <c r="J161" s="25"/>
      <c r="K161" s="25"/>
      <c r="L161" s="25"/>
      <c r="M161" s="25"/>
      <c r="N161" s="25"/>
      <c r="O161" s="26"/>
      <c r="P161" s="26"/>
      <c r="Q161" s="26"/>
      <c r="R161" s="26"/>
      <c r="S161" s="26"/>
      <c r="T161" s="27"/>
    </row>
    <row r="162" spans="3:20" s="14" customFormat="1" ht="15.95" hidden="1" customHeight="1">
      <c r="C162" s="24"/>
      <c r="D162" s="24"/>
      <c r="E162" s="24"/>
      <c r="F162" s="24"/>
      <c r="G162" s="24"/>
      <c r="H162" s="24"/>
      <c r="I162" s="25"/>
      <c r="J162" s="25"/>
      <c r="K162" s="25"/>
      <c r="L162" s="25"/>
      <c r="M162" s="25"/>
      <c r="N162" s="25"/>
      <c r="O162" s="26"/>
      <c r="P162" s="26"/>
      <c r="Q162" s="26"/>
      <c r="R162" s="26"/>
      <c r="S162" s="26"/>
      <c r="T162" s="27"/>
    </row>
    <row r="163" spans="3:20" s="14" customFormat="1" ht="15.95" hidden="1" customHeight="1">
      <c r="C163" s="24"/>
      <c r="D163" s="24"/>
      <c r="E163" s="24"/>
      <c r="F163" s="24"/>
      <c r="G163" s="24"/>
      <c r="H163" s="24"/>
      <c r="I163" s="25"/>
      <c r="J163" s="25"/>
      <c r="K163" s="25"/>
      <c r="L163" s="25"/>
      <c r="M163" s="25"/>
      <c r="N163" s="25"/>
      <c r="O163" s="26"/>
      <c r="P163" s="26"/>
      <c r="Q163" s="26"/>
      <c r="R163" s="26"/>
      <c r="S163" s="26"/>
      <c r="T163" s="27"/>
    </row>
    <row r="164" spans="3:20" s="14" customFormat="1" ht="15.95" hidden="1" customHeight="1">
      <c r="C164" s="24"/>
      <c r="D164" s="24"/>
      <c r="E164" s="24"/>
      <c r="F164" s="24"/>
      <c r="G164" s="24"/>
      <c r="H164" s="24"/>
      <c r="I164" s="25"/>
      <c r="J164" s="25"/>
      <c r="K164" s="25"/>
      <c r="L164" s="25"/>
      <c r="M164" s="25"/>
      <c r="N164" s="25"/>
      <c r="O164" s="26"/>
      <c r="P164" s="26"/>
      <c r="Q164" s="26"/>
      <c r="R164" s="26"/>
      <c r="S164" s="26"/>
      <c r="T164" s="27"/>
    </row>
    <row r="165" spans="3:20" s="14" customFormat="1" ht="15.95" hidden="1" customHeight="1">
      <c r="C165" s="24"/>
      <c r="D165" s="24"/>
      <c r="E165" s="24"/>
      <c r="F165" s="24"/>
      <c r="G165" s="24"/>
      <c r="H165" s="24"/>
      <c r="I165" s="25"/>
      <c r="J165" s="25"/>
      <c r="K165" s="25"/>
      <c r="L165" s="25"/>
      <c r="M165" s="25"/>
      <c r="N165" s="25"/>
      <c r="O165" s="26"/>
      <c r="P165" s="26"/>
      <c r="Q165" s="26"/>
      <c r="R165" s="26"/>
      <c r="S165" s="26"/>
      <c r="T165" s="27"/>
    </row>
    <row r="166" spans="3:20" s="14" customFormat="1" ht="15.95" hidden="1" customHeight="1">
      <c r="C166" s="24"/>
      <c r="D166" s="24"/>
      <c r="E166" s="24"/>
      <c r="F166" s="24"/>
      <c r="G166" s="24"/>
      <c r="H166" s="24"/>
      <c r="I166" s="25"/>
      <c r="J166" s="25"/>
      <c r="K166" s="25"/>
      <c r="L166" s="25"/>
      <c r="M166" s="25"/>
      <c r="N166" s="25"/>
      <c r="O166" s="26"/>
      <c r="P166" s="26"/>
      <c r="Q166" s="26"/>
      <c r="R166" s="26"/>
      <c r="S166" s="26"/>
      <c r="T166" s="27"/>
    </row>
    <row r="167" spans="3:20" s="14" customFormat="1" ht="15.95" hidden="1" customHeight="1">
      <c r="C167" s="24"/>
      <c r="D167" s="24"/>
      <c r="E167" s="24"/>
      <c r="F167" s="24"/>
      <c r="G167" s="24"/>
      <c r="H167" s="24"/>
      <c r="I167" s="25"/>
      <c r="J167" s="25"/>
      <c r="K167" s="25"/>
      <c r="L167" s="25"/>
      <c r="M167" s="25"/>
      <c r="N167" s="25"/>
      <c r="O167" s="26"/>
      <c r="P167" s="26"/>
      <c r="Q167" s="26"/>
      <c r="R167" s="26"/>
      <c r="S167" s="26"/>
      <c r="T167" s="27"/>
    </row>
    <row r="168" spans="3:20" s="14" customFormat="1" ht="15.95" hidden="1" customHeight="1">
      <c r="C168" s="24"/>
      <c r="D168" s="24"/>
      <c r="E168" s="24"/>
      <c r="F168" s="24"/>
      <c r="G168" s="24"/>
      <c r="H168" s="24"/>
      <c r="I168" s="25"/>
      <c r="J168" s="25"/>
      <c r="K168" s="25"/>
      <c r="L168" s="25"/>
      <c r="M168" s="25"/>
      <c r="N168" s="25"/>
      <c r="O168" s="26"/>
      <c r="P168" s="26"/>
      <c r="Q168" s="26"/>
      <c r="R168" s="26"/>
      <c r="S168" s="26"/>
      <c r="T168" s="27"/>
    </row>
    <row r="169" spans="3:20" s="14" customFormat="1" ht="15.95" hidden="1" customHeight="1">
      <c r="C169" s="24"/>
      <c r="D169" s="24"/>
      <c r="E169" s="24"/>
      <c r="F169" s="24"/>
      <c r="G169" s="24"/>
      <c r="H169" s="24"/>
      <c r="I169" s="25"/>
      <c r="J169" s="25"/>
      <c r="K169" s="25"/>
      <c r="L169" s="25"/>
      <c r="M169" s="25"/>
      <c r="N169" s="25"/>
      <c r="O169" s="26"/>
      <c r="P169" s="26"/>
      <c r="Q169" s="26"/>
      <c r="R169" s="26"/>
      <c r="S169" s="26"/>
      <c r="T169" s="27"/>
    </row>
    <row r="170" spans="3:20" s="14" customFormat="1" ht="15.95" hidden="1" customHeight="1">
      <c r="C170" s="24"/>
      <c r="D170" s="24"/>
      <c r="E170" s="24"/>
      <c r="F170" s="24"/>
      <c r="G170" s="24"/>
      <c r="H170" s="24"/>
      <c r="I170" s="25"/>
      <c r="J170" s="25"/>
      <c r="K170" s="25"/>
      <c r="L170" s="25"/>
      <c r="M170" s="25"/>
      <c r="N170" s="25"/>
      <c r="O170" s="26"/>
      <c r="P170" s="26"/>
      <c r="Q170" s="26"/>
      <c r="R170" s="26"/>
      <c r="S170" s="26"/>
      <c r="T170" s="27"/>
    </row>
    <row r="171" spans="3:20" s="14" customFormat="1" ht="15.95" hidden="1" customHeight="1">
      <c r="C171" s="24"/>
      <c r="D171" s="24"/>
      <c r="E171" s="24"/>
      <c r="F171" s="24"/>
      <c r="G171" s="24"/>
      <c r="H171" s="24"/>
      <c r="I171" s="25"/>
      <c r="J171" s="25"/>
      <c r="K171" s="25"/>
      <c r="L171" s="25"/>
      <c r="M171" s="25"/>
      <c r="N171" s="25"/>
      <c r="O171" s="26"/>
      <c r="P171" s="26"/>
      <c r="Q171" s="26"/>
      <c r="R171" s="26"/>
      <c r="S171" s="26"/>
      <c r="T171" s="27"/>
    </row>
    <row r="172" spans="3:20" s="14" customFormat="1" ht="15.95" hidden="1" customHeight="1">
      <c r="C172" s="24"/>
      <c r="D172" s="24"/>
      <c r="E172" s="24"/>
      <c r="F172" s="24"/>
      <c r="G172" s="24"/>
      <c r="H172" s="24"/>
      <c r="I172" s="25"/>
      <c r="J172" s="25"/>
      <c r="K172" s="25"/>
      <c r="L172" s="25"/>
      <c r="M172" s="25"/>
      <c r="N172" s="25"/>
      <c r="O172" s="26"/>
      <c r="P172" s="26"/>
      <c r="Q172" s="26"/>
      <c r="R172" s="26"/>
      <c r="S172" s="26"/>
      <c r="T172" s="27"/>
    </row>
    <row r="173" spans="3:20" s="14" customFormat="1" ht="15.95" hidden="1" customHeight="1">
      <c r="C173" s="24"/>
      <c r="D173" s="24"/>
      <c r="E173" s="24"/>
      <c r="F173" s="24"/>
      <c r="G173" s="24"/>
      <c r="H173" s="24"/>
      <c r="I173" s="25"/>
      <c r="J173" s="25"/>
      <c r="K173" s="25"/>
      <c r="L173" s="25"/>
      <c r="M173" s="25"/>
      <c r="N173" s="25"/>
      <c r="O173" s="26"/>
      <c r="P173" s="26"/>
      <c r="Q173" s="26"/>
      <c r="R173" s="26"/>
      <c r="S173" s="26"/>
      <c r="T173" s="27"/>
    </row>
    <row r="174" spans="3:20" s="14" customFormat="1" ht="15.95" hidden="1" customHeight="1">
      <c r="C174" s="24"/>
      <c r="D174" s="24"/>
      <c r="E174" s="24"/>
      <c r="F174" s="24"/>
      <c r="G174" s="24"/>
      <c r="H174" s="24"/>
      <c r="I174" s="25"/>
      <c r="J174" s="25"/>
      <c r="K174" s="25"/>
      <c r="L174" s="25"/>
      <c r="M174" s="25"/>
      <c r="N174" s="25"/>
      <c r="O174" s="26"/>
      <c r="P174" s="26"/>
      <c r="Q174" s="26"/>
      <c r="R174" s="26"/>
      <c r="S174" s="26"/>
      <c r="T174" s="27"/>
    </row>
    <row r="175" spans="3:20" s="14" customFormat="1" ht="15.95" hidden="1" customHeight="1">
      <c r="C175" s="24"/>
      <c r="D175" s="24"/>
      <c r="E175" s="24"/>
      <c r="F175" s="24"/>
      <c r="G175" s="24"/>
      <c r="H175" s="24"/>
      <c r="I175" s="25"/>
      <c r="J175" s="25"/>
      <c r="K175" s="25"/>
      <c r="L175" s="25"/>
      <c r="M175" s="25"/>
      <c r="N175" s="25"/>
      <c r="O175" s="26"/>
      <c r="P175" s="26"/>
      <c r="Q175" s="26"/>
      <c r="R175" s="26"/>
      <c r="S175" s="26"/>
      <c r="T175" s="27"/>
    </row>
    <row r="176" spans="3:20" s="14" customFormat="1" ht="15.95" hidden="1" customHeight="1">
      <c r="C176" s="24"/>
      <c r="D176" s="24"/>
      <c r="E176" s="24"/>
      <c r="F176" s="24"/>
      <c r="G176" s="24"/>
      <c r="H176" s="24"/>
      <c r="I176" s="25"/>
      <c r="J176" s="25"/>
      <c r="K176" s="25"/>
      <c r="L176" s="25"/>
      <c r="M176" s="25"/>
      <c r="N176" s="25"/>
      <c r="O176" s="26"/>
      <c r="P176" s="26"/>
      <c r="Q176" s="26"/>
      <c r="R176" s="26"/>
      <c r="S176" s="26"/>
      <c r="T176" s="27"/>
    </row>
    <row r="177" spans="3:20" s="14" customFormat="1" ht="15.95" hidden="1" customHeight="1">
      <c r="C177" s="24"/>
      <c r="D177" s="24"/>
      <c r="E177" s="24"/>
      <c r="F177" s="24"/>
      <c r="G177" s="24"/>
      <c r="H177" s="24"/>
      <c r="I177" s="25"/>
      <c r="J177" s="25"/>
      <c r="K177" s="25"/>
      <c r="L177" s="25"/>
      <c r="M177" s="25"/>
      <c r="N177" s="25"/>
      <c r="O177" s="26"/>
      <c r="P177" s="26"/>
      <c r="Q177" s="26"/>
      <c r="R177" s="26"/>
      <c r="S177" s="26"/>
      <c r="T177" s="27"/>
    </row>
    <row r="178" spans="3:20" s="14" customFormat="1" ht="15.95" hidden="1" customHeight="1">
      <c r="C178" s="24"/>
      <c r="D178" s="24"/>
      <c r="E178" s="24"/>
      <c r="F178" s="24"/>
      <c r="G178" s="24"/>
      <c r="H178" s="24"/>
      <c r="I178" s="25"/>
      <c r="J178" s="25"/>
      <c r="K178" s="25"/>
      <c r="L178" s="25"/>
      <c r="M178" s="25"/>
      <c r="N178" s="25"/>
      <c r="O178" s="26"/>
      <c r="P178" s="26"/>
      <c r="Q178" s="26"/>
      <c r="R178" s="26"/>
      <c r="S178" s="26"/>
      <c r="T178" s="27"/>
    </row>
    <row r="179" spans="3:20" s="14" customFormat="1" ht="15.95" hidden="1" customHeight="1">
      <c r="C179" s="24"/>
      <c r="D179" s="24"/>
      <c r="E179" s="24"/>
      <c r="F179" s="24"/>
      <c r="G179" s="24"/>
      <c r="H179" s="24"/>
      <c r="I179" s="25"/>
      <c r="J179" s="25"/>
      <c r="K179" s="25"/>
      <c r="L179" s="25"/>
      <c r="M179" s="25"/>
      <c r="N179" s="25"/>
      <c r="O179" s="26"/>
      <c r="P179" s="26"/>
      <c r="Q179" s="26"/>
      <c r="R179" s="26"/>
      <c r="S179" s="26"/>
      <c r="T179" s="27"/>
    </row>
    <row r="180" spans="3:20" s="14" customFormat="1" ht="15.95" hidden="1" customHeight="1">
      <c r="C180" s="24"/>
      <c r="D180" s="24"/>
      <c r="E180" s="24"/>
      <c r="F180" s="24"/>
      <c r="G180" s="24"/>
      <c r="H180" s="24"/>
      <c r="I180" s="25"/>
      <c r="J180" s="25"/>
      <c r="K180" s="25"/>
      <c r="L180" s="25"/>
      <c r="M180" s="25"/>
      <c r="N180" s="25"/>
      <c r="O180" s="26"/>
      <c r="P180" s="26"/>
      <c r="Q180" s="26"/>
      <c r="R180" s="26"/>
      <c r="S180" s="26"/>
      <c r="T180" s="27"/>
    </row>
    <row r="181" spans="3:20" s="14" customFormat="1" ht="15.95" hidden="1" customHeight="1">
      <c r="C181" s="24"/>
      <c r="D181" s="24"/>
      <c r="E181" s="24"/>
      <c r="F181" s="24"/>
      <c r="G181" s="24"/>
      <c r="H181" s="24"/>
      <c r="I181" s="25"/>
      <c r="J181" s="25"/>
      <c r="K181" s="25"/>
      <c r="L181" s="25"/>
      <c r="M181" s="25"/>
      <c r="N181" s="25"/>
      <c r="O181" s="26"/>
      <c r="P181" s="26"/>
      <c r="Q181" s="26"/>
      <c r="R181" s="26"/>
      <c r="S181" s="26"/>
      <c r="T181" s="27"/>
    </row>
    <row r="182" spans="3:20" s="14" customFormat="1" ht="15.95" hidden="1" customHeight="1">
      <c r="C182" s="24"/>
      <c r="D182" s="24"/>
      <c r="E182" s="24"/>
      <c r="F182" s="24"/>
      <c r="G182" s="24"/>
      <c r="H182" s="24"/>
      <c r="I182" s="25"/>
      <c r="J182" s="25"/>
      <c r="K182" s="25"/>
      <c r="L182" s="25"/>
      <c r="M182" s="25"/>
      <c r="N182" s="25"/>
      <c r="O182" s="26"/>
      <c r="P182" s="26"/>
      <c r="Q182" s="26"/>
      <c r="R182" s="26"/>
      <c r="S182" s="26"/>
      <c r="T182" s="27"/>
    </row>
    <row r="183" spans="3:20" s="14" customFormat="1" ht="15.95" hidden="1" customHeight="1">
      <c r="C183" s="24"/>
      <c r="D183" s="24"/>
      <c r="E183" s="24"/>
      <c r="F183" s="24"/>
      <c r="G183" s="24"/>
      <c r="H183" s="24"/>
      <c r="I183" s="25"/>
      <c r="J183" s="25"/>
      <c r="K183" s="25"/>
      <c r="L183" s="25"/>
      <c r="M183" s="25"/>
      <c r="N183" s="25"/>
      <c r="O183" s="26"/>
      <c r="P183" s="26"/>
      <c r="Q183" s="26"/>
      <c r="R183" s="26"/>
      <c r="S183" s="26"/>
      <c r="T183" s="27"/>
    </row>
    <row r="184" spans="3:20" s="14" customFormat="1" ht="15.95" hidden="1" customHeight="1">
      <c r="C184" s="24"/>
      <c r="D184" s="24"/>
      <c r="E184" s="24"/>
      <c r="F184" s="24"/>
      <c r="G184" s="24"/>
      <c r="H184" s="24"/>
      <c r="I184" s="25"/>
      <c r="J184" s="25"/>
      <c r="K184" s="25"/>
      <c r="L184" s="25"/>
      <c r="M184" s="25"/>
      <c r="N184" s="25"/>
      <c r="O184" s="26"/>
      <c r="P184" s="26"/>
      <c r="Q184" s="26"/>
      <c r="R184" s="26"/>
      <c r="S184" s="26"/>
      <c r="T184" s="27"/>
    </row>
    <row r="185" spans="3:20" s="14" customFormat="1" ht="15.95" hidden="1" customHeight="1">
      <c r="C185" s="24"/>
      <c r="D185" s="24"/>
      <c r="E185" s="24"/>
      <c r="F185" s="24"/>
      <c r="G185" s="24"/>
      <c r="H185" s="24"/>
      <c r="I185" s="25"/>
      <c r="J185" s="25"/>
      <c r="K185" s="25"/>
      <c r="L185" s="25"/>
      <c r="M185" s="25"/>
      <c r="N185" s="25"/>
      <c r="O185" s="26"/>
      <c r="P185" s="26"/>
      <c r="Q185" s="26"/>
      <c r="R185" s="26"/>
      <c r="S185" s="26"/>
      <c r="T185" s="27"/>
    </row>
    <row r="186" spans="3:20" s="14" customFormat="1" ht="15.95" hidden="1" customHeight="1">
      <c r="C186" s="24"/>
      <c r="D186" s="24"/>
      <c r="E186" s="24"/>
      <c r="F186" s="24"/>
      <c r="G186" s="24"/>
      <c r="H186" s="24"/>
      <c r="I186" s="25"/>
      <c r="J186" s="25"/>
      <c r="K186" s="25"/>
      <c r="L186" s="25"/>
      <c r="M186" s="25"/>
      <c r="N186" s="25"/>
      <c r="O186" s="26"/>
      <c r="P186" s="26"/>
      <c r="Q186" s="26"/>
      <c r="R186" s="26"/>
      <c r="S186" s="26"/>
      <c r="T186" s="27"/>
    </row>
    <row r="187" spans="3:20" s="14" customFormat="1" ht="15.95" hidden="1" customHeight="1">
      <c r="C187" s="24"/>
      <c r="D187" s="24"/>
      <c r="E187" s="24"/>
      <c r="F187" s="24"/>
      <c r="G187" s="24"/>
      <c r="H187" s="24"/>
      <c r="I187" s="25"/>
      <c r="J187" s="25"/>
      <c r="K187" s="25"/>
      <c r="L187" s="25"/>
      <c r="M187" s="25"/>
      <c r="N187" s="25"/>
      <c r="O187" s="26"/>
      <c r="P187" s="26"/>
      <c r="Q187" s="26"/>
      <c r="R187" s="26"/>
      <c r="S187" s="26"/>
      <c r="T187" s="27"/>
    </row>
    <row r="188" spans="3:20" s="14" customFormat="1" ht="15.95" hidden="1" customHeight="1">
      <c r="C188" s="24"/>
      <c r="D188" s="24"/>
      <c r="E188" s="24"/>
      <c r="F188" s="24"/>
      <c r="G188" s="24"/>
      <c r="H188" s="24"/>
      <c r="I188" s="25"/>
      <c r="J188" s="25"/>
      <c r="K188" s="25"/>
      <c r="L188" s="25"/>
      <c r="M188" s="25"/>
      <c r="N188" s="25"/>
      <c r="O188" s="26"/>
      <c r="P188" s="26"/>
      <c r="Q188" s="26"/>
      <c r="R188" s="26"/>
      <c r="S188" s="26"/>
      <c r="T188" s="27"/>
    </row>
    <row r="189" spans="3:20" s="14" customFormat="1" ht="15.95" hidden="1" customHeight="1">
      <c r="C189" s="24"/>
      <c r="D189" s="24"/>
      <c r="E189" s="24"/>
      <c r="F189" s="24"/>
      <c r="G189" s="24"/>
      <c r="H189" s="24"/>
      <c r="I189" s="25"/>
      <c r="J189" s="25"/>
      <c r="K189" s="25"/>
      <c r="L189" s="25"/>
      <c r="M189" s="25"/>
      <c r="N189" s="25"/>
      <c r="O189" s="26"/>
      <c r="P189" s="26"/>
      <c r="Q189" s="26"/>
      <c r="R189" s="26"/>
      <c r="S189" s="26"/>
      <c r="T189" s="27"/>
    </row>
    <row r="190" spans="3:20" s="14" customFormat="1" ht="15.95" hidden="1" customHeight="1">
      <c r="C190" s="24"/>
      <c r="D190" s="24"/>
      <c r="E190" s="24"/>
      <c r="F190" s="24"/>
      <c r="G190" s="24"/>
      <c r="H190" s="24"/>
      <c r="I190" s="25"/>
      <c r="J190" s="25"/>
      <c r="K190" s="25"/>
      <c r="L190" s="25"/>
      <c r="M190" s="25"/>
      <c r="N190" s="25"/>
      <c r="O190" s="26"/>
      <c r="P190" s="26"/>
      <c r="Q190" s="26"/>
      <c r="R190" s="26"/>
      <c r="S190" s="26"/>
      <c r="T190" s="27"/>
    </row>
    <row r="191" spans="3:20" s="14" customFormat="1" ht="15.95" hidden="1" customHeight="1">
      <c r="C191" s="24"/>
      <c r="D191" s="24"/>
      <c r="E191" s="24"/>
      <c r="F191" s="24"/>
      <c r="G191" s="24"/>
      <c r="H191" s="24"/>
      <c r="I191" s="25"/>
      <c r="J191" s="25"/>
      <c r="K191" s="25"/>
      <c r="L191" s="25"/>
      <c r="M191" s="25"/>
      <c r="N191" s="25"/>
      <c r="O191" s="26"/>
      <c r="P191" s="26"/>
      <c r="Q191" s="26"/>
      <c r="R191" s="26"/>
      <c r="S191" s="26"/>
      <c r="T191" s="27"/>
    </row>
    <row r="192" spans="3:20" s="14" customFormat="1" ht="15.95" hidden="1" customHeight="1">
      <c r="C192" s="24"/>
      <c r="D192" s="24"/>
      <c r="E192" s="24"/>
      <c r="F192" s="24"/>
      <c r="G192" s="24"/>
      <c r="H192" s="24"/>
      <c r="I192" s="25"/>
      <c r="J192" s="25"/>
      <c r="K192" s="25"/>
      <c r="L192" s="25"/>
      <c r="M192" s="25"/>
      <c r="N192" s="25"/>
      <c r="O192" s="26"/>
      <c r="P192" s="26"/>
      <c r="Q192" s="26"/>
      <c r="R192" s="26"/>
      <c r="S192" s="26"/>
      <c r="T192" s="27"/>
    </row>
    <row r="193" spans="1:45" s="14" customFormat="1" ht="15.95" hidden="1" customHeight="1">
      <c r="C193" s="24"/>
      <c r="D193" s="24"/>
      <c r="E193" s="24"/>
      <c r="F193" s="24"/>
      <c r="G193" s="24"/>
      <c r="H193" s="24"/>
      <c r="I193" s="25"/>
      <c r="J193" s="25"/>
      <c r="K193" s="25"/>
      <c r="L193" s="25"/>
      <c r="M193" s="25"/>
      <c r="N193" s="25"/>
      <c r="O193" s="26"/>
      <c r="P193" s="26"/>
      <c r="Q193" s="26"/>
      <c r="R193" s="26"/>
      <c r="S193" s="26"/>
      <c r="T193" s="27"/>
    </row>
    <row r="194" spans="1:45" s="14" customFormat="1" ht="15.95" hidden="1" customHeight="1">
      <c r="C194" s="24"/>
      <c r="D194" s="24"/>
      <c r="E194" s="24"/>
      <c r="F194" s="24"/>
      <c r="G194" s="24"/>
      <c r="H194" s="24"/>
      <c r="I194" s="25"/>
      <c r="J194" s="25"/>
      <c r="K194" s="25"/>
      <c r="L194" s="25"/>
      <c r="M194" s="25"/>
      <c r="N194" s="25"/>
      <c r="O194" s="26"/>
      <c r="P194" s="26"/>
      <c r="Q194" s="26"/>
      <c r="R194" s="26"/>
      <c r="S194" s="26"/>
      <c r="T194" s="27"/>
    </row>
    <row r="195" spans="1:45" s="14" customFormat="1" ht="15.95" hidden="1" customHeight="1">
      <c r="C195" s="30"/>
      <c r="D195" s="30"/>
      <c r="E195" s="30"/>
      <c r="F195" s="30"/>
      <c r="G195" s="30"/>
      <c r="H195" s="30"/>
      <c r="I195" s="32"/>
      <c r="J195" s="32"/>
      <c r="K195" s="32"/>
      <c r="L195" s="32"/>
      <c r="M195" s="32"/>
      <c r="N195" s="32"/>
      <c r="O195" s="33"/>
      <c r="P195" s="33"/>
      <c r="Q195" s="33"/>
      <c r="R195" s="33"/>
      <c r="S195" s="33"/>
      <c r="T195" s="34"/>
    </row>
    <row r="196" spans="1:45" s="14" customFormat="1" ht="15.95" hidden="1" customHeight="1">
      <c r="C196" s="24"/>
      <c r="D196" s="24"/>
      <c r="E196" s="24"/>
      <c r="F196" s="24"/>
      <c r="G196" s="24"/>
      <c r="H196" s="24"/>
      <c r="I196" s="25"/>
      <c r="J196" s="25"/>
      <c r="K196" s="25"/>
      <c r="L196" s="25"/>
      <c r="M196" s="25"/>
      <c r="N196" s="25"/>
      <c r="O196" s="26"/>
      <c r="P196" s="26"/>
      <c r="Q196" s="26"/>
      <c r="R196" s="26"/>
      <c r="S196" s="26"/>
      <c r="T196" s="27"/>
    </row>
    <row r="197" spans="1:45" s="14" customFormat="1" ht="15.95" hidden="1" customHeight="1">
      <c r="C197" s="24"/>
      <c r="D197" s="24"/>
      <c r="E197" s="24"/>
      <c r="F197" s="24"/>
      <c r="G197" s="24"/>
      <c r="H197" s="24"/>
      <c r="I197" s="25"/>
      <c r="J197" s="25"/>
      <c r="K197" s="25"/>
      <c r="L197" s="25"/>
      <c r="M197" s="25"/>
      <c r="N197" s="25"/>
      <c r="O197" s="26"/>
      <c r="P197" s="26"/>
      <c r="Q197" s="26"/>
      <c r="R197" s="26"/>
      <c r="S197" s="26"/>
      <c r="T197" s="27"/>
    </row>
    <row r="198" spans="1:45" s="14" customFormat="1" ht="15.95" hidden="1" customHeight="1">
      <c r="C198" s="24"/>
      <c r="D198" s="24"/>
      <c r="E198" s="24"/>
      <c r="F198" s="24"/>
      <c r="G198" s="24"/>
      <c r="H198" s="24"/>
      <c r="I198" s="25"/>
      <c r="J198" s="25"/>
      <c r="K198" s="25"/>
      <c r="L198" s="25"/>
      <c r="M198" s="25"/>
      <c r="N198" s="25"/>
      <c r="O198" s="26"/>
      <c r="P198" s="26"/>
      <c r="Q198" s="26"/>
      <c r="R198" s="26"/>
      <c r="S198" s="26"/>
      <c r="T198" s="27"/>
    </row>
    <row r="199" spans="1:45" s="14" customFormat="1" ht="15.95" hidden="1" customHeight="1">
      <c r="C199" s="18"/>
      <c r="D199" s="18"/>
      <c r="E199" s="18"/>
      <c r="F199" s="18"/>
      <c r="G199" s="18"/>
      <c r="H199" s="18"/>
      <c r="I199" s="19"/>
      <c r="J199" s="19"/>
      <c r="K199" s="19"/>
      <c r="L199" s="19"/>
      <c r="M199" s="19"/>
      <c r="N199" s="19"/>
      <c r="O199" s="20"/>
      <c r="P199" s="20"/>
      <c r="Q199" s="20"/>
      <c r="R199" s="20"/>
      <c r="S199" s="20"/>
      <c r="T199" s="21"/>
    </row>
    <row r="200" spans="1:45" s="138" customFormat="1"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61" t="str">
        <f>FOOT4</f>
        <v/>
      </c>
      <c r="AS200" s="443"/>
    </row>
    <row r="201" spans="1:45" s="138" customFormat="1"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62" t="str">
        <f>FOOT5</f>
        <v/>
      </c>
      <c r="AS201" s="443"/>
    </row>
    <row r="202" spans="1:45" s="138" customFormat="1" ht="15.95" customHeight="1">
      <c r="A202" s="443"/>
      <c r="B202" s="444" t="str">
        <f>FOOT3</f>
        <v>businessrebates@evergy.com</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63" t="str">
        <f>FOOT6</f>
        <v>This is a TRC tool</v>
      </c>
      <c r="AS202" s="443"/>
    </row>
    <row r="203" spans="1:45" ht="15.95" hidden="1" customHeight="1"/>
    <row r="204" spans="1:45" ht="15.95" hidden="1" customHeight="1"/>
    <row r="205" spans="1:45" ht="15.95" hidden="1" customHeight="1"/>
    <row r="206" spans="1:45" ht="15.95" hidden="1" customHeight="1"/>
    <row r="207" spans="1:45" ht="15.95" hidden="1" customHeight="1"/>
    <row r="208" spans="1:45"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sheetData>
  <sheetProtection algorithmName="SHA-512" hashValue="JLOnRleTpcX8ihwzVhpNcnt3I3oCUFdy759K2ag9kaHe+hf4clx9HGCmm2g7cu/YpJc/412BQ+NaPaSAV5hJyg==" saltValue="7fMCqwA9rYkFktDsAyG3iw==" spinCount="100000" sheet="1" objects="1" scenarios="1" selectLockedCells="1"/>
  <mergeCells count="13">
    <mergeCell ref="AP1:AS3"/>
    <mergeCell ref="F1:I3"/>
    <mergeCell ref="J1:M3"/>
    <mergeCell ref="AH1:AK3"/>
    <mergeCell ref="AL1:AO3"/>
    <mergeCell ref="O1:AE3"/>
    <mergeCell ref="AP7:AR8"/>
    <mergeCell ref="M200:AG201"/>
    <mergeCell ref="I62:O62"/>
    <mergeCell ref="C62:H62"/>
    <mergeCell ref="P62:T62"/>
    <mergeCell ref="AK62:AQ62"/>
    <mergeCell ref="AC62:AJ62"/>
  </mergeCells>
  <hyperlinks>
    <hyperlink ref="J1:M3" location="'M01-S02'!J1" tooltip="Instructions" display="'M01-S02'!J1" xr:uid="{063AB5C6-B11C-416C-8291-B6FE19A4186D}"/>
    <hyperlink ref="B202" r:id="rId1" display="businessrebates@evergy.com" xr:uid="{00000000-0004-0000-0500-000000000000}"/>
    <hyperlink ref="AL1:AO3" location="'M05-S05'!AL1" tooltip=" " display="'M05-S05'!AL1" xr:uid="{AC32E88A-018A-46AF-A0DA-27187FDB0FE3}"/>
    <hyperlink ref="AH1:AK3" location="'M05-S04'!AH1" tooltip=" " display="'M05-S04'!AH1" xr:uid="{84CA3A4A-D593-4AF5-88F4-04FC02EF44C5}"/>
    <hyperlink ref="AP1:AS3" location="'M01-S03'!AP1" tooltip="Contact" display="'M01-S03'!AP1" xr:uid="{E0ED5F12-852B-4DC7-869E-467861CE3531}"/>
  </hyperlinks>
  <printOptions horizontalCentered="1"/>
  <pageMargins left="0.25" right="0.25" top="0.25" bottom="0.25" header="0.25" footer="0.25"/>
  <pageSetup scale="62"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pageSetUpPr fitToPage="1"/>
  </sheetPr>
  <dimension ref="A1:AS213"/>
  <sheetViews>
    <sheetView showGridLines="0" showRowColHeaders="0" zoomScale="85" zoomScaleNormal="85" workbookViewId="0"/>
  </sheetViews>
  <sheetFormatPr defaultColWidth="0" defaultRowHeight="15.95" customHeight="1" zeroHeight="1"/>
  <cols>
    <col min="1" max="45" width="4.7109375" customWidth="1"/>
    <col min="46" max="16384" width="4.7109375" hidden="1"/>
  </cols>
  <sheetData>
    <row r="1" spans="1:45" ht="15.95" customHeight="1">
      <c r="A1" s="423"/>
      <c r="B1" s="139"/>
      <c r="C1" s="139"/>
      <c r="D1" s="139"/>
      <c r="E1" s="139"/>
      <c r="F1" s="713" t="str">
        <f>M1S1</f>
        <v>Welcome</v>
      </c>
      <c r="G1" s="714"/>
      <c r="H1" s="714"/>
      <c r="I1" s="714"/>
      <c r="J1" s="710" t="str">
        <f>M1S2</f>
        <v>Instructions</v>
      </c>
      <c r="K1" s="710"/>
      <c r="L1" s="710"/>
      <c r="M1" s="710"/>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714"/>
      <c r="G2" s="714"/>
      <c r="H2" s="714"/>
      <c r="I2" s="714"/>
      <c r="J2" s="711"/>
      <c r="K2" s="711"/>
      <c r="L2" s="711"/>
      <c r="M2" s="711"/>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715"/>
      <c r="G3" s="715"/>
      <c r="H3" s="715"/>
      <c r="I3" s="715"/>
      <c r="J3" s="712"/>
      <c r="K3" s="712"/>
      <c r="L3" s="712"/>
      <c r="M3" s="712"/>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row>
    <row r="5" spans="1:45" ht="15.95" customHeight="1">
      <c r="A5" s="152"/>
      <c r="B5" s="152"/>
      <c r="C5" s="152"/>
      <c r="D5" s="149"/>
      <c r="E5" s="149"/>
      <c r="F5" s="149"/>
      <c r="G5" s="149"/>
      <c r="H5" s="149"/>
      <c r="I5" s="149"/>
      <c r="J5" s="149"/>
      <c r="K5" s="149"/>
      <c r="L5" s="149"/>
      <c r="M5" s="149"/>
      <c r="N5" s="149"/>
      <c r="O5" s="149"/>
      <c r="P5" s="149"/>
      <c r="Q5" s="149"/>
      <c r="R5" s="149"/>
      <c r="S5" s="149"/>
      <c r="T5" s="149"/>
      <c r="U5" s="149"/>
      <c r="V5" s="149"/>
      <c r="W5" s="149"/>
      <c r="X5" s="149"/>
      <c r="Y5" s="149"/>
      <c r="Z5" s="149"/>
      <c r="AA5" s="149"/>
      <c r="AB5" s="149"/>
      <c r="AC5" s="149"/>
      <c r="AD5" s="149"/>
      <c r="AE5" s="149"/>
      <c r="AF5" s="149"/>
      <c r="AG5" s="149"/>
      <c r="AH5" s="149"/>
      <c r="AI5" s="149"/>
      <c r="AJ5" s="149"/>
      <c r="AK5" s="149"/>
      <c r="AL5" s="149"/>
      <c r="AM5" s="149"/>
      <c r="AN5" s="152"/>
      <c r="AO5" s="152"/>
      <c r="AP5" s="152"/>
      <c r="AQ5" s="152"/>
      <c r="AR5" s="152"/>
      <c r="AS5" s="152"/>
    </row>
    <row r="6" spans="1:45" ht="15.95" customHeight="1">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row>
    <row r="7" spans="1:45" ht="15.95" customHeight="1">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row>
    <row r="8" spans="1:45" ht="15.95" customHeight="1">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row>
    <row r="9" spans="1:45" ht="15.95" customHeight="1">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O9" s="235"/>
      <c r="AP9" s="235"/>
      <c r="AQ9" s="235"/>
      <c r="AR9" s="235"/>
      <c r="AS9" s="235"/>
    </row>
    <row r="10" spans="1:45" ht="15.95" customHeight="1">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O10" s="235"/>
      <c r="AP10" s="235"/>
      <c r="AQ10" s="235"/>
      <c r="AR10" s="235"/>
      <c r="AS10" s="235"/>
    </row>
    <row r="11" spans="1:45" ht="15.95" customHeight="1">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O11" s="235"/>
      <c r="AP11" s="235"/>
      <c r="AQ11" s="235"/>
      <c r="AR11" s="235"/>
      <c r="AS11" s="235"/>
    </row>
    <row r="12" spans="1:45" ht="15.95" customHeight="1">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O12" s="235"/>
      <c r="AP12" s="235"/>
      <c r="AQ12" s="235"/>
      <c r="AR12" s="235"/>
      <c r="AS12" s="235"/>
    </row>
    <row r="13" spans="1:45" ht="15.95" customHeight="1">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O13" s="235"/>
      <c r="AP13" s="235"/>
      <c r="AQ13" s="235"/>
      <c r="AR13" s="235"/>
      <c r="AS13" s="235"/>
    </row>
    <row r="14" spans="1:45" ht="15.95" customHeight="1">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O14" s="235"/>
      <c r="AP14" s="235"/>
      <c r="AQ14" s="235"/>
      <c r="AR14" s="235"/>
      <c r="AS14" s="235"/>
    </row>
    <row r="15" spans="1:45" ht="15.95" customHeight="1">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O15" s="235"/>
      <c r="AP15" s="235"/>
      <c r="AQ15" s="235"/>
      <c r="AR15" s="235"/>
      <c r="AS15" s="235"/>
    </row>
    <row r="16" spans="1:45" ht="15.95" customHeight="1">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O16" s="235"/>
      <c r="AP16" s="235"/>
      <c r="AQ16" s="235"/>
      <c r="AR16" s="235"/>
      <c r="AS16" s="235"/>
    </row>
    <row r="17" spans="4:45" ht="15.95" customHeight="1">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O17" s="235"/>
      <c r="AP17" s="235"/>
      <c r="AQ17" s="235"/>
      <c r="AR17" s="235"/>
      <c r="AS17" s="235"/>
    </row>
    <row r="18" spans="4:45" ht="15.95" customHeight="1">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O18" s="235"/>
      <c r="AP18" s="235"/>
      <c r="AQ18" s="235"/>
      <c r="AR18" s="235"/>
      <c r="AS18" s="235"/>
    </row>
    <row r="19" spans="4:45" ht="15.95" customHeight="1">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O19" s="235"/>
      <c r="AP19" s="235"/>
      <c r="AQ19" s="235"/>
      <c r="AR19" s="235"/>
      <c r="AS19" s="235"/>
    </row>
    <row r="20" spans="4:45" ht="15.95" customHeight="1">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O20" s="235"/>
      <c r="AP20" s="235"/>
      <c r="AQ20" s="235"/>
      <c r="AR20" s="235"/>
      <c r="AS20" s="235"/>
    </row>
    <row r="21" spans="4:45" ht="15.95" customHeight="1">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O21" s="235"/>
      <c r="AP21" s="235"/>
      <c r="AQ21" s="235"/>
      <c r="AR21" s="235"/>
      <c r="AS21" s="235"/>
    </row>
    <row r="22" spans="4:45" ht="15.95" customHeight="1">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O22" s="235"/>
      <c r="AP22" s="235"/>
      <c r="AQ22" s="235"/>
      <c r="AR22" s="235"/>
      <c r="AS22" s="235"/>
    </row>
    <row r="23" spans="4:45" ht="15.95" customHeight="1">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O23" s="235"/>
      <c r="AP23" s="235"/>
      <c r="AQ23" s="235"/>
      <c r="AR23" s="235"/>
      <c r="AS23" s="235"/>
    </row>
    <row r="24" spans="4:45" ht="15.95" customHeight="1">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O24" s="235"/>
      <c r="AP24" s="235"/>
      <c r="AQ24" s="235"/>
      <c r="AR24" s="235"/>
      <c r="AS24" s="235"/>
    </row>
    <row r="25" spans="4:45" ht="15.95" customHeight="1">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O25" s="235"/>
      <c r="AP25" s="235"/>
      <c r="AQ25" s="235"/>
      <c r="AR25" s="235"/>
      <c r="AS25" s="235"/>
    </row>
    <row r="26" spans="4:45" ht="15.95" customHeight="1">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O26" s="235"/>
      <c r="AP26" s="235"/>
      <c r="AQ26" s="235"/>
      <c r="AR26" s="235"/>
      <c r="AS26" s="235"/>
    </row>
    <row r="27" spans="4:45" ht="15.95" customHeight="1">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O27" s="235"/>
      <c r="AP27" s="235"/>
      <c r="AQ27" s="235"/>
      <c r="AR27" s="235"/>
      <c r="AS27" s="235"/>
    </row>
    <row r="28" spans="4:45" ht="15.95" customHeight="1">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O28" s="235"/>
      <c r="AP28" s="235"/>
      <c r="AQ28" s="235"/>
      <c r="AR28" s="235"/>
      <c r="AS28" s="235"/>
    </row>
    <row r="29" spans="4:45" ht="15.95" customHeight="1">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O29" s="235"/>
      <c r="AP29" s="235"/>
      <c r="AQ29" s="235"/>
      <c r="AR29" s="235"/>
      <c r="AS29" s="235"/>
    </row>
    <row r="30" spans="4:45" ht="15.95" customHeight="1">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O30" s="235"/>
      <c r="AP30" s="235"/>
      <c r="AQ30" s="235"/>
      <c r="AR30" s="235"/>
      <c r="AS30" s="235"/>
    </row>
    <row r="31" spans="4:45" ht="15.95" customHeight="1">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O31" s="235"/>
      <c r="AP31" s="235"/>
      <c r="AQ31" s="235"/>
      <c r="AR31" s="235"/>
      <c r="AS31" s="235"/>
    </row>
    <row r="32" spans="4:45" ht="15.95" customHeight="1">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O32" s="235"/>
      <c r="AP32" s="235"/>
      <c r="AQ32" s="235"/>
      <c r="AR32" s="235"/>
      <c r="AS32" s="235"/>
    </row>
    <row r="33" spans="4:45" ht="15.95" customHeight="1">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O33" s="235"/>
      <c r="AP33" s="235"/>
      <c r="AQ33" s="235"/>
      <c r="AR33" s="235"/>
      <c r="AS33" s="235"/>
    </row>
    <row r="34" spans="4:45" ht="15.95" customHeight="1">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O34" s="235"/>
      <c r="AP34" s="235"/>
      <c r="AQ34" s="235"/>
      <c r="AR34" s="235"/>
      <c r="AS34" s="235"/>
    </row>
    <row r="35" spans="4:45" ht="15.95" customHeight="1">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O35" s="235"/>
      <c r="AP35" s="235"/>
      <c r="AQ35" s="235"/>
      <c r="AR35" s="235"/>
      <c r="AS35" s="235"/>
    </row>
    <row r="36" spans="4:45" ht="15.95" customHeight="1">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O36" s="235"/>
      <c r="AP36" s="235"/>
      <c r="AQ36" s="235"/>
      <c r="AR36" s="235"/>
      <c r="AS36" s="235"/>
    </row>
    <row r="37" spans="4:45" ht="15.95" customHeight="1">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O37" s="235"/>
      <c r="AP37" s="235"/>
      <c r="AQ37" s="235"/>
      <c r="AR37" s="235"/>
      <c r="AS37" s="235"/>
    </row>
    <row r="38" spans="4:45" ht="15.95" customHeight="1">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O38" s="235"/>
      <c r="AP38" s="235"/>
      <c r="AQ38" s="235"/>
      <c r="AR38" s="235"/>
      <c r="AS38" s="235"/>
    </row>
    <row r="39" spans="4:45" ht="15.95" customHeight="1">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O39" s="235"/>
      <c r="AP39" s="235"/>
      <c r="AQ39" s="235"/>
      <c r="AR39" s="235"/>
      <c r="AS39" s="235"/>
    </row>
    <row r="40" spans="4:45" ht="15.95" customHeight="1">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O40" s="235"/>
      <c r="AP40" s="235"/>
      <c r="AQ40" s="235"/>
      <c r="AR40" s="235"/>
      <c r="AS40" s="235"/>
    </row>
    <row r="41" spans="4:45" ht="15.95" customHeight="1">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O41" s="235"/>
      <c r="AP41" s="235"/>
      <c r="AQ41" s="235"/>
      <c r="AR41" s="235"/>
      <c r="AS41" s="235"/>
    </row>
    <row r="42" spans="4:45" ht="15.95" customHeight="1">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O42" s="235"/>
      <c r="AP42" s="235"/>
      <c r="AQ42" s="235"/>
      <c r="AR42" s="235"/>
      <c r="AS42" s="235"/>
    </row>
    <row r="43" spans="4:45" ht="15.95" customHeight="1">
      <c r="AO43" s="235"/>
      <c r="AP43" s="235"/>
      <c r="AQ43" s="235"/>
      <c r="AR43" s="235"/>
      <c r="AS43" s="235"/>
    </row>
    <row r="44" spans="4:45" ht="15.95" hidden="1" customHeight="1">
      <c r="AO44" s="235"/>
      <c r="AP44" s="235"/>
      <c r="AQ44" s="235"/>
      <c r="AR44" s="235"/>
      <c r="AS44" s="235"/>
    </row>
    <row r="45" spans="4:45" ht="15.95" hidden="1" customHeight="1">
      <c r="AO45" s="235"/>
      <c r="AP45" s="235"/>
      <c r="AQ45" s="235"/>
      <c r="AR45" s="235"/>
      <c r="AS45" s="235"/>
    </row>
    <row r="46" spans="4:45" ht="15.95" hidden="1" customHeight="1">
      <c r="AO46" s="235"/>
      <c r="AP46" s="235"/>
      <c r="AQ46" s="235"/>
      <c r="AR46" s="235"/>
      <c r="AS46" s="235"/>
    </row>
    <row r="47" spans="4:45" ht="15.95" hidden="1" customHeight="1">
      <c r="AO47" s="235"/>
      <c r="AP47" s="235"/>
      <c r="AQ47" s="235"/>
      <c r="AR47" s="235"/>
      <c r="AS47" s="235"/>
    </row>
    <row r="48" spans="4:45" ht="15.95" hidden="1" customHeight="1">
      <c r="AO48" s="235"/>
      <c r="AP48" s="235"/>
      <c r="AQ48" s="235"/>
      <c r="AR48" s="235"/>
      <c r="AS48" s="235"/>
    </row>
    <row r="49" spans="41:45" ht="15.95" hidden="1" customHeight="1">
      <c r="AO49" s="235"/>
      <c r="AP49" s="235"/>
      <c r="AQ49" s="235"/>
      <c r="AR49" s="235"/>
      <c r="AS49" s="235"/>
    </row>
    <row r="50" spans="41:45" ht="15.95" hidden="1" customHeight="1">
      <c r="AO50" s="235"/>
      <c r="AP50" s="235"/>
      <c r="AQ50" s="235"/>
      <c r="AR50" s="235"/>
      <c r="AS50" s="235"/>
    </row>
    <row r="51" spans="41:45" ht="15.95" hidden="1" customHeight="1">
      <c r="AO51" s="235"/>
      <c r="AP51" s="235"/>
      <c r="AQ51" s="235"/>
      <c r="AR51" s="235"/>
      <c r="AS51" s="235"/>
    </row>
    <row r="52" spans="41:45" ht="15.95" hidden="1" customHeight="1">
      <c r="AO52" s="235"/>
      <c r="AP52" s="235"/>
      <c r="AQ52" s="235"/>
      <c r="AR52" s="235"/>
      <c r="AS52" s="235"/>
    </row>
    <row r="53" spans="41:45" ht="15.95" hidden="1" customHeight="1">
      <c r="AO53" s="235"/>
      <c r="AP53" s="235"/>
      <c r="AQ53" s="235"/>
      <c r="AR53" s="235"/>
      <c r="AS53" s="235"/>
    </row>
    <row r="54" spans="41:45" ht="15.95" hidden="1" customHeight="1">
      <c r="AO54" s="235"/>
      <c r="AP54" s="235"/>
      <c r="AQ54" s="235"/>
      <c r="AR54" s="235"/>
      <c r="AS54" s="235"/>
    </row>
    <row r="55" spans="41:45" ht="15.95" hidden="1" customHeight="1">
      <c r="AO55" s="235"/>
      <c r="AP55" s="235"/>
      <c r="AQ55" s="235"/>
      <c r="AR55" s="235"/>
      <c r="AS55" s="235"/>
    </row>
    <row r="56" spans="41:45" ht="15.95" hidden="1" customHeight="1">
      <c r="AO56" s="235"/>
      <c r="AP56" s="235"/>
      <c r="AQ56" s="235"/>
      <c r="AR56" s="235"/>
      <c r="AS56" s="235"/>
    </row>
    <row r="57" spans="41:45" ht="15.95" hidden="1" customHeight="1">
      <c r="AO57" s="235"/>
      <c r="AP57" s="235"/>
      <c r="AQ57" s="235"/>
      <c r="AR57" s="235"/>
      <c r="AS57" s="235"/>
    </row>
    <row r="58" spans="41:45" ht="15.95" hidden="1" customHeight="1">
      <c r="AO58" s="235"/>
      <c r="AP58" s="235"/>
      <c r="AQ58" s="235"/>
      <c r="AR58" s="235"/>
      <c r="AS58" s="235"/>
    </row>
    <row r="59" spans="41:45" ht="15.95" hidden="1" customHeight="1">
      <c r="AO59" s="235"/>
      <c r="AP59" s="235"/>
      <c r="AQ59" s="235"/>
      <c r="AR59" s="235"/>
      <c r="AS59" s="235"/>
    </row>
    <row r="60" spans="41:45" ht="15.95" hidden="1" customHeight="1">
      <c r="AO60" s="235"/>
      <c r="AP60" s="235"/>
      <c r="AQ60" s="235"/>
      <c r="AR60" s="235"/>
      <c r="AS60" s="235"/>
    </row>
    <row r="61" spans="41:45" ht="15.95" hidden="1" customHeight="1">
      <c r="AO61" s="235"/>
      <c r="AP61" s="235"/>
      <c r="AQ61" s="235"/>
      <c r="AR61" s="235"/>
      <c r="AS61" s="235"/>
    </row>
    <row r="62" spans="41:45" ht="15.95" hidden="1" customHeight="1"/>
    <row r="63" spans="41:45" ht="15.95" hidden="1" customHeight="1"/>
    <row r="64" spans="41: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s="180" customFormat="1" ht="15.95" hidden="1" customHeight="1"/>
    <row r="191" s="180" customFormat="1" ht="15.95" hidden="1" customHeight="1"/>
    <row r="192" s="180" customFormat="1" ht="15.95" hidden="1" customHeight="1"/>
    <row r="193" spans="1:45" s="180" customFormat="1" ht="15.95" hidden="1" customHeight="1"/>
    <row r="194" spans="1:45" s="180" customFormat="1"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t="15.95" hidden="1" customHeight="1"/>
    <row r="205" spans="1:45" ht="15.95" hidden="1" customHeight="1"/>
    <row r="206" spans="1:45" ht="15.95" hidden="1" customHeight="1"/>
    <row r="207" spans="1:45" ht="15.95" hidden="1" customHeight="1"/>
    <row r="208" spans="1:45" ht="15.95" hidden="1" customHeight="1"/>
    <row r="209" ht="15.95" hidden="1" customHeight="1"/>
    <row r="210" ht="15.95" hidden="1" customHeight="1"/>
    <row r="211" ht="15.95" hidden="1" customHeight="1"/>
    <row r="212" ht="15.95" hidden="1" customHeight="1"/>
    <row r="213" ht="15.95" hidden="1" customHeight="1"/>
  </sheetData>
  <sheetProtection algorithmName="SHA-512" hashValue="atJsxc+2mo99M0oXKLf+Fy9gjAC7iLpJJfqW/WnjcZfdwcgNt8dBhJjQYX+Fqr8JhwdYWI+2K+7w1wDN4RHDQQ==" saltValue="OggAYuW3K3QKT2NRrhJ3Tg==" spinCount="100000" sheet="1" objects="1" scenarios="1" selectLockedCells="1"/>
  <mergeCells count="7">
    <mergeCell ref="M200:AG201"/>
    <mergeCell ref="AP1:AS3"/>
    <mergeCell ref="F1:I3"/>
    <mergeCell ref="J1:M3"/>
    <mergeCell ref="AH1:AK3"/>
    <mergeCell ref="AL1:AO3"/>
    <mergeCell ref="O1:AE3"/>
  </mergeCells>
  <hyperlinks>
    <hyperlink ref="AL1:AO3" location="'M05-S05'!AL1" tooltip=" " display="'M05-S05'!AL1" xr:uid="{0531E834-986B-47C6-BD61-A0059D602C67}"/>
    <hyperlink ref="AH1:AK3" location="'M05-S04'!AH1" tooltip=" " display="'M05-S04'!AH1" xr:uid="{7F9A9601-772B-4253-9E55-6ABC527A17ED}"/>
    <hyperlink ref="AP1:AS3" location="'M01-S03'!AP1" tooltip="Contact" display="'M01-S03'!AP1" xr:uid="{F4E2482F-BE1B-4592-98B3-E06B322BA5DF}"/>
    <hyperlink ref="B202" r:id="rId1" xr:uid="{9C3E89C2-9AAD-4FCB-9715-331336C640AD}"/>
    <hyperlink ref="J1:M3" location="'M01-S02'!J1" tooltip="Instructions" display="'M01-S02'!J1" xr:uid="{F4B24767-60F9-4282-A713-0BB6C6D3FC50}"/>
  </hyperlinks>
  <printOptions horizontalCentered="1"/>
  <pageMargins left="0.25" right="0.25" top="0.25" bottom="0.25" header="0.25" footer="0.25"/>
  <pageSetup scale="62"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pageSetUpPr fitToPage="1"/>
  </sheetPr>
  <dimension ref="A1:AS213"/>
  <sheetViews>
    <sheetView showGridLines="0" showRowColHeaders="0" zoomScale="85" zoomScaleNormal="85" workbookViewId="0"/>
  </sheetViews>
  <sheetFormatPr defaultColWidth="0" defaultRowHeight="15.95" customHeight="1" zeroHeight="1"/>
  <cols>
    <col min="1" max="45" width="4.7109375" customWidth="1"/>
    <col min="46" max="16384" width="4.7109375" hidden="1"/>
  </cols>
  <sheetData>
    <row r="1" spans="1:45" ht="1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10" t="s">
        <v>2065</v>
      </c>
      <c r="AQ1" s="710"/>
      <c r="AR1" s="710"/>
      <c r="AS1" s="710"/>
    </row>
    <row r="2" spans="1:45"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11"/>
      <c r="AQ2" s="711"/>
      <c r="AR2" s="711"/>
      <c r="AS2" s="711"/>
    </row>
    <row r="3" spans="1:45"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12"/>
      <c r="AQ3" s="712"/>
      <c r="AR3" s="712"/>
      <c r="AS3" s="712"/>
    </row>
    <row r="4" spans="1:45" s="148" customFormat="1" ht="15.95" customHeight="1">
      <c r="A4" s="720" t="str">
        <f>M1S3</f>
        <v>Contact</v>
      </c>
      <c r="B4" s="720"/>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48" customFormat="1" ht="15.95" customHeight="1">
      <c r="A5" s="721"/>
      <c r="B5" s="721"/>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ht="15.95" customHeight="1">
      <c r="A6" s="143"/>
      <c r="B6" s="143"/>
      <c r="C6" s="143"/>
      <c r="D6" s="143"/>
      <c r="E6" s="143"/>
      <c r="F6" s="143"/>
      <c r="G6" s="143"/>
      <c r="H6" s="143"/>
      <c r="I6" s="143"/>
      <c r="J6" s="143"/>
      <c r="K6" s="143"/>
      <c r="L6" s="143"/>
      <c r="M6" s="723" t="s">
        <v>1685</v>
      </c>
      <c r="N6" s="723"/>
      <c r="O6" s="723"/>
      <c r="P6" s="723"/>
      <c r="Q6" s="723"/>
      <c r="R6" s="723"/>
      <c r="S6" s="723"/>
      <c r="T6" s="723"/>
      <c r="U6" s="723"/>
      <c r="V6" s="723"/>
      <c r="W6" s="723"/>
      <c r="X6" s="723"/>
      <c r="Y6" s="723"/>
      <c r="Z6" s="143"/>
      <c r="AA6" s="143"/>
      <c r="AB6" s="143"/>
      <c r="AC6" s="143"/>
      <c r="AD6" s="143"/>
      <c r="AE6" s="143"/>
      <c r="AF6" s="143"/>
      <c r="AG6" s="143"/>
      <c r="AH6" s="143"/>
      <c r="AI6" s="143"/>
      <c r="AJ6" s="143"/>
      <c r="AK6" s="143"/>
      <c r="AL6" s="143"/>
      <c r="AM6" s="143"/>
      <c r="AN6" s="143"/>
      <c r="AO6" s="143"/>
      <c r="AP6" s="143"/>
      <c r="AQ6" s="143"/>
      <c r="AR6" s="143"/>
      <c r="AS6" s="143"/>
    </row>
    <row r="7" spans="1:45" ht="15.95" customHeight="1">
      <c r="M7" s="723"/>
      <c r="N7" s="723"/>
      <c r="O7" s="723"/>
      <c r="P7" s="723"/>
      <c r="Q7" s="723"/>
      <c r="R7" s="723"/>
      <c r="S7" s="723"/>
      <c r="T7" s="723"/>
      <c r="U7" s="723"/>
      <c r="V7" s="723"/>
      <c r="W7" s="723"/>
      <c r="X7" s="723"/>
      <c r="Y7" s="723"/>
      <c r="Z7" s="108" t="s">
        <v>1686</v>
      </c>
      <c r="AA7" s="292"/>
      <c r="AC7" s="203" t="s">
        <v>2094</v>
      </c>
    </row>
    <row r="8" spans="1:45" ht="15.95" customHeight="1">
      <c r="M8" s="722" t="s">
        <v>1188</v>
      </c>
      <c r="N8" s="722"/>
      <c r="O8" s="722"/>
      <c r="P8" s="722"/>
      <c r="Q8" s="722"/>
      <c r="R8" s="722"/>
      <c r="S8" s="722"/>
      <c r="T8" s="722"/>
      <c r="U8" s="722"/>
      <c r="V8" s="722"/>
      <c r="W8" s="722"/>
      <c r="X8" s="722"/>
      <c r="Y8" s="722"/>
      <c r="Z8" s="108" t="s">
        <v>1181</v>
      </c>
      <c r="AA8" s="292"/>
      <c r="AC8" s="203" t="s">
        <v>1910</v>
      </c>
    </row>
    <row r="9" spans="1:45" ht="15.95" customHeight="1">
      <c r="M9" s="722"/>
      <c r="N9" s="722"/>
      <c r="O9" s="722"/>
      <c r="P9" s="722"/>
      <c r="Q9" s="722"/>
      <c r="R9" s="722"/>
      <c r="S9" s="722"/>
      <c r="T9" s="722"/>
      <c r="U9" s="722"/>
      <c r="V9" s="722"/>
      <c r="W9" s="722"/>
      <c r="X9" s="722"/>
      <c r="Y9" s="722"/>
      <c r="Z9" s="108" t="s">
        <v>1186</v>
      </c>
      <c r="AA9" s="292"/>
      <c r="AC9" s="293" t="s">
        <v>2068</v>
      </c>
      <c r="AO9" s="235"/>
      <c r="AP9" s="235"/>
      <c r="AQ9" s="235"/>
      <c r="AR9" s="235"/>
      <c r="AS9" s="235"/>
    </row>
    <row r="10" spans="1:45" ht="15.95" customHeight="1">
      <c r="M10" s="294"/>
      <c r="N10" s="294"/>
      <c r="W10" s="294"/>
      <c r="X10" s="294"/>
      <c r="Y10" s="294"/>
      <c r="AO10" s="235"/>
      <c r="AP10" s="235"/>
      <c r="AQ10" s="235"/>
      <c r="AR10" s="235"/>
      <c r="AS10" s="235"/>
    </row>
    <row r="11" spans="1:45" ht="15.95" hidden="1" customHeight="1">
      <c r="AO11" s="235"/>
      <c r="AP11" s="235"/>
      <c r="AQ11" s="235"/>
      <c r="AR11" s="235"/>
      <c r="AS11" s="235"/>
    </row>
    <row r="12" spans="1:45" ht="15.95" hidden="1" customHeight="1">
      <c r="AO12" s="235"/>
      <c r="AP12" s="235"/>
      <c r="AQ12" s="235"/>
      <c r="AR12" s="235"/>
      <c r="AS12" s="235"/>
    </row>
    <row r="13" spans="1:45" ht="15.95" hidden="1" customHeight="1">
      <c r="J13" s="109"/>
      <c r="L13" s="92"/>
      <c r="M13" s="109"/>
      <c r="AO13" s="235"/>
      <c r="AP13" s="235"/>
      <c r="AQ13" s="235"/>
      <c r="AR13" s="235"/>
      <c r="AS13" s="235"/>
    </row>
    <row r="14" spans="1:45" ht="15.95" hidden="1" customHeight="1">
      <c r="J14" s="93"/>
      <c r="L14" s="93"/>
      <c r="M14" s="93"/>
      <c r="AO14" s="235"/>
      <c r="AP14" s="235"/>
      <c r="AQ14" s="235"/>
      <c r="AR14" s="235"/>
      <c r="AS14" s="235"/>
    </row>
    <row r="15" spans="1:45" ht="15.95" hidden="1" customHeight="1">
      <c r="J15" s="93"/>
      <c r="L15" s="93"/>
      <c r="M15" s="93"/>
      <c r="N15" s="204"/>
      <c r="O15" s="204"/>
      <c r="P15" s="98"/>
      <c r="AD15" s="93"/>
      <c r="AE15" s="93"/>
      <c r="AF15" s="93"/>
      <c r="AG15" s="202"/>
      <c r="AO15" s="235"/>
      <c r="AP15" s="235"/>
      <c r="AQ15" s="235"/>
      <c r="AR15" s="235"/>
      <c r="AS15" s="235"/>
    </row>
    <row r="16" spans="1:45" ht="15.95" hidden="1" customHeight="1">
      <c r="AO16" s="235"/>
      <c r="AP16" s="235"/>
      <c r="AQ16" s="235"/>
      <c r="AR16" s="235"/>
      <c r="AS16" s="235"/>
    </row>
    <row r="17" spans="41:45" ht="15.95" hidden="1" customHeight="1">
      <c r="AO17" s="235"/>
      <c r="AP17" s="235"/>
      <c r="AQ17" s="235"/>
      <c r="AR17" s="235"/>
      <c r="AS17" s="235"/>
    </row>
    <row r="18" spans="41:45" ht="15.95" hidden="1" customHeight="1">
      <c r="AO18" s="235"/>
      <c r="AP18" s="235"/>
      <c r="AQ18" s="235"/>
      <c r="AR18" s="235"/>
      <c r="AS18" s="235"/>
    </row>
    <row r="19" spans="41:45" ht="15.95" hidden="1" customHeight="1">
      <c r="AO19" s="235"/>
      <c r="AP19" s="235"/>
      <c r="AQ19" s="235"/>
      <c r="AR19" s="235"/>
      <c r="AS19" s="235"/>
    </row>
    <row r="20" spans="41:45" s="180" customFormat="1" ht="15.95" hidden="1" customHeight="1">
      <c r="AO20" s="235"/>
      <c r="AP20" s="235"/>
      <c r="AQ20" s="235"/>
      <c r="AR20" s="235"/>
      <c r="AS20" s="235"/>
    </row>
    <row r="21" spans="41:45" s="180" customFormat="1" ht="15.95" hidden="1" customHeight="1">
      <c r="AO21" s="235"/>
      <c r="AP21" s="235"/>
      <c r="AQ21" s="235"/>
      <c r="AR21" s="235"/>
      <c r="AS21" s="235"/>
    </row>
    <row r="22" spans="41:45" s="180" customFormat="1" ht="15.95" hidden="1" customHeight="1">
      <c r="AO22" s="235"/>
      <c r="AP22" s="235"/>
      <c r="AQ22" s="235"/>
      <c r="AR22" s="235"/>
      <c r="AS22" s="235"/>
    </row>
    <row r="23" spans="41:45" s="180" customFormat="1" ht="15.95" hidden="1" customHeight="1">
      <c r="AO23" s="235"/>
      <c r="AP23" s="235"/>
      <c r="AQ23" s="235"/>
      <c r="AR23" s="235"/>
      <c r="AS23" s="235"/>
    </row>
    <row r="24" spans="41:45" s="180" customFormat="1" ht="15.95" hidden="1" customHeight="1">
      <c r="AO24" s="235"/>
      <c r="AP24" s="235"/>
      <c r="AQ24" s="235"/>
      <c r="AR24" s="235"/>
      <c r="AS24" s="235"/>
    </row>
    <row r="25" spans="41:45" ht="15.95" hidden="1" customHeight="1">
      <c r="AO25" s="235"/>
      <c r="AP25" s="235"/>
      <c r="AQ25" s="235"/>
      <c r="AR25" s="235"/>
      <c r="AS25" s="235"/>
    </row>
    <row r="26" spans="41:45" ht="15.95" hidden="1" customHeight="1">
      <c r="AO26" s="235"/>
      <c r="AP26" s="235"/>
      <c r="AQ26" s="235"/>
      <c r="AR26" s="235"/>
      <c r="AS26" s="235"/>
    </row>
    <row r="27" spans="41:45" ht="15.95" hidden="1" customHeight="1">
      <c r="AO27" s="235"/>
      <c r="AP27" s="235"/>
      <c r="AQ27" s="235"/>
      <c r="AR27" s="235"/>
      <c r="AS27" s="235"/>
    </row>
    <row r="28" spans="41:45" ht="15.95" hidden="1" customHeight="1">
      <c r="AO28" s="235"/>
      <c r="AP28" s="235"/>
      <c r="AQ28" s="235"/>
      <c r="AR28" s="235"/>
      <c r="AS28" s="235"/>
    </row>
    <row r="29" spans="41:45" ht="15.95" hidden="1" customHeight="1">
      <c r="AO29" s="235"/>
      <c r="AP29" s="235"/>
      <c r="AQ29" s="235"/>
      <c r="AR29" s="235"/>
      <c r="AS29" s="235"/>
    </row>
    <row r="30" spans="41:45" ht="15.95" hidden="1" customHeight="1">
      <c r="AO30" s="235"/>
      <c r="AP30" s="235"/>
      <c r="AQ30" s="235"/>
      <c r="AR30" s="235"/>
      <c r="AS30" s="235"/>
    </row>
    <row r="31" spans="41:45" ht="15.95" hidden="1" customHeight="1">
      <c r="AO31" s="235"/>
      <c r="AP31" s="235"/>
      <c r="AQ31" s="235"/>
      <c r="AR31" s="235"/>
      <c r="AS31" s="235"/>
    </row>
    <row r="32" spans="41:45" ht="15.95" hidden="1" customHeight="1">
      <c r="AO32" s="235"/>
      <c r="AP32" s="235"/>
      <c r="AQ32" s="235"/>
      <c r="AR32" s="235"/>
      <c r="AS32" s="235"/>
    </row>
    <row r="33" spans="41:45" ht="15.95" hidden="1" customHeight="1">
      <c r="AO33" s="235"/>
      <c r="AP33" s="235"/>
      <c r="AQ33" s="235"/>
      <c r="AR33" s="235"/>
      <c r="AS33" s="235"/>
    </row>
    <row r="34" spans="41:45" ht="15.95" hidden="1" customHeight="1">
      <c r="AO34" s="235"/>
      <c r="AP34" s="235"/>
      <c r="AQ34" s="235"/>
      <c r="AR34" s="235"/>
      <c r="AS34" s="235"/>
    </row>
    <row r="35" spans="41:45" ht="15.95" hidden="1" customHeight="1">
      <c r="AO35" s="235"/>
      <c r="AP35" s="235"/>
      <c r="AQ35" s="235"/>
      <c r="AR35" s="235"/>
      <c r="AS35" s="235"/>
    </row>
    <row r="36" spans="41:45" ht="15.95" hidden="1" customHeight="1">
      <c r="AO36" s="235"/>
      <c r="AP36" s="235"/>
      <c r="AQ36" s="235"/>
      <c r="AR36" s="235"/>
      <c r="AS36" s="235"/>
    </row>
    <row r="37" spans="41:45" ht="15.95" hidden="1" customHeight="1">
      <c r="AO37" s="235"/>
      <c r="AP37" s="235"/>
      <c r="AQ37" s="235"/>
      <c r="AR37" s="235"/>
      <c r="AS37" s="235"/>
    </row>
    <row r="38" spans="41:45" ht="15.95" hidden="1" customHeight="1">
      <c r="AO38" s="235"/>
      <c r="AP38" s="235"/>
      <c r="AQ38" s="235"/>
      <c r="AR38" s="235"/>
      <c r="AS38" s="235"/>
    </row>
    <row r="39" spans="41:45" ht="15.95" hidden="1" customHeight="1">
      <c r="AO39" s="235"/>
      <c r="AP39" s="235"/>
      <c r="AQ39" s="235"/>
      <c r="AR39" s="235"/>
      <c r="AS39" s="235"/>
    </row>
    <row r="40" spans="41:45" ht="15.95" hidden="1" customHeight="1">
      <c r="AO40" s="235"/>
      <c r="AP40" s="235"/>
      <c r="AQ40" s="235"/>
      <c r="AR40" s="235"/>
      <c r="AS40" s="235"/>
    </row>
    <row r="41" spans="41:45" ht="15.95" hidden="1" customHeight="1">
      <c r="AO41" s="235"/>
      <c r="AP41" s="235"/>
      <c r="AQ41" s="235"/>
      <c r="AR41" s="235"/>
      <c r="AS41" s="235"/>
    </row>
    <row r="42" spans="41:45" ht="15.95" hidden="1" customHeight="1">
      <c r="AO42" s="235"/>
      <c r="AP42" s="235"/>
      <c r="AQ42" s="235"/>
      <c r="AR42" s="235"/>
      <c r="AS42" s="235"/>
    </row>
    <row r="43" spans="41:45" ht="15.95" hidden="1" customHeight="1">
      <c r="AO43" s="235"/>
      <c r="AP43" s="235"/>
      <c r="AQ43" s="235"/>
      <c r="AR43" s="235"/>
      <c r="AS43" s="235"/>
    </row>
    <row r="44" spans="41:45" ht="15.95" hidden="1" customHeight="1">
      <c r="AO44" s="235"/>
      <c r="AP44" s="235"/>
      <c r="AQ44" s="235"/>
      <c r="AR44" s="235"/>
      <c r="AS44" s="235"/>
    </row>
    <row r="45" spans="41:45" ht="15.95" hidden="1" customHeight="1">
      <c r="AO45" s="235"/>
      <c r="AP45" s="235"/>
      <c r="AQ45" s="235"/>
      <c r="AR45" s="235"/>
      <c r="AS45" s="235"/>
    </row>
    <row r="46" spans="41:45" ht="15.95" hidden="1" customHeight="1">
      <c r="AO46" s="235"/>
      <c r="AP46" s="235"/>
      <c r="AQ46" s="235"/>
      <c r="AR46" s="235"/>
      <c r="AS46" s="235"/>
    </row>
    <row r="47" spans="41:45" ht="15.95" hidden="1" customHeight="1">
      <c r="AO47" s="235"/>
      <c r="AP47" s="235"/>
      <c r="AQ47" s="235"/>
      <c r="AR47" s="235"/>
      <c r="AS47" s="235"/>
    </row>
    <row r="48" spans="41:45" ht="15.95" hidden="1" customHeight="1">
      <c r="AO48" s="235"/>
      <c r="AP48" s="235"/>
      <c r="AQ48" s="235"/>
      <c r="AR48" s="235"/>
      <c r="AS48" s="235"/>
    </row>
    <row r="49" spans="41:45" ht="15.95" hidden="1" customHeight="1">
      <c r="AO49" s="235"/>
      <c r="AP49" s="235"/>
      <c r="AQ49" s="235"/>
      <c r="AR49" s="235"/>
      <c r="AS49" s="235"/>
    </row>
    <row r="50" spans="41:45" ht="15.95" hidden="1" customHeight="1">
      <c r="AO50" s="235"/>
      <c r="AP50" s="235"/>
      <c r="AQ50" s="235"/>
      <c r="AR50" s="235"/>
      <c r="AS50" s="235"/>
    </row>
    <row r="51" spans="41:45" ht="15.95" hidden="1" customHeight="1">
      <c r="AO51" s="235"/>
      <c r="AP51" s="235"/>
      <c r="AQ51" s="235"/>
      <c r="AR51" s="235"/>
      <c r="AS51" s="235"/>
    </row>
    <row r="52" spans="41:45" ht="15.95" hidden="1" customHeight="1">
      <c r="AO52" s="235"/>
      <c r="AP52" s="235"/>
      <c r="AQ52" s="235"/>
      <c r="AR52" s="235"/>
      <c r="AS52" s="235"/>
    </row>
    <row r="53" spans="41:45" ht="15.95" hidden="1" customHeight="1">
      <c r="AO53" s="235"/>
      <c r="AP53" s="235"/>
      <c r="AQ53" s="235"/>
      <c r="AR53" s="235"/>
      <c r="AS53" s="235"/>
    </row>
    <row r="54" spans="41:45" ht="15.95" hidden="1" customHeight="1">
      <c r="AO54" s="235"/>
      <c r="AP54" s="235"/>
      <c r="AQ54" s="235"/>
      <c r="AR54" s="235"/>
      <c r="AS54" s="235"/>
    </row>
    <row r="55" spans="41:45" ht="15.95" hidden="1" customHeight="1">
      <c r="AO55" s="235"/>
      <c r="AP55" s="235"/>
      <c r="AQ55" s="235"/>
      <c r="AR55" s="235"/>
      <c r="AS55" s="235"/>
    </row>
    <row r="56" spans="41:45" ht="15.95" hidden="1" customHeight="1">
      <c r="AO56" s="235"/>
      <c r="AP56" s="235"/>
      <c r="AQ56" s="235"/>
      <c r="AR56" s="235"/>
      <c r="AS56" s="235"/>
    </row>
    <row r="57" spans="41:45" ht="15.95" hidden="1" customHeight="1">
      <c r="AO57" s="235"/>
      <c r="AP57" s="235"/>
      <c r="AQ57" s="235"/>
      <c r="AR57" s="235"/>
      <c r="AS57" s="235"/>
    </row>
    <row r="58" spans="41:45" ht="15.95" hidden="1" customHeight="1">
      <c r="AO58" s="235"/>
      <c r="AP58" s="235"/>
      <c r="AQ58" s="235"/>
      <c r="AR58" s="235"/>
      <c r="AS58" s="235"/>
    </row>
    <row r="59" spans="41:45" ht="15.95" hidden="1" customHeight="1">
      <c r="AO59" s="235"/>
      <c r="AP59" s="235"/>
      <c r="AQ59" s="235"/>
      <c r="AR59" s="235"/>
      <c r="AS59" s="235"/>
    </row>
    <row r="60" spans="41:45" ht="15.95" hidden="1" customHeight="1">
      <c r="AO60" s="235"/>
      <c r="AP60" s="235"/>
      <c r="AQ60" s="235"/>
      <c r="AR60" s="235"/>
      <c r="AS60" s="235"/>
    </row>
    <row r="61" spans="41:45" ht="15.95" hidden="1" customHeight="1">
      <c r="AO61" s="235"/>
      <c r="AP61" s="235"/>
      <c r="AQ61" s="235"/>
      <c r="AR61" s="235"/>
      <c r="AS61" s="235"/>
    </row>
    <row r="62" spans="41:45" ht="15.95" hidden="1" customHeight="1"/>
    <row r="63" spans="41:45" ht="15.95" hidden="1" customHeight="1"/>
    <row r="64" spans="41: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t="15.95" hidden="1" customHeight="1"/>
    <row r="205" spans="1:45" ht="15.95" hidden="1" customHeight="1"/>
    <row r="206" spans="1:45" ht="15.95" hidden="1" customHeight="1"/>
    <row r="207" spans="1:45" ht="15.95" hidden="1" customHeight="1"/>
    <row r="208" spans="1:45" ht="15.95" hidden="1" customHeight="1"/>
    <row r="209" ht="15.95" hidden="1" customHeight="1"/>
    <row r="210" ht="15.95" hidden="1" customHeight="1"/>
    <row r="211" ht="15.95" hidden="1" customHeight="1"/>
    <row r="212" ht="15.95" hidden="1" customHeight="1"/>
    <row r="213" ht="15.95" hidden="1" customHeight="1"/>
  </sheetData>
  <sheetProtection algorithmName="SHA-512" hashValue="ABgQl0kfztb2XCEguwflzTwS5EaDQVd3ZZIEqbAY4509PSlgNxfwH0lPohN1fyOeFfx9QaRay2b9YAwTtrPS8Q==" saltValue="XjjinBPsWk/Ug7mf8poGOA==" spinCount="100000" sheet="1" objects="1" scenarios="1" selectLockedCells="1"/>
  <mergeCells count="10">
    <mergeCell ref="A4:AS5"/>
    <mergeCell ref="M8:Y9"/>
    <mergeCell ref="M200:AG201"/>
    <mergeCell ref="F1:I3"/>
    <mergeCell ref="J1:M3"/>
    <mergeCell ref="AP1:AS3"/>
    <mergeCell ref="AH1:AK3"/>
    <mergeCell ref="AL1:AO3"/>
    <mergeCell ref="M6:Y7"/>
    <mergeCell ref="O1:AE3"/>
  </mergeCells>
  <hyperlinks>
    <hyperlink ref="AC9" r:id="rId1" display="businessrebates@kcpl.com" xr:uid="{F0C6C6D7-82AB-4347-863F-8D0329787D80}"/>
    <hyperlink ref="J1:M3" location="'M01-S02'!J1" tooltip="Instructions" display="'M01-S02'!J1" xr:uid="{3ED65C96-6737-4E45-ABAE-BDA600690A49}"/>
    <hyperlink ref="AL1:AO3" location="'M05-S05'!AL1" tooltip=" " display="'M05-S05'!AL1" xr:uid="{FE8D9EAB-695E-4875-BFEC-F9D477F449FD}"/>
    <hyperlink ref="AH1:AK3" location="'M05-S04'!AH1" tooltip=" " display="'M05-S04'!AH1" xr:uid="{3AF059F9-CA58-4941-85B2-FCA4D03ABC6B}"/>
    <hyperlink ref="AP1:AS3" location="'M01-S03'!AP1" tooltip="Contact" display="'M01-S03'!AP1" xr:uid="{ECF5D48B-0D5E-4807-9D76-92EB8C54FF53}"/>
    <hyperlink ref="B202" r:id="rId2" xr:uid="{8F35684C-054F-4163-9A27-DCABE392B5E5}"/>
  </hyperlinks>
  <printOptions horizontalCentered="1"/>
  <pageMargins left="0.25" right="0.25" top="0.25" bottom="0.25" header="0.25" footer="0.25"/>
  <pageSetup scale="62"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pageSetUpPr fitToPage="1"/>
  </sheetPr>
  <dimension ref="A1:AS238"/>
  <sheetViews>
    <sheetView showGridLines="0" showRowColHeaders="0" zoomScale="85" zoomScaleNormal="85" workbookViewId="0">
      <selection activeCell="F27" sqref="F27:V27"/>
    </sheetView>
  </sheetViews>
  <sheetFormatPr defaultColWidth="0" defaultRowHeight="15.95" customHeight="1" zeroHeight="1"/>
  <cols>
    <col min="1" max="45" width="4.7109375" customWidth="1"/>
    <col min="46" max="16384" width="4.7109375" hidden="1"/>
  </cols>
  <sheetData>
    <row r="1" spans="1:45"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s="14" customFormat="1" ht="15.95" customHeight="1">
      <c r="B4" s="396"/>
      <c r="C4" s="396"/>
      <c r="D4" s="396"/>
      <c r="E4" s="396"/>
    </row>
    <row r="5" spans="1:45" s="14" customFormat="1" ht="15.95" customHeight="1">
      <c r="A5" s="724">
        <f>INCENTOTAL</f>
        <v>0</v>
      </c>
      <c r="B5" s="724"/>
      <c r="C5" s="724"/>
      <c r="D5" s="724"/>
      <c r="E5" s="724"/>
      <c r="AO5" s="750">
        <f ca="1">PROGRESSSTATUS</f>
        <v>0</v>
      </c>
      <c r="AP5" s="750"/>
      <c r="AQ5" s="750"/>
      <c r="AR5" s="750"/>
      <c r="AS5" s="750"/>
    </row>
    <row r="6" spans="1:45" s="14" customFormat="1" ht="15.95" customHeight="1">
      <c r="A6" s="724"/>
      <c r="B6" s="724"/>
      <c r="C6" s="724"/>
      <c r="D6" s="724"/>
      <c r="E6" s="724"/>
      <c r="AO6" s="750"/>
      <c r="AP6" s="750"/>
      <c r="AQ6" s="750"/>
      <c r="AR6" s="750"/>
      <c r="AS6" s="750"/>
    </row>
    <row r="7" spans="1:45" s="14" customFormat="1" ht="15.95" customHeight="1">
      <c r="A7" s="725" t="s">
        <v>83</v>
      </c>
      <c r="B7" s="725"/>
      <c r="C7" s="725"/>
      <c r="D7" s="725"/>
      <c r="E7" s="725"/>
      <c r="AO7" s="725" t="s">
        <v>309</v>
      </c>
      <c r="AP7" s="725"/>
      <c r="AQ7" s="725"/>
      <c r="AR7" s="725"/>
      <c r="AS7" s="725"/>
    </row>
    <row r="8" spans="1:45" s="14" customFormat="1" ht="15.95" customHeight="1" thickBot="1">
      <c r="A8" s="725"/>
      <c r="B8" s="725"/>
      <c r="C8" s="725"/>
      <c r="D8" s="725"/>
      <c r="E8" s="725"/>
      <c r="AO8" s="749" t="str">
        <f ca="1">PROJSTATUS</f>
        <v>Enter Measures</v>
      </c>
      <c r="AP8" s="749"/>
      <c r="AQ8" s="749"/>
      <c r="AR8" s="749"/>
      <c r="AS8" s="749"/>
    </row>
    <row r="9" spans="1:45" s="149" customFormat="1" ht="15.95" customHeight="1">
      <c r="A9" s="720" t="str">
        <f>M2S1</f>
        <v>Terms &amp; Conditions</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5" s="149" customFormat="1"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5" s="143" customFormat="1" ht="15.95" customHeight="1">
      <c r="D11" s="424"/>
      <c r="E11" s="424"/>
      <c r="F11"/>
      <c r="G11"/>
      <c r="H11"/>
      <c r="I11"/>
      <c r="J11"/>
      <c r="K11"/>
      <c r="L11"/>
      <c r="M11"/>
      <c r="N11"/>
      <c r="O11"/>
      <c r="P11"/>
      <c r="Q11"/>
      <c r="R11"/>
      <c r="S11"/>
      <c r="T11"/>
      <c r="U11"/>
      <c r="V11"/>
      <c r="W11"/>
      <c r="X11"/>
      <c r="Y11"/>
      <c r="Z11"/>
      <c r="AA11"/>
      <c r="AB11"/>
      <c r="AC11"/>
      <c r="AD11"/>
      <c r="AE11"/>
      <c r="AF11"/>
      <c r="AG11"/>
      <c r="AH11"/>
      <c r="AI11"/>
      <c r="AJ11"/>
      <c r="AK11"/>
      <c r="AL11"/>
      <c r="AM11"/>
      <c r="AN11"/>
      <c r="AO11" s="424"/>
      <c r="AP11" s="425"/>
      <c r="AQ11" s="425"/>
      <c r="AR11" s="348"/>
      <c r="AS11" s="348"/>
    </row>
    <row r="12" spans="1:45" ht="15.95" customHeight="1">
      <c r="C12" s="154"/>
      <c r="D12" s="154"/>
      <c r="E12" s="154"/>
      <c r="F12" s="729" t="s">
        <v>1917</v>
      </c>
      <c r="G12" s="730"/>
      <c r="H12" s="730"/>
      <c r="I12" s="730"/>
      <c r="J12" s="730"/>
      <c r="K12" s="730"/>
      <c r="L12" s="730"/>
      <c r="M12" s="730"/>
      <c r="N12" s="730"/>
      <c r="O12" s="730"/>
      <c r="P12" s="730"/>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730"/>
      <c r="AO12" s="731"/>
      <c r="AP12" s="338"/>
      <c r="AQ12" s="338"/>
      <c r="AR12" s="235"/>
      <c r="AS12" s="235"/>
    </row>
    <row r="13" spans="1:45" ht="15.95" customHeight="1">
      <c r="C13" s="154"/>
      <c r="D13" s="154"/>
      <c r="E13" s="154"/>
      <c r="F13" s="732"/>
      <c r="G13" s="733"/>
      <c r="H13" s="733"/>
      <c r="I13" s="733"/>
      <c r="J13" s="733"/>
      <c r="K13" s="733"/>
      <c r="L13" s="733"/>
      <c r="M13" s="733"/>
      <c r="N13" s="733"/>
      <c r="O13" s="733"/>
      <c r="P13" s="733"/>
      <c r="Q13" s="733"/>
      <c r="R13" s="733"/>
      <c r="S13" s="733"/>
      <c r="T13" s="733"/>
      <c r="U13" s="733"/>
      <c r="V13" s="733"/>
      <c r="W13" s="733"/>
      <c r="X13" s="733"/>
      <c r="Y13" s="733"/>
      <c r="Z13" s="733"/>
      <c r="AA13" s="733"/>
      <c r="AB13" s="733"/>
      <c r="AC13" s="733"/>
      <c r="AD13" s="733"/>
      <c r="AE13" s="733"/>
      <c r="AF13" s="733"/>
      <c r="AG13" s="733"/>
      <c r="AH13" s="733"/>
      <c r="AI13" s="733"/>
      <c r="AJ13" s="733"/>
      <c r="AK13" s="733"/>
      <c r="AL13" s="733"/>
      <c r="AM13" s="733"/>
      <c r="AN13" s="733"/>
      <c r="AO13" s="734"/>
      <c r="AP13" s="338"/>
      <c r="AQ13" s="338"/>
      <c r="AR13" s="235"/>
      <c r="AS13" s="235"/>
    </row>
    <row r="14" spans="1:45" ht="15.95" customHeight="1">
      <c r="C14" s="154"/>
      <c r="D14" s="154"/>
      <c r="E14" s="154"/>
      <c r="F14" s="732"/>
      <c r="G14" s="733"/>
      <c r="H14" s="733"/>
      <c r="I14" s="733"/>
      <c r="J14" s="733"/>
      <c r="K14" s="733"/>
      <c r="L14" s="733"/>
      <c r="M14" s="733"/>
      <c r="N14" s="733"/>
      <c r="O14" s="733"/>
      <c r="P14" s="733"/>
      <c r="Q14" s="733"/>
      <c r="R14" s="733"/>
      <c r="S14" s="733"/>
      <c r="T14" s="733"/>
      <c r="U14" s="733"/>
      <c r="V14" s="733"/>
      <c r="W14" s="733"/>
      <c r="X14" s="733"/>
      <c r="Y14" s="733"/>
      <c r="Z14" s="733"/>
      <c r="AA14" s="733"/>
      <c r="AB14" s="733"/>
      <c r="AC14" s="733"/>
      <c r="AD14" s="733"/>
      <c r="AE14" s="733"/>
      <c r="AF14" s="733"/>
      <c r="AG14" s="733"/>
      <c r="AH14" s="733"/>
      <c r="AI14" s="733"/>
      <c r="AJ14" s="733"/>
      <c r="AK14" s="733"/>
      <c r="AL14" s="733"/>
      <c r="AM14" s="733"/>
      <c r="AN14" s="733"/>
      <c r="AO14" s="734"/>
      <c r="AP14" s="338"/>
      <c r="AQ14" s="338"/>
      <c r="AR14" s="235"/>
      <c r="AS14" s="235"/>
    </row>
    <row r="15" spans="1:45" ht="15.95" customHeight="1">
      <c r="C15" s="154"/>
      <c r="D15" s="154"/>
      <c r="E15" s="154"/>
      <c r="F15" s="735"/>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7"/>
      <c r="AP15" s="338"/>
      <c r="AQ15" s="338"/>
      <c r="AR15" s="235"/>
      <c r="AS15" s="235"/>
    </row>
    <row r="16" spans="1:45" ht="15.95" customHeight="1">
      <c r="C16" s="154"/>
      <c r="D16" s="154"/>
      <c r="E16" s="154"/>
      <c r="F16" s="424"/>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338"/>
      <c r="AQ16" s="338"/>
      <c r="AR16" s="235"/>
      <c r="AS16" s="235"/>
    </row>
    <row r="17" spans="3:45" ht="15.95" customHeight="1">
      <c r="C17" s="154"/>
      <c r="D17" s="154"/>
      <c r="E17" s="154"/>
      <c r="F17" s="751" t="s">
        <v>1244</v>
      </c>
      <c r="G17" s="751"/>
      <c r="H17" s="751"/>
      <c r="I17" s="751"/>
      <c r="J17" s="751"/>
      <c r="K17" s="751"/>
      <c r="L17" s="751"/>
      <c r="M17" s="751"/>
      <c r="N17" s="751"/>
      <c r="O17" s="751"/>
      <c r="P17" s="751"/>
      <c r="Q17" s="751"/>
      <c r="R17" s="751"/>
      <c r="S17" s="751"/>
      <c r="T17" s="751"/>
      <c r="U17" s="751"/>
      <c r="V17" s="751"/>
      <c r="W17" s="751"/>
      <c r="X17" s="751"/>
      <c r="Y17" s="751"/>
      <c r="Z17" s="751"/>
      <c r="AA17" s="751"/>
      <c r="AB17" s="751"/>
      <c r="AC17" s="751"/>
      <c r="AD17" s="751"/>
      <c r="AE17" s="751"/>
      <c r="AF17" s="751"/>
      <c r="AG17" s="751"/>
      <c r="AH17" s="751"/>
      <c r="AI17" s="751"/>
      <c r="AJ17" s="751"/>
      <c r="AK17" s="751"/>
      <c r="AL17" s="751"/>
      <c r="AM17" s="751"/>
      <c r="AN17" s="751"/>
      <c r="AO17" s="338"/>
      <c r="AP17" s="338"/>
      <c r="AQ17" s="338"/>
      <c r="AR17" s="235"/>
      <c r="AS17" s="235"/>
    </row>
    <row r="18" spans="3:45" ht="15.95" customHeight="1">
      <c r="C18" s="154"/>
      <c r="D18" s="154"/>
      <c r="E18" s="154"/>
      <c r="F18" s="738" t="s">
        <v>2076</v>
      </c>
      <c r="G18" s="739"/>
      <c r="H18" s="739"/>
      <c r="I18" s="739"/>
      <c r="J18" s="739"/>
      <c r="K18" s="739"/>
      <c r="L18" s="739"/>
      <c r="M18" s="739"/>
      <c r="N18" s="739"/>
      <c r="O18" s="739"/>
      <c r="P18" s="739"/>
      <c r="Q18" s="739"/>
      <c r="R18" s="739"/>
      <c r="S18" s="739"/>
      <c r="T18" s="739"/>
      <c r="U18" s="739"/>
      <c r="V18" s="739"/>
      <c r="W18" s="739"/>
      <c r="X18" s="739"/>
      <c r="Y18" s="739"/>
      <c r="Z18" s="739"/>
      <c r="AA18" s="739"/>
      <c r="AB18" s="739"/>
      <c r="AC18" s="739"/>
      <c r="AD18" s="739"/>
      <c r="AE18" s="739"/>
      <c r="AF18" s="739"/>
      <c r="AG18" s="739"/>
      <c r="AH18" s="739"/>
      <c r="AI18" s="739"/>
      <c r="AJ18" s="739"/>
      <c r="AK18" s="739"/>
      <c r="AL18" s="739"/>
      <c r="AM18" s="739"/>
      <c r="AN18" s="739"/>
      <c r="AO18" s="740"/>
      <c r="AP18" s="338"/>
      <c r="AQ18" s="338"/>
      <c r="AR18" s="235"/>
      <c r="AS18" s="235"/>
    </row>
    <row r="19" spans="3:45" ht="15.95" customHeight="1">
      <c r="C19" s="154"/>
      <c r="D19" s="154"/>
      <c r="E19" s="154"/>
      <c r="F19" s="741"/>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2"/>
      <c r="AH19" s="742"/>
      <c r="AI19" s="742"/>
      <c r="AJ19" s="742"/>
      <c r="AK19" s="742"/>
      <c r="AL19" s="742"/>
      <c r="AM19" s="742"/>
      <c r="AN19" s="742"/>
      <c r="AO19" s="743"/>
      <c r="AP19" s="338"/>
      <c r="AQ19" s="338"/>
      <c r="AR19" s="235"/>
      <c r="AS19" s="235"/>
    </row>
    <row r="20" spans="3:45" ht="15.95" customHeight="1">
      <c r="C20" s="154"/>
      <c r="D20" s="154"/>
      <c r="E20" s="154"/>
      <c r="F20" s="744"/>
      <c r="G20" s="745"/>
      <c r="H20" s="745"/>
      <c r="I20" s="745"/>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6"/>
      <c r="AP20" s="338"/>
      <c r="AQ20" s="338"/>
      <c r="AR20" s="235"/>
      <c r="AS20" s="235"/>
    </row>
    <row r="21" spans="3:45" ht="15.95" customHeight="1">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338"/>
      <c r="AP21" s="338"/>
      <c r="AQ21" s="338"/>
      <c r="AR21" s="235"/>
      <c r="AS21" s="235"/>
    </row>
    <row r="22" spans="3:45" ht="15.95" customHeight="1">
      <c r="C22" s="154"/>
      <c r="D22" s="154"/>
      <c r="E22" s="154"/>
      <c r="F22" s="751" t="s">
        <v>1245</v>
      </c>
      <c r="G22" s="751"/>
      <c r="H22" s="751"/>
      <c r="I22" s="751"/>
      <c r="J22" s="751"/>
      <c r="K22" s="751"/>
      <c r="L22" s="751"/>
      <c r="M22" s="751"/>
      <c r="N22" s="751"/>
      <c r="O22" s="751"/>
      <c r="P22" s="751"/>
      <c r="Q22" s="751"/>
      <c r="R22" s="751"/>
      <c r="S22" s="751"/>
      <c r="T22" s="751"/>
      <c r="U22" s="751"/>
      <c r="V22" s="751"/>
      <c r="W22" s="751"/>
      <c r="X22" s="751"/>
      <c r="Y22" s="751"/>
      <c r="Z22" s="751"/>
      <c r="AA22" s="751"/>
      <c r="AB22" s="751"/>
      <c r="AC22" s="751"/>
      <c r="AD22" s="751"/>
      <c r="AE22" s="751"/>
      <c r="AF22" s="751"/>
      <c r="AG22" s="751"/>
      <c r="AH22" s="751"/>
      <c r="AI22" s="751"/>
      <c r="AJ22" s="751"/>
      <c r="AK22" s="751"/>
      <c r="AL22" s="751"/>
      <c r="AM22" s="751"/>
      <c r="AN22" s="751"/>
      <c r="AO22" s="338"/>
      <c r="AP22" s="338"/>
      <c r="AQ22" s="338"/>
      <c r="AR22" s="235"/>
      <c r="AS22" s="235"/>
    </row>
    <row r="23" spans="3:45" ht="15.95" customHeight="1">
      <c r="C23" s="154"/>
      <c r="D23" s="154"/>
      <c r="E23" s="154"/>
      <c r="F23" s="729" t="s">
        <v>2077</v>
      </c>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47"/>
      <c r="AP23" s="338"/>
      <c r="AQ23" s="338"/>
      <c r="AR23" s="235"/>
      <c r="AS23" s="235"/>
    </row>
    <row r="24" spans="3:45" ht="15.95" customHeight="1">
      <c r="C24" s="154"/>
      <c r="D24" s="154"/>
      <c r="E24" s="154"/>
      <c r="F24" s="735"/>
      <c r="G24" s="736"/>
      <c r="H24" s="736"/>
      <c r="I24" s="736"/>
      <c r="J24" s="736"/>
      <c r="K24" s="736"/>
      <c r="L24" s="736"/>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48"/>
      <c r="AP24" s="338"/>
      <c r="AQ24" s="338"/>
      <c r="AR24" s="235"/>
      <c r="AS24" s="235"/>
    </row>
    <row r="25" spans="3:45" ht="15.95" customHeight="1">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338"/>
      <c r="AP25" s="338"/>
      <c r="AQ25" s="338"/>
      <c r="AR25" s="235"/>
      <c r="AS25" s="235"/>
    </row>
    <row r="26" spans="3:45" ht="15.95" customHeight="1" thickBot="1">
      <c r="C26" s="154"/>
      <c r="D26" s="155"/>
      <c r="E26" s="155"/>
      <c r="F26" s="755" t="s">
        <v>1481</v>
      </c>
      <c r="G26" s="755"/>
      <c r="H26" s="755"/>
      <c r="I26" s="755"/>
      <c r="J26" s="755"/>
      <c r="K26" s="755"/>
      <c r="L26" s="755"/>
      <c r="M26" s="755"/>
      <c r="N26" s="755"/>
      <c r="O26" s="755"/>
      <c r="P26" s="755"/>
      <c r="Q26" s="755"/>
      <c r="R26" s="755"/>
      <c r="S26" s="755"/>
      <c r="T26" s="755"/>
      <c r="U26" s="755"/>
      <c r="V26" s="755"/>
      <c r="W26" s="156"/>
      <c r="X26" s="726" t="s">
        <v>1482</v>
      </c>
      <c r="Y26" s="726"/>
      <c r="Z26" s="726"/>
      <c r="AA26" s="726"/>
      <c r="AB26" s="726"/>
      <c r="AC26" s="726"/>
      <c r="AD26" s="726"/>
      <c r="AE26" s="726"/>
      <c r="AF26" s="726"/>
      <c r="AG26" s="726"/>
      <c r="AH26" s="726"/>
      <c r="AI26" s="726"/>
      <c r="AJ26" s="726"/>
      <c r="AK26" s="156"/>
      <c r="AL26" s="755" t="s">
        <v>1483</v>
      </c>
      <c r="AM26" s="755"/>
      <c r="AN26" s="755"/>
      <c r="AO26" s="756"/>
      <c r="AP26" s="346"/>
      <c r="AQ26" s="346"/>
      <c r="AR26" s="235"/>
      <c r="AS26" s="235"/>
    </row>
    <row r="27" spans="3:45" ht="15.95" customHeight="1" thickBot="1">
      <c r="C27" s="154"/>
      <c r="D27" s="155"/>
      <c r="E27" s="155"/>
      <c r="F27" s="752"/>
      <c r="G27" s="753"/>
      <c r="H27" s="753"/>
      <c r="I27" s="753"/>
      <c r="J27" s="753"/>
      <c r="K27" s="753"/>
      <c r="L27" s="753"/>
      <c r="M27" s="753"/>
      <c r="N27" s="753"/>
      <c r="O27" s="753"/>
      <c r="P27" s="753"/>
      <c r="Q27" s="753"/>
      <c r="R27" s="753"/>
      <c r="S27" s="753"/>
      <c r="T27" s="753"/>
      <c r="U27" s="753"/>
      <c r="V27" s="754"/>
      <c r="W27" s="157"/>
      <c r="X27" s="752"/>
      <c r="Y27" s="753"/>
      <c r="Z27" s="753"/>
      <c r="AA27" s="753"/>
      <c r="AB27" s="753"/>
      <c r="AC27" s="753"/>
      <c r="AD27" s="753"/>
      <c r="AE27" s="753"/>
      <c r="AF27" s="753"/>
      <c r="AG27" s="753"/>
      <c r="AH27" s="753"/>
      <c r="AI27" s="753"/>
      <c r="AJ27" s="754"/>
      <c r="AK27" s="157"/>
      <c r="AL27" s="757"/>
      <c r="AM27" s="758"/>
      <c r="AN27" s="758"/>
      <c r="AO27" s="759"/>
      <c r="AP27" s="346"/>
      <c r="AQ27" s="346"/>
      <c r="AR27" s="235"/>
      <c r="AS27" s="235"/>
    </row>
    <row r="28" spans="3:45" ht="15.95" customHeight="1">
      <c r="D28" s="153"/>
      <c r="E28" s="153"/>
      <c r="F28" s="144" t="s">
        <v>1243</v>
      </c>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235"/>
      <c r="AP28" s="359"/>
      <c r="AQ28" s="359"/>
      <c r="AR28" s="235"/>
      <c r="AS28" s="235"/>
    </row>
    <row r="29" spans="3:45" ht="15.95" customHeight="1">
      <c r="AO29" s="235"/>
      <c r="AP29" s="235"/>
      <c r="AQ29" s="235"/>
      <c r="AR29" s="235"/>
      <c r="AS29" s="235"/>
    </row>
    <row r="30" spans="3:45" ht="15.95" hidden="1" customHeight="1">
      <c r="AO30" s="235"/>
      <c r="AP30" s="235"/>
      <c r="AQ30" s="235"/>
      <c r="AR30" s="235"/>
      <c r="AS30" s="235"/>
    </row>
    <row r="31" spans="3:45" ht="15.95" hidden="1" customHeight="1">
      <c r="AO31" s="235"/>
      <c r="AP31" s="235"/>
      <c r="AQ31" s="235"/>
      <c r="AR31" s="235"/>
      <c r="AS31" s="235"/>
    </row>
    <row r="32" spans="3:45" ht="15.95" hidden="1" customHeight="1">
      <c r="AO32" s="235"/>
      <c r="AP32" s="235"/>
      <c r="AQ32" s="235"/>
      <c r="AR32" s="235"/>
      <c r="AS32" s="235"/>
    </row>
    <row r="33" spans="41:45" ht="15.95" hidden="1" customHeight="1">
      <c r="AO33" s="235"/>
      <c r="AP33" s="235"/>
      <c r="AQ33" s="235"/>
      <c r="AR33" s="235"/>
      <c r="AS33" s="235"/>
    </row>
    <row r="34" spans="41:45" ht="15.95" hidden="1" customHeight="1">
      <c r="AO34" s="235"/>
      <c r="AP34" s="235"/>
      <c r="AQ34" s="235"/>
      <c r="AR34" s="235"/>
      <c r="AS34" s="235"/>
    </row>
    <row r="35" spans="41:45" ht="15.95" hidden="1" customHeight="1">
      <c r="AO35" s="235"/>
      <c r="AP35" s="235"/>
      <c r="AQ35" s="235"/>
      <c r="AR35" s="235"/>
      <c r="AS35" s="235"/>
    </row>
    <row r="36" spans="41:45" ht="15.95" hidden="1" customHeight="1">
      <c r="AO36" s="235"/>
      <c r="AP36" s="235"/>
      <c r="AQ36" s="235"/>
      <c r="AR36" s="235"/>
      <c r="AS36" s="235"/>
    </row>
    <row r="37" spans="41:45" ht="15.95" hidden="1" customHeight="1">
      <c r="AO37" s="235"/>
      <c r="AP37" s="235"/>
      <c r="AQ37" s="235"/>
      <c r="AR37" s="235"/>
      <c r="AS37" s="235"/>
    </row>
    <row r="38" spans="41:45" ht="15.95" hidden="1" customHeight="1">
      <c r="AO38" s="235"/>
      <c r="AP38" s="235"/>
      <c r="AQ38" s="235"/>
      <c r="AR38" s="235"/>
      <c r="AS38" s="235"/>
    </row>
    <row r="39" spans="41:45" ht="15.95" hidden="1" customHeight="1">
      <c r="AO39" s="235"/>
      <c r="AP39" s="235"/>
      <c r="AQ39" s="235"/>
      <c r="AR39" s="235"/>
      <c r="AS39" s="235"/>
    </row>
    <row r="40" spans="41:45" ht="15.95" hidden="1" customHeight="1">
      <c r="AO40" s="235"/>
      <c r="AP40" s="235"/>
      <c r="AQ40" s="235"/>
      <c r="AR40" s="235"/>
      <c r="AS40" s="235"/>
    </row>
    <row r="41" spans="41:45" ht="15.95" hidden="1" customHeight="1">
      <c r="AO41" s="235"/>
      <c r="AP41" s="235"/>
      <c r="AQ41" s="235"/>
      <c r="AR41" s="235"/>
      <c r="AS41" s="235"/>
    </row>
    <row r="42" spans="41:45" ht="15.95" hidden="1" customHeight="1">
      <c r="AO42" s="235"/>
      <c r="AP42" s="235"/>
      <c r="AQ42" s="235"/>
      <c r="AR42" s="235"/>
      <c r="AS42" s="235"/>
    </row>
    <row r="43" spans="41:45" ht="15.95" hidden="1" customHeight="1">
      <c r="AO43" s="235"/>
      <c r="AP43" s="235"/>
      <c r="AQ43" s="235"/>
      <c r="AR43" s="235"/>
      <c r="AS43" s="235"/>
    </row>
    <row r="44" spans="41:45" ht="15.95" hidden="1" customHeight="1">
      <c r="AO44" s="235"/>
      <c r="AP44" s="235"/>
      <c r="AQ44" s="235"/>
      <c r="AR44" s="235"/>
      <c r="AS44" s="235"/>
    </row>
    <row r="45" spans="41:45" ht="15.95" hidden="1" customHeight="1">
      <c r="AO45" s="235"/>
      <c r="AP45" s="235"/>
      <c r="AQ45" s="235"/>
      <c r="AR45" s="235"/>
      <c r="AS45" s="235"/>
    </row>
    <row r="46" spans="41:45" ht="15.95" hidden="1" customHeight="1">
      <c r="AO46" s="235"/>
      <c r="AP46" s="235"/>
      <c r="AQ46" s="235"/>
      <c r="AR46" s="235"/>
      <c r="AS46" s="235"/>
    </row>
    <row r="47" spans="41:45" ht="15.95" hidden="1" customHeight="1">
      <c r="AO47" s="235"/>
      <c r="AP47" s="235"/>
      <c r="AQ47" s="235"/>
      <c r="AR47" s="235"/>
      <c r="AS47" s="235"/>
    </row>
    <row r="48" spans="41:45" ht="15.95" hidden="1" customHeight="1">
      <c r="AO48" s="235"/>
      <c r="AP48" s="235"/>
      <c r="AQ48" s="235"/>
      <c r="AR48" s="235"/>
      <c r="AS48" s="235"/>
    </row>
    <row r="49" spans="41:45" ht="15.95" hidden="1" customHeight="1">
      <c r="AO49" s="235"/>
      <c r="AP49" s="235"/>
      <c r="AQ49" s="235"/>
      <c r="AR49" s="235"/>
      <c r="AS49" s="235"/>
    </row>
    <row r="50" spans="41:45" ht="15.95" hidden="1" customHeight="1">
      <c r="AO50" s="235"/>
      <c r="AP50" s="235"/>
      <c r="AQ50" s="235"/>
      <c r="AR50" s="235"/>
      <c r="AS50" s="235"/>
    </row>
    <row r="51" spans="41:45" ht="15.95" hidden="1" customHeight="1">
      <c r="AO51" s="235"/>
      <c r="AP51" s="235"/>
      <c r="AQ51" s="235"/>
      <c r="AR51" s="235"/>
      <c r="AS51" s="235"/>
    </row>
    <row r="52" spans="41:45" ht="15.95" hidden="1" customHeight="1">
      <c r="AO52" s="235"/>
      <c r="AP52" s="235"/>
      <c r="AQ52" s="235"/>
      <c r="AR52" s="235"/>
      <c r="AS52" s="235"/>
    </row>
    <row r="53" spans="41:45" ht="15.95" hidden="1" customHeight="1">
      <c r="AO53" s="235"/>
      <c r="AP53" s="235"/>
      <c r="AQ53" s="235"/>
      <c r="AR53" s="235"/>
      <c r="AS53" s="235"/>
    </row>
    <row r="54" spans="41:45" ht="15.95" hidden="1" customHeight="1">
      <c r="AO54" s="235"/>
      <c r="AP54" s="235"/>
      <c r="AQ54" s="235"/>
      <c r="AR54" s="235"/>
      <c r="AS54" s="235"/>
    </row>
    <row r="55" spans="41:45" ht="15.95" hidden="1" customHeight="1">
      <c r="AO55" s="235"/>
      <c r="AP55" s="235"/>
      <c r="AQ55" s="235"/>
      <c r="AR55" s="235"/>
      <c r="AS55" s="235"/>
    </row>
    <row r="56" spans="41:45" ht="15.95" hidden="1" customHeight="1">
      <c r="AO56" s="235"/>
      <c r="AP56" s="235"/>
      <c r="AQ56" s="235"/>
      <c r="AR56" s="235"/>
      <c r="AS56" s="235"/>
    </row>
    <row r="57" spans="41:45" ht="15.95" hidden="1" customHeight="1">
      <c r="AO57" s="235"/>
      <c r="AP57" s="235"/>
      <c r="AQ57" s="235"/>
      <c r="AR57" s="235"/>
      <c r="AS57" s="235"/>
    </row>
    <row r="58" spans="41:45" ht="15.95" hidden="1" customHeight="1">
      <c r="AO58" s="235"/>
      <c r="AP58" s="235"/>
      <c r="AQ58" s="235"/>
      <c r="AR58" s="235"/>
      <c r="AS58" s="235"/>
    </row>
    <row r="59" spans="41:45" ht="15.95" hidden="1" customHeight="1">
      <c r="AO59" s="235"/>
      <c r="AP59" s="235"/>
      <c r="AQ59" s="235"/>
      <c r="AR59" s="235"/>
      <c r="AS59" s="235"/>
    </row>
    <row r="60" spans="41:45" ht="15.95" hidden="1" customHeight="1">
      <c r="AO60" s="235"/>
      <c r="AP60" s="235"/>
      <c r="AQ60" s="235"/>
      <c r="AR60" s="235"/>
      <c r="AS60" s="235"/>
    </row>
    <row r="61" spans="41:45" ht="15.95" hidden="1" customHeight="1">
      <c r="AO61" s="235"/>
      <c r="AP61" s="235"/>
      <c r="AQ61" s="235"/>
      <c r="AR61" s="235"/>
      <c r="AS61" s="235"/>
    </row>
    <row r="62" spans="41:45" ht="15.95" hidden="1" customHeight="1"/>
    <row r="63" spans="41:45" ht="15.95" hidden="1" customHeight="1"/>
    <row r="64" spans="41: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t="15.95" hidden="1" customHeight="1"/>
    <row r="205" spans="1:45" ht="15.95" hidden="1" customHeight="1"/>
    <row r="206" spans="1:45" ht="15.95" hidden="1" customHeight="1"/>
    <row r="207" spans="1:45" ht="15.95" hidden="1" customHeight="1"/>
    <row r="208" spans="1:45"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row r="223" ht="15.95" hidden="1" customHeight="1"/>
    <row r="224" ht="15.95" hidden="1" customHeight="1"/>
    <row r="225" ht="15.95" hidden="1" customHeight="1"/>
    <row r="226" ht="15.95" hidden="1" customHeight="1"/>
    <row r="227" ht="15.95" hidden="1" customHeight="1"/>
    <row r="228" ht="15.95" hidden="1" customHeight="1"/>
    <row r="229" ht="15.95" hidden="1" customHeight="1"/>
    <row r="230" ht="15.95" hidden="1" customHeight="1"/>
    <row r="231" ht="15.95" hidden="1" customHeight="1"/>
    <row r="232" ht="15.95" hidden="1" customHeight="1"/>
    <row r="233" ht="15.95" hidden="1" customHeight="1"/>
    <row r="234" ht="15.95" hidden="1" customHeight="1"/>
    <row r="235" ht="15.95" hidden="1" customHeight="1"/>
    <row r="236" ht="15.95" hidden="1" customHeight="1"/>
    <row r="237" ht="15.95" hidden="1" customHeight="1"/>
    <row r="238" ht="15.95" hidden="1" customHeight="1"/>
  </sheetData>
  <sheetProtection algorithmName="SHA-512" hashValue="s6xWroX9GO57Zp7kh18g8iyg0k2ZcJLaPA3zE7DvYUk8nvkBhehNXccIbdyFjQvdyDqGtSwTcVLmJusSiPkpyQ==" saltValue="Ij753Th1XhsOftz3YVEEMw==" spinCount="100000" sheet="1" objects="1" scenarios="1" selectLockedCells="1"/>
  <mergeCells count="25">
    <mergeCell ref="M200:AG201"/>
    <mergeCell ref="F1:I3"/>
    <mergeCell ref="J1:M3"/>
    <mergeCell ref="AO8:AS8"/>
    <mergeCell ref="AO7:AS7"/>
    <mergeCell ref="AO5:AS6"/>
    <mergeCell ref="F17:AN17"/>
    <mergeCell ref="F22:AN22"/>
    <mergeCell ref="AP1:AS3"/>
    <mergeCell ref="AH1:AK3"/>
    <mergeCell ref="AL1:AO3"/>
    <mergeCell ref="X27:AJ27"/>
    <mergeCell ref="F27:V27"/>
    <mergeCell ref="F26:V26"/>
    <mergeCell ref="AL26:AO26"/>
    <mergeCell ref="AL27:AO27"/>
    <mergeCell ref="O1:AE3"/>
    <mergeCell ref="A5:E6"/>
    <mergeCell ref="A7:E7"/>
    <mergeCell ref="A8:E8"/>
    <mergeCell ref="X26:AJ26"/>
    <mergeCell ref="A9:AS10"/>
    <mergeCell ref="F12:AO15"/>
    <mergeCell ref="F18:AO20"/>
    <mergeCell ref="F23:AO24"/>
  </mergeCells>
  <conditionalFormatting sqref="AO8:AS8">
    <cfRule type="expression" dxfId="126" priority="2">
      <formula>IF($AO$8=PROJSTATMEASURE,FALSE,TRUE)</formula>
    </cfRule>
  </conditionalFormatting>
  <dataValidations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F27:V27" xr:uid="{949BD21D-E4FD-4665-9EBB-DFB3467929AC}"/>
    <dataValidation type="date" operator="greaterThanOrEqual" allowBlank="1" showInputMessage="1" showErrorMessage="1" error="Please enter date. Format: xx/xx/xxx" sqref="AL27:AO27" xr:uid="{8CDE128B-BC98-45D3-B91E-50CDD30F7FFA}">
      <formula1>32874</formula1>
    </dataValidation>
  </dataValidations>
  <hyperlinks>
    <hyperlink ref="J1:M3" location="'M01-S02'!J1" tooltip="Instructions" display="'M01-S02'!J1" xr:uid="{78EB2C16-4B56-420A-AC91-AA134B946FC0}"/>
    <hyperlink ref="AL1:AO3" location="'M05-S05'!AL1" tooltip=" " display="'M05-S05'!AL1" xr:uid="{FA27669A-A8F3-4BCA-8C5D-C6E28A049187}"/>
    <hyperlink ref="AH1:AK3" location="'M05-S04'!AH1" tooltip=" " display="'M05-S04'!AH1" xr:uid="{0871EC95-4BB3-4B98-B899-F6390C3C1E93}"/>
    <hyperlink ref="AP1:AS3" location="'M01-S03'!AP1" tooltip="Contact" display="'M01-S03'!AP1" xr:uid="{EDCA6898-E7A9-47CA-A29E-074E6F5E5948}"/>
    <hyperlink ref="B202" r:id="rId1" xr:uid="{5227BD89-F959-4CC9-9288-2DF6E5265210}"/>
  </hyperlinks>
  <printOptions horizontalCentered="1"/>
  <pageMargins left="0.25" right="0.25" top="0.25" bottom="0.25" header="0.25" footer="0.25"/>
  <pageSetup scale="62"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pageSetUpPr fitToPage="1"/>
  </sheetPr>
  <dimension ref="A1:AS209"/>
  <sheetViews>
    <sheetView showGridLines="0" showRowColHeaders="0" zoomScale="85" zoomScaleNormal="85" workbookViewId="0">
      <selection activeCell="Z13" sqref="Z13:AE13"/>
    </sheetView>
  </sheetViews>
  <sheetFormatPr defaultColWidth="0" defaultRowHeight="15.95" customHeight="1" zeroHeight="1"/>
  <cols>
    <col min="1" max="45" width="4.7109375" customWidth="1"/>
    <col min="46" max="16384" width="4.7109375" hidden="1"/>
  </cols>
  <sheetData>
    <row r="1" spans="1:45"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773">
        <f>INCENTOTAL</f>
        <v>0</v>
      </c>
      <c r="B4" s="773"/>
      <c r="C4" s="773"/>
      <c r="D4" s="773"/>
      <c r="E4" s="773"/>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s="148" customFormat="1" ht="15.95" customHeight="1">
      <c r="A9" s="720" t="str">
        <f>M2S2</f>
        <v>Trade Ally / Contractor Information</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5" s="148" customFormat="1"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5" ht="15.95" customHeight="1">
      <c r="F11" s="154"/>
      <c r="G11" s="154"/>
      <c r="H11" s="154"/>
      <c r="I11" s="154"/>
      <c r="J11" s="761" t="s">
        <v>2703</v>
      </c>
      <c r="K11" s="761"/>
      <c r="L11" s="761"/>
      <c r="M11" s="761"/>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154"/>
      <c r="AL11" s="154"/>
      <c r="AM11" s="154"/>
      <c r="AO11" s="235"/>
      <c r="AP11" s="235"/>
      <c r="AQ11" s="235"/>
      <c r="AR11" s="235"/>
      <c r="AS11" s="235"/>
    </row>
    <row r="12" spans="1:45" ht="15.95" customHeight="1" thickBot="1">
      <c r="C12" s="35"/>
      <c r="D12" s="36"/>
      <c r="E12" s="36"/>
      <c r="F12" s="158"/>
      <c r="G12" s="158"/>
      <c r="H12" s="158"/>
      <c r="I12" s="154"/>
      <c r="J12" s="761"/>
      <c r="K12" s="761"/>
      <c r="L12" s="761"/>
      <c r="M12" s="761"/>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154"/>
      <c r="AL12" s="154"/>
      <c r="AM12" s="154"/>
      <c r="AO12" s="235"/>
      <c r="AP12" s="235"/>
      <c r="AQ12" s="235"/>
      <c r="AR12" s="235"/>
      <c r="AS12" s="235"/>
    </row>
    <row r="13" spans="1:45" ht="15.95" customHeight="1" thickBot="1">
      <c r="L13" s="768" t="s">
        <v>2119</v>
      </c>
      <c r="M13" s="768"/>
      <c r="N13" s="768"/>
      <c r="O13" s="768"/>
      <c r="P13" s="768"/>
      <c r="Q13" s="768"/>
      <c r="R13" s="768"/>
      <c r="S13" s="768"/>
      <c r="T13" s="768"/>
      <c r="U13" s="768"/>
      <c r="V13" s="768"/>
      <c r="W13" s="768"/>
      <c r="X13" s="768"/>
      <c r="Y13" s="481"/>
      <c r="Z13" s="762"/>
      <c r="AA13" s="763"/>
      <c r="AB13" s="763"/>
      <c r="AC13" s="763"/>
      <c r="AD13" s="763"/>
      <c r="AE13" s="764"/>
      <c r="AI13" s="154"/>
      <c r="AJ13" s="154"/>
      <c r="AK13" s="154"/>
      <c r="AL13" s="154"/>
      <c r="AM13" s="154"/>
      <c r="AO13" s="235"/>
      <c r="AP13" s="235"/>
      <c r="AQ13" s="235"/>
      <c r="AR13" s="235"/>
      <c r="AS13" s="235"/>
    </row>
    <row r="14" spans="1:45" ht="15.95" customHeight="1" thickBot="1">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O14" s="235"/>
      <c r="AP14" s="235"/>
      <c r="AQ14" s="235"/>
      <c r="AR14" s="235"/>
      <c r="AS14" s="235"/>
    </row>
    <row r="15" spans="1:45" ht="15.95" customHeight="1" thickBot="1">
      <c r="M15" s="768" t="s">
        <v>2115</v>
      </c>
      <c r="N15" s="768"/>
      <c r="O15" s="768"/>
      <c r="P15" s="768"/>
      <c r="Q15" s="768"/>
      <c r="R15" s="768"/>
      <c r="S15" s="768"/>
      <c r="T15" s="768"/>
      <c r="U15" s="768"/>
      <c r="V15" s="768"/>
      <c r="W15" s="768"/>
      <c r="X15" s="768"/>
      <c r="Y15" s="481"/>
      <c r="Z15" s="769" t="str">
        <f>IF(M02S02F01="No","Customer/Self-Install","")</f>
        <v/>
      </c>
      <c r="AA15" s="770"/>
      <c r="AB15" s="770"/>
      <c r="AC15" s="770"/>
      <c r="AD15" s="770"/>
      <c r="AE15" s="771"/>
      <c r="AO15" s="235"/>
      <c r="AP15" s="235"/>
      <c r="AQ15" s="235"/>
      <c r="AR15" s="235"/>
      <c r="AS15" s="235"/>
    </row>
    <row r="16" spans="1:45" ht="15.95" customHeight="1">
      <c r="AO16" s="235"/>
      <c r="AP16" s="235"/>
      <c r="AQ16" s="235"/>
      <c r="AR16" s="235"/>
      <c r="AS16" s="235"/>
    </row>
    <row r="17" spans="6:45" ht="15.95" customHeight="1" thickBot="1">
      <c r="F17" s="726" t="s">
        <v>2114</v>
      </c>
      <c r="G17" s="726"/>
      <c r="H17" s="726"/>
      <c r="I17" s="726"/>
      <c r="J17" s="726"/>
      <c r="K17" s="726"/>
      <c r="L17" s="154"/>
      <c r="M17" s="726" t="s">
        <v>1484</v>
      </c>
      <c r="N17" s="726"/>
      <c r="O17" s="726"/>
      <c r="P17" s="726"/>
      <c r="Q17" s="726"/>
      <c r="R17" s="726"/>
      <c r="S17" s="156"/>
      <c r="T17" s="726" t="s">
        <v>1485</v>
      </c>
      <c r="U17" s="726"/>
      <c r="V17" s="726"/>
      <c r="W17" s="726"/>
      <c r="X17" s="726"/>
      <c r="Y17" s="726"/>
      <c r="Z17" s="156"/>
      <c r="AA17" s="726" t="s">
        <v>1486</v>
      </c>
      <c r="AB17" s="726"/>
      <c r="AC17" s="726"/>
      <c r="AD17" s="726"/>
      <c r="AE17" s="726"/>
      <c r="AF17" s="726"/>
      <c r="AG17" s="156"/>
      <c r="AH17" s="726" t="s">
        <v>1487</v>
      </c>
      <c r="AI17" s="726"/>
      <c r="AJ17" s="726"/>
      <c r="AK17" s="726"/>
      <c r="AL17" s="726"/>
      <c r="AM17" s="726"/>
      <c r="AO17" s="235"/>
      <c r="AP17" s="235"/>
      <c r="AQ17" s="235"/>
      <c r="AR17" s="235"/>
      <c r="AS17" s="235"/>
    </row>
    <row r="18" spans="6:45" ht="15.95" customHeight="1" thickBot="1">
      <c r="F18" s="752"/>
      <c r="G18" s="753"/>
      <c r="H18" s="753"/>
      <c r="I18" s="753"/>
      <c r="J18" s="753"/>
      <c r="K18" s="754"/>
      <c r="L18" s="162"/>
      <c r="M18" s="752"/>
      <c r="N18" s="753"/>
      <c r="O18" s="753"/>
      <c r="P18" s="753"/>
      <c r="Q18" s="753"/>
      <c r="R18" s="754"/>
      <c r="S18" s="162"/>
      <c r="T18" s="752"/>
      <c r="U18" s="753"/>
      <c r="V18" s="753"/>
      <c r="W18" s="753"/>
      <c r="X18" s="753"/>
      <c r="Y18" s="754"/>
      <c r="Z18" s="162"/>
      <c r="AA18" s="752"/>
      <c r="AB18" s="753"/>
      <c r="AC18" s="753"/>
      <c r="AD18" s="753"/>
      <c r="AE18" s="753"/>
      <c r="AF18" s="754"/>
      <c r="AG18" s="162"/>
      <c r="AH18" s="752"/>
      <c r="AI18" s="753"/>
      <c r="AJ18" s="753"/>
      <c r="AK18" s="753"/>
      <c r="AL18" s="753"/>
      <c r="AM18" s="754"/>
      <c r="AO18" s="235"/>
      <c r="AP18" s="235"/>
      <c r="AQ18" s="235"/>
      <c r="AR18" s="235"/>
      <c r="AS18" s="235"/>
    </row>
    <row r="19" spans="6:45" ht="15.95" customHeight="1">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O19" s="235"/>
      <c r="AP19" s="235"/>
      <c r="AQ19" s="235"/>
      <c r="AR19" s="235"/>
      <c r="AS19" s="235"/>
    </row>
    <row r="20" spans="6:45" ht="15.95" customHeight="1" thickBot="1">
      <c r="F20" s="726" t="s">
        <v>1488</v>
      </c>
      <c r="G20" s="726"/>
      <c r="H20" s="726"/>
      <c r="I20" s="726"/>
      <c r="J20" s="726"/>
      <c r="K20" s="726"/>
      <c r="L20" s="156"/>
      <c r="M20" s="726" t="s">
        <v>1489</v>
      </c>
      <c r="N20" s="726"/>
      <c r="O20" s="726"/>
      <c r="P20" s="726"/>
      <c r="Q20" s="726"/>
      <c r="R20" s="726"/>
      <c r="S20" s="156"/>
      <c r="T20" s="726" t="s">
        <v>1490</v>
      </c>
      <c r="U20" s="726"/>
      <c r="V20" s="726"/>
      <c r="W20" s="726"/>
      <c r="X20" s="726"/>
      <c r="Y20" s="726"/>
      <c r="Z20" s="156"/>
      <c r="AA20" s="726" t="s">
        <v>1491</v>
      </c>
      <c r="AB20" s="726"/>
      <c r="AC20" s="726"/>
      <c r="AD20" s="726"/>
      <c r="AE20" s="726"/>
      <c r="AF20" s="726"/>
      <c r="AG20" s="154"/>
      <c r="AH20" s="726" t="s">
        <v>1492</v>
      </c>
      <c r="AI20" s="726"/>
      <c r="AJ20" s="726"/>
      <c r="AK20" s="726"/>
      <c r="AL20" s="726"/>
      <c r="AM20" s="726"/>
      <c r="AO20" s="235"/>
      <c r="AP20" s="235"/>
      <c r="AQ20" s="235"/>
      <c r="AR20" s="235"/>
      <c r="AS20" s="235"/>
    </row>
    <row r="21" spans="6:45" ht="15.95" customHeight="1" thickBot="1">
      <c r="F21" s="752"/>
      <c r="G21" s="753"/>
      <c r="H21" s="753"/>
      <c r="I21" s="753"/>
      <c r="J21" s="753"/>
      <c r="K21" s="754"/>
      <c r="L21" s="162"/>
      <c r="M21" s="752"/>
      <c r="N21" s="753"/>
      <c r="O21" s="753"/>
      <c r="P21" s="753"/>
      <c r="Q21" s="753"/>
      <c r="R21" s="754"/>
      <c r="S21" s="162"/>
      <c r="T21" s="752"/>
      <c r="U21" s="753"/>
      <c r="V21" s="753"/>
      <c r="W21" s="753"/>
      <c r="X21" s="753"/>
      <c r="Y21" s="754"/>
      <c r="Z21" s="162"/>
      <c r="AA21" s="765"/>
      <c r="AB21" s="766"/>
      <c r="AC21" s="766"/>
      <c r="AD21" s="766"/>
      <c r="AE21" s="766"/>
      <c r="AF21" s="767"/>
      <c r="AG21" s="162"/>
      <c r="AH21" s="760"/>
      <c r="AI21" s="753"/>
      <c r="AJ21" s="753"/>
      <c r="AK21" s="753"/>
      <c r="AL21" s="753"/>
      <c r="AM21" s="754"/>
      <c r="AO21" s="235"/>
      <c r="AP21" s="235"/>
      <c r="AQ21" s="235"/>
      <c r="AR21" s="235"/>
      <c r="AS21" s="235"/>
    </row>
    <row r="22" spans="6:45" ht="15.95" customHeight="1">
      <c r="AO22" s="235"/>
      <c r="AP22" s="235"/>
      <c r="AQ22" s="235"/>
      <c r="AR22" s="235"/>
      <c r="AS22" s="235"/>
    </row>
    <row r="23" spans="6:45" ht="15.95" customHeight="1">
      <c r="F23" s="772" t="s">
        <v>2641</v>
      </c>
      <c r="G23" s="772"/>
      <c r="H23" s="772"/>
      <c r="I23" s="772"/>
      <c r="J23" s="772"/>
      <c r="K23" s="772"/>
      <c r="AO23" s="235"/>
      <c r="AP23" s="235"/>
      <c r="AQ23" s="235"/>
      <c r="AR23" s="235"/>
      <c r="AS23" s="235"/>
    </row>
    <row r="24" spans="6:45" ht="15.95" customHeight="1">
      <c r="F24" s="772"/>
      <c r="G24" s="772"/>
      <c r="H24" s="772"/>
      <c r="I24" s="772"/>
      <c r="J24" s="772"/>
      <c r="K24" s="772"/>
      <c r="AO24" s="235"/>
      <c r="AP24" s="235"/>
      <c r="AQ24" s="235"/>
      <c r="AR24" s="235"/>
      <c r="AS24" s="235"/>
    </row>
    <row r="25" spans="6:45" ht="15.95" customHeight="1" thickBot="1">
      <c r="F25" s="726" t="s">
        <v>2642</v>
      </c>
      <c r="G25" s="726"/>
      <c r="H25" s="726"/>
      <c r="I25" s="726"/>
      <c r="J25" s="726"/>
      <c r="K25" s="726"/>
      <c r="M25" s="726" t="s">
        <v>2643</v>
      </c>
      <c r="N25" s="726"/>
      <c r="O25" s="726"/>
      <c r="P25" s="726"/>
      <c r="Q25" s="726"/>
      <c r="R25" s="726"/>
      <c r="S25" s="576"/>
      <c r="T25" s="726" t="s">
        <v>1655</v>
      </c>
      <c r="U25" s="726"/>
      <c r="V25" s="726"/>
      <c r="W25" s="726"/>
      <c r="X25" s="726"/>
      <c r="Y25" s="726"/>
      <c r="Z25" s="576"/>
      <c r="AA25" s="726" t="s">
        <v>2644</v>
      </c>
      <c r="AB25" s="726"/>
      <c r="AC25" s="726"/>
      <c r="AD25" s="726"/>
      <c r="AE25" s="726"/>
      <c r="AF25" s="726"/>
      <c r="AG25" s="154"/>
      <c r="AH25" s="726" t="s">
        <v>147</v>
      </c>
      <c r="AI25" s="726"/>
      <c r="AJ25" s="726"/>
      <c r="AK25" s="726"/>
      <c r="AL25" s="726"/>
      <c r="AM25" s="726"/>
      <c r="AO25" s="235"/>
      <c r="AP25" s="235"/>
      <c r="AQ25" s="235"/>
      <c r="AR25" s="235"/>
      <c r="AS25" s="235"/>
    </row>
    <row r="26" spans="6:45" ht="15.95" customHeight="1" thickBot="1">
      <c r="F26" s="752"/>
      <c r="G26" s="753"/>
      <c r="H26" s="753"/>
      <c r="I26" s="753"/>
      <c r="J26" s="753"/>
      <c r="K26" s="754"/>
      <c r="M26" s="752"/>
      <c r="N26" s="753"/>
      <c r="O26" s="753"/>
      <c r="P26" s="753"/>
      <c r="Q26" s="753"/>
      <c r="R26" s="754"/>
      <c r="S26" s="162"/>
      <c r="T26" s="752"/>
      <c r="U26" s="753"/>
      <c r="V26" s="753"/>
      <c r="W26" s="753"/>
      <c r="X26" s="753"/>
      <c r="Y26" s="754"/>
      <c r="Z26" s="162"/>
      <c r="AA26" s="765"/>
      <c r="AB26" s="766"/>
      <c r="AC26" s="766"/>
      <c r="AD26" s="766"/>
      <c r="AE26" s="766"/>
      <c r="AF26" s="767"/>
      <c r="AG26" s="162"/>
      <c r="AH26" s="760"/>
      <c r="AI26" s="753"/>
      <c r="AJ26" s="753"/>
      <c r="AK26" s="753"/>
      <c r="AL26" s="753"/>
      <c r="AM26" s="754"/>
      <c r="AO26" s="235"/>
      <c r="AP26" s="235"/>
      <c r="AQ26" s="235"/>
      <c r="AR26" s="235"/>
      <c r="AS26" s="235"/>
    </row>
    <row r="27" spans="6:45" ht="15.95" customHeight="1">
      <c r="AO27" s="235"/>
      <c r="AP27" s="235"/>
      <c r="AQ27" s="235"/>
      <c r="AR27" s="235"/>
      <c r="AS27" s="235"/>
    </row>
    <row r="28" spans="6:45" ht="15.95" customHeight="1">
      <c r="AO28" s="235"/>
      <c r="AP28" s="235"/>
      <c r="AQ28" s="235"/>
      <c r="AR28" s="235"/>
      <c r="AS28" s="235"/>
    </row>
    <row r="29" spans="6:45" ht="15.95" customHeight="1">
      <c r="AO29" s="235"/>
      <c r="AP29" s="235"/>
      <c r="AQ29" s="235"/>
      <c r="AR29" s="235"/>
      <c r="AS29" s="235"/>
    </row>
    <row r="30" spans="6:45" ht="15.95" hidden="1" customHeight="1">
      <c r="AO30" s="235"/>
      <c r="AP30" s="235"/>
      <c r="AQ30" s="235"/>
      <c r="AR30" s="235"/>
      <c r="AS30" s="235"/>
    </row>
    <row r="31" spans="6:45" ht="15.95" hidden="1" customHeight="1">
      <c r="AO31" s="235"/>
      <c r="AP31" s="235"/>
      <c r="AQ31" s="235"/>
      <c r="AR31" s="235"/>
      <c r="AS31" s="235"/>
    </row>
    <row r="32" spans="6:45" ht="15.95" hidden="1" customHeight="1">
      <c r="AO32" s="235"/>
      <c r="AP32" s="235"/>
      <c r="AQ32" s="235"/>
      <c r="AR32" s="235"/>
      <c r="AS32" s="235"/>
    </row>
    <row r="33" spans="41:45" ht="15.95" hidden="1" customHeight="1">
      <c r="AO33" s="235"/>
      <c r="AP33" s="235"/>
      <c r="AQ33" s="235"/>
      <c r="AR33" s="235"/>
      <c r="AS33" s="235"/>
    </row>
    <row r="34" spans="41:45" ht="15.95" hidden="1" customHeight="1">
      <c r="AO34" s="235"/>
      <c r="AP34" s="235"/>
      <c r="AQ34" s="235"/>
      <c r="AR34" s="235"/>
      <c r="AS34" s="235"/>
    </row>
    <row r="35" spans="41:45" ht="15.95" hidden="1" customHeight="1">
      <c r="AO35" s="235"/>
      <c r="AP35" s="235"/>
      <c r="AQ35" s="235"/>
      <c r="AR35" s="235"/>
      <c r="AS35" s="235"/>
    </row>
    <row r="36" spans="41:45" ht="15.95" hidden="1" customHeight="1">
      <c r="AO36" s="235"/>
      <c r="AP36" s="235"/>
      <c r="AQ36" s="235"/>
      <c r="AR36" s="235"/>
      <c r="AS36" s="235"/>
    </row>
    <row r="37" spans="41:45" ht="15.95" hidden="1" customHeight="1">
      <c r="AO37" s="235"/>
      <c r="AP37" s="235"/>
      <c r="AQ37" s="235"/>
      <c r="AR37" s="235"/>
      <c r="AS37" s="235"/>
    </row>
    <row r="38" spans="41:45" ht="15.95" hidden="1" customHeight="1">
      <c r="AO38" s="235"/>
      <c r="AP38" s="235"/>
      <c r="AQ38" s="235"/>
      <c r="AR38" s="235"/>
      <c r="AS38" s="235"/>
    </row>
    <row r="39" spans="41:45" ht="15.95" hidden="1" customHeight="1">
      <c r="AO39" s="235"/>
      <c r="AP39" s="235"/>
      <c r="AQ39" s="235"/>
      <c r="AR39" s="235"/>
      <c r="AS39" s="235"/>
    </row>
    <row r="40" spans="41:45" ht="15.95" hidden="1" customHeight="1">
      <c r="AO40" s="235"/>
      <c r="AP40" s="235"/>
      <c r="AQ40" s="235"/>
      <c r="AR40" s="235"/>
      <c r="AS40" s="235"/>
    </row>
    <row r="41" spans="41:45" ht="15.95" hidden="1" customHeight="1">
      <c r="AO41" s="235"/>
      <c r="AP41" s="235"/>
      <c r="AQ41" s="235"/>
      <c r="AR41" s="235"/>
      <c r="AS41" s="235"/>
    </row>
    <row r="42" spans="41:45" ht="15.95" hidden="1" customHeight="1">
      <c r="AO42" s="235"/>
      <c r="AP42" s="235"/>
      <c r="AQ42" s="235"/>
      <c r="AR42" s="235"/>
      <c r="AS42" s="235"/>
    </row>
    <row r="43" spans="41:45" ht="15.95" hidden="1" customHeight="1">
      <c r="AO43" s="235"/>
      <c r="AP43" s="235"/>
      <c r="AQ43" s="235"/>
      <c r="AR43" s="235"/>
      <c r="AS43" s="235"/>
    </row>
    <row r="44" spans="41:45" ht="15.95" hidden="1" customHeight="1">
      <c r="AO44" s="235"/>
      <c r="AP44" s="235"/>
      <c r="AQ44" s="235"/>
      <c r="AR44" s="235"/>
      <c r="AS44" s="235"/>
    </row>
    <row r="45" spans="41:45" ht="15.95" hidden="1" customHeight="1">
      <c r="AO45" s="235"/>
      <c r="AP45" s="235"/>
      <c r="AQ45" s="235"/>
      <c r="AR45" s="235"/>
      <c r="AS45" s="235"/>
    </row>
    <row r="46" spans="41:45" ht="15.95" hidden="1" customHeight="1">
      <c r="AO46" s="235"/>
      <c r="AP46" s="235"/>
      <c r="AQ46" s="235"/>
      <c r="AR46" s="235"/>
      <c r="AS46" s="235"/>
    </row>
    <row r="47" spans="41:45" ht="15.95" hidden="1" customHeight="1">
      <c r="AO47" s="235"/>
      <c r="AP47" s="235"/>
      <c r="AQ47" s="235"/>
      <c r="AR47" s="235"/>
      <c r="AS47" s="235"/>
    </row>
    <row r="48" spans="41:45" ht="15.95" hidden="1" customHeight="1">
      <c r="AO48" s="235"/>
      <c r="AP48" s="235"/>
      <c r="AQ48" s="235"/>
      <c r="AR48" s="235"/>
      <c r="AS48" s="235"/>
    </row>
    <row r="49" spans="41:45" ht="15.95" hidden="1" customHeight="1">
      <c r="AO49" s="235"/>
      <c r="AP49" s="235"/>
      <c r="AQ49" s="235"/>
      <c r="AR49" s="235"/>
      <c r="AS49" s="235"/>
    </row>
    <row r="50" spans="41:45" ht="15.95" hidden="1" customHeight="1">
      <c r="AO50" s="235"/>
      <c r="AP50" s="235"/>
      <c r="AQ50" s="235"/>
      <c r="AR50" s="235"/>
      <c r="AS50" s="235"/>
    </row>
    <row r="51" spans="41:45" ht="15.95" hidden="1" customHeight="1">
      <c r="AO51" s="235"/>
      <c r="AP51" s="235"/>
      <c r="AQ51" s="235"/>
      <c r="AR51" s="235"/>
      <c r="AS51" s="235"/>
    </row>
    <row r="52" spans="41:45" ht="15.95" hidden="1" customHeight="1">
      <c r="AO52" s="235"/>
      <c r="AP52" s="235"/>
      <c r="AQ52" s="235"/>
      <c r="AR52" s="235"/>
      <c r="AS52" s="235"/>
    </row>
    <row r="53" spans="41:45" ht="15.95" hidden="1" customHeight="1">
      <c r="AO53" s="235"/>
      <c r="AP53" s="235"/>
      <c r="AQ53" s="235"/>
      <c r="AR53" s="235"/>
      <c r="AS53" s="235"/>
    </row>
    <row r="54" spans="41:45" ht="15.95" hidden="1" customHeight="1">
      <c r="AO54" s="235"/>
      <c r="AP54" s="235"/>
      <c r="AQ54" s="235"/>
      <c r="AR54" s="235"/>
      <c r="AS54" s="235"/>
    </row>
    <row r="55" spans="41:45" ht="15.95" hidden="1" customHeight="1">
      <c r="AO55" s="235"/>
      <c r="AP55" s="235"/>
      <c r="AQ55" s="235"/>
      <c r="AR55" s="235"/>
      <c r="AS55" s="235"/>
    </row>
    <row r="56" spans="41:45" ht="15.95" hidden="1" customHeight="1">
      <c r="AO56" s="235"/>
      <c r="AP56" s="235"/>
      <c r="AQ56" s="235"/>
      <c r="AR56" s="235"/>
      <c r="AS56" s="235"/>
    </row>
    <row r="57" spans="41:45" ht="15.95" hidden="1" customHeight="1">
      <c r="AO57" s="235"/>
      <c r="AP57" s="235"/>
      <c r="AQ57" s="235"/>
      <c r="AR57" s="235"/>
      <c r="AS57" s="235"/>
    </row>
    <row r="58" spans="41:45" ht="15.95" hidden="1" customHeight="1">
      <c r="AO58" s="235"/>
      <c r="AP58" s="235"/>
      <c r="AQ58" s="235"/>
      <c r="AR58" s="235"/>
      <c r="AS58" s="235"/>
    </row>
    <row r="59" spans="41:45" ht="15.95" hidden="1" customHeight="1">
      <c r="AO59" s="235"/>
      <c r="AP59" s="235"/>
      <c r="AQ59" s="235"/>
      <c r="AR59" s="235"/>
      <c r="AS59" s="235"/>
    </row>
    <row r="60" spans="41:45" ht="15.95" hidden="1" customHeight="1">
      <c r="AO60" s="235"/>
      <c r="AP60" s="235"/>
      <c r="AQ60" s="235"/>
      <c r="AR60" s="235"/>
      <c r="AS60" s="235"/>
    </row>
    <row r="61" spans="41:45" ht="15.95" hidden="1" customHeight="1">
      <c r="AO61" s="235"/>
      <c r="AP61" s="235"/>
      <c r="AQ61" s="235"/>
      <c r="AR61" s="235"/>
      <c r="AS61" s="235"/>
    </row>
    <row r="62" spans="41:45" ht="15.95" hidden="1" customHeight="1"/>
    <row r="63" spans="41:45" ht="15.95" hidden="1" customHeight="1"/>
    <row r="64" spans="41: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s="14" customFormat="1"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6.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t="15.95" hidden="1" customHeight="1"/>
    <row r="205" spans="1:45" ht="15.95" hidden="1" customHeight="1"/>
    <row r="206" spans="1:45" ht="15.95" hidden="1" customHeight="1"/>
    <row r="207" spans="1:45" ht="15.95" hidden="1" customHeight="1"/>
    <row r="208" spans="1:45" ht="15.95" hidden="1" customHeight="1"/>
    <row r="209" ht="15.95" hidden="1" customHeight="1"/>
  </sheetData>
  <sheetProtection algorithmName="SHA-512" hashValue="vqnDhU0rh5eKqtPKxIB/rXiLetfY+FbTbsWeD5ltw+F38JsjHJi9apeSPKwdXPlFrvVHSGYY2fdijvLXq606EQ==" saltValue="IvJjvJdxM5ZDrH0WzUQFTA==" spinCount="100000" sheet="1" objects="1" scenarios="1" selectLockedCells="1"/>
  <mergeCells count="49">
    <mergeCell ref="M25:R25"/>
    <mergeCell ref="T25:Y25"/>
    <mergeCell ref="AA25:AF25"/>
    <mergeCell ref="AH25:AM25"/>
    <mergeCell ref="M26:R26"/>
    <mergeCell ref="T26:Y26"/>
    <mergeCell ref="AA26:AF26"/>
    <mergeCell ref="AH26:AM26"/>
    <mergeCell ref="A4:E6"/>
    <mergeCell ref="A7:E8"/>
    <mergeCell ref="A9:AS10"/>
    <mergeCell ref="AO5:AS6"/>
    <mergeCell ref="AO7:AS7"/>
    <mergeCell ref="AO8:AS8"/>
    <mergeCell ref="AP1:AS3"/>
    <mergeCell ref="F1:I3"/>
    <mergeCell ref="J1:M3"/>
    <mergeCell ref="AH1:AK3"/>
    <mergeCell ref="AL1:AO3"/>
    <mergeCell ref="O1:AE3"/>
    <mergeCell ref="M200:AG201"/>
    <mergeCell ref="F17:K17"/>
    <mergeCell ref="F18:K18"/>
    <mergeCell ref="M18:R18"/>
    <mergeCell ref="T18:Y18"/>
    <mergeCell ref="AA18:AF18"/>
    <mergeCell ref="M17:R17"/>
    <mergeCell ref="T17:Y17"/>
    <mergeCell ref="AA17:AF17"/>
    <mergeCell ref="F20:K20"/>
    <mergeCell ref="M20:R20"/>
    <mergeCell ref="T20:Y20"/>
    <mergeCell ref="AA20:AF20"/>
    <mergeCell ref="F25:K25"/>
    <mergeCell ref="F26:K26"/>
    <mergeCell ref="F23:K24"/>
    <mergeCell ref="AH20:AM20"/>
    <mergeCell ref="AH21:AM21"/>
    <mergeCell ref="J11:AJ12"/>
    <mergeCell ref="Z13:AE13"/>
    <mergeCell ref="F21:K21"/>
    <mergeCell ref="M21:R21"/>
    <mergeCell ref="T21:Y21"/>
    <mergeCell ref="AA21:AF21"/>
    <mergeCell ref="AH18:AM18"/>
    <mergeCell ref="AH17:AM17"/>
    <mergeCell ref="M15:X15"/>
    <mergeCell ref="L13:X13"/>
    <mergeCell ref="Z15:AE15"/>
  </mergeCells>
  <conditionalFormatting sqref="AO8:AS8">
    <cfRule type="expression" dxfId="125" priority="5">
      <formula>IF($AO$8=PROJSTATMEASURE,FALSE,TRUE)</formula>
    </cfRule>
  </conditionalFormatting>
  <conditionalFormatting sqref="T18:Y18 M18:R18 F18:K18 F21:K21 M21:R21 T21:Y21 AA21:AF21 AA18:AF18 AH18:AM18 AH21:AM21">
    <cfRule type="expression" dxfId="124" priority="4">
      <formula>IF(M02S02F01="No",TRUE,FALSE)</formula>
    </cfRule>
  </conditionalFormatting>
  <conditionalFormatting sqref="M26:R26 T26:Y26 AA26:AF26 AH26:AM26">
    <cfRule type="expression" dxfId="123" priority="1">
      <formula>IF(M02S02F01="No",TRUE,FALSE)</formula>
    </cfRule>
  </conditionalFormatting>
  <conditionalFormatting sqref="F26:K26">
    <cfRule type="expression" dxfId="122" priority="2">
      <formula>IF(M02S02F01="No",TRUE,FALSE)</formula>
    </cfRule>
  </conditionalFormatting>
  <dataValidations count="6">
    <dataValidation type="list" allowBlank="1" showInputMessage="1" showErrorMessage="1" sqref="Z15:AE15" xr:uid="{0AA05449-3B89-470E-B016-97D10FC1FA91}">
      <formula1>INSTALLERLIST</formula1>
    </dataValidation>
    <dataValidation type="list" allowBlank="1" showInputMessage="1" showErrorMessage="1" sqref="AA18:AF18" xr:uid="{276C931B-24B4-44A9-BC74-8022F39C2DB1}">
      <formula1>STATESABBREV</formula1>
    </dataValidation>
    <dataValidation type="whole" allowBlank="1" showInputMessage="1" showErrorMessage="1" sqref="AH18:AM18" xr:uid="{273F1E96-C980-4F85-B3A3-E41B47F4C222}">
      <formula1>0</formula1>
      <formula2>99999</formula2>
    </dataValidation>
    <dataValidation type="textLength" allowBlank="1" showInputMessage="1" showErrorMessage="1" error="Please enter a valid phone number. Example: (111) 111-1111" sqref="AA21:AF21 AA26:AF26" xr:uid="{93C54879-A161-4708-BF99-35A7C0781CB9}">
      <formula1>7</formula1>
      <formula2>15</formula2>
    </dataValidation>
    <dataValidation type="custom" allowBlank="1" showInputMessage="1" showErrorMessage="1" error="Please enter a valid email address." sqref="AH21:AM21 AH26:AM26" xr:uid="{77098B14-8A37-48A2-A2DD-B2E167171DC9}">
      <formula1>AND(FIND(".",AH21),FIND("@",AH21))</formula1>
    </dataValidation>
    <dataValidation type="list" allowBlank="1" showInputMessage="1" showErrorMessage="1" sqref="Z13:AE13" xr:uid="{E761C66C-ED0C-4173-AEF7-57BE1989EC7A}">
      <formula1>YESNOLIST</formula1>
    </dataValidation>
  </dataValidations>
  <hyperlinks>
    <hyperlink ref="J1:M3" location="'M01-S02'!J1" tooltip="Instructions" display="'M01-S02'!J1" xr:uid="{D822121B-9E12-4216-92DE-AE88957D5A19}"/>
    <hyperlink ref="AL1:AO3" location="'M05-S05'!AL1" tooltip=" " display="'M05-S05'!AL1" xr:uid="{B9303F69-E9A3-4BAD-B483-71EC1E848BB6}"/>
    <hyperlink ref="AH1:AK3" location="'M05-S04'!AH1" tooltip=" " display="'M05-S04'!AH1" xr:uid="{30211836-E908-4FD2-A4CB-5C5C31C0FB1B}"/>
    <hyperlink ref="AP1:AS3" location="'M01-S03'!AP1" tooltip="Contact" display="'M01-S03'!AP1" xr:uid="{09172B49-945E-47BE-94F4-FBC8C45A3217}"/>
    <hyperlink ref="B202" r:id="rId1" xr:uid="{B4220D35-7DB9-481F-B629-788FD3247808}"/>
  </hyperlinks>
  <printOptions horizontalCentered="1"/>
  <pageMargins left="0.25" right="0.25" top="0.25" bottom="0.25" header="0.25" footer="0.25"/>
  <pageSetup scale="62"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pageSetUpPr fitToPage="1"/>
  </sheetPr>
  <dimension ref="A1:AS209"/>
  <sheetViews>
    <sheetView showGridLines="0" showRowColHeaders="0" zoomScale="85" zoomScaleNormal="85" workbookViewId="0">
      <selection activeCell="F15" sqref="F15:K15"/>
    </sheetView>
  </sheetViews>
  <sheetFormatPr defaultColWidth="0" defaultRowHeight="15.95" customHeight="1" zeroHeight="1"/>
  <cols>
    <col min="1" max="45" width="4.7109375" customWidth="1"/>
    <col min="46" max="16384" width="4.7109375" hidden="1"/>
  </cols>
  <sheetData>
    <row r="1" spans="1:45" ht="15.7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773">
        <f>INCENTOTAL</f>
        <v>0</v>
      </c>
      <c r="B4" s="773"/>
      <c r="C4" s="773"/>
      <c r="D4" s="773"/>
      <c r="E4" s="773"/>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s="148" customFormat="1" ht="15.95" customHeight="1">
      <c r="A9" s="720" t="str">
        <f>M2S3</f>
        <v>Customer Information</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5" s="148" customFormat="1"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5" ht="15.95" customHeight="1">
      <c r="F11" s="154"/>
      <c r="G11" s="154"/>
      <c r="H11" s="154"/>
      <c r="I11" s="154"/>
      <c r="J11" s="775" t="s">
        <v>1252</v>
      </c>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154"/>
      <c r="AL11" s="154"/>
      <c r="AM11" s="154"/>
      <c r="AO11" s="235"/>
      <c r="AP11" s="235"/>
      <c r="AQ11" s="235"/>
      <c r="AR11" s="235"/>
      <c r="AS11" s="235"/>
    </row>
    <row r="12" spans="1:45" ht="15.95" customHeight="1">
      <c r="F12" s="154"/>
      <c r="G12" s="154"/>
      <c r="H12" s="154"/>
      <c r="I12" s="154"/>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154"/>
      <c r="AL12" s="154"/>
      <c r="AM12" s="154"/>
      <c r="AO12" s="235"/>
      <c r="AP12" s="235"/>
      <c r="AQ12" s="235"/>
      <c r="AR12" s="235"/>
      <c r="AS12" s="235"/>
    </row>
    <row r="13" spans="1:45" ht="15.95" customHeight="1">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O13" s="235"/>
      <c r="AP13" s="235"/>
      <c r="AQ13" s="235"/>
      <c r="AR13" s="235"/>
      <c r="AS13" s="235"/>
    </row>
    <row r="14" spans="1:45" ht="15.95" customHeight="1" thickBot="1">
      <c r="F14" s="726" t="s">
        <v>1493</v>
      </c>
      <c r="G14" s="726"/>
      <c r="H14" s="726"/>
      <c r="I14" s="726"/>
      <c r="J14" s="726"/>
      <c r="K14" s="726"/>
      <c r="L14" s="154"/>
      <c r="M14" s="726" t="s">
        <v>1494</v>
      </c>
      <c r="N14" s="726"/>
      <c r="O14" s="726"/>
      <c r="P14" s="726"/>
      <c r="Q14" s="726"/>
      <c r="R14" s="726"/>
      <c r="S14" s="156"/>
      <c r="T14" s="726" t="s">
        <v>1485</v>
      </c>
      <c r="U14" s="726"/>
      <c r="V14" s="726"/>
      <c r="W14" s="726"/>
      <c r="X14" s="726"/>
      <c r="Y14" s="726"/>
      <c r="Z14" s="156"/>
      <c r="AA14" s="726" t="s">
        <v>1486</v>
      </c>
      <c r="AB14" s="726"/>
      <c r="AC14" s="726"/>
      <c r="AD14" s="726"/>
      <c r="AE14" s="726"/>
      <c r="AF14" s="726"/>
      <c r="AG14" s="156"/>
      <c r="AH14" s="726" t="s">
        <v>1487</v>
      </c>
      <c r="AI14" s="726"/>
      <c r="AJ14" s="726"/>
      <c r="AK14" s="726"/>
      <c r="AL14" s="726"/>
      <c r="AM14" s="726"/>
      <c r="AO14" s="235"/>
      <c r="AP14" s="235"/>
      <c r="AQ14" s="235"/>
      <c r="AR14" s="235"/>
      <c r="AS14" s="235"/>
    </row>
    <row r="15" spans="1:45" ht="15.95" customHeight="1" thickBot="1">
      <c r="F15" s="779"/>
      <c r="G15" s="780"/>
      <c r="H15" s="780"/>
      <c r="I15" s="780"/>
      <c r="J15" s="780"/>
      <c r="K15" s="781"/>
      <c r="L15" s="162"/>
      <c r="M15" s="779"/>
      <c r="N15" s="780"/>
      <c r="O15" s="780"/>
      <c r="P15" s="780"/>
      <c r="Q15" s="780"/>
      <c r="R15" s="781"/>
      <c r="S15" s="162"/>
      <c r="T15" s="779"/>
      <c r="U15" s="780"/>
      <c r="V15" s="780"/>
      <c r="W15" s="780"/>
      <c r="X15" s="780"/>
      <c r="Y15" s="781"/>
      <c r="Z15" s="162"/>
      <c r="AA15" s="752"/>
      <c r="AB15" s="753"/>
      <c r="AC15" s="753"/>
      <c r="AD15" s="753"/>
      <c r="AE15" s="753"/>
      <c r="AF15" s="754"/>
      <c r="AG15" s="162"/>
      <c r="AH15" s="776"/>
      <c r="AI15" s="777"/>
      <c r="AJ15" s="777"/>
      <c r="AK15" s="777"/>
      <c r="AL15" s="777"/>
      <c r="AM15" s="778"/>
      <c r="AO15" s="235"/>
      <c r="AP15" s="235"/>
      <c r="AQ15" s="235"/>
      <c r="AR15" s="235"/>
      <c r="AS15" s="235"/>
    </row>
    <row r="16" spans="1:45" ht="15.95" customHeight="1">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O16" s="235"/>
      <c r="AP16" s="235"/>
      <c r="AQ16" s="235"/>
      <c r="AR16" s="235"/>
      <c r="AS16" s="235"/>
    </row>
    <row r="17" spans="6:45" ht="15.95" customHeight="1" thickBot="1">
      <c r="F17" s="726" t="s">
        <v>1488</v>
      </c>
      <c r="G17" s="726"/>
      <c r="H17" s="726"/>
      <c r="I17" s="726"/>
      <c r="J17" s="726"/>
      <c r="K17" s="726"/>
      <c r="L17" s="156"/>
      <c r="M17" s="726" t="s">
        <v>1489</v>
      </c>
      <c r="N17" s="726"/>
      <c r="O17" s="726"/>
      <c r="P17" s="726"/>
      <c r="Q17" s="726"/>
      <c r="R17" s="726"/>
      <c r="S17" s="156"/>
      <c r="T17" s="726" t="s">
        <v>1490</v>
      </c>
      <c r="U17" s="726"/>
      <c r="V17" s="726"/>
      <c r="W17" s="726"/>
      <c r="X17" s="726"/>
      <c r="Y17" s="726"/>
      <c r="Z17" s="156"/>
      <c r="AA17" s="726" t="s">
        <v>1491</v>
      </c>
      <c r="AB17" s="726"/>
      <c r="AC17" s="726"/>
      <c r="AD17" s="726"/>
      <c r="AE17" s="726"/>
      <c r="AF17" s="726"/>
      <c r="AG17" s="154"/>
      <c r="AH17" s="726" t="s">
        <v>1492</v>
      </c>
      <c r="AI17" s="726"/>
      <c r="AJ17" s="726"/>
      <c r="AK17" s="726"/>
      <c r="AL17" s="726"/>
      <c r="AM17" s="726"/>
      <c r="AO17" s="235"/>
      <c r="AP17" s="235"/>
      <c r="AQ17" s="235"/>
      <c r="AR17" s="235"/>
      <c r="AS17" s="235"/>
    </row>
    <row r="18" spans="6:45" ht="15.95" customHeight="1" thickBot="1">
      <c r="F18" s="752"/>
      <c r="G18" s="753"/>
      <c r="H18" s="753"/>
      <c r="I18" s="753"/>
      <c r="J18" s="753"/>
      <c r="K18" s="754"/>
      <c r="L18" s="162"/>
      <c r="M18" s="752"/>
      <c r="N18" s="753"/>
      <c r="O18" s="753"/>
      <c r="P18" s="753"/>
      <c r="Q18" s="753"/>
      <c r="R18" s="754"/>
      <c r="S18" s="162"/>
      <c r="T18" s="752"/>
      <c r="U18" s="753"/>
      <c r="V18" s="753"/>
      <c r="W18" s="753"/>
      <c r="X18" s="753"/>
      <c r="Y18" s="754"/>
      <c r="Z18" s="162"/>
      <c r="AA18" s="765"/>
      <c r="AB18" s="766"/>
      <c r="AC18" s="766"/>
      <c r="AD18" s="766"/>
      <c r="AE18" s="766"/>
      <c r="AF18" s="767"/>
      <c r="AG18" s="162"/>
      <c r="AH18" s="760"/>
      <c r="AI18" s="753"/>
      <c r="AJ18" s="753"/>
      <c r="AK18" s="753"/>
      <c r="AL18" s="753"/>
      <c r="AM18" s="754"/>
      <c r="AO18" s="235"/>
      <c r="AP18" s="235"/>
      <c r="AQ18" s="235"/>
      <c r="AR18" s="235"/>
      <c r="AS18" s="235"/>
    </row>
    <row r="19" spans="6:45" ht="15.95" customHeight="1">
      <c r="AO19" s="235"/>
      <c r="AP19" s="235"/>
      <c r="AQ19" s="235"/>
      <c r="AR19" s="235"/>
      <c r="AS19" s="235"/>
    </row>
    <row r="20" spans="6:45" ht="15.95" customHeight="1">
      <c r="AO20" s="235"/>
      <c r="AP20" s="235"/>
      <c r="AQ20" s="235"/>
      <c r="AR20" s="235"/>
      <c r="AS20" s="235"/>
    </row>
    <row r="21" spans="6:45" ht="15.95" customHeight="1">
      <c r="AO21" s="235"/>
      <c r="AP21" s="235"/>
      <c r="AQ21" s="235"/>
      <c r="AR21" s="235"/>
      <c r="AS21" s="235"/>
    </row>
    <row r="22" spans="6:45" ht="15.95" customHeight="1">
      <c r="AO22" s="235"/>
      <c r="AP22" s="235"/>
      <c r="AQ22" s="235"/>
      <c r="AR22" s="235"/>
      <c r="AS22" s="235"/>
    </row>
    <row r="23" spans="6:45" ht="15.95" customHeight="1">
      <c r="AO23" s="235"/>
      <c r="AP23" s="235"/>
      <c r="AQ23" s="235"/>
      <c r="AR23" s="235"/>
      <c r="AS23" s="235"/>
    </row>
    <row r="24" spans="6:45" ht="15.95" customHeight="1">
      <c r="AO24" s="235"/>
      <c r="AP24" s="235"/>
      <c r="AQ24" s="235"/>
      <c r="AR24" s="235"/>
      <c r="AS24" s="235"/>
    </row>
    <row r="25" spans="6:45" ht="15.95" customHeight="1">
      <c r="AO25" s="235"/>
      <c r="AP25" s="235"/>
      <c r="AQ25" s="235"/>
      <c r="AR25" s="235"/>
      <c r="AS25" s="235"/>
    </row>
    <row r="26" spans="6:45" ht="15.95" customHeight="1">
      <c r="AO26" s="235"/>
      <c r="AP26" s="235"/>
      <c r="AQ26" s="235"/>
      <c r="AR26" s="235"/>
      <c r="AS26" s="235"/>
    </row>
    <row r="27" spans="6:45" ht="15.95" customHeight="1">
      <c r="AO27" s="235"/>
      <c r="AP27" s="235"/>
      <c r="AQ27" s="235"/>
      <c r="AR27" s="235"/>
      <c r="AS27" s="235"/>
    </row>
    <row r="28" spans="6:45" ht="15.95" customHeight="1">
      <c r="AO28" s="235"/>
      <c r="AP28" s="235"/>
      <c r="AQ28" s="235"/>
      <c r="AR28" s="235"/>
      <c r="AS28" s="235"/>
    </row>
    <row r="29" spans="6:45" ht="15.95" customHeight="1">
      <c r="AO29" s="235"/>
      <c r="AP29" s="235"/>
      <c r="AQ29" s="235"/>
      <c r="AR29" s="235"/>
      <c r="AS29" s="235"/>
    </row>
    <row r="30" spans="6:45" ht="15.95" hidden="1" customHeight="1">
      <c r="AO30" s="235"/>
      <c r="AP30" s="235"/>
      <c r="AQ30" s="235"/>
      <c r="AR30" s="235"/>
      <c r="AS30" s="235"/>
    </row>
    <row r="31" spans="6:45" ht="15.95" hidden="1" customHeight="1">
      <c r="AO31" s="235"/>
      <c r="AP31" s="235"/>
      <c r="AQ31" s="235"/>
      <c r="AR31" s="235"/>
      <c r="AS31" s="235"/>
    </row>
    <row r="32" spans="6:45" ht="15.95" hidden="1" customHeight="1">
      <c r="AO32" s="235"/>
      <c r="AP32" s="235"/>
      <c r="AQ32" s="235"/>
      <c r="AR32" s="235"/>
      <c r="AS32" s="235"/>
    </row>
    <row r="33" spans="41:45" ht="15.95" hidden="1" customHeight="1">
      <c r="AO33" s="235"/>
      <c r="AP33" s="235"/>
      <c r="AQ33" s="235"/>
      <c r="AR33" s="235"/>
      <c r="AS33" s="235"/>
    </row>
    <row r="34" spans="41:45" ht="15.95" hidden="1" customHeight="1">
      <c r="AO34" s="235"/>
      <c r="AP34" s="235"/>
      <c r="AQ34" s="235"/>
      <c r="AR34" s="235"/>
      <c r="AS34" s="235"/>
    </row>
    <row r="35" spans="41:45" ht="15.95" hidden="1" customHeight="1">
      <c r="AO35" s="235"/>
      <c r="AP35" s="235"/>
      <c r="AQ35" s="235"/>
      <c r="AR35" s="235"/>
      <c r="AS35" s="235"/>
    </row>
    <row r="36" spans="41:45" ht="15.95" hidden="1" customHeight="1">
      <c r="AO36" s="235"/>
      <c r="AP36" s="235"/>
      <c r="AQ36" s="235"/>
      <c r="AR36" s="235"/>
      <c r="AS36" s="235"/>
    </row>
    <row r="37" spans="41:45" ht="15.95" hidden="1" customHeight="1">
      <c r="AO37" s="235"/>
      <c r="AP37" s="235"/>
      <c r="AQ37" s="235"/>
      <c r="AR37" s="235"/>
      <c r="AS37" s="235"/>
    </row>
    <row r="38" spans="41:45" ht="15.95" hidden="1" customHeight="1">
      <c r="AO38" s="235"/>
      <c r="AP38" s="235"/>
      <c r="AQ38" s="235"/>
      <c r="AR38" s="235"/>
      <c r="AS38" s="235"/>
    </row>
    <row r="39" spans="41:45" ht="15.95" hidden="1" customHeight="1">
      <c r="AO39" s="235"/>
      <c r="AP39" s="235"/>
      <c r="AQ39" s="235"/>
      <c r="AR39" s="235"/>
      <c r="AS39" s="235"/>
    </row>
    <row r="40" spans="41:45" ht="15.95" hidden="1" customHeight="1">
      <c r="AO40" s="235"/>
      <c r="AP40" s="235"/>
      <c r="AQ40" s="235"/>
      <c r="AR40" s="235"/>
      <c r="AS40" s="235"/>
    </row>
    <row r="41" spans="41:45" ht="15.95" hidden="1" customHeight="1">
      <c r="AO41" s="235"/>
      <c r="AP41" s="235"/>
      <c r="AQ41" s="235"/>
      <c r="AR41" s="235"/>
      <c r="AS41" s="235"/>
    </row>
    <row r="42" spans="41:45" ht="15.95" hidden="1" customHeight="1">
      <c r="AO42" s="235"/>
      <c r="AP42" s="235"/>
      <c r="AQ42" s="235"/>
      <c r="AR42" s="235"/>
      <c r="AS42" s="235"/>
    </row>
    <row r="43" spans="41:45" ht="15.95" hidden="1" customHeight="1">
      <c r="AO43" s="235"/>
      <c r="AP43" s="235"/>
      <c r="AQ43" s="235"/>
      <c r="AR43" s="235"/>
      <c r="AS43" s="235"/>
    </row>
    <row r="44" spans="41:45" ht="15.95" hidden="1" customHeight="1">
      <c r="AO44" s="235"/>
      <c r="AP44" s="235"/>
      <c r="AQ44" s="235"/>
      <c r="AR44" s="235"/>
      <c r="AS44" s="235"/>
    </row>
    <row r="45" spans="41:45" ht="15.95" hidden="1" customHeight="1">
      <c r="AO45" s="235"/>
      <c r="AP45" s="235"/>
      <c r="AQ45" s="235"/>
      <c r="AR45" s="235"/>
      <c r="AS45" s="235"/>
    </row>
    <row r="46" spans="41:45" ht="15.95" hidden="1" customHeight="1">
      <c r="AO46" s="235"/>
      <c r="AP46" s="235"/>
      <c r="AQ46" s="235"/>
      <c r="AR46" s="235"/>
      <c r="AS46" s="235"/>
    </row>
    <row r="47" spans="41:45" ht="15.95" hidden="1" customHeight="1">
      <c r="AO47" s="235"/>
      <c r="AP47" s="235"/>
      <c r="AQ47" s="235"/>
      <c r="AR47" s="235"/>
      <c r="AS47" s="235"/>
    </row>
    <row r="48" spans="41:45" ht="15.95" hidden="1" customHeight="1">
      <c r="AO48" s="235"/>
      <c r="AP48" s="235"/>
      <c r="AQ48" s="235"/>
      <c r="AR48" s="235"/>
      <c r="AS48" s="235"/>
    </row>
    <row r="49" spans="41:45" ht="15.95" hidden="1" customHeight="1">
      <c r="AO49" s="235"/>
      <c r="AP49" s="235"/>
      <c r="AQ49" s="235"/>
      <c r="AR49" s="235"/>
      <c r="AS49" s="235"/>
    </row>
    <row r="50" spans="41:45" ht="15.95" hidden="1" customHeight="1">
      <c r="AO50" s="235"/>
      <c r="AP50" s="235"/>
      <c r="AQ50" s="235"/>
      <c r="AR50" s="235"/>
      <c r="AS50" s="235"/>
    </row>
    <row r="51" spans="41:45" ht="15.95" hidden="1" customHeight="1">
      <c r="AO51" s="235"/>
      <c r="AP51" s="235"/>
      <c r="AQ51" s="235"/>
      <c r="AR51" s="235"/>
      <c r="AS51" s="235"/>
    </row>
    <row r="52" spans="41:45" ht="15.95" hidden="1" customHeight="1">
      <c r="AO52" s="235"/>
      <c r="AP52" s="235"/>
      <c r="AQ52" s="235"/>
      <c r="AR52" s="235"/>
      <c r="AS52" s="235"/>
    </row>
    <row r="53" spans="41:45" ht="15.95" hidden="1" customHeight="1">
      <c r="AO53" s="235"/>
      <c r="AP53" s="235"/>
      <c r="AQ53" s="235"/>
      <c r="AR53" s="235"/>
      <c r="AS53" s="235"/>
    </row>
    <row r="54" spans="41:45" ht="15.95" hidden="1" customHeight="1">
      <c r="AO54" s="235"/>
      <c r="AP54" s="235"/>
      <c r="AQ54" s="235"/>
      <c r="AR54" s="235"/>
      <c r="AS54" s="235"/>
    </row>
    <row r="55" spans="41:45" ht="15.95" hidden="1" customHeight="1">
      <c r="AO55" s="235"/>
      <c r="AP55" s="235"/>
      <c r="AQ55" s="235"/>
      <c r="AR55" s="235"/>
      <c r="AS55" s="235"/>
    </row>
    <row r="56" spans="41:45" ht="15.95" hidden="1" customHeight="1">
      <c r="AO56" s="235"/>
      <c r="AP56" s="235"/>
      <c r="AQ56" s="235"/>
      <c r="AR56" s="235"/>
      <c r="AS56" s="235"/>
    </row>
    <row r="57" spans="41:45" ht="15.95" hidden="1" customHeight="1">
      <c r="AO57" s="235"/>
      <c r="AP57" s="235"/>
      <c r="AQ57" s="235"/>
      <c r="AR57" s="235"/>
      <c r="AS57" s="235"/>
    </row>
    <row r="58" spans="41:45" ht="15.95" hidden="1" customHeight="1">
      <c r="AO58" s="235"/>
      <c r="AP58" s="235"/>
      <c r="AQ58" s="235"/>
      <c r="AR58" s="235"/>
      <c r="AS58" s="235"/>
    </row>
    <row r="59" spans="41:45" ht="15.95" hidden="1" customHeight="1">
      <c r="AO59" s="235"/>
      <c r="AP59" s="235"/>
      <c r="AQ59" s="235"/>
      <c r="AR59" s="235"/>
      <c r="AS59" s="235"/>
    </row>
    <row r="60" spans="41:45" ht="15.95" hidden="1" customHeight="1">
      <c r="AO60" s="235"/>
      <c r="AP60" s="235"/>
      <c r="AQ60" s="235"/>
      <c r="AR60" s="235"/>
      <c r="AS60" s="235"/>
    </row>
    <row r="61" spans="41:45" ht="15.95" hidden="1" customHeight="1">
      <c r="AO61" s="235"/>
      <c r="AP61" s="235"/>
      <c r="AQ61" s="235"/>
      <c r="AR61" s="235"/>
      <c r="AS61" s="235"/>
    </row>
    <row r="62" spans="41:45" ht="15.95" hidden="1" customHeight="1"/>
    <row r="63" spans="41:45" ht="15.95" hidden="1" customHeight="1"/>
    <row r="64" spans="41: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t="15.95" hidden="1" customHeight="1"/>
    <row r="205" spans="1:45" ht="15.95" hidden="1" customHeight="1"/>
    <row r="206" spans="1:45" ht="15.95" hidden="1" customHeight="1"/>
    <row r="207" spans="1:45" ht="15.95" hidden="1" customHeight="1"/>
    <row r="208" spans="1:45" ht="15.95" hidden="1" customHeight="1"/>
    <row r="209" ht="15.95" hidden="1" customHeight="1"/>
  </sheetData>
  <sheetProtection algorithmName="SHA-512" hashValue="BsRxwSjuZeUtQWIj/BsA7mYkoNKBwOsdlJQ3Ga2LCjvFP+uCYmO/f+Qj9r35e76BisjENYjh24J0dC2Dy8VP5g==" saltValue="u8YPbkfTsAN+9qF5T9DcRg==" spinCount="100000" sheet="1" objects="1" scenarios="1" selectLockedCells="1"/>
  <mergeCells count="34">
    <mergeCell ref="A4:E6"/>
    <mergeCell ref="A7:E8"/>
    <mergeCell ref="A9:AS10"/>
    <mergeCell ref="AO5:AS6"/>
    <mergeCell ref="AO7:AS7"/>
    <mergeCell ref="AO8:AS8"/>
    <mergeCell ref="AP1:AS3"/>
    <mergeCell ref="F1:I3"/>
    <mergeCell ref="J1:M3"/>
    <mergeCell ref="AH1:AK3"/>
    <mergeCell ref="AL1:AO3"/>
    <mergeCell ref="O1:AE3"/>
    <mergeCell ref="M200:AG201"/>
    <mergeCell ref="F14:K14"/>
    <mergeCell ref="F15:K15"/>
    <mergeCell ref="M15:R15"/>
    <mergeCell ref="M14:R14"/>
    <mergeCell ref="T14:Y14"/>
    <mergeCell ref="AA14:AF14"/>
    <mergeCell ref="T15:Y15"/>
    <mergeCell ref="AA15:AF15"/>
    <mergeCell ref="F17:K17"/>
    <mergeCell ref="M17:R17"/>
    <mergeCell ref="T17:Y17"/>
    <mergeCell ref="AA17:AF17"/>
    <mergeCell ref="J11:AJ12"/>
    <mergeCell ref="AH17:AM17"/>
    <mergeCell ref="AH18:AM18"/>
    <mergeCell ref="F18:K18"/>
    <mergeCell ref="M18:R18"/>
    <mergeCell ref="T18:Y18"/>
    <mergeCell ref="AA18:AF18"/>
    <mergeCell ref="AH14:AM14"/>
    <mergeCell ref="AH15:AM15"/>
  </mergeCells>
  <conditionalFormatting sqref="AO8:AS8">
    <cfRule type="expression" dxfId="121" priority="2">
      <formula>IF($AO$8=PROJSTATMEASURE,FALSE,TRUE)</formula>
    </cfRule>
  </conditionalFormatting>
  <dataValidations count="4">
    <dataValidation type="list" allowBlank="1" showInputMessage="1" showErrorMessage="1" sqref="AA15:AF15" xr:uid="{E72FC67E-C3D2-4E1A-9791-8DF83091A50A}">
      <formula1>STATESABBREV</formula1>
    </dataValidation>
    <dataValidation type="textLength" allowBlank="1" showInputMessage="1" showErrorMessage="1" error="Please enter a valid phone number. Example: (111) 111-1111" sqref="AA18:AF18" xr:uid="{B8D7F6FC-4540-4E58-9E5D-AE18AF703790}">
      <formula1>7</formula1>
      <formula2>15</formula2>
    </dataValidation>
    <dataValidation type="custom" allowBlank="1" showInputMessage="1" showErrorMessage="1" error="Please enter a valid email address." sqref="AH18:AM18" xr:uid="{E75F176D-8AEE-4B5B-A85D-9182AA039E5B}">
      <formula1>AND(FIND(".",AH18),FIND("@",AH18))</formula1>
    </dataValidation>
    <dataValidation type="whole" allowBlank="1" showInputMessage="1" showErrorMessage="1" sqref="AH15:AM15" xr:uid="{65A03361-A537-4D77-A9D0-AF4F3357CC33}">
      <formula1>0</formula1>
      <formula2>99999</formula2>
    </dataValidation>
  </dataValidations>
  <hyperlinks>
    <hyperlink ref="J1:M3" location="'M01-S02'!J1" tooltip="Instructions" display="'M01-S02'!J1" xr:uid="{F735871C-E847-4C9E-B46B-0659C8F55AFA}"/>
    <hyperlink ref="AL1:AO3" location="'M05-S05'!AL1" tooltip=" " display="'M05-S05'!AL1" xr:uid="{3ABFF103-D6DE-41B2-83CF-EDFEFDD4F430}"/>
    <hyperlink ref="AH1:AK3" location="'M05-S04'!AH1" tooltip=" " display="'M05-S04'!AH1" xr:uid="{25312A02-40E2-45BE-81B6-1D4F41576588}"/>
    <hyperlink ref="AP1:AS3" location="'M01-S03'!AP1" tooltip="Contact" display="'M01-S03'!AP1" xr:uid="{2DE88210-88C0-456D-90AF-BA2C34BB51E7}"/>
    <hyperlink ref="B202" r:id="rId1" xr:uid="{54E85E9A-0BAB-4AF7-B767-FE8809D6E68F}"/>
  </hyperlinks>
  <printOptions horizontalCentered="1"/>
  <pageMargins left="0.25" right="0.25" top="0.25" bottom="0.25" header="0.25" footer="0.25"/>
  <pageSetup scale="62"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pageSetUpPr fitToPage="1"/>
  </sheetPr>
  <dimension ref="A1:BJ222"/>
  <sheetViews>
    <sheetView showGridLines="0" showRowColHeaders="0" zoomScale="85" zoomScaleNormal="85" workbookViewId="0">
      <selection activeCell="I15" sqref="I15:N15"/>
    </sheetView>
  </sheetViews>
  <sheetFormatPr defaultColWidth="0" defaultRowHeight="0" customHeight="1" zeroHeight="1"/>
  <cols>
    <col min="1" max="45" width="4.7109375" customWidth="1"/>
    <col min="46" max="62" width="1.7109375" hidden="1" customWidth="1"/>
    <col min="63" max="16384" width="4.7109375" hidden="1"/>
  </cols>
  <sheetData>
    <row r="1" spans="1:62"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62"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62"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62" s="235" customFormat="1" ht="15.95" customHeight="1">
      <c r="A4" s="821">
        <f>INCENTOTAL</f>
        <v>0</v>
      </c>
      <c r="B4" s="821"/>
      <c r="C4" s="821"/>
      <c r="D4" s="821"/>
      <c r="E4" s="821"/>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row>
    <row r="5" spans="1:62" s="235" customFormat="1" ht="15.95" customHeight="1">
      <c r="A5" s="822"/>
      <c r="B5" s="822"/>
      <c r="C5" s="822"/>
      <c r="D5" s="822"/>
      <c r="E5" s="822"/>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row>
    <row r="6" spans="1:62" s="235" customFormat="1" ht="15.95" customHeight="1">
      <c r="A6" s="822"/>
      <c r="B6" s="822"/>
      <c r="C6" s="822"/>
      <c r="D6" s="822"/>
      <c r="E6" s="822"/>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row>
    <row r="7" spans="1:62" s="235" customFormat="1" ht="15.95" customHeight="1">
      <c r="A7" s="823" t="s">
        <v>83</v>
      </c>
      <c r="B7" s="823"/>
      <c r="C7" s="823"/>
      <c r="D7" s="823"/>
      <c r="E7" s="823"/>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row>
    <row r="8" spans="1:62" s="235" customFormat="1" ht="15.95" customHeight="1" thickBot="1">
      <c r="A8" s="824"/>
      <c r="B8" s="824"/>
      <c r="C8" s="824"/>
      <c r="D8" s="824"/>
      <c r="E8" s="82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row>
    <row r="9" spans="1:62" s="336" customFormat="1" ht="15.95" customHeight="1">
      <c r="A9" s="727" t="str">
        <f>M2S4</f>
        <v>Building Information</v>
      </c>
      <c r="B9" s="727"/>
      <c r="C9" s="727"/>
      <c r="D9" s="727"/>
      <c r="E9" s="727"/>
      <c r="F9" s="727"/>
      <c r="G9" s="727"/>
      <c r="H9" s="727"/>
      <c r="I9" s="72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62" s="336" customFormat="1" ht="15.95" customHeight="1">
      <c r="A10" s="728"/>
      <c r="B10" s="728"/>
      <c r="C10" s="728"/>
      <c r="D10" s="728"/>
      <c r="E10" s="728"/>
      <c r="F10" s="728"/>
      <c r="G10" s="728"/>
      <c r="H10" s="728"/>
      <c r="I10" s="728"/>
      <c r="J10" s="728"/>
      <c r="K10" s="728"/>
      <c r="L10" s="728"/>
      <c r="M10" s="728"/>
      <c r="N10" s="728"/>
      <c r="O10" s="728"/>
      <c r="P10" s="728"/>
      <c r="Q10" s="728"/>
      <c r="R10" s="728"/>
      <c r="S10" s="728"/>
      <c r="T10" s="72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62" s="235" customFormat="1" ht="15.95" customHeight="1" thickBot="1">
      <c r="B11" s="338"/>
      <c r="C11" s="338"/>
      <c r="D11" s="338"/>
      <c r="E11" s="338"/>
      <c r="F11" s="338"/>
      <c r="G11" s="338"/>
      <c r="H11" s="338"/>
      <c r="I11" s="338"/>
      <c r="J11" s="819" t="s">
        <v>1918</v>
      </c>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338"/>
      <c r="AL11" s="338"/>
      <c r="AM11" s="338"/>
      <c r="AN11" s="338"/>
      <c r="AO11" s="338"/>
      <c r="AP11" s="338"/>
      <c r="AQ11" s="338"/>
      <c r="AR11" s="338"/>
      <c r="AS11" s="338"/>
    </row>
    <row r="12" spans="1:62" s="235" customFormat="1" ht="15.95" customHeight="1" thickBot="1">
      <c r="B12" s="338"/>
      <c r="C12" s="338"/>
      <c r="D12" s="338"/>
      <c r="E12" s="338"/>
      <c r="F12" s="338"/>
      <c r="G12" s="338"/>
      <c r="H12" s="338"/>
      <c r="I12" s="338"/>
      <c r="J12" s="819"/>
      <c r="K12" s="819"/>
      <c r="L12" s="819"/>
      <c r="M12" s="819"/>
      <c r="N12" s="819"/>
      <c r="O12" s="819"/>
      <c r="P12" s="819"/>
      <c r="Q12" s="819"/>
      <c r="R12" s="819"/>
      <c r="S12" s="819"/>
      <c r="T12" s="819"/>
      <c r="U12" s="819"/>
      <c r="V12" s="819"/>
      <c r="W12" s="819"/>
      <c r="X12" s="819"/>
      <c r="Y12" s="819"/>
      <c r="Z12" s="819"/>
      <c r="AA12" s="819"/>
      <c r="AB12" s="819"/>
      <c r="AC12" s="819"/>
      <c r="AD12" s="819"/>
      <c r="AE12" s="819"/>
      <c r="AF12" s="819"/>
      <c r="AG12" s="819"/>
      <c r="AH12" s="819"/>
      <c r="AI12" s="819"/>
      <c r="AJ12" s="819"/>
      <c r="AK12" s="338"/>
      <c r="AL12" s="338"/>
      <c r="AM12" s="338"/>
      <c r="AN12" s="338"/>
      <c r="AO12" s="338"/>
      <c r="AP12" s="338"/>
      <c r="AQ12" s="338"/>
      <c r="AR12" s="338"/>
      <c r="AS12" s="338"/>
      <c r="AV12" s="811" t="s">
        <v>1495</v>
      </c>
      <c r="AW12" s="811"/>
      <c r="AX12" s="811"/>
      <c r="AY12" s="811"/>
      <c r="AZ12" s="811"/>
      <c r="BA12" s="811"/>
      <c r="BB12" s="811"/>
      <c r="BC12" s="811"/>
      <c r="BD12" s="811"/>
      <c r="BE12" s="811"/>
      <c r="BF12" s="811"/>
      <c r="BG12" s="812"/>
      <c r="BH12" s="769"/>
      <c r="BI12" s="770"/>
      <c r="BJ12" s="771"/>
    </row>
    <row r="13" spans="1:62" s="235" customFormat="1" ht="15.95" customHeight="1">
      <c r="B13" s="338"/>
      <c r="C13" s="338"/>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pans="1:62" s="235" customFormat="1" ht="15.95" customHeight="1" thickBot="1">
      <c r="B14" s="338"/>
      <c r="C14" s="338"/>
      <c r="D14" s="338"/>
      <c r="E14" s="338"/>
      <c r="F14" s="338"/>
      <c r="I14" s="789" t="s">
        <v>1497</v>
      </c>
      <c r="J14" s="789"/>
      <c r="K14" s="789"/>
      <c r="L14" s="789"/>
      <c r="M14" s="789"/>
      <c r="N14" s="789"/>
      <c r="O14" s="338"/>
      <c r="P14" s="789" t="s">
        <v>1253</v>
      </c>
      <c r="Q14" s="789"/>
      <c r="R14" s="789"/>
      <c r="S14" s="789"/>
      <c r="T14" s="789"/>
      <c r="U14" s="789"/>
      <c r="V14" s="338"/>
      <c r="W14" s="789" t="s">
        <v>1498</v>
      </c>
      <c r="X14" s="789"/>
      <c r="Y14" s="789"/>
      <c r="Z14" s="789"/>
      <c r="AA14" s="789"/>
      <c r="AB14" s="789"/>
      <c r="AC14" s="338"/>
      <c r="AD14" s="789" t="s">
        <v>1499</v>
      </c>
      <c r="AE14" s="789"/>
      <c r="AF14" s="789"/>
      <c r="AG14" s="789"/>
      <c r="AH14" s="789"/>
      <c r="AI14" s="789"/>
      <c r="AL14" s="338"/>
      <c r="AM14" s="338"/>
      <c r="AN14" s="338"/>
      <c r="AO14" s="338"/>
      <c r="AP14" s="338"/>
      <c r="AQ14" s="338"/>
      <c r="AR14" s="338"/>
      <c r="AS14" s="338"/>
      <c r="AV14" s="789" t="s">
        <v>1502</v>
      </c>
      <c r="AW14" s="789"/>
      <c r="AX14" s="789"/>
      <c r="AY14" s="789"/>
      <c r="AZ14" s="789"/>
      <c r="BA14" s="789"/>
    </row>
    <row r="15" spans="1:62" s="235" customFormat="1" ht="15.95" customHeight="1" thickBot="1">
      <c r="B15" s="338"/>
      <c r="C15" s="338"/>
      <c r="D15" s="338"/>
      <c r="E15" s="338"/>
      <c r="F15" s="338"/>
      <c r="G15" s="338"/>
      <c r="H15" s="338"/>
      <c r="I15" s="779"/>
      <c r="J15" s="780"/>
      <c r="K15" s="780"/>
      <c r="L15" s="780"/>
      <c r="M15" s="780"/>
      <c r="N15" s="781"/>
      <c r="O15" s="338"/>
      <c r="P15" s="779"/>
      <c r="Q15" s="780"/>
      <c r="R15" s="780"/>
      <c r="S15" s="780"/>
      <c r="T15" s="780"/>
      <c r="U15" s="781"/>
      <c r="V15" s="338"/>
      <c r="W15" s="779"/>
      <c r="X15" s="780"/>
      <c r="Y15" s="780"/>
      <c r="Z15" s="780"/>
      <c r="AA15" s="780"/>
      <c r="AB15" s="781"/>
      <c r="AC15" s="338"/>
      <c r="AD15" s="802" t="str">
        <f>IF(M02S04F05="","",INDEX(RATECLASS[Rate],MATCH(M02S04F05,RATECLASS[Rate Schedules],0)))</f>
        <v/>
      </c>
      <c r="AE15" s="803"/>
      <c r="AF15" s="803"/>
      <c r="AG15" s="803"/>
      <c r="AH15" s="803"/>
      <c r="AI15" s="804"/>
      <c r="AJ15" s="338"/>
      <c r="AK15" s="338"/>
      <c r="AL15" s="338"/>
      <c r="AM15" s="338"/>
      <c r="AN15" s="338"/>
      <c r="AO15" s="338"/>
      <c r="AP15" s="338"/>
      <c r="AQ15" s="338"/>
      <c r="AR15" s="338"/>
      <c r="AS15" s="338"/>
      <c r="AV15" s="785"/>
      <c r="AW15" s="786"/>
      <c r="AX15" s="786"/>
      <c r="AY15" s="786"/>
      <c r="AZ15" s="786"/>
      <c r="BA15" s="787"/>
    </row>
    <row r="16" spans="1:62" s="235" customFormat="1" ht="15.95" customHeight="1">
      <c r="B16" s="338"/>
      <c r="C16" s="339"/>
      <c r="D16" s="339"/>
      <c r="E16" s="339"/>
      <c r="F16" s="339"/>
      <c r="G16" s="339"/>
      <c r="H16" s="339"/>
      <c r="AJ16" s="338"/>
      <c r="AK16" s="338"/>
      <c r="AL16" s="338"/>
      <c r="AM16" s="338"/>
      <c r="AN16" s="338"/>
      <c r="AO16" s="338"/>
      <c r="AP16" s="338"/>
      <c r="AQ16" s="338"/>
      <c r="AR16" s="338"/>
      <c r="AS16" s="338"/>
    </row>
    <row r="17" spans="1:46" s="235" customFormat="1" ht="15.95" customHeight="1" thickBot="1">
      <c r="B17" s="338"/>
      <c r="C17" s="338"/>
      <c r="D17" s="338"/>
      <c r="E17" s="338"/>
      <c r="F17" s="820" t="s">
        <v>1500</v>
      </c>
      <c r="G17" s="820"/>
      <c r="H17" s="820"/>
      <c r="I17" s="820"/>
      <c r="J17" s="820"/>
      <c r="K17" s="820"/>
      <c r="L17" s="342"/>
      <c r="M17" s="788" t="s">
        <v>1501</v>
      </c>
      <c r="N17" s="788"/>
      <c r="O17" s="788"/>
      <c r="P17" s="788"/>
      <c r="Q17" s="788"/>
      <c r="R17" s="788"/>
      <c r="S17" s="342"/>
      <c r="T17" s="788" t="s">
        <v>1485</v>
      </c>
      <c r="U17" s="788"/>
      <c r="V17" s="788"/>
      <c r="W17" s="788"/>
      <c r="X17" s="788"/>
      <c r="Y17" s="788"/>
      <c r="Z17" s="342"/>
      <c r="AA17" s="788" t="s">
        <v>1486</v>
      </c>
      <c r="AB17" s="788"/>
      <c r="AC17" s="788"/>
      <c r="AD17" s="788"/>
      <c r="AE17" s="788"/>
      <c r="AF17" s="788"/>
      <c r="AG17" s="342"/>
      <c r="AH17" s="788" t="s">
        <v>1487</v>
      </c>
      <c r="AI17" s="788"/>
      <c r="AJ17" s="788"/>
      <c r="AK17" s="788"/>
      <c r="AL17" s="788"/>
      <c r="AM17" s="788"/>
      <c r="AN17" s="338"/>
      <c r="AO17" s="338"/>
      <c r="AP17" s="338"/>
      <c r="AQ17" s="338"/>
      <c r="AR17" s="338"/>
      <c r="AS17" s="338"/>
    </row>
    <row r="18" spans="1:46" s="235" customFormat="1" ht="15.95" customHeight="1" thickBot="1">
      <c r="B18" s="338"/>
      <c r="C18" s="338"/>
      <c r="D18" s="338"/>
      <c r="E18" s="338"/>
      <c r="F18" s="816"/>
      <c r="G18" s="817"/>
      <c r="H18" s="817"/>
      <c r="I18" s="817"/>
      <c r="J18" s="817"/>
      <c r="K18" s="818"/>
      <c r="L18" s="341"/>
      <c r="M18" s="816"/>
      <c r="N18" s="817"/>
      <c r="O18" s="817"/>
      <c r="P18" s="817"/>
      <c r="Q18" s="817"/>
      <c r="R18" s="818"/>
      <c r="S18" s="341"/>
      <c r="T18" s="816"/>
      <c r="U18" s="817"/>
      <c r="V18" s="817"/>
      <c r="W18" s="817"/>
      <c r="X18" s="817"/>
      <c r="Y18" s="818"/>
      <c r="Z18" s="341"/>
      <c r="AA18" s="813" t="s">
        <v>286</v>
      </c>
      <c r="AB18" s="814"/>
      <c r="AC18" s="814"/>
      <c r="AD18" s="814"/>
      <c r="AE18" s="814"/>
      <c r="AF18" s="815"/>
      <c r="AG18" s="341"/>
      <c r="AH18" s="816"/>
      <c r="AI18" s="817"/>
      <c r="AJ18" s="817"/>
      <c r="AK18" s="817"/>
      <c r="AL18" s="817"/>
      <c r="AM18" s="818"/>
      <c r="AN18" s="338"/>
      <c r="AO18" s="338"/>
      <c r="AP18" s="338"/>
      <c r="AQ18" s="338"/>
      <c r="AR18" s="338"/>
      <c r="AS18" s="338"/>
    </row>
    <row r="19" spans="1:46" s="340" customFormat="1" ht="15.95" customHeight="1" thickBot="1">
      <c r="B19" s="341"/>
      <c r="C19" s="341"/>
      <c r="D19" s="341"/>
      <c r="E19" s="341"/>
      <c r="AN19" s="341"/>
      <c r="AO19" s="341"/>
      <c r="AP19" s="341"/>
      <c r="AQ19" s="341"/>
      <c r="AR19" s="341"/>
      <c r="AS19" s="341"/>
    </row>
    <row r="20" spans="1:46" s="340" customFormat="1" ht="15.95" customHeight="1" thickBot="1">
      <c r="B20" s="341"/>
      <c r="C20" s="341"/>
      <c r="D20" s="341"/>
      <c r="E20" s="341"/>
      <c r="O20" s="811" t="s">
        <v>1496</v>
      </c>
      <c r="P20" s="811"/>
      <c r="Q20" s="811"/>
      <c r="R20" s="811"/>
      <c r="S20" s="811"/>
      <c r="T20" s="811"/>
      <c r="U20" s="811"/>
      <c r="V20" s="811"/>
      <c r="W20" s="811"/>
      <c r="X20" s="811"/>
      <c r="Y20" s="811"/>
      <c r="Z20" s="812"/>
      <c r="AA20" s="762"/>
      <c r="AB20" s="763"/>
      <c r="AC20" s="764"/>
      <c r="AN20" s="341"/>
      <c r="AO20" s="341"/>
      <c r="AP20" s="341"/>
      <c r="AQ20" s="341"/>
      <c r="AR20" s="341"/>
      <c r="AS20" s="341"/>
    </row>
    <row r="21" spans="1:46" s="340" customFormat="1" ht="15.95" customHeight="1">
      <c r="B21" s="341"/>
      <c r="C21" s="341"/>
      <c r="D21" s="341"/>
      <c r="E21" s="341"/>
      <c r="F21" s="343"/>
      <c r="G21" s="343"/>
      <c r="H21" s="343"/>
      <c r="I21" s="343"/>
      <c r="J21" s="343"/>
      <c r="K21" s="343"/>
      <c r="L21" s="341"/>
      <c r="M21" s="343"/>
      <c r="N21" s="343"/>
      <c r="O21" s="343"/>
      <c r="P21" s="343"/>
      <c r="Q21" s="343"/>
      <c r="R21" s="343"/>
      <c r="S21" s="341"/>
      <c r="T21" s="343"/>
      <c r="U21" s="343"/>
      <c r="V21" s="343"/>
      <c r="W21" s="343"/>
      <c r="X21" s="343"/>
      <c r="Y21" s="343"/>
      <c r="Z21" s="341"/>
      <c r="AA21" s="343"/>
      <c r="AB21" s="343"/>
      <c r="AC21" s="343"/>
      <c r="AD21" s="343"/>
      <c r="AE21" s="343"/>
      <c r="AF21" s="343"/>
      <c r="AG21" s="341"/>
      <c r="AH21" s="343"/>
      <c r="AI21" s="343"/>
      <c r="AJ21" s="343"/>
      <c r="AK21" s="343"/>
      <c r="AL21" s="343"/>
      <c r="AM21" s="343"/>
      <c r="AN21" s="341"/>
      <c r="AO21" s="341"/>
      <c r="AP21" s="341"/>
      <c r="AQ21" s="341"/>
      <c r="AR21" s="341"/>
      <c r="AS21" s="341"/>
    </row>
    <row r="22" spans="1:46" s="340" customFormat="1" ht="15.95" customHeight="1" thickBot="1">
      <c r="B22" s="341"/>
      <c r="C22" s="341"/>
      <c r="D22" s="341"/>
      <c r="E22" s="341"/>
      <c r="F22" s="788" t="s">
        <v>1488</v>
      </c>
      <c r="G22" s="788"/>
      <c r="H22" s="788"/>
      <c r="I22" s="788"/>
      <c r="J22" s="788"/>
      <c r="K22" s="788"/>
      <c r="L22" s="341"/>
      <c r="M22" s="788" t="s">
        <v>1489</v>
      </c>
      <c r="N22" s="788"/>
      <c r="O22" s="788"/>
      <c r="P22" s="788"/>
      <c r="Q22" s="788"/>
      <c r="R22" s="788"/>
      <c r="S22" s="341"/>
      <c r="T22" s="788" t="s">
        <v>1490</v>
      </c>
      <c r="U22" s="788"/>
      <c r="V22" s="788"/>
      <c r="W22" s="788"/>
      <c r="X22" s="788"/>
      <c r="Y22" s="788"/>
      <c r="Z22" s="341"/>
      <c r="AA22" s="788" t="s">
        <v>1491</v>
      </c>
      <c r="AB22" s="788"/>
      <c r="AC22" s="788"/>
      <c r="AD22" s="788"/>
      <c r="AE22" s="788"/>
      <c r="AF22" s="788"/>
      <c r="AG22" s="341"/>
      <c r="AH22" s="788" t="s">
        <v>1492</v>
      </c>
      <c r="AI22" s="788"/>
      <c r="AJ22" s="788"/>
      <c r="AK22" s="788"/>
      <c r="AL22" s="788"/>
      <c r="AM22" s="788"/>
      <c r="AN22" s="341"/>
      <c r="AO22" s="341"/>
      <c r="AP22" s="341"/>
      <c r="AQ22" s="341"/>
      <c r="AR22" s="341"/>
      <c r="AS22" s="341"/>
    </row>
    <row r="23" spans="1:46" s="340" customFormat="1" ht="15.95" customHeight="1" thickBot="1">
      <c r="B23" s="341"/>
      <c r="C23" s="341"/>
      <c r="D23" s="341"/>
      <c r="E23" s="341"/>
      <c r="F23" s="782" t="str">
        <f>IF(M02S04F02="Yes",M02S03F06,"")</f>
        <v/>
      </c>
      <c r="G23" s="783"/>
      <c r="H23" s="783"/>
      <c r="I23" s="783"/>
      <c r="J23" s="783"/>
      <c r="K23" s="784"/>
      <c r="L23" s="341"/>
      <c r="M23" s="782" t="str">
        <f>IF(M02S04F02="Yes",M02S03F07,"")</f>
        <v/>
      </c>
      <c r="N23" s="783"/>
      <c r="O23" s="783"/>
      <c r="P23" s="783"/>
      <c r="Q23" s="783"/>
      <c r="R23" s="784"/>
      <c r="S23" s="341"/>
      <c r="T23" s="782" t="str">
        <f>IF(M02S04F02="Yes",M02S03F08,"")</f>
        <v/>
      </c>
      <c r="U23" s="783"/>
      <c r="V23" s="783"/>
      <c r="W23" s="783"/>
      <c r="X23" s="783"/>
      <c r="Y23" s="784"/>
      <c r="Z23" s="341"/>
      <c r="AA23" s="805" t="str">
        <f>IF(M02S04F02="Yes",M02S03F09,"")</f>
        <v/>
      </c>
      <c r="AB23" s="806"/>
      <c r="AC23" s="806"/>
      <c r="AD23" s="806"/>
      <c r="AE23" s="806"/>
      <c r="AF23" s="807"/>
      <c r="AG23" s="341"/>
      <c r="AH23" s="808" t="str">
        <f>IF(M02S04F02="Yes",M02S03F10,"")</f>
        <v/>
      </c>
      <c r="AI23" s="809"/>
      <c r="AJ23" s="809"/>
      <c r="AK23" s="809"/>
      <c r="AL23" s="809"/>
      <c r="AM23" s="810"/>
      <c r="AN23" s="341"/>
      <c r="AO23" s="341"/>
      <c r="AP23" s="341"/>
      <c r="AQ23" s="341"/>
      <c r="AR23" s="341"/>
      <c r="AS23" s="341"/>
    </row>
    <row r="24" spans="1:46" s="235" customFormat="1" ht="15.95" customHeight="1">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s="338"/>
    </row>
    <row r="25" spans="1:46" s="235" customFormat="1" ht="15.95" customHeight="1">
      <c r="A25" s="728" t="s">
        <v>326</v>
      </c>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344"/>
    </row>
    <row r="26" spans="1:46" s="235" customFormat="1" ht="15.95" customHeight="1">
      <c r="A26" s="728"/>
      <c r="B26" s="728"/>
      <c r="C26" s="728"/>
      <c r="D26" s="728"/>
      <c r="E26" s="728"/>
      <c r="F26" s="728"/>
      <c r="G26" s="728"/>
      <c r="H26" s="728"/>
      <c r="I26" s="728"/>
      <c r="J26" s="728"/>
      <c r="K26" s="728"/>
      <c r="L26" s="728"/>
      <c r="M26" s="728"/>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344"/>
    </row>
    <row r="27" spans="1:46" s="235" customFormat="1" ht="15.95" customHeight="1"/>
    <row r="28" spans="1:46" s="235" customFormat="1" ht="15.95" customHeight="1" thickBot="1">
      <c r="B28" s="338"/>
      <c r="C28" s="338"/>
      <c r="D28" s="338"/>
      <c r="E28" s="338"/>
      <c r="I28" s="789" t="s">
        <v>1503</v>
      </c>
      <c r="J28" s="789"/>
      <c r="K28" s="789"/>
      <c r="L28" s="789"/>
      <c r="M28" s="789"/>
      <c r="N28" s="789"/>
      <c r="O28" s="338"/>
      <c r="P28" s="789" t="s">
        <v>2635</v>
      </c>
      <c r="Q28" s="789"/>
      <c r="R28" s="789"/>
      <c r="S28" s="789"/>
      <c r="T28" s="789"/>
      <c r="U28" s="789"/>
      <c r="V28" s="338"/>
      <c r="W28" s="345" t="s">
        <v>1504</v>
      </c>
      <c r="AC28" s="338"/>
      <c r="AE28" s="345"/>
      <c r="AF28" s="345"/>
      <c r="AG28" s="338"/>
      <c r="AH28" s="345"/>
      <c r="AI28" s="345"/>
    </row>
    <row r="29" spans="1:46" s="235" customFormat="1" ht="15.95" customHeight="1" thickBot="1">
      <c r="B29" s="338"/>
      <c r="C29" s="338"/>
      <c r="D29" s="338"/>
      <c r="E29" s="338"/>
      <c r="I29" s="752"/>
      <c r="J29" s="753"/>
      <c r="K29" s="753"/>
      <c r="L29" s="753"/>
      <c r="M29" s="753"/>
      <c r="N29" s="754"/>
      <c r="O29" s="338"/>
      <c r="P29" s="752"/>
      <c r="Q29" s="753"/>
      <c r="R29" s="753"/>
      <c r="S29" s="753"/>
      <c r="T29" s="753"/>
      <c r="U29" s="754"/>
      <c r="V29" s="338"/>
      <c r="W29" s="752"/>
      <c r="X29" s="753"/>
      <c r="Y29" s="753"/>
      <c r="Z29" s="753"/>
      <c r="AA29" s="753"/>
      <c r="AB29" s="753"/>
      <c r="AC29" s="753"/>
      <c r="AD29" s="753"/>
      <c r="AE29" s="753"/>
      <c r="AF29" s="753"/>
      <c r="AG29" s="753"/>
      <c r="AH29" s="753"/>
      <c r="AI29" s="754"/>
      <c r="AN29" s="338"/>
    </row>
    <row r="30" spans="1:46" s="235" customFormat="1" ht="15.95" customHeight="1">
      <c r="B30" s="338"/>
      <c r="C30" s="345"/>
      <c r="D30" s="345"/>
      <c r="E30" s="345"/>
      <c r="F30" s="345"/>
      <c r="G30" s="345"/>
      <c r="H30" s="345"/>
      <c r="AK30" s="338"/>
      <c r="AL30" s="345"/>
      <c r="AM30" s="345"/>
      <c r="AN30" s="345"/>
      <c r="AO30" s="345"/>
      <c r="AP30" s="345"/>
      <c r="AQ30" s="345"/>
      <c r="AR30" s="338"/>
    </row>
    <row r="31" spans="1:46" s="235" customFormat="1" ht="15.95" customHeight="1" thickBot="1">
      <c r="B31" s="338"/>
      <c r="C31" s="345"/>
      <c r="D31" s="345"/>
      <c r="E31" s="345"/>
      <c r="F31" s="345"/>
      <c r="G31" s="345"/>
      <c r="H31" s="345"/>
      <c r="I31" s="789" t="s">
        <v>1505</v>
      </c>
      <c r="J31" s="789"/>
      <c r="K31" s="789"/>
      <c r="L31" s="789"/>
      <c r="M31" s="789"/>
      <c r="N31" s="789"/>
      <c r="O31" s="338"/>
      <c r="P31" s="789" t="s">
        <v>1506</v>
      </c>
      <c r="Q31" s="789"/>
      <c r="R31" s="789"/>
      <c r="S31" s="789"/>
      <c r="T31" s="789"/>
      <c r="U31" s="789"/>
      <c r="V31" s="338"/>
      <c r="W31" s="789" t="s">
        <v>1507</v>
      </c>
      <c r="X31" s="789"/>
      <c r="Y31" s="789"/>
      <c r="Z31" s="789"/>
      <c r="AA31" s="789"/>
      <c r="AB31" s="789"/>
      <c r="AC31" s="338"/>
      <c r="AD31" s="789" t="s">
        <v>1508</v>
      </c>
      <c r="AE31" s="789"/>
      <c r="AF31" s="789"/>
      <c r="AG31" s="789"/>
      <c r="AH31" s="789"/>
      <c r="AI31" s="789"/>
    </row>
    <row r="32" spans="1:46" s="235" customFormat="1" ht="15.95" customHeight="1" thickBot="1">
      <c r="B32" s="338"/>
      <c r="C32" s="345"/>
      <c r="D32" s="345"/>
      <c r="E32" s="345"/>
      <c r="I32" s="752"/>
      <c r="J32" s="753"/>
      <c r="K32" s="753"/>
      <c r="L32" s="753"/>
      <c r="M32" s="753"/>
      <c r="N32" s="754"/>
      <c r="O32" s="338"/>
      <c r="P32" s="799"/>
      <c r="Q32" s="800"/>
      <c r="R32" s="800"/>
      <c r="S32" s="800"/>
      <c r="T32" s="800"/>
      <c r="U32" s="801"/>
      <c r="V32" s="338"/>
      <c r="W32" s="799"/>
      <c r="X32" s="800"/>
      <c r="Y32" s="800"/>
      <c r="Z32" s="800"/>
      <c r="AA32" s="800"/>
      <c r="AB32" s="801"/>
      <c r="AC32" s="338"/>
      <c r="AD32" s="752"/>
      <c r="AE32" s="753"/>
      <c r="AF32" s="753"/>
      <c r="AG32" s="753"/>
      <c r="AH32" s="753"/>
      <c r="AI32" s="754"/>
      <c r="AJ32" s="338"/>
      <c r="AK32" s="338"/>
      <c r="AL32" s="338"/>
      <c r="AM32" s="338"/>
      <c r="AN32" s="345"/>
      <c r="AO32" s="345"/>
      <c r="AP32" s="345"/>
      <c r="AQ32" s="345"/>
      <c r="AR32" s="338"/>
    </row>
    <row r="33" spans="2:44" s="235" customFormat="1" ht="15.95" customHeight="1">
      <c r="B33" s="338"/>
      <c r="C33" s="338"/>
      <c r="D33" s="338"/>
      <c r="E33" s="338"/>
      <c r="F33" s="338"/>
      <c r="G33" s="338"/>
      <c r="H33" s="338"/>
      <c r="AJ33" s="338"/>
      <c r="AK33" s="338"/>
      <c r="AL33" s="338"/>
      <c r="AM33" s="338"/>
      <c r="AN33" s="338"/>
      <c r="AO33" s="338"/>
      <c r="AP33" s="338"/>
      <c r="AQ33" s="338"/>
      <c r="AR33" s="338"/>
    </row>
    <row r="34" spans="2:44" s="235" customFormat="1" ht="15.95" customHeight="1" thickBot="1">
      <c r="B34" s="338"/>
      <c r="C34" s="338"/>
      <c r="D34" s="346"/>
      <c r="E34" s="346"/>
      <c r="F34" s="346" t="s">
        <v>1509</v>
      </c>
      <c r="G34" s="346"/>
      <c r="H34" s="346"/>
      <c r="I34" s="338"/>
      <c r="J34" s="338"/>
      <c r="K34" s="338"/>
      <c r="L34" s="338"/>
      <c r="M34" s="338"/>
      <c r="N34" s="338"/>
      <c r="O34" s="338"/>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38"/>
      <c r="AM34" s="338"/>
      <c r="AN34" s="338"/>
      <c r="AO34" s="338"/>
      <c r="AP34" s="338"/>
      <c r="AQ34" s="338"/>
      <c r="AR34" s="338"/>
    </row>
    <row r="35" spans="2:44" s="235" customFormat="1" ht="15.95" customHeight="1">
      <c r="B35" s="338"/>
      <c r="C35" s="338"/>
      <c r="D35" s="346"/>
      <c r="E35" s="346"/>
      <c r="F35" s="790"/>
      <c r="G35" s="791"/>
      <c r="H35" s="791"/>
      <c r="I35" s="791"/>
      <c r="J35" s="791"/>
      <c r="K35" s="791"/>
      <c r="L35" s="791"/>
      <c r="M35" s="791"/>
      <c r="N35" s="791"/>
      <c r="O35" s="791"/>
      <c r="P35" s="791"/>
      <c r="Q35" s="791"/>
      <c r="R35" s="791"/>
      <c r="S35" s="791"/>
      <c r="T35" s="791"/>
      <c r="U35" s="791"/>
      <c r="V35" s="791"/>
      <c r="W35" s="791"/>
      <c r="X35" s="791"/>
      <c r="Y35" s="791"/>
      <c r="Z35" s="791"/>
      <c r="AA35" s="791"/>
      <c r="AB35" s="791"/>
      <c r="AC35" s="791"/>
      <c r="AD35" s="791"/>
      <c r="AE35" s="791"/>
      <c r="AF35" s="791"/>
      <c r="AG35" s="791"/>
      <c r="AH35" s="791"/>
      <c r="AI35" s="791"/>
      <c r="AJ35" s="791"/>
      <c r="AK35" s="791"/>
      <c r="AL35" s="791"/>
      <c r="AM35" s="792"/>
      <c r="AN35" s="338"/>
      <c r="AO35" s="338"/>
      <c r="AP35" s="338"/>
      <c r="AQ35" s="338"/>
      <c r="AR35" s="338"/>
    </row>
    <row r="36" spans="2:44" s="235" customFormat="1" ht="15.95" customHeight="1">
      <c r="B36" s="338"/>
      <c r="C36" s="338"/>
      <c r="D36" s="346"/>
      <c r="E36" s="346"/>
      <c r="F36" s="793"/>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c r="AE36" s="794"/>
      <c r="AF36" s="794"/>
      <c r="AG36" s="794"/>
      <c r="AH36" s="794"/>
      <c r="AI36" s="794"/>
      <c r="AJ36" s="794"/>
      <c r="AK36" s="794"/>
      <c r="AL36" s="794"/>
      <c r="AM36" s="795"/>
      <c r="AN36" s="338"/>
      <c r="AO36" s="338"/>
      <c r="AP36" s="338"/>
      <c r="AQ36" s="338"/>
      <c r="AR36" s="338"/>
    </row>
    <row r="37" spans="2:44" s="235" customFormat="1" ht="15.95" customHeight="1">
      <c r="B37" s="338"/>
      <c r="C37" s="338"/>
      <c r="D37" s="346"/>
      <c r="E37" s="346"/>
      <c r="F37" s="793"/>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c r="AI37" s="794"/>
      <c r="AJ37" s="794"/>
      <c r="AK37" s="794"/>
      <c r="AL37" s="794"/>
      <c r="AM37" s="795"/>
      <c r="AN37" s="338"/>
      <c r="AO37" s="338"/>
      <c r="AP37" s="338"/>
      <c r="AQ37" s="338"/>
      <c r="AR37" s="338"/>
    </row>
    <row r="38" spans="2:44" s="235" customFormat="1" ht="15.95" customHeight="1">
      <c r="B38" s="338"/>
      <c r="C38" s="338"/>
      <c r="D38" s="346"/>
      <c r="E38" s="346"/>
      <c r="F38" s="793"/>
      <c r="G38" s="794"/>
      <c r="H38" s="794"/>
      <c r="I38" s="794"/>
      <c r="J38" s="794"/>
      <c r="K38" s="794"/>
      <c r="L38" s="794"/>
      <c r="M38" s="794"/>
      <c r="N38" s="794"/>
      <c r="O38" s="794"/>
      <c r="P38" s="794"/>
      <c r="Q38" s="794"/>
      <c r="R38" s="794"/>
      <c r="S38" s="794"/>
      <c r="T38" s="794"/>
      <c r="U38" s="794"/>
      <c r="V38" s="794"/>
      <c r="W38" s="794"/>
      <c r="X38" s="794"/>
      <c r="Y38" s="794"/>
      <c r="Z38" s="794"/>
      <c r="AA38" s="794"/>
      <c r="AB38" s="794"/>
      <c r="AC38" s="794"/>
      <c r="AD38" s="794"/>
      <c r="AE38" s="794"/>
      <c r="AF38" s="794"/>
      <c r="AG38" s="794"/>
      <c r="AH38" s="794"/>
      <c r="AI38" s="794"/>
      <c r="AJ38" s="794"/>
      <c r="AK38" s="794"/>
      <c r="AL38" s="794"/>
      <c r="AM38" s="795"/>
      <c r="AN38" s="338"/>
      <c r="AO38" s="338"/>
      <c r="AP38" s="338"/>
      <c r="AQ38" s="338"/>
      <c r="AR38" s="338"/>
    </row>
    <row r="39" spans="2:44" s="235" customFormat="1" ht="15.95" customHeight="1">
      <c r="B39" s="338"/>
      <c r="C39" s="338"/>
      <c r="D39" s="346"/>
      <c r="E39" s="346"/>
      <c r="F39" s="793"/>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4"/>
      <c r="AF39" s="794"/>
      <c r="AG39" s="794"/>
      <c r="AH39" s="794"/>
      <c r="AI39" s="794"/>
      <c r="AJ39" s="794"/>
      <c r="AK39" s="794"/>
      <c r="AL39" s="794"/>
      <c r="AM39" s="795"/>
      <c r="AN39" s="338"/>
      <c r="AO39" s="338"/>
      <c r="AP39" s="338"/>
      <c r="AQ39" s="338"/>
      <c r="AR39" s="338"/>
    </row>
    <row r="40" spans="2:44" s="235" customFormat="1" ht="15.95" customHeight="1">
      <c r="B40" s="338"/>
      <c r="C40" s="338"/>
      <c r="D40" s="346"/>
      <c r="E40" s="346"/>
      <c r="F40" s="793"/>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4"/>
      <c r="AF40" s="794"/>
      <c r="AG40" s="794"/>
      <c r="AH40" s="794"/>
      <c r="AI40" s="794"/>
      <c r="AJ40" s="794"/>
      <c r="AK40" s="794"/>
      <c r="AL40" s="794"/>
      <c r="AM40" s="795"/>
      <c r="AN40" s="338"/>
      <c r="AO40" s="338"/>
      <c r="AP40" s="338"/>
      <c r="AQ40" s="338"/>
      <c r="AR40" s="338"/>
    </row>
    <row r="41" spans="2:44" s="235" customFormat="1" ht="15.95" customHeight="1">
      <c r="B41" s="338"/>
      <c r="C41" s="338"/>
      <c r="D41" s="346"/>
      <c r="E41" s="346"/>
      <c r="F41" s="793"/>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4"/>
      <c r="AF41" s="794"/>
      <c r="AG41" s="794"/>
      <c r="AH41" s="794"/>
      <c r="AI41" s="794"/>
      <c r="AJ41" s="794"/>
      <c r="AK41" s="794"/>
      <c r="AL41" s="794"/>
      <c r="AM41" s="795"/>
      <c r="AN41" s="338"/>
      <c r="AO41" s="338"/>
      <c r="AP41" s="338"/>
      <c r="AQ41" s="338"/>
      <c r="AR41" s="338"/>
    </row>
    <row r="42" spans="2:44" s="235" customFormat="1" ht="15.95" customHeight="1" thickBot="1">
      <c r="B42" s="338"/>
      <c r="C42" s="338"/>
      <c r="D42" s="346"/>
      <c r="E42" s="346"/>
      <c r="F42" s="796"/>
      <c r="G42" s="797"/>
      <c r="H42" s="797"/>
      <c r="I42" s="797"/>
      <c r="J42" s="797"/>
      <c r="K42" s="797"/>
      <c r="L42" s="797"/>
      <c r="M42" s="797"/>
      <c r="N42" s="797"/>
      <c r="O42" s="797"/>
      <c r="P42" s="797"/>
      <c r="Q42" s="797"/>
      <c r="R42" s="797"/>
      <c r="S42" s="797"/>
      <c r="T42" s="797"/>
      <c r="U42" s="797"/>
      <c r="V42" s="797"/>
      <c r="W42" s="797"/>
      <c r="X42" s="797"/>
      <c r="Y42" s="797"/>
      <c r="Z42" s="797"/>
      <c r="AA42" s="797"/>
      <c r="AB42" s="797"/>
      <c r="AC42" s="797"/>
      <c r="AD42" s="797"/>
      <c r="AE42" s="797"/>
      <c r="AF42" s="797"/>
      <c r="AG42" s="797"/>
      <c r="AH42" s="797"/>
      <c r="AI42" s="797"/>
      <c r="AJ42" s="797"/>
      <c r="AK42" s="797"/>
      <c r="AL42" s="797"/>
      <c r="AM42" s="798"/>
      <c r="AN42" s="338"/>
      <c r="AO42" s="338"/>
      <c r="AP42" s="338"/>
      <c r="AQ42" s="338"/>
      <c r="AR42" s="338"/>
    </row>
    <row r="43" spans="2:44" s="235" customFormat="1" ht="15.95" customHeight="1">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7"/>
      <c r="AI43" s="347"/>
      <c r="AJ43" s="347"/>
      <c r="AK43" s="347"/>
      <c r="AL43" s="347"/>
      <c r="AM43" s="347"/>
      <c r="AN43" s="347"/>
      <c r="AO43" s="347"/>
      <c r="AP43" s="347"/>
      <c r="AQ43" s="347"/>
    </row>
    <row r="44" spans="2:44" s="235" customFormat="1" ht="15.95" hidden="1" customHeight="1">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row>
    <row r="45" spans="2:44" s="235" customFormat="1" ht="15.95" hidden="1" customHeight="1"/>
    <row r="46" spans="2:44" s="235" customFormat="1" ht="15.95" hidden="1" customHeight="1"/>
    <row r="47" spans="2:44" s="235" customFormat="1" ht="15.95" hidden="1" customHeight="1"/>
    <row r="48" spans="2:44" s="235" customFormat="1" ht="15.95" hidden="1" customHeight="1"/>
    <row r="49" s="235" customFormat="1" ht="15.95" hidden="1" customHeight="1"/>
    <row r="50" s="235" customFormat="1" ht="15.95" hidden="1" customHeight="1"/>
    <row r="51" s="235" customFormat="1" ht="15.95" hidden="1" customHeight="1"/>
    <row r="52" s="235" customFormat="1" ht="15.95" hidden="1" customHeight="1"/>
    <row r="53" s="235" customFormat="1" ht="15.95" hidden="1" customHeight="1"/>
    <row r="54" s="235" customFormat="1" ht="15.95" hidden="1" customHeight="1"/>
    <row r="55" s="235" customFormat="1" ht="15.95" hidden="1" customHeight="1"/>
    <row r="56" s="235" customFormat="1" ht="15.95" hidden="1" customHeight="1"/>
    <row r="57" s="235" customFormat="1" ht="15.95" hidden="1" customHeight="1"/>
    <row r="58" s="235" customFormat="1" ht="15.95" hidden="1" customHeight="1"/>
    <row r="59" s="235" customFormat="1" ht="15.95" hidden="1" customHeight="1"/>
    <row r="60" s="235" customFormat="1" ht="15.95" hidden="1" customHeight="1"/>
    <row r="61" s="235" customFormat="1" ht="15.95" hidden="1" customHeight="1"/>
    <row r="62" s="235" customFormat="1" ht="15.95" hidden="1" customHeight="1"/>
    <row r="63" s="235" customFormat="1" ht="15.95" hidden="1" customHeight="1"/>
    <row r="64" s="235" customFormat="1" ht="15.95" hidden="1" customHeight="1"/>
    <row r="65" s="235" customFormat="1" ht="15.95" hidden="1" customHeight="1"/>
    <row r="66" s="235" customFormat="1" ht="15.95" hidden="1" customHeight="1"/>
    <row r="67" s="235" customFormat="1" ht="15.95" hidden="1" customHeight="1"/>
    <row r="68" s="235" customFormat="1" ht="15.95" hidden="1" customHeight="1"/>
    <row r="69" s="235" customFormat="1" ht="15.95" hidden="1" customHeight="1"/>
    <row r="70" s="235" customFormat="1" ht="15.95" hidden="1" customHeight="1"/>
    <row r="71" s="235" customFormat="1" ht="15.95" hidden="1" customHeight="1"/>
    <row r="72" s="235" customFormat="1" ht="15.95" hidden="1" customHeight="1"/>
    <row r="73" s="235" customFormat="1" ht="15.95" hidden="1" customHeight="1"/>
    <row r="74" s="235" customFormat="1" ht="15.95" hidden="1" customHeight="1"/>
    <row r="75" s="235" customFormat="1" ht="15.95" hidden="1" customHeight="1"/>
    <row r="76" s="235" customFormat="1" ht="15.95" hidden="1" customHeight="1"/>
    <row r="77" s="235" customFormat="1" ht="15.95" hidden="1" customHeight="1"/>
    <row r="78" s="235" customFormat="1" ht="15.95" hidden="1" customHeight="1"/>
    <row r="79" s="235" customFormat="1" ht="15.95" hidden="1" customHeight="1"/>
    <row r="80" s="235" customFormat="1" ht="15.95" hidden="1" customHeight="1"/>
    <row r="81" s="235" customFormat="1" ht="15.95" hidden="1" customHeight="1"/>
    <row r="82" s="235" customFormat="1" ht="15.95" hidden="1" customHeight="1"/>
    <row r="83" s="235" customFormat="1" ht="15.95" hidden="1" customHeight="1"/>
    <row r="84" s="235" customFormat="1" ht="15.95" hidden="1" customHeight="1"/>
    <row r="85" s="235" customFormat="1" ht="15.95" hidden="1" customHeight="1"/>
    <row r="86" s="235" customFormat="1" ht="15.95" hidden="1" customHeight="1"/>
    <row r="87" s="235" customFormat="1" ht="15.95" hidden="1" customHeight="1"/>
    <row r="88" s="235" customFormat="1" ht="15.95" hidden="1" customHeight="1"/>
    <row r="89" s="235" customFormat="1" ht="15.95" hidden="1" customHeight="1"/>
    <row r="90" s="235" customFormat="1" ht="15.95" hidden="1" customHeight="1"/>
    <row r="91" s="235" customFormat="1" ht="15.95" hidden="1" customHeight="1"/>
    <row r="92" s="235" customFormat="1" ht="15.95" hidden="1" customHeight="1"/>
    <row r="93" s="235" customFormat="1" ht="15.95" hidden="1" customHeight="1"/>
    <row r="94" s="235" customFormat="1" ht="15.95" hidden="1" customHeight="1"/>
    <row r="95" s="235" customFormat="1" ht="15.95" hidden="1" customHeight="1"/>
    <row r="96" s="235" customFormat="1" ht="15.95" hidden="1" customHeight="1"/>
    <row r="97" s="235" customFormat="1" ht="15.95" hidden="1" customHeight="1"/>
    <row r="98" s="235" customFormat="1" ht="15.95" hidden="1" customHeight="1"/>
    <row r="99" s="235" customFormat="1" ht="15.95" hidden="1" customHeight="1"/>
    <row r="100" s="235" customFormat="1" ht="15.95" hidden="1" customHeight="1"/>
    <row r="101" s="235" customFormat="1" ht="15.95" hidden="1" customHeight="1"/>
    <row r="102" s="235" customFormat="1" ht="15.95" hidden="1" customHeight="1"/>
    <row r="103" s="235" customFormat="1" ht="15.95" hidden="1" customHeight="1"/>
    <row r="104" s="235" customFormat="1" ht="15.95" hidden="1" customHeight="1"/>
    <row r="105" s="235" customFormat="1" ht="15.95" hidden="1" customHeight="1"/>
    <row r="106" s="235" customFormat="1" ht="15.95" hidden="1" customHeight="1"/>
    <row r="107" s="235" customFormat="1" ht="15.95" hidden="1" customHeight="1"/>
    <row r="108" s="235" customFormat="1" ht="15.95" hidden="1" customHeight="1"/>
    <row r="109" s="235" customFormat="1" ht="15.95" hidden="1" customHeight="1"/>
    <row r="110" s="235" customFormat="1" ht="15.95" hidden="1" customHeight="1"/>
    <row r="111" s="235" customFormat="1" ht="15.95" hidden="1" customHeight="1"/>
    <row r="112" s="235" customFormat="1" ht="15.95" hidden="1" customHeight="1"/>
    <row r="113" s="235" customFormat="1" ht="15.95" hidden="1" customHeight="1"/>
    <row r="114" s="235" customFormat="1" ht="15.95" hidden="1" customHeight="1"/>
    <row r="115" s="235" customFormat="1" ht="15.95" hidden="1" customHeight="1"/>
    <row r="116" s="235" customFormat="1" ht="15.95" hidden="1" customHeight="1"/>
    <row r="117" s="235" customFormat="1" ht="15.95" hidden="1" customHeight="1"/>
    <row r="118" s="235" customFormat="1" ht="15.95" hidden="1" customHeight="1"/>
    <row r="119" s="235" customFormat="1" ht="15.95" hidden="1" customHeight="1"/>
    <row r="120" s="235" customFormat="1" ht="15.95" hidden="1" customHeight="1"/>
    <row r="121" s="235" customFormat="1" ht="15.95" hidden="1" customHeight="1"/>
    <row r="122" s="235" customFormat="1" ht="15.95" hidden="1" customHeight="1"/>
    <row r="123" s="235" customFormat="1" ht="15.95" hidden="1" customHeight="1"/>
    <row r="124" s="235" customFormat="1" ht="15.95" hidden="1" customHeight="1"/>
    <row r="125" s="235" customFormat="1" ht="15.95" hidden="1" customHeight="1"/>
    <row r="126" s="235" customFormat="1" ht="15.95" hidden="1" customHeight="1"/>
    <row r="127" s="235" customFormat="1" ht="15.95" hidden="1" customHeight="1"/>
    <row r="128" s="235" customFormat="1" ht="15.95" hidden="1" customHeight="1"/>
    <row r="129" s="235" customFormat="1" ht="15.95" hidden="1" customHeight="1"/>
    <row r="130" s="235" customFormat="1" ht="15.95" hidden="1" customHeight="1"/>
    <row r="131" s="235" customFormat="1" ht="15.95" hidden="1" customHeight="1"/>
    <row r="132" s="235" customFormat="1" ht="15.95" hidden="1" customHeight="1"/>
    <row r="133" s="235" customFormat="1" ht="15.95" hidden="1" customHeight="1"/>
    <row r="134" s="235" customFormat="1" ht="15.95" hidden="1" customHeight="1"/>
    <row r="135" s="235" customFormat="1" ht="15.95" hidden="1" customHeight="1"/>
    <row r="136" s="235" customFormat="1" ht="15.95" hidden="1" customHeight="1"/>
    <row r="137" s="235" customFormat="1" ht="15.95" hidden="1" customHeight="1"/>
    <row r="138" s="235" customFormat="1" ht="15.95" hidden="1" customHeight="1"/>
    <row r="139" s="235" customFormat="1" ht="15.95" hidden="1" customHeight="1"/>
    <row r="140" s="235" customFormat="1" ht="15.95" hidden="1" customHeight="1"/>
    <row r="141" s="235" customFormat="1" ht="15.95" hidden="1" customHeight="1"/>
    <row r="142" s="235" customFormat="1" ht="15.95" hidden="1" customHeight="1"/>
    <row r="143" s="235" customFormat="1" ht="15.95" hidden="1" customHeight="1"/>
    <row r="144" s="235" customFormat="1" ht="15.95" hidden="1" customHeight="1"/>
    <row r="145" s="235" customFormat="1" ht="15.95" hidden="1" customHeight="1"/>
    <row r="146" s="235" customFormat="1" ht="15.95" hidden="1" customHeight="1"/>
    <row r="147" s="235" customFormat="1" ht="15.95" hidden="1" customHeight="1"/>
    <row r="148" s="235" customFormat="1" ht="15.95" hidden="1" customHeight="1"/>
    <row r="149" s="235" customFormat="1" ht="15.95" hidden="1" customHeight="1"/>
    <row r="150" s="235" customFormat="1" ht="15.95" hidden="1" customHeight="1"/>
    <row r="151" s="235" customFormat="1" ht="15.95" hidden="1" customHeight="1"/>
    <row r="152" s="235" customFormat="1" ht="15.95" hidden="1" customHeight="1"/>
    <row r="153" s="235" customFormat="1" ht="15.95" hidden="1" customHeight="1"/>
    <row r="154" s="235" customFormat="1" ht="15.95" hidden="1" customHeight="1"/>
    <row r="155" s="235" customFormat="1" ht="15.95" hidden="1" customHeight="1"/>
    <row r="156" s="235" customFormat="1" ht="15.95" hidden="1" customHeight="1"/>
    <row r="157" s="235" customFormat="1" ht="15.95" hidden="1" customHeight="1"/>
    <row r="158" s="235" customFormat="1" ht="15.95" hidden="1" customHeight="1"/>
    <row r="159" s="235" customFormat="1" ht="15.95" hidden="1" customHeight="1"/>
    <row r="160" s="235" customFormat="1" ht="15.95" hidden="1" customHeight="1"/>
    <row r="161" s="235" customFormat="1" ht="15.95" hidden="1" customHeight="1"/>
    <row r="162" s="235" customFormat="1" ht="15.95" hidden="1" customHeight="1"/>
    <row r="163" s="235" customFormat="1" ht="15.95" hidden="1" customHeight="1"/>
    <row r="164" s="235" customFormat="1" ht="15.95" hidden="1" customHeight="1"/>
    <row r="165" s="235" customFormat="1" ht="15.95" hidden="1" customHeight="1"/>
    <row r="166" s="235" customFormat="1" ht="15.95" hidden="1" customHeight="1"/>
    <row r="167" s="235" customFormat="1" ht="15.95" hidden="1" customHeight="1"/>
    <row r="168" s="235" customFormat="1" ht="15.95" hidden="1" customHeight="1"/>
    <row r="169" s="235" customFormat="1" ht="15.95" hidden="1" customHeight="1"/>
    <row r="170" s="235" customFormat="1" ht="15.95" hidden="1" customHeight="1"/>
    <row r="171" s="235" customFormat="1" ht="15.95" hidden="1" customHeight="1"/>
    <row r="172" s="235" customFormat="1" ht="15.95" hidden="1" customHeight="1"/>
    <row r="173" s="235" customFormat="1" ht="15.95" hidden="1" customHeight="1"/>
    <row r="174" s="235" customFormat="1" ht="15.95" hidden="1" customHeight="1"/>
    <row r="175" s="235" customFormat="1" ht="15.95" hidden="1" customHeight="1"/>
    <row r="176" s="235" customFormat="1" ht="15.95" hidden="1" customHeight="1"/>
    <row r="177" s="235" customFormat="1" ht="15.95" hidden="1" customHeight="1"/>
    <row r="178" s="235" customFormat="1" ht="15.95" hidden="1" customHeight="1"/>
    <row r="179" s="235" customFormat="1" ht="15.95" hidden="1" customHeight="1"/>
    <row r="180" s="235" customFormat="1" ht="15.95" hidden="1" customHeight="1"/>
    <row r="181" s="235" customFormat="1" ht="15.95" hidden="1" customHeight="1"/>
    <row r="182" s="235" customFormat="1" ht="15.95" hidden="1" customHeight="1"/>
    <row r="183" s="235" customFormat="1" ht="15.95" hidden="1" customHeight="1"/>
    <row r="184" s="235" customFormat="1" ht="15.95" hidden="1" customHeight="1"/>
    <row r="185" s="235" customFormat="1" ht="15.95" hidden="1" customHeight="1"/>
    <row r="186" s="235" customFormat="1" ht="15.95" hidden="1" customHeight="1"/>
    <row r="187" s="235" customFormat="1" ht="15.95" hidden="1" customHeight="1"/>
    <row r="188" s="235" customFormat="1" ht="15.95" hidden="1" customHeight="1"/>
    <row r="189" s="235" customFormat="1" ht="15.95" hidden="1" customHeight="1"/>
    <row r="190" s="235" customFormat="1" ht="15.95" hidden="1" customHeight="1"/>
    <row r="191" s="235" customFormat="1" ht="15.95" hidden="1" customHeight="1"/>
    <row r="192" s="235" customFormat="1" ht="15.95" hidden="1" customHeight="1"/>
    <row r="193" spans="1:45" s="235" customFormat="1" ht="15.95" hidden="1" customHeight="1"/>
    <row r="194" spans="1:45" s="235" customFormat="1" ht="15.95" hidden="1" customHeight="1"/>
    <row r="195" spans="1:45" s="235" customFormat="1" ht="15.95" hidden="1" customHeight="1"/>
    <row r="196" spans="1:45" s="235" customFormat="1" ht="15.95" hidden="1" customHeight="1"/>
    <row r="197" spans="1:45" s="235" customFormat="1" ht="15.95" hidden="1" customHeight="1"/>
    <row r="198" spans="1:45" s="235" customFormat="1" ht="15.95" hidden="1" customHeight="1"/>
    <row r="199" spans="1:45" s="235" customFormat="1" ht="15.95" hidden="1" customHeight="1"/>
    <row r="200" spans="1:45" s="235" customFormat="1"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s="235" customFormat="1"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t="15.95" hidden="1" customHeight="1"/>
    <row r="205" spans="1:45" ht="15.95" hidden="1" customHeight="1"/>
    <row r="206" spans="1:45" ht="15.95" hidden="1" customHeight="1"/>
    <row r="207" spans="1:45" ht="15.95" hidden="1" customHeight="1"/>
    <row r="208" spans="1:45"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rUfWXT5E+jYJ3thkAVw2rUyjC0k1GlMbAi5PAJGjP4kddidQPwVMnywo79raWUmBJuUiE+dOPTHenm8hYQOIzA==" saltValue="CWSMYU3c4JJpJHp5XcNWgA==" spinCount="100000" sheet="1" objects="1" scenarios="1" selectLockedCells="1"/>
  <mergeCells count="63">
    <mergeCell ref="A9:AS10"/>
    <mergeCell ref="A4:E6"/>
    <mergeCell ref="A7:E8"/>
    <mergeCell ref="AO5:AS6"/>
    <mergeCell ref="AO7:AS7"/>
    <mergeCell ref="AO8:AS8"/>
    <mergeCell ref="F1:I3"/>
    <mergeCell ref="J1:M3"/>
    <mergeCell ref="AH1:AK3"/>
    <mergeCell ref="AL1:AO3"/>
    <mergeCell ref="AP1:AS3"/>
    <mergeCell ref="O1:AE3"/>
    <mergeCell ref="AV12:BG12"/>
    <mergeCell ref="O20:Z20"/>
    <mergeCell ref="BH12:BJ12"/>
    <mergeCell ref="AA20:AC20"/>
    <mergeCell ref="AA18:AF18"/>
    <mergeCell ref="AH18:AM18"/>
    <mergeCell ref="J11:AJ12"/>
    <mergeCell ref="F17:K17"/>
    <mergeCell ref="M17:R17"/>
    <mergeCell ref="T17:Y17"/>
    <mergeCell ref="AA17:AF17"/>
    <mergeCell ref="AH17:AM17"/>
    <mergeCell ref="AV14:BA14"/>
    <mergeCell ref="F18:K18"/>
    <mergeCell ref="M18:R18"/>
    <mergeCell ref="T18:Y18"/>
    <mergeCell ref="AD14:AI14"/>
    <mergeCell ref="AD15:AI15"/>
    <mergeCell ref="AA23:AF23"/>
    <mergeCell ref="AH23:AM23"/>
    <mergeCell ref="F22:K22"/>
    <mergeCell ref="M22:R22"/>
    <mergeCell ref="AA22:AF22"/>
    <mergeCell ref="AH22:AM22"/>
    <mergeCell ref="F23:K23"/>
    <mergeCell ref="M23:R23"/>
    <mergeCell ref="W15:AB15"/>
    <mergeCell ref="W14:AB14"/>
    <mergeCell ref="I14:N14"/>
    <mergeCell ref="P14:U14"/>
    <mergeCell ref="P31:U31"/>
    <mergeCell ref="W31:AB31"/>
    <mergeCell ref="AD31:AI31"/>
    <mergeCell ref="I28:N28"/>
    <mergeCell ref="A25:AS26"/>
    <mergeCell ref="M200:AG201"/>
    <mergeCell ref="T23:Y23"/>
    <mergeCell ref="AV15:BA15"/>
    <mergeCell ref="T22:Y22"/>
    <mergeCell ref="P28:U28"/>
    <mergeCell ref="I15:N15"/>
    <mergeCell ref="P15:U15"/>
    <mergeCell ref="AD32:AI32"/>
    <mergeCell ref="F35:AM42"/>
    <mergeCell ref="P29:U29"/>
    <mergeCell ref="I32:N32"/>
    <mergeCell ref="P32:U32"/>
    <mergeCell ref="W32:AB32"/>
    <mergeCell ref="W29:AI29"/>
    <mergeCell ref="I29:N29"/>
    <mergeCell ref="I31:N31"/>
  </mergeCells>
  <conditionalFormatting sqref="AO8:AS8">
    <cfRule type="expression" dxfId="120" priority="3">
      <formula>IF($AO$8=PROJSTATMEASURE,FALSE,TRUE)</formula>
    </cfRule>
  </conditionalFormatting>
  <dataValidations count="18">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16:H16" xr:uid="{AA51ECA9-2A65-458F-8133-B347E350D1C6}">
      <formula1>10</formula1>
    </dataValidation>
    <dataValidation type="list" allowBlank="1" showInputMessage="1" showErrorMessage="1" sqref="I32:N32" xr:uid="{5C1725BA-0E1E-45FF-B4D1-1B38DE40A270}">
      <formula1>BUILDING</formula1>
    </dataValidation>
    <dataValidation type="whole" allowBlank="1" showInputMessage="1" showErrorMessage="1" prompt="Enter annual operating hours for the site._x000a_(Ex: open 8 hours/day * 5 days/week * 52 weeks/year = 2080 hours/year)" sqref="P32:U32" xr:uid="{59618DE2-A7A2-44C4-958F-D905D7501E0F}">
      <formula1>0</formula1>
      <formula2>8760</formula2>
    </dataValidation>
    <dataValidation type="whole" allowBlank="1" showInputMessage="1" showErrorMessage="1" sqref="W32:AB32" xr:uid="{8DE1D820-3C77-4B7C-AD47-2F29B60FE4CC}">
      <formula1>0</formula1>
      <formula2>9999999</formula2>
    </dataValidation>
    <dataValidation type="list" allowBlank="1" showInputMessage="1" showErrorMessage="1" sqref="AD32:AI32" xr:uid="{47D14104-3D37-4FC6-8484-6F967495C51E}">
      <formula1>SHEAT</formula1>
    </dataValidation>
    <dataValidation type="list" allowBlank="1" showInputMessage="1" showErrorMessage="1" sqref="AA20:AC20 BH12:BJ12" xr:uid="{DED0BB61-2EE9-4D92-94D5-80D860F1E31E}">
      <formula1>YESNOLIST</formula1>
    </dataValidation>
    <dataValidation type="list" allowBlank="1" showInputMessage="1" showErrorMessage="1" sqref="AA18:AF18"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W15:AB15" xr:uid="{E5D7314E-B462-4338-987F-852DABA28D9C}">
      <formula1>RATECLASSLIST</formula1>
    </dataValidation>
    <dataValidation type="list" allowBlank="1" showInputMessage="1" showErrorMessage="1" sqref="P29:U29" xr:uid="{6B916596-4B20-4D82-9328-2CA49F82BE84}">
      <formula1>BUSDEVELNAME</formula1>
    </dataValidation>
    <dataValidation type="list" allowBlank="1" showInputMessage="1" showErrorMessage="1" sqref="W29:AI29" xr:uid="{5973E5A2-8667-4FFC-8701-0A433308E0C9}">
      <formula1>CUSTINFOLIST</formula1>
    </dataValidation>
    <dataValidation type="custom" allowBlank="1" showInputMessage="1" showErrorMessage="1" error="Please enter a valid email address." sqref="AH23:AM23" xr:uid="{35B0F673-5C86-44C2-9CB2-D4FD7D5F095E}">
      <formula1>AND(FIND(".",AH23),FIND("@",AH23))</formula1>
    </dataValidation>
    <dataValidation type="textLength" allowBlank="1" showInputMessage="1" showErrorMessage="1" error="Please enter a valid phone number." sqref="AA23:AF23" xr:uid="{89394A42-0C7E-42E3-9AD2-9B71061BAFA5}">
      <formula1>7</formula1>
      <formula2>15</formula2>
    </dataValidation>
    <dataValidation allowBlank="1" showInputMessage="1" showErrorMessage="1" prompt="Please consult your utility bill for your account rate (Use your total monthly cost divided by your total kWh)." sqref="AD15:AI15" xr:uid="{915C5CA1-9F6A-4D52-9D8C-827D0F2970B6}"/>
    <dataValidation allowBlank="1" showInputMessage="1" showErrorMessage="1" prompt="Use this field for your personal project ID. _x000a_Example: Interior Lighting Phase 1" sqref="I29:N29" xr:uid="{E5D56153-BC85-4018-8345-8EAB50DE5142}"/>
    <dataValidation type="list" allowBlank="1" showInputMessage="1" showErrorMessage="1" prompt="Please use the dropdown to select zip code. You may also type in the field using the following format #####" sqref="AH18:AM18"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I15:N15 P15:U15" xr:uid="{8FF54D75-BAFE-4230-A478-BB4BAB786271}">
      <formula1>10</formula1>
    </dataValidation>
    <dataValidation allowBlank="1" showInputMessage="1" showErrorMessage="1" prompt="Please enter the name of the site where the equipment upgrades are occuring. " sqref="F18:K18"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T18:Y18" xr:uid="{A98310CC-6EAA-4C4B-9006-B8F763625A7F}">
      <formula1>CITIES</formula1>
    </dataValidation>
  </dataValidations>
  <hyperlinks>
    <hyperlink ref="J1:M3" location="'M01-S02'!J1" tooltip="Instructions" display="'M01-S02'!J1" xr:uid="{B9C6E923-B35B-4421-849E-26C82C5A09B2}"/>
    <hyperlink ref="AL1:AO3" location="'M05-S05'!AL1" tooltip=" " display="'M05-S05'!AL1" xr:uid="{605DB095-47EE-4B08-A2F6-59802863C4C9}"/>
    <hyperlink ref="AH1:AK3" location="'M05-S04'!AH1" tooltip=" " display="'M05-S04'!AH1" xr:uid="{80A86DAE-ED83-42A4-85D7-AFA14ADC5FCD}"/>
    <hyperlink ref="AP1:AS3" location="'M01-S03'!AP1" tooltip="Contact" display="'M01-S03'!AP1" xr:uid="{2DAA71C0-517A-48D6-B2BC-A3D96D8D4675}"/>
    <hyperlink ref="B202" r:id="rId1" xr:uid="{80E3E260-3153-48BE-AC11-82FC8C80614B}"/>
  </hyperlinks>
  <printOptions horizontalCentered="1"/>
  <pageMargins left="0.25" right="0.25" top="0.25" bottom="0.25" header="0.25" footer="0.25"/>
  <pageSetup scale="62"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pageSetUpPr fitToPage="1"/>
  </sheetPr>
  <dimension ref="A1:AT205"/>
  <sheetViews>
    <sheetView showGridLines="0" showRowColHeaders="0" zoomScale="85" zoomScaleNormal="85" workbookViewId="0">
      <selection activeCell="H6" sqref="H6"/>
    </sheetView>
  </sheetViews>
  <sheetFormatPr defaultColWidth="0" defaultRowHeight="15.95" customHeight="1" zeroHeight="1"/>
  <cols>
    <col min="1" max="45" width="4.7109375" style="14" customWidth="1"/>
    <col min="46" max="16384" width="4.7109375" style="14" hidden="1"/>
  </cols>
  <sheetData>
    <row r="1" spans="1:46" customFormat="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6" customFormat="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6" customFormat="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6" ht="15.95" customHeight="1">
      <c r="A4" s="773">
        <f>INCENTOTAL</f>
        <v>0</v>
      </c>
      <c r="B4" s="773"/>
      <c r="C4" s="773"/>
      <c r="D4" s="773"/>
      <c r="E4" s="773"/>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row>
    <row r="5" spans="1:46"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row>
    <row r="6" spans="1:46" ht="15.95" customHeight="1">
      <c r="A6" s="724"/>
      <c r="B6" s="724"/>
      <c r="C6" s="724"/>
      <c r="D6" s="724"/>
      <c r="E6" s="724"/>
      <c r="F6" s="180"/>
      <c r="G6" s="180"/>
      <c r="H6" s="36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row>
    <row r="7" spans="1:46"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row>
    <row r="8" spans="1:46"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row>
    <row r="9" spans="1:46" s="148" customFormat="1" ht="15.95" customHeight="1">
      <c r="A9" s="720" t="str">
        <f>M3S1</f>
        <v>Equipment Type</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6" s="148" customFormat="1"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6" s="148" customFormat="1" ht="15.95" customHeight="1">
      <c r="A11" s="398"/>
      <c r="B11" s="398"/>
      <c r="C11" s="398"/>
      <c r="D11" s="398"/>
      <c r="E11" s="398"/>
      <c r="F11" s="398"/>
      <c r="G11" s="398"/>
      <c r="H11" s="398"/>
      <c r="I11" s="398"/>
      <c r="J11" s="398"/>
      <c r="K11" s="398"/>
      <c r="L11" s="398"/>
      <c r="M11" s="398"/>
      <c r="N11" s="826" t="s">
        <v>1991</v>
      </c>
      <c r="O11" s="826"/>
      <c r="P11" s="826"/>
      <c r="Q11" s="826"/>
      <c r="R11" s="826"/>
      <c r="S11" s="826"/>
      <c r="T11" s="826"/>
      <c r="U11" s="826"/>
      <c r="V11" s="826"/>
      <c r="W11" s="826"/>
      <c r="X11" s="826"/>
      <c r="Y11" s="826"/>
      <c r="Z11" s="826"/>
      <c r="AA11" s="826"/>
      <c r="AB11" s="826"/>
      <c r="AC11" s="826"/>
      <c r="AD11" s="826"/>
      <c r="AE11" s="826"/>
      <c r="AF11" s="826"/>
      <c r="AG11" s="152"/>
      <c r="AH11" s="398"/>
      <c r="AI11" s="398"/>
      <c r="AJ11" s="398"/>
      <c r="AK11" s="398"/>
      <c r="AL11" s="398"/>
      <c r="AM11" s="398"/>
      <c r="AN11" s="398"/>
      <c r="AO11" s="399"/>
      <c r="AP11" s="399"/>
      <c r="AQ11" s="399"/>
      <c r="AR11" s="399"/>
      <c r="AS11" s="399"/>
    </row>
    <row r="12" spans="1:46" ht="15.95" customHeight="1">
      <c r="A12" s="150"/>
      <c r="B12" s="150"/>
      <c r="C12" s="150"/>
      <c r="D12" s="150"/>
      <c r="E12" s="150"/>
      <c r="F12" s="150"/>
      <c r="G12" s="150"/>
      <c r="H12" s="150"/>
      <c r="I12" s="150"/>
      <c r="J12" s="54"/>
      <c r="K12" s="180"/>
      <c r="L12" s="180"/>
      <c r="M12" s="180"/>
      <c r="N12" s="180"/>
      <c r="O12" s="180"/>
      <c r="P12" s="180"/>
      <c r="Q12" s="180"/>
      <c r="R12" s="152"/>
      <c r="S12" s="152"/>
      <c r="T12" s="152"/>
      <c r="U12" s="152"/>
      <c r="V12" s="152"/>
      <c r="W12" s="152"/>
      <c r="X12" s="152"/>
      <c r="Y12" s="152"/>
      <c r="Z12" s="152"/>
      <c r="AA12" s="152"/>
      <c r="AB12" s="152"/>
      <c r="AC12" s="152"/>
      <c r="AD12" s="152"/>
      <c r="AE12" s="152"/>
      <c r="AF12" s="152"/>
      <c r="AG12" s="152"/>
      <c r="AH12" s="180"/>
      <c r="AI12" s="180"/>
      <c r="AJ12" s="180"/>
      <c r="AK12" s="150"/>
      <c r="AL12" s="150"/>
      <c r="AM12" s="150"/>
      <c r="AN12" s="150"/>
      <c r="AO12" s="358"/>
      <c r="AP12" s="358"/>
      <c r="AQ12" s="358"/>
      <c r="AR12" s="358"/>
      <c r="AS12" s="358"/>
      <c r="AT12" s="150"/>
    </row>
    <row r="13" spans="1:46" customFormat="1" ht="15.95" customHeight="1">
      <c r="A13" s="150"/>
      <c r="B13" s="150"/>
      <c r="C13" s="54"/>
      <c r="D13" s="54"/>
      <c r="E13" s="54"/>
      <c r="F13" s="54"/>
      <c r="G13" s="149"/>
      <c r="H13" s="149"/>
      <c r="I13" s="149"/>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50"/>
      <c r="AL13" s="150"/>
      <c r="AM13" s="150"/>
      <c r="AN13" s="150"/>
      <c r="AO13" s="150"/>
      <c r="AP13" s="358"/>
      <c r="AQ13" s="358"/>
      <c r="AR13" s="358"/>
      <c r="AS13" s="358"/>
      <c r="AT13" s="150"/>
    </row>
    <row r="14" spans="1:46" customFormat="1" ht="15.95" customHeight="1">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235"/>
      <c r="AQ14" s="235"/>
      <c r="AR14" s="235"/>
      <c r="AS14" s="235"/>
    </row>
    <row r="15" spans="1:46" customFormat="1" ht="15.95" customHeight="1">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235"/>
      <c r="AQ15" s="235"/>
      <c r="AR15" s="235"/>
      <c r="AS15" s="235"/>
    </row>
    <row r="16" spans="1:46" customFormat="1" ht="15.95" customHeight="1">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235"/>
      <c r="AQ16" s="235"/>
      <c r="AR16" s="235"/>
      <c r="AS16" s="235"/>
    </row>
    <row r="17" spans="1:45" customFormat="1" ht="15.95" customHeight="1">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235"/>
      <c r="AQ17" s="235"/>
      <c r="AR17" s="235"/>
      <c r="AS17" s="235"/>
    </row>
    <row r="18" spans="1:45" customFormat="1" ht="15.95" customHeight="1">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235"/>
      <c r="AQ18" s="235"/>
      <c r="AR18" s="235"/>
      <c r="AS18" s="235"/>
    </row>
    <row r="19" spans="1:45" customFormat="1" ht="15.95" customHeight="1">
      <c r="A19" s="180"/>
      <c r="B19" s="180"/>
      <c r="C19" s="180"/>
      <c r="D19" s="180"/>
      <c r="E19" s="180"/>
      <c r="F19" s="180"/>
      <c r="G19" s="825" t="str">
        <f>M3S2</f>
        <v>Lighting</v>
      </c>
      <c r="H19" s="825"/>
      <c r="I19" s="825"/>
      <c r="J19" s="825"/>
      <c r="K19" s="825"/>
      <c r="L19" s="825"/>
      <c r="M19" s="825"/>
      <c r="N19" s="180"/>
      <c r="O19" s="180"/>
      <c r="P19" s="825" t="str">
        <f>M3S3</f>
        <v>Lighting Controls</v>
      </c>
      <c r="Q19" s="825"/>
      <c r="R19" s="825"/>
      <c r="S19" s="825"/>
      <c r="T19" s="825"/>
      <c r="U19" s="825"/>
      <c r="V19" s="825"/>
      <c r="W19" s="180"/>
      <c r="X19" s="180"/>
      <c r="Y19" s="825" t="str">
        <f>M3S4</f>
        <v>Refrigeration</v>
      </c>
      <c r="Z19" s="825"/>
      <c r="AA19" s="825"/>
      <c r="AB19" s="825"/>
      <c r="AC19" s="825"/>
      <c r="AD19" s="825"/>
      <c r="AE19" s="825"/>
      <c r="AF19" s="180"/>
      <c r="AG19" s="180"/>
      <c r="AH19" s="825" t="str">
        <f>M3S5</f>
        <v>HVAC</v>
      </c>
      <c r="AI19" s="825"/>
      <c r="AJ19" s="825"/>
      <c r="AK19" s="825"/>
      <c r="AL19" s="825"/>
      <c r="AM19" s="825"/>
      <c r="AN19" s="825"/>
      <c r="AO19" s="235"/>
      <c r="AP19" s="235"/>
      <c r="AQ19" s="235"/>
      <c r="AR19" s="235"/>
      <c r="AS19" s="235"/>
    </row>
    <row r="20" spans="1:45" customFormat="1" ht="15.95" customHeight="1">
      <c r="A20" s="180"/>
      <c r="B20" s="180"/>
      <c r="C20" s="180"/>
      <c r="D20" s="180"/>
      <c r="E20" s="180"/>
      <c r="F20" s="180"/>
      <c r="G20" s="825"/>
      <c r="H20" s="825"/>
      <c r="I20" s="825"/>
      <c r="J20" s="825"/>
      <c r="K20" s="825"/>
      <c r="L20" s="825"/>
      <c r="M20" s="825"/>
      <c r="N20" s="180"/>
      <c r="O20" s="180"/>
      <c r="P20" s="825"/>
      <c r="Q20" s="825"/>
      <c r="R20" s="825"/>
      <c r="S20" s="825"/>
      <c r="T20" s="825"/>
      <c r="U20" s="825"/>
      <c r="V20" s="825"/>
      <c r="W20" s="180"/>
      <c r="X20" s="180"/>
      <c r="Y20" s="825"/>
      <c r="Z20" s="825"/>
      <c r="AA20" s="825"/>
      <c r="AB20" s="825"/>
      <c r="AC20" s="825"/>
      <c r="AD20" s="825"/>
      <c r="AE20" s="825"/>
      <c r="AF20" s="180"/>
      <c r="AG20" s="54"/>
      <c r="AH20" s="825"/>
      <c r="AI20" s="825"/>
      <c r="AJ20" s="825"/>
      <c r="AK20" s="825"/>
      <c r="AL20" s="825"/>
      <c r="AM20" s="825"/>
      <c r="AN20" s="825"/>
      <c r="AO20" s="235"/>
      <c r="AP20" s="235"/>
      <c r="AQ20" s="235"/>
      <c r="AR20" s="235"/>
      <c r="AS20" s="235"/>
    </row>
    <row r="21" spans="1:45" ht="15.95" customHeight="1">
      <c r="A21" s="180"/>
      <c r="B21" s="180"/>
      <c r="C21" s="180"/>
      <c r="D21" s="180"/>
      <c r="E21" s="180"/>
      <c r="F21" s="180"/>
      <c r="G21" s="180"/>
      <c r="H21" s="180"/>
      <c r="I21" s="180"/>
      <c r="J21" s="54"/>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54"/>
      <c r="AK21" s="180"/>
      <c r="AL21" s="180"/>
      <c r="AM21" s="180"/>
      <c r="AN21" s="180"/>
      <c r="AO21" s="235"/>
      <c r="AP21" s="235"/>
      <c r="AQ21" s="235"/>
      <c r="AR21" s="235"/>
      <c r="AS21" s="235"/>
    </row>
    <row r="22" spans="1:45" ht="15.95" customHeight="1">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235"/>
      <c r="AP22" s="235"/>
      <c r="AQ22" s="235"/>
      <c r="AR22" s="235"/>
      <c r="AS22" s="235"/>
    </row>
    <row r="23" spans="1:45" ht="15.95" customHeight="1">
      <c r="A23" s="180"/>
      <c r="B23" s="180"/>
      <c r="C23" s="180"/>
      <c r="D23" s="180"/>
      <c r="E23" s="180"/>
      <c r="F23" s="180"/>
      <c r="G23" s="180"/>
      <c r="H23" s="180"/>
      <c r="I23" s="180"/>
      <c r="J23" s="147"/>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235"/>
      <c r="AP23" s="235"/>
      <c r="AQ23" s="235"/>
      <c r="AR23" s="235"/>
      <c r="AS23" s="235"/>
    </row>
    <row r="24" spans="1:45" ht="15.95" customHeight="1">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235"/>
      <c r="AP24" s="235"/>
      <c r="AQ24" s="235"/>
      <c r="AR24" s="235"/>
      <c r="AS24" s="235"/>
    </row>
    <row r="25" spans="1:45" ht="15.95" customHeight="1">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235"/>
      <c r="AP25" s="235"/>
      <c r="AQ25" s="235"/>
      <c r="AR25" s="235"/>
      <c r="AS25" s="235"/>
    </row>
    <row r="26" spans="1:45" ht="15.95" customHeight="1">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235"/>
      <c r="AP26" s="235"/>
      <c r="AQ26" s="235"/>
      <c r="AR26" s="235"/>
      <c r="AS26" s="235"/>
    </row>
    <row r="27" spans="1:45" ht="15.95" customHeight="1">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235"/>
      <c r="AP27" s="235"/>
      <c r="AQ27" s="235"/>
      <c r="AR27" s="235"/>
      <c r="AS27" s="235"/>
    </row>
    <row r="28" spans="1:45" ht="15.95" customHeight="1">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235"/>
      <c r="AP28" s="235"/>
      <c r="AQ28" s="235"/>
      <c r="AR28" s="235"/>
      <c r="AS28" s="235"/>
    </row>
    <row r="29" spans="1:45" ht="15.95" customHeight="1">
      <c r="A29" s="180"/>
      <c r="B29" s="180"/>
      <c r="C29" s="180"/>
      <c r="D29" s="180"/>
      <c r="E29" s="180"/>
      <c r="F29" s="180"/>
      <c r="G29" s="825" t="str">
        <f>M4S8</f>
        <v>Motors and Drives</v>
      </c>
      <c r="H29" s="825"/>
      <c r="I29" s="825"/>
      <c r="J29" s="825"/>
      <c r="K29" s="825"/>
      <c r="L29" s="825"/>
      <c r="M29" s="825"/>
      <c r="N29" s="180"/>
      <c r="O29" s="180"/>
      <c r="P29" s="825" t="str">
        <f>M3S6</f>
        <v>Compressed Air / Process</v>
      </c>
      <c r="Q29" s="825"/>
      <c r="R29" s="825"/>
      <c r="S29" s="825"/>
      <c r="T29" s="825"/>
      <c r="U29" s="825"/>
      <c r="V29" s="825"/>
      <c r="W29" s="180"/>
      <c r="X29" s="180"/>
      <c r="Y29" s="825" t="str">
        <f>M3S7</f>
        <v>Water Heating / Food Services</v>
      </c>
      <c r="Z29" s="825"/>
      <c r="AA29" s="825"/>
      <c r="AB29" s="825"/>
      <c r="AC29" s="825"/>
      <c r="AD29" s="825"/>
      <c r="AE29" s="825"/>
      <c r="AF29" s="180"/>
      <c r="AG29" s="180"/>
      <c r="AH29" s="825" t="str">
        <f>M4S9</f>
        <v>Miscellaneous</v>
      </c>
      <c r="AI29" s="825"/>
      <c r="AJ29" s="825"/>
      <c r="AK29" s="825"/>
      <c r="AL29" s="825"/>
      <c r="AM29" s="825"/>
      <c r="AN29" s="825"/>
      <c r="AO29" s="235"/>
      <c r="AP29" s="235"/>
      <c r="AQ29" s="235"/>
      <c r="AR29" s="235"/>
      <c r="AS29" s="235"/>
    </row>
    <row r="30" spans="1:45" ht="15.95" customHeight="1">
      <c r="A30" s="180"/>
      <c r="B30" s="180"/>
      <c r="C30" s="180"/>
      <c r="D30" s="180"/>
      <c r="E30" s="180"/>
      <c r="F30" s="180"/>
      <c r="G30" s="825"/>
      <c r="H30" s="825"/>
      <c r="I30" s="825"/>
      <c r="J30" s="825"/>
      <c r="K30" s="825"/>
      <c r="L30" s="825"/>
      <c r="M30" s="825"/>
      <c r="N30" s="180"/>
      <c r="O30" s="180"/>
      <c r="P30" s="825"/>
      <c r="Q30" s="825"/>
      <c r="R30" s="825"/>
      <c r="S30" s="825"/>
      <c r="T30" s="825"/>
      <c r="U30" s="825"/>
      <c r="V30" s="825"/>
      <c r="W30" s="180"/>
      <c r="X30" s="180"/>
      <c r="Y30" s="825"/>
      <c r="Z30" s="825"/>
      <c r="AA30" s="825"/>
      <c r="AB30" s="825"/>
      <c r="AC30" s="825"/>
      <c r="AD30" s="825"/>
      <c r="AE30" s="825"/>
      <c r="AF30" s="180"/>
      <c r="AG30" s="180"/>
      <c r="AH30" s="825"/>
      <c r="AI30" s="825"/>
      <c r="AJ30" s="825"/>
      <c r="AK30" s="825"/>
      <c r="AL30" s="825"/>
      <c r="AM30" s="825"/>
      <c r="AN30" s="825"/>
      <c r="AO30" s="235"/>
      <c r="AP30" s="235"/>
      <c r="AQ30" s="235"/>
      <c r="AR30" s="235"/>
      <c r="AS30" s="235"/>
    </row>
    <row r="31" spans="1:45" ht="15.95" customHeight="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235"/>
      <c r="AP31" s="235"/>
      <c r="AQ31" s="235"/>
      <c r="AR31" s="235"/>
      <c r="AS31" s="235"/>
    </row>
    <row r="32" spans="1:45" ht="15.95" customHeight="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235"/>
      <c r="AP32" s="235"/>
      <c r="AQ32" s="235"/>
      <c r="AR32" s="235"/>
      <c r="AS32" s="235"/>
    </row>
    <row r="33" spans="17:45" ht="15.95" hidden="1" customHeight="1">
      <c r="R33"/>
      <c r="S33"/>
      <c r="T33"/>
      <c r="U33"/>
      <c r="V33"/>
      <c r="W33"/>
      <c r="X33"/>
      <c r="Y33"/>
      <c r="Z33"/>
      <c r="AA33"/>
      <c r="AB33"/>
      <c r="AO33" s="235"/>
      <c r="AP33" s="235"/>
      <c r="AQ33" s="235"/>
      <c r="AR33" s="235"/>
      <c r="AS33" s="235"/>
    </row>
    <row r="34" spans="17:45" ht="15.95" hidden="1" customHeight="1">
      <c r="T34" s="825"/>
      <c r="U34" s="825"/>
      <c r="V34" s="825"/>
      <c r="W34" s="825"/>
      <c r="X34" s="825"/>
      <c r="Y34" s="825"/>
      <c r="Z34" s="825"/>
      <c r="AO34" s="235"/>
      <c r="AP34" s="235"/>
      <c r="AQ34" s="235"/>
      <c r="AR34" s="235"/>
      <c r="AS34" s="235"/>
    </row>
    <row r="35" spans="17:45" ht="15.95" hidden="1" customHeight="1">
      <c r="R35" s="147"/>
      <c r="S35" s="147"/>
      <c r="T35" s="825"/>
      <c r="U35" s="825"/>
      <c r="V35" s="825"/>
      <c r="W35" s="825"/>
      <c r="X35" s="825"/>
      <c r="Y35" s="825"/>
      <c r="Z35" s="825"/>
      <c r="AO35" s="235"/>
      <c r="AP35" s="235"/>
      <c r="AQ35" s="235"/>
      <c r="AR35" s="235"/>
      <c r="AS35" s="235"/>
    </row>
    <row r="36" spans="17:45" ht="15.95" hidden="1" customHeight="1">
      <c r="Q36" s="151"/>
      <c r="R36" s="147"/>
      <c r="S36" s="147"/>
      <c r="T36" s="151"/>
      <c r="U36" s="151"/>
      <c r="V36" s="151"/>
      <c r="W36" s="151"/>
      <c r="X36" s="151"/>
      <c r="Y36" s="151"/>
      <c r="Z36" s="151"/>
      <c r="AC36" s="151"/>
      <c r="AD36" s="151"/>
      <c r="AE36" s="151"/>
      <c r="AF36" s="151"/>
      <c r="AG36" s="151"/>
      <c r="AH36" s="151"/>
      <c r="AI36" s="151"/>
      <c r="AO36" s="235"/>
      <c r="AP36" s="235"/>
      <c r="AQ36" s="235"/>
      <c r="AR36" s="235"/>
      <c r="AS36" s="235"/>
    </row>
    <row r="37" spans="17:45" ht="15.95" hidden="1" customHeight="1">
      <c r="S37"/>
      <c r="T37"/>
      <c r="U37"/>
      <c r="V37"/>
      <c r="W37"/>
      <c r="X37"/>
      <c r="Y37"/>
      <c r="Z37"/>
      <c r="AA37"/>
      <c r="AB37"/>
      <c r="AC37"/>
      <c r="AO37" s="235"/>
      <c r="AP37" s="235"/>
      <c r="AQ37" s="235"/>
      <c r="AR37" s="235"/>
      <c r="AS37" s="235"/>
    </row>
    <row r="38" spans="17:45" ht="15.95" hidden="1" customHeight="1">
      <c r="S38"/>
      <c r="T38"/>
      <c r="U38"/>
      <c r="V38"/>
      <c r="W38"/>
      <c r="X38"/>
      <c r="Y38"/>
      <c r="Z38"/>
      <c r="AA38"/>
      <c r="AB38"/>
      <c r="AC38"/>
      <c r="AO38" s="235"/>
      <c r="AP38" s="235"/>
      <c r="AQ38" s="235"/>
      <c r="AR38" s="235"/>
      <c r="AS38" s="235"/>
    </row>
    <row r="39" spans="17:45" ht="15.95" hidden="1" customHeight="1">
      <c r="S39"/>
      <c r="T39"/>
      <c r="U39"/>
      <c r="V39"/>
      <c r="W39"/>
      <c r="X39"/>
      <c r="Y39"/>
      <c r="Z39"/>
      <c r="AA39"/>
      <c r="AB39"/>
      <c r="AC39"/>
      <c r="AO39" s="235"/>
      <c r="AP39" s="235"/>
      <c r="AQ39" s="235"/>
      <c r="AR39" s="235"/>
      <c r="AS39" s="235"/>
    </row>
    <row r="40" spans="17:45" ht="15.95" hidden="1" customHeight="1">
      <c r="S40"/>
      <c r="T40"/>
      <c r="U40"/>
      <c r="V40"/>
      <c r="W40"/>
      <c r="X40"/>
      <c r="Y40"/>
      <c r="Z40"/>
      <c r="AA40"/>
      <c r="AB40"/>
      <c r="AC40"/>
      <c r="AO40" s="235"/>
      <c r="AP40" s="235"/>
      <c r="AQ40" s="235"/>
      <c r="AR40" s="235"/>
      <c r="AS40" s="235"/>
    </row>
    <row r="41" spans="17:45" ht="15.95" hidden="1" customHeight="1">
      <c r="S41"/>
      <c r="T41"/>
      <c r="U41"/>
      <c r="V41"/>
      <c r="W41"/>
      <c r="X41"/>
      <c r="Y41"/>
      <c r="Z41"/>
      <c r="AA41"/>
      <c r="AB41"/>
      <c r="AC41"/>
      <c r="AO41" s="235"/>
      <c r="AP41" s="235"/>
      <c r="AQ41" s="235"/>
      <c r="AR41" s="235"/>
      <c r="AS41" s="235"/>
    </row>
    <row r="42" spans="17:45" ht="15.95" hidden="1" customHeight="1">
      <c r="S42"/>
      <c r="T42"/>
      <c r="U42"/>
      <c r="V42"/>
      <c r="W42"/>
      <c r="X42"/>
      <c r="Y42"/>
      <c r="Z42"/>
      <c r="AA42"/>
      <c r="AB42"/>
      <c r="AC42"/>
      <c r="AO42" s="235"/>
      <c r="AP42" s="235"/>
      <c r="AQ42" s="235"/>
      <c r="AR42" s="235"/>
      <c r="AS42" s="235"/>
    </row>
    <row r="43" spans="17:45" ht="15.95" hidden="1" customHeight="1">
      <c r="S43"/>
      <c r="T43"/>
      <c r="U43"/>
      <c r="V43"/>
      <c r="W43"/>
      <c r="X43"/>
      <c r="Y43"/>
      <c r="Z43"/>
      <c r="AA43"/>
      <c r="AB43"/>
      <c r="AC43"/>
      <c r="AO43" s="235"/>
      <c r="AP43" s="235"/>
      <c r="AQ43" s="235"/>
      <c r="AR43" s="235"/>
      <c r="AS43" s="235"/>
    </row>
    <row r="44" spans="17:45" ht="15.95" hidden="1" customHeight="1">
      <c r="S44"/>
      <c r="T44"/>
      <c r="U44"/>
      <c r="V44"/>
      <c r="W44"/>
      <c r="X44"/>
      <c r="Y44"/>
      <c r="Z44"/>
      <c r="AA44"/>
      <c r="AB44"/>
      <c r="AC44"/>
      <c r="AO44" s="235"/>
      <c r="AP44" s="235"/>
      <c r="AQ44" s="235"/>
      <c r="AR44" s="235"/>
      <c r="AS44" s="235"/>
    </row>
    <row r="45" spans="17:45" ht="15.95" hidden="1" customHeight="1">
      <c r="S45"/>
      <c r="T45"/>
      <c r="U45"/>
      <c r="V45"/>
      <c r="W45"/>
      <c r="X45"/>
      <c r="Y45"/>
      <c r="Z45"/>
      <c r="AA45"/>
      <c r="AB45"/>
      <c r="AC45"/>
      <c r="AO45" s="235"/>
      <c r="AP45" s="235"/>
      <c r="AQ45" s="235"/>
      <c r="AR45" s="235"/>
      <c r="AS45" s="235"/>
    </row>
    <row r="46" spans="17:45" ht="15.95" hidden="1" customHeight="1">
      <c r="S46"/>
      <c r="T46"/>
      <c r="U46"/>
      <c r="V46"/>
      <c r="W46"/>
      <c r="X46"/>
      <c r="Y46"/>
      <c r="Z46"/>
      <c r="AA46"/>
      <c r="AB46"/>
      <c r="AC46"/>
      <c r="AO46" s="235"/>
      <c r="AP46" s="235"/>
      <c r="AQ46" s="235"/>
      <c r="AR46" s="235"/>
      <c r="AS46" s="235"/>
    </row>
    <row r="47" spans="17:45" ht="15.95" hidden="1" customHeight="1">
      <c r="S47"/>
      <c r="T47"/>
      <c r="U47"/>
      <c r="V47"/>
      <c r="W47"/>
      <c r="X47"/>
      <c r="Y47"/>
      <c r="Z47"/>
      <c r="AA47"/>
      <c r="AB47"/>
      <c r="AC47"/>
      <c r="AO47" s="235"/>
      <c r="AP47" s="235"/>
      <c r="AQ47" s="235"/>
      <c r="AR47" s="235"/>
      <c r="AS47" s="235"/>
    </row>
    <row r="48" spans="17:45" ht="15.95" hidden="1" customHeight="1">
      <c r="S48"/>
      <c r="T48"/>
      <c r="U48"/>
      <c r="V48"/>
      <c r="W48"/>
      <c r="X48"/>
      <c r="Y48"/>
      <c r="Z48"/>
      <c r="AA48"/>
      <c r="AB48"/>
      <c r="AC48"/>
      <c r="AO48" s="235"/>
      <c r="AP48" s="235"/>
      <c r="AQ48" s="235"/>
      <c r="AR48" s="235"/>
      <c r="AS48" s="235"/>
    </row>
    <row r="49" spans="19:45" ht="15.95" hidden="1" customHeight="1">
      <c r="S49"/>
      <c r="T49"/>
      <c r="U49"/>
      <c r="V49"/>
      <c r="W49"/>
      <c r="X49"/>
      <c r="Y49"/>
      <c r="Z49"/>
      <c r="AA49"/>
      <c r="AB49"/>
      <c r="AC49"/>
      <c r="AO49" s="235"/>
      <c r="AP49" s="235"/>
      <c r="AQ49" s="235"/>
      <c r="AR49" s="235"/>
      <c r="AS49" s="235"/>
    </row>
    <row r="50" spans="19:45" ht="15.95" hidden="1" customHeight="1">
      <c r="S50"/>
      <c r="T50"/>
      <c r="U50"/>
      <c r="V50"/>
      <c r="W50"/>
      <c r="X50"/>
      <c r="Y50"/>
      <c r="Z50"/>
      <c r="AA50"/>
      <c r="AB50"/>
      <c r="AC50"/>
      <c r="AO50" s="235"/>
      <c r="AP50" s="235"/>
      <c r="AQ50" s="235"/>
      <c r="AR50" s="235"/>
      <c r="AS50" s="235"/>
    </row>
    <row r="51" spans="19:45" ht="15.95" hidden="1" customHeight="1">
      <c r="S51"/>
      <c r="T51"/>
      <c r="U51"/>
      <c r="V51"/>
      <c r="W51"/>
      <c r="X51"/>
      <c r="Y51"/>
      <c r="Z51"/>
      <c r="AA51"/>
      <c r="AB51"/>
      <c r="AC51"/>
      <c r="AO51" s="235"/>
      <c r="AP51" s="235"/>
      <c r="AQ51" s="235"/>
      <c r="AR51" s="235"/>
      <c r="AS51" s="235"/>
    </row>
    <row r="52" spans="19:45" ht="15.95" hidden="1" customHeight="1">
      <c r="S52"/>
      <c r="T52"/>
      <c r="U52"/>
      <c r="V52"/>
      <c r="W52"/>
      <c r="X52"/>
      <c r="Y52"/>
      <c r="Z52"/>
      <c r="AA52"/>
      <c r="AB52"/>
      <c r="AC52"/>
      <c r="AO52" s="235"/>
      <c r="AP52" s="235"/>
      <c r="AQ52" s="235"/>
      <c r="AR52" s="235"/>
      <c r="AS52" s="235"/>
    </row>
    <row r="53" spans="19:45" ht="15.95" hidden="1" customHeight="1">
      <c r="S53"/>
      <c r="T53"/>
      <c r="U53"/>
      <c r="V53"/>
      <c r="W53"/>
      <c r="X53"/>
      <c r="Y53"/>
      <c r="Z53"/>
      <c r="AA53"/>
      <c r="AB53"/>
      <c r="AC53"/>
      <c r="AO53" s="235"/>
      <c r="AP53" s="235"/>
      <c r="AQ53" s="235"/>
      <c r="AR53" s="235"/>
      <c r="AS53" s="235"/>
    </row>
    <row r="54" spans="19:45" ht="15.95" hidden="1" customHeight="1">
      <c r="S54"/>
      <c r="T54"/>
      <c r="U54"/>
      <c r="V54"/>
      <c r="W54"/>
      <c r="X54"/>
      <c r="Y54"/>
      <c r="Z54"/>
      <c r="AA54"/>
      <c r="AB54"/>
      <c r="AC54"/>
      <c r="AO54" s="235"/>
      <c r="AP54" s="235"/>
      <c r="AQ54" s="235"/>
      <c r="AR54" s="235"/>
      <c r="AS54" s="235"/>
    </row>
    <row r="55" spans="19:45" ht="15.95" hidden="1" customHeight="1">
      <c r="S55"/>
      <c r="T55"/>
      <c r="U55"/>
      <c r="V55"/>
      <c r="W55"/>
      <c r="X55"/>
      <c r="Y55"/>
      <c r="Z55"/>
      <c r="AA55"/>
      <c r="AB55"/>
      <c r="AC55"/>
      <c r="AO55" s="235"/>
      <c r="AP55" s="235"/>
      <c r="AQ55" s="235"/>
      <c r="AR55" s="235"/>
      <c r="AS55" s="235"/>
    </row>
    <row r="56" spans="19:45" ht="15.95" hidden="1" customHeight="1">
      <c r="S56"/>
      <c r="T56"/>
      <c r="U56"/>
      <c r="V56"/>
      <c r="W56"/>
      <c r="X56"/>
      <c r="Y56"/>
      <c r="Z56"/>
      <c r="AA56"/>
      <c r="AB56"/>
      <c r="AC56"/>
      <c r="AO56" s="235"/>
      <c r="AP56" s="235"/>
      <c r="AQ56" s="235"/>
      <c r="AR56" s="235"/>
      <c r="AS56" s="235"/>
    </row>
    <row r="57" spans="19:45" ht="15.95" hidden="1" customHeight="1">
      <c r="S57"/>
      <c r="T57"/>
      <c r="U57"/>
      <c r="V57"/>
      <c r="W57"/>
      <c r="X57"/>
      <c r="Y57"/>
      <c r="Z57"/>
      <c r="AA57"/>
      <c r="AB57"/>
      <c r="AC57"/>
      <c r="AO57" s="235"/>
      <c r="AP57" s="235"/>
      <c r="AQ57" s="235"/>
      <c r="AR57" s="235"/>
      <c r="AS57" s="235"/>
    </row>
    <row r="58" spans="19:45" ht="15.95" hidden="1" customHeight="1">
      <c r="S58"/>
      <c r="T58"/>
      <c r="U58"/>
      <c r="V58"/>
      <c r="W58"/>
      <c r="X58"/>
      <c r="Y58"/>
      <c r="Z58"/>
      <c r="AA58"/>
      <c r="AB58"/>
      <c r="AC58"/>
      <c r="AO58" s="235"/>
      <c r="AP58" s="235"/>
      <c r="AQ58" s="235"/>
      <c r="AR58" s="235"/>
      <c r="AS58" s="235"/>
    </row>
    <row r="59" spans="19:45" ht="15.95" hidden="1" customHeight="1">
      <c r="S59"/>
      <c r="T59"/>
      <c r="U59"/>
      <c r="V59"/>
      <c r="W59"/>
      <c r="X59"/>
      <c r="Y59"/>
      <c r="Z59"/>
      <c r="AA59"/>
      <c r="AB59"/>
      <c r="AC59"/>
      <c r="AO59" s="235"/>
      <c r="AP59" s="235"/>
      <c r="AQ59" s="235"/>
      <c r="AR59" s="235"/>
      <c r="AS59" s="235"/>
    </row>
    <row r="60" spans="19:45" ht="15.95" hidden="1" customHeight="1">
      <c r="S60"/>
      <c r="T60"/>
      <c r="U60"/>
      <c r="V60"/>
      <c r="W60"/>
      <c r="X60"/>
      <c r="Y60"/>
      <c r="Z60"/>
      <c r="AA60"/>
      <c r="AB60"/>
      <c r="AC60"/>
      <c r="AO60" s="235"/>
      <c r="AP60" s="235"/>
      <c r="AQ60" s="235"/>
      <c r="AR60" s="235"/>
      <c r="AS60" s="235"/>
    </row>
    <row r="61" spans="19:45" ht="15.95" hidden="1" customHeight="1">
      <c r="S61"/>
      <c r="T61"/>
      <c r="U61"/>
      <c r="V61"/>
      <c r="W61"/>
      <c r="X61"/>
      <c r="Y61"/>
      <c r="Z61"/>
      <c r="AA61"/>
      <c r="AB61"/>
      <c r="AC61"/>
      <c r="AO61" s="235"/>
      <c r="AP61" s="235"/>
      <c r="AQ61" s="235"/>
      <c r="AR61" s="235"/>
      <c r="AS61" s="235"/>
    </row>
    <row r="62" spans="19:45" ht="15.95" hidden="1" customHeight="1">
      <c r="S62"/>
      <c r="T62"/>
      <c r="U62"/>
      <c r="V62"/>
      <c r="W62"/>
      <c r="X62"/>
      <c r="Y62"/>
      <c r="Z62"/>
      <c r="AA62"/>
      <c r="AB62"/>
      <c r="AC62"/>
    </row>
    <row r="63" spans="19:45" ht="15.95" hidden="1" customHeight="1">
      <c r="S63"/>
      <c r="T63"/>
      <c r="U63"/>
      <c r="V63"/>
      <c r="W63"/>
      <c r="X63"/>
      <c r="Y63"/>
      <c r="Z63"/>
      <c r="AA63"/>
      <c r="AB63"/>
      <c r="AC63"/>
    </row>
    <row r="64" spans="19:45" ht="15.95" hidden="1" customHeight="1">
      <c r="S64"/>
      <c r="T64"/>
      <c r="U64"/>
      <c r="V64"/>
      <c r="W64"/>
      <c r="X64"/>
      <c r="Y64"/>
      <c r="Z64"/>
      <c r="AA64"/>
      <c r="AB64"/>
      <c r="AC64"/>
    </row>
    <row r="65" spans="19:29" ht="15.95" hidden="1" customHeight="1">
      <c r="S65"/>
      <c r="T65"/>
      <c r="U65"/>
      <c r="V65"/>
      <c r="W65"/>
      <c r="X65"/>
      <c r="Y65"/>
      <c r="Z65"/>
      <c r="AA65"/>
      <c r="AB65"/>
      <c r="AC65"/>
    </row>
    <row r="66" spans="19:29" ht="15.95" hidden="1" customHeight="1">
      <c r="S66"/>
      <c r="T66"/>
      <c r="U66"/>
      <c r="V66"/>
      <c r="W66"/>
      <c r="X66"/>
      <c r="Y66"/>
      <c r="Z66"/>
      <c r="AA66"/>
      <c r="AB66"/>
      <c r="AC66"/>
    </row>
    <row r="67" spans="19:29" ht="15.95" hidden="1" customHeight="1">
      <c r="S67"/>
      <c r="T67"/>
      <c r="U67"/>
      <c r="V67"/>
      <c r="W67"/>
      <c r="X67"/>
      <c r="Y67"/>
      <c r="Z67"/>
      <c r="AA67"/>
      <c r="AB67"/>
      <c r="AC67"/>
    </row>
    <row r="68" spans="19:29" ht="15.95" hidden="1" customHeight="1">
      <c r="S68"/>
      <c r="T68"/>
      <c r="U68"/>
      <c r="V68"/>
      <c r="W68"/>
      <c r="X68"/>
      <c r="Y68"/>
      <c r="Z68"/>
      <c r="AA68"/>
      <c r="AB68"/>
      <c r="AC68"/>
    </row>
    <row r="69" spans="19:29" ht="15.95" hidden="1" customHeight="1">
      <c r="S69"/>
      <c r="T69"/>
      <c r="U69"/>
      <c r="V69"/>
      <c r="W69"/>
      <c r="X69"/>
      <c r="Y69"/>
      <c r="Z69"/>
      <c r="AA69"/>
      <c r="AB69"/>
      <c r="AC69"/>
    </row>
    <row r="70" spans="19:29" ht="15.95" hidden="1" customHeight="1">
      <c r="S70"/>
      <c r="T70"/>
      <c r="U70"/>
      <c r="V70"/>
      <c r="W70"/>
      <c r="X70"/>
      <c r="Y70"/>
      <c r="Z70"/>
      <c r="AA70"/>
      <c r="AB70"/>
      <c r="AC70"/>
    </row>
    <row r="71" spans="19:29" ht="15.95" hidden="1" customHeight="1">
      <c r="S71"/>
      <c r="T71"/>
      <c r="U71"/>
      <c r="V71"/>
      <c r="W71"/>
      <c r="X71"/>
      <c r="Y71"/>
      <c r="Z71"/>
      <c r="AA71"/>
      <c r="AB71"/>
      <c r="AC71"/>
    </row>
    <row r="72" spans="19:29" ht="15.95" hidden="1" customHeight="1">
      <c r="S72"/>
      <c r="T72"/>
      <c r="U72"/>
      <c r="V72"/>
      <c r="W72"/>
      <c r="X72"/>
      <c r="Y72"/>
      <c r="Z72"/>
      <c r="AA72"/>
      <c r="AB72"/>
      <c r="AC72"/>
    </row>
    <row r="73" spans="19:29" ht="15.95" hidden="1" customHeight="1">
      <c r="S73"/>
      <c r="T73"/>
      <c r="U73"/>
      <c r="V73"/>
      <c r="W73"/>
      <c r="X73"/>
      <c r="Y73"/>
      <c r="Z73"/>
      <c r="AA73"/>
      <c r="AB73"/>
      <c r="AC73"/>
    </row>
    <row r="74" spans="19:29" ht="15.95" hidden="1" customHeight="1">
      <c r="S74"/>
      <c r="T74"/>
      <c r="U74"/>
      <c r="V74"/>
      <c r="W74"/>
      <c r="X74"/>
      <c r="Y74"/>
      <c r="Z74"/>
      <c r="AA74"/>
      <c r="AB74"/>
      <c r="AC74"/>
    </row>
    <row r="75" spans="19:29" ht="15.95" hidden="1" customHeight="1">
      <c r="S75"/>
      <c r="T75"/>
      <c r="U75"/>
      <c r="V75"/>
      <c r="W75"/>
      <c r="X75"/>
      <c r="Y75"/>
      <c r="Z75"/>
      <c r="AA75"/>
      <c r="AB75"/>
      <c r="AC75"/>
    </row>
    <row r="76" spans="19:29" ht="15.95" hidden="1" customHeight="1">
      <c r="S76"/>
      <c r="T76"/>
      <c r="U76"/>
      <c r="V76"/>
      <c r="W76"/>
      <c r="X76"/>
      <c r="Y76"/>
      <c r="Z76"/>
      <c r="AA76"/>
      <c r="AB76"/>
      <c r="AC76"/>
    </row>
    <row r="77" spans="19:29" ht="15.95" hidden="1" customHeight="1">
      <c r="S77"/>
      <c r="T77"/>
      <c r="U77"/>
      <c r="V77"/>
      <c r="W77"/>
      <c r="X77"/>
      <c r="Y77"/>
      <c r="Z77"/>
      <c r="AA77"/>
      <c r="AB77"/>
      <c r="AC77"/>
    </row>
    <row r="78" spans="19:29" ht="15.95" hidden="1" customHeight="1">
      <c r="S78"/>
      <c r="T78"/>
      <c r="U78"/>
      <c r="V78"/>
      <c r="W78"/>
      <c r="X78"/>
      <c r="Y78"/>
      <c r="Z78"/>
      <c r="AA78"/>
      <c r="AB78"/>
      <c r="AC78"/>
    </row>
    <row r="79" spans="19:29" ht="15.95" hidden="1" customHeight="1">
      <c r="S79"/>
      <c r="T79"/>
      <c r="U79"/>
      <c r="V79"/>
      <c r="W79"/>
      <c r="X79"/>
      <c r="Y79"/>
      <c r="Z79"/>
      <c r="AA79"/>
      <c r="AB79"/>
      <c r="AC79"/>
    </row>
    <row r="80" spans="19:29" ht="15.95" hidden="1" customHeight="1">
      <c r="S80"/>
      <c r="T80"/>
      <c r="U80"/>
      <c r="V80"/>
      <c r="W80"/>
      <c r="X80"/>
      <c r="Y80"/>
      <c r="Z80"/>
      <c r="AA80"/>
      <c r="AB80"/>
      <c r="AC80"/>
    </row>
    <row r="81" spans="19:29" ht="15.95" hidden="1" customHeight="1">
      <c r="S81"/>
      <c r="T81"/>
      <c r="U81"/>
      <c r="V81"/>
      <c r="W81"/>
      <c r="X81"/>
      <c r="Y81"/>
      <c r="Z81"/>
      <c r="AA81"/>
      <c r="AB81"/>
      <c r="AC81"/>
    </row>
    <row r="82" spans="19:29" ht="15.95" hidden="1" customHeight="1">
      <c r="S82"/>
      <c r="T82"/>
      <c r="U82"/>
      <c r="V82"/>
      <c r="W82"/>
      <c r="X82"/>
      <c r="Y82"/>
      <c r="Z82"/>
      <c r="AA82"/>
      <c r="AB82"/>
      <c r="AC82"/>
    </row>
    <row r="83" spans="19:29" ht="15.95" hidden="1" customHeight="1">
      <c r="S83"/>
      <c r="T83"/>
      <c r="U83"/>
      <c r="V83"/>
      <c r="W83"/>
      <c r="X83"/>
      <c r="Y83"/>
      <c r="Z83"/>
      <c r="AA83"/>
      <c r="AB83"/>
      <c r="AC83"/>
    </row>
    <row r="84" spans="19:29" ht="15.95" hidden="1" customHeight="1">
      <c r="S84"/>
      <c r="T84"/>
      <c r="U84"/>
      <c r="V84"/>
      <c r="W84"/>
      <c r="X84"/>
      <c r="Y84"/>
      <c r="Z84"/>
      <c r="AA84"/>
      <c r="AB84"/>
      <c r="AC84"/>
    </row>
    <row r="85" spans="19:29" ht="15.95" hidden="1" customHeight="1">
      <c r="S85"/>
      <c r="T85"/>
      <c r="U85"/>
      <c r="V85"/>
      <c r="W85"/>
      <c r="X85"/>
      <c r="Y85"/>
      <c r="Z85"/>
      <c r="AA85"/>
      <c r="AB85"/>
      <c r="AC85"/>
    </row>
    <row r="86" spans="19:29" ht="15.95" hidden="1" customHeight="1">
      <c r="S86"/>
      <c r="T86"/>
      <c r="U86"/>
      <c r="V86"/>
      <c r="W86"/>
      <c r="X86"/>
      <c r="Y86"/>
      <c r="Z86"/>
      <c r="AA86"/>
      <c r="AB86"/>
      <c r="AC86"/>
    </row>
    <row r="87" spans="19:29" ht="15.95" hidden="1" customHeight="1">
      <c r="S87"/>
      <c r="T87"/>
      <c r="U87"/>
      <c r="V87"/>
      <c r="W87"/>
      <c r="X87"/>
      <c r="Y87"/>
      <c r="Z87"/>
      <c r="AA87"/>
      <c r="AB87"/>
      <c r="AC87"/>
    </row>
    <row r="88" spans="19:29" ht="15.95" hidden="1" customHeight="1">
      <c r="S88"/>
      <c r="T88"/>
      <c r="U88"/>
      <c r="V88"/>
      <c r="W88"/>
      <c r="X88"/>
      <c r="Y88"/>
      <c r="Z88"/>
      <c r="AA88"/>
      <c r="AB88"/>
      <c r="AC88"/>
    </row>
    <row r="89" spans="19:29" ht="15.95" hidden="1" customHeight="1">
      <c r="S89"/>
      <c r="T89"/>
      <c r="U89"/>
      <c r="V89"/>
      <c r="W89"/>
      <c r="X89"/>
      <c r="Y89"/>
      <c r="Z89"/>
      <c r="AA89"/>
      <c r="AB89"/>
      <c r="AC89"/>
    </row>
    <row r="90" spans="19:29" ht="15.95" hidden="1" customHeight="1">
      <c r="S90"/>
      <c r="T90"/>
      <c r="U90"/>
      <c r="V90"/>
      <c r="W90"/>
      <c r="X90"/>
      <c r="Y90"/>
      <c r="Z90"/>
      <c r="AA90"/>
      <c r="AB90"/>
      <c r="AC90"/>
    </row>
    <row r="91" spans="19:29" ht="15.95" hidden="1" customHeight="1">
      <c r="S91"/>
      <c r="T91"/>
      <c r="U91"/>
      <c r="V91"/>
      <c r="W91"/>
      <c r="X91"/>
      <c r="Y91"/>
      <c r="Z91"/>
      <c r="AA91"/>
      <c r="AB91"/>
      <c r="AC91"/>
    </row>
    <row r="92" spans="19:29" ht="15.95" hidden="1" customHeight="1">
      <c r="S92"/>
      <c r="T92"/>
      <c r="U92"/>
      <c r="V92"/>
      <c r="W92"/>
      <c r="X92"/>
      <c r="Y92"/>
      <c r="Z92"/>
      <c r="AA92"/>
      <c r="AB92"/>
      <c r="AC92"/>
    </row>
    <row r="93" spans="19:29" ht="15.95" hidden="1" customHeight="1">
      <c r="S93"/>
      <c r="T93"/>
      <c r="U93"/>
      <c r="V93"/>
      <c r="W93"/>
      <c r="X93"/>
      <c r="Y93"/>
      <c r="Z93"/>
      <c r="AA93"/>
      <c r="AB93"/>
      <c r="AC93"/>
    </row>
    <row r="94" spans="19:29" ht="15.95" hidden="1" customHeight="1">
      <c r="S94"/>
      <c r="T94"/>
      <c r="U94"/>
      <c r="V94"/>
      <c r="W94"/>
      <c r="X94"/>
      <c r="Y94"/>
      <c r="Z94"/>
      <c r="AA94"/>
      <c r="AB94"/>
      <c r="AC94"/>
    </row>
    <row r="95" spans="19:29" ht="15.95" hidden="1" customHeight="1">
      <c r="S95"/>
      <c r="T95"/>
      <c r="U95"/>
      <c r="V95"/>
      <c r="W95"/>
      <c r="X95"/>
      <c r="Y95"/>
      <c r="Z95"/>
      <c r="AA95"/>
      <c r="AB95"/>
      <c r="AC95"/>
    </row>
    <row r="96" spans="19:29" ht="15.95" hidden="1" customHeight="1">
      <c r="S96"/>
      <c r="T96"/>
      <c r="U96"/>
      <c r="V96"/>
      <c r="W96"/>
      <c r="X96"/>
      <c r="Y96"/>
      <c r="Z96"/>
      <c r="AA96"/>
      <c r="AB96"/>
      <c r="AC96"/>
    </row>
    <row r="97" spans="19:29" ht="15.95" hidden="1" customHeight="1">
      <c r="S97"/>
      <c r="T97"/>
      <c r="U97"/>
      <c r="V97"/>
      <c r="W97"/>
      <c r="X97"/>
      <c r="Y97"/>
      <c r="Z97"/>
      <c r="AA97"/>
      <c r="AB97"/>
      <c r="AC97"/>
    </row>
    <row r="98" spans="19:29" ht="15.95" hidden="1" customHeight="1">
      <c r="S98"/>
      <c r="T98"/>
      <c r="U98"/>
      <c r="V98"/>
      <c r="W98"/>
      <c r="X98"/>
      <c r="Y98"/>
      <c r="Z98"/>
      <c r="AA98"/>
      <c r="AB98"/>
      <c r="AC98"/>
    </row>
    <row r="99" spans="19:29" ht="15.95" hidden="1" customHeight="1">
      <c r="S99"/>
      <c r="T99"/>
      <c r="U99"/>
      <c r="V99"/>
      <c r="W99"/>
      <c r="X99"/>
      <c r="Y99"/>
      <c r="Z99"/>
      <c r="AA99"/>
      <c r="AB99"/>
      <c r="AC99"/>
    </row>
    <row r="100" spans="19:29" ht="15.95" hidden="1" customHeight="1">
      <c r="S100"/>
      <c r="T100"/>
      <c r="U100"/>
      <c r="V100"/>
      <c r="W100"/>
      <c r="X100"/>
      <c r="Y100"/>
      <c r="Z100"/>
      <c r="AA100"/>
      <c r="AB100"/>
      <c r="AC100"/>
    </row>
    <row r="101" spans="19:29" ht="15.95" hidden="1" customHeight="1">
      <c r="S101"/>
      <c r="T101"/>
      <c r="U101"/>
      <c r="V101"/>
      <c r="W101"/>
      <c r="X101"/>
      <c r="Y101"/>
      <c r="Z101"/>
      <c r="AA101"/>
      <c r="AB101"/>
      <c r="AC101"/>
    </row>
    <row r="102" spans="19:29" ht="15.95" hidden="1" customHeight="1">
      <c r="S102"/>
      <c r="T102"/>
      <c r="U102"/>
      <c r="V102"/>
      <c r="W102"/>
      <c r="X102"/>
      <c r="Y102"/>
      <c r="Z102"/>
      <c r="AA102"/>
      <c r="AB102"/>
      <c r="AC102"/>
    </row>
    <row r="103" spans="19:29" ht="15.95" hidden="1" customHeight="1">
      <c r="S103"/>
      <c r="T103"/>
      <c r="U103"/>
      <c r="V103"/>
      <c r="W103"/>
      <c r="X103"/>
      <c r="Y103"/>
      <c r="Z103"/>
      <c r="AA103"/>
      <c r="AB103"/>
      <c r="AC103"/>
    </row>
    <row r="104" spans="19:29" ht="15.95" hidden="1" customHeight="1">
      <c r="S104"/>
      <c r="T104"/>
      <c r="U104"/>
      <c r="V104"/>
      <c r="W104"/>
      <c r="X104"/>
      <c r="Y104"/>
      <c r="Z104"/>
      <c r="AA104"/>
      <c r="AB104"/>
      <c r="AC104"/>
    </row>
    <row r="105" spans="19:29" ht="15.95" hidden="1" customHeight="1">
      <c r="S105"/>
      <c r="T105"/>
      <c r="U105"/>
      <c r="V105"/>
      <c r="W105"/>
      <c r="X105"/>
      <c r="Y105"/>
      <c r="Z105"/>
      <c r="AA105"/>
      <c r="AB105"/>
      <c r="AC105"/>
    </row>
    <row r="106" spans="19:29" ht="15.95" hidden="1" customHeight="1">
      <c r="S106"/>
      <c r="T106"/>
      <c r="U106"/>
      <c r="V106"/>
      <c r="W106"/>
      <c r="X106"/>
      <c r="Y106"/>
      <c r="Z106"/>
      <c r="AA106"/>
      <c r="AB106"/>
      <c r="AC106"/>
    </row>
    <row r="107" spans="19:29" ht="15.95" hidden="1" customHeight="1">
      <c r="S107"/>
      <c r="T107"/>
      <c r="U107"/>
      <c r="V107"/>
      <c r="W107"/>
      <c r="X107"/>
      <c r="Y107"/>
      <c r="Z107"/>
      <c r="AA107"/>
      <c r="AB107"/>
      <c r="AC107"/>
    </row>
    <row r="108" spans="19:29" ht="15.95" hidden="1" customHeight="1">
      <c r="S108"/>
      <c r="T108"/>
      <c r="U108"/>
      <c r="V108"/>
      <c r="W108"/>
      <c r="X108"/>
      <c r="Y108"/>
      <c r="Z108"/>
      <c r="AA108"/>
      <c r="AB108"/>
      <c r="AC108"/>
    </row>
    <row r="109" spans="19:29" ht="15.95" hidden="1" customHeight="1">
      <c r="S109"/>
      <c r="T109"/>
      <c r="U109"/>
      <c r="V109"/>
      <c r="W109"/>
      <c r="X109"/>
      <c r="Y109"/>
      <c r="Z109"/>
      <c r="AA109"/>
      <c r="AB109"/>
      <c r="AC109"/>
    </row>
    <row r="110" spans="19:29" ht="15.95" hidden="1" customHeight="1">
      <c r="S110"/>
      <c r="T110"/>
      <c r="U110"/>
      <c r="V110"/>
      <c r="W110"/>
      <c r="X110"/>
      <c r="Y110"/>
      <c r="Z110"/>
      <c r="AA110"/>
      <c r="AB110"/>
      <c r="AC110"/>
    </row>
    <row r="111" spans="19:29" ht="15.95" hidden="1" customHeight="1">
      <c r="S111"/>
      <c r="T111"/>
      <c r="U111"/>
      <c r="V111"/>
      <c r="W111"/>
      <c r="X111"/>
      <c r="Y111"/>
      <c r="Z111"/>
      <c r="AA111"/>
      <c r="AB111"/>
      <c r="AC111"/>
    </row>
    <row r="112" spans="19:29" ht="15.95" hidden="1" customHeight="1">
      <c r="S112"/>
      <c r="T112"/>
      <c r="U112"/>
      <c r="V112"/>
      <c r="W112"/>
      <c r="X112"/>
      <c r="Y112"/>
      <c r="Z112"/>
      <c r="AA112"/>
      <c r="AB112"/>
      <c r="AC112"/>
    </row>
    <row r="113" spans="19:29" ht="15.95" hidden="1" customHeight="1">
      <c r="S113"/>
      <c r="T113"/>
      <c r="U113"/>
      <c r="V113"/>
      <c r="W113"/>
      <c r="X113"/>
      <c r="Y113"/>
      <c r="Z113"/>
      <c r="AA113"/>
      <c r="AB113"/>
      <c r="AC113"/>
    </row>
    <row r="114" spans="19:29" ht="15.95" hidden="1" customHeight="1">
      <c r="S114"/>
      <c r="T114"/>
      <c r="U114"/>
      <c r="V114"/>
      <c r="W114"/>
      <c r="X114"/>
      <c r="Y114"/>
      <c r="Z114"/>
      <c r="AA114"/>
      <c r="AB114"/>
      <c r="AC114"/>
    </row>
    <row r="115" spans="19:29" ht="15.95" hidden="1" customHeight="1">
      <c r="S115"/>
      <c r="T115"/>
      <c r="U115"/>
      <c r="V115"/>
      <c r="W115"/>
      <c r="X115"/>
      <c r="Y115"/>
      <c r="Z115"/>
      <c r="AA115"/>
      <c r="AB115"/>
      <c r="AC115"/>
    </row>
    <row r="116" spans="19:29" ht="15.95" hidden="1" customHeight="1">
      <c r="S116"/>
      <c r="T116"/>
      <c r="U116"/>
      <c r="V116"/>
      <c r="W116"/>
      <c r="X116"/>
      <c r="Y116"/>
      <c r="Z116"/>
      <c r="AA116"/>
      <c r="AB116"/>
      <c r="AC116"/>
    </row>
    <row r="117" spans="19:29" ht="15.95" hidden="1" customHeight="1">
      <c r="S117"/>
      <c r="T117"/>
      <c r="U117"/>
      <c r="V117"/>
      <c r="W117"/>
      <c r="X117"/>
      <c r="Y117"/>
      <c r="Z117"/>
      <c r="AA117"/>
      <c r="AB117"/>
      <c r="AC117"/>
    </row>
    <row r="118" spans="19:29" ht="15.95" hidden="1" customHeight="1">
      <c r="S118"/>
      <c r="T118"/>
      <c r="U118"/>
      <c r="V118"/>
      <c r="W118"/>
      <c r="X118"/>
      <c r="Y118"/>
      <c r="Z118"/>
      <c r="AA118"/>
      <c r="AB118"/>
      <c r="AC118"/>
    </row>
    <row r="119" spans="19:29" ht="15.95" hidden="1" customHeight="1">
      <c r="S119"/>
      <c r="T119"/>
      <c r="U119"/>
      <c r="V119"/>
      <c r="W119"/>
      <c r="X119"/>
      <c r="Y119"/>
      <c r="Z119"/>
      <c r="AA119"/>
      <c r="AB119"/>
      <c r="AC119"/>
    </row>
    <row r="120" spans="19:29" ht="15.95" hidden="1" customHeight="1">
      <c r="S120"/>
      <c r="T120"/>
      <c r="U120"/>
      <c r="V120"/>
      <c r="W120"/>
      <c r="X120"/>
      <c r="Y120"/>
      <c r="Z120"/>
      <c r="AA120"/>
      <c r="AB120"/>
      <c r="AC120"/>
    </row>
    <row r="121" spans="19:29" ht="15.95" hidden="1" customHeight="1">
      <c r="S121"/>
      <c r="T121"/>
      <c r="U121"/>
      <c r="V121"/>
      <c r="W121"/>
      <c r="X121"/>
      <c r="Y121"/>
      <c r="Z121"/>
      <c r="AA121"/>
      <c r="AB121"/>
      <c r="AC121"/>
    </row>
    <row r="122" spans="19:29" ht="15.95" hidden="1" customHeight="1">
      <c r="S122"/>
      <c r="T122"/>
      <c r="U122"/>
      <c r="V122"/>
      <c r="W122"/>
      <c r="X122"/>
      <c r="Y122"/>
      <c r="Z122"/>
      <c r="AA122"/>
      <c r="AB122"/>
      <c r="AC122"/>
    </row>
    <row r="123" spans="19:29" ht="15.95" hidden="1" customHeight="1">
      <c r="S123"/>
      <c r="T123"/>
      <c r="U123"/>
      <c r="V123"/>
      <c r="W123"/>
      <c r="X123"/>
      <c r="Y123"/>
      <c r="Z123"/>
      <c r="AA123"/>
      <c r="AB123"/>
      <c r="AC123"/>
    </row>
    <row r="124" spans="19:29" ht="15.95" hidden="1" customHeight="1">
      <c r="S124"/>
      <c r="T124"/>
      <c r="U124"/>
      <c r="V124"/>
      <c r="W124"/>
      <c r="X124"/>
      <c r="Y124"/>
      <c r="Z124"/>
      <c r="AA124"/>
      <c r="AB124"/>
      <c r="AC124"/>
    </row>
    <row r="125" spans="19:29" ht="15.95" hidden="1" customHeight="1">
      <c r="S125"/>
      <c r="T125"/>
      <c r="U125"/>
      <c r="V125"/>
      <c r="W125"/>
      <c r="X125"/>
      <c r="Y125"/>
      <c r="Z125"/>
      <c r="AA125"/>
      <c r="AB125"/>
      <c r="AC125"/>
    </row>
    <row r="126" spans="19:29" ht="15.95" hidden="1" customHeight="1">
      <c r="S126"/>
      <c r="T126"/>
      <c r="U126"/>
      <c r="V126"/>
      <c r="W126"/>
      <c r="X126"/>
      <c r="Y126"/>
      <c r="Z126"/>
      <c r="AA126"/>
      <c r="AB126"/>
      <c r="AC126"/>
    </row>
    <row r="127" spans="19:29" ht="15.95" hidden="1" customHeight="1">
      <c r="S127"/>
      <c r="T127"/>
      <c r="U127"/>
      <c r="V127"/>
      <c r="W127"/>
      <c r="X127"/>
      <c r="Y127"/>
      <c r="Z127"/>
      <c r="AA127"/>
      <c r="AB127"/>
      <c r="AC127"/>
    </row>
    <row r="128" spans="19:29" ht="15.95" hidden="1" customHeight="1">
      <c r="S128"/>
      <c r="T128"/>
      <c r="U128"/>
      <c r="V128"/>
      <c r="W128"/>
      <c r="X128"/>
      <c r="Y128"/>
      <c r="Z128"/>
      <c r="AA128"/>
      <c r="AB128"/>
      <c r="AC128"/>
    </row>
    <row r="129" spans="19:29" ht="15.95" hidden="1" customHeight="1">
      <c r="S129"/>
      <c r="T129"/>
      <c r="U129"/>
      <c r="V129"/>
      <c r="W129"/>
      <c r="X129"/>
      <c r="Y129"/>
      <c r="Z129"/>
      <c r="AA129"/>
      <c r="AB129"/>
      <c r="AC129"/>
    </row>
    <row r="130" spans="19:29" ht="15.95" hidden="1" customHeight="1">
      <c r="S130"/>
      <c r="T130"/>
      <c r="U130"/>
      <c r="V130"/>
      <c r="W130"/>
      <c r="X130"/>
      <c r="Y130"/>
      <c r="Z130"/>
      <c r="AA130"/>
      <c r="AB130"/>
      <c r="AC130"/>
    </row>
    <row r="131" spans="19:29" ht="15.95" hidden="1" customHeight="1">
      <c r="S131"/>
      <c r="T131"/>
      <c r="U131"/>
      <c r="V131"/>
      <c r="W131"/>
      <c r="X131"/>
      <c r="Y131"/>
      <c r="Z131"/>
      <c r="AA131"/>
      <c r="AB131"/>
      <c r="AC131"/>
    </row>
    <row r="132" spans="19:29" ht="15.95" hidden="1" customHeight="1">
      <c r="S132"/>
      <c r="T132"/>
      <c r="U132"/>
      <c r="V132"/>
      <c r="W132"/>
      <c r="X132"/>
      <c r="Y132"/>
      <c r="Z132"/>
      <c r="AA132"/>
      <c r="AB132"/>
      <c r="AC132"/>
    </row>
    <row r="133" spans="19:29" ht="15.95" hidden="1" customHeight="1">
      <c r="S133"/>
      <c r="T133"/>
      <c r="U133"/>
      <c r="V133"/>
      <c r="W133"/>
      <c r="X133"/>
      <c r="Y133"/>
      <c r="Z133"/>
      <c r="AA133"/>
      <c r="AB133"/>
      <c r="AC133"/>
    </row>
    <row r="134" spans="19:29" ht="15.95" hidden="1" customHeight="1">
      <c r="S134"/>
      <c r="T134"/>
      <c r="U134"/>
      <c r="V134"/>
      <c r="W134"/>
      <c r="X134"/>
      <c r="Y134"/>
      <c r="Z134"/>
      <c r="AA134"/>
      <c r="AB134"/>
      <c r="AC134"/>
    </row>
    <row r="135" spans="19:29" ht="15.95" hidden="1" customHeight="1">
      <c r="S135"/>
      <c r="T135"/>
      <c r="U135"/>
      <c r="V135"/>
      <c r="W135"/>
      <c r="X135"/>
      <c r="Y135"/>
      <c r="Z135"/>
      <c r="AA135"/>
      <c r="AB135"/>
      <c r="AC135"/>
    </row>
    <row r="136" spans="19:29" ht="15.95" hidden="1" customHeight="1">
      <c r="S136"/>
      <c r="T136"/>
      <c r="U136"/>
      <c r="V136"/>
      <c r="W136"/>
      <c r="X136"/>
      <c r="Y136"/>
      <c r="Z136"/>
      <c r="AA136"/>
      <c r="AB136"/>
      <c r="AC136"/>
    </row>
    <row r="137" spans="19:29" ht="15.95" hidden="1" customHeight="1">
      <c r="S137"/>
      <c r="T137"/>
      <c r="U137"/>
      <c r="V137"/>
      <c r="W137"/>
      <c r="X137"/>
      <c r="Y137"/>
      <c r="Z137"/>
      <c r="AA137"/>
      <c r="AB137"/>
      <c r="AC137"/>
    </row>
    <row r="138" spans="19:29" ht="15.95" hidden="1" customHeight="1">
      <c r="S138"/>
      <c r="T138"/>
      <c r="U138"/>
      <c r="V138"/>
      <c r="W138"/>
      <c r="X138"/>
      <c r="Y138"/>
      <c r="Z138"/>
      <c r="AA138"/>
      <c r="AB138"/>
      <c r="AC138"/>
    </row>
    <row r="139" spans="19:29" ht="15.95" hidden="1" customHeight="1">
      <c r="S139"/>
      <c r="T139"/>
      <c r="U139"/>
      <c r="V139"/>
      <c r="W139"/>
      <c r="X139"/>
      <c r="Y139"/>
      <c r="Z139"/>
      <c r="AA139"/>
      <c r="AB139"/>
      <c r="AC139"/>
    </row>
    <row r="140" spans="19:29" ht="15.95" hidden="1" customHeight="1">
      <c r="S140"/>
      <c r="T140"/>
      <c r="U140"/>
      <c r="V140"/>
      <c r="W140"/>
      <c r="X140"/>
      <c r="Y140"/>
      <c r="Z140"/>
      <c r="AA140"/>
      <c r="AB140"/>
      <c r="AC140"/>
    </row>
    <row r="141" spans="19:29" ht="15.95" hidden="1" customHeight="1">
      <c r="S141"/>
      <c r="T141"/>
      <c r="U141"/>
      <c r="V141"/>
      <c r="W141"/>
      <c r="X141"/>
      <c r="Y141"/>
      <c r="Z141"/>
      <c r="AA141"/>
      <c r="AB141"/>
      <c r="AC141"/>
    </row>
    <row r="142" spans="19:29" ht="15.95" hidden="1" customHeight="1">
      <c r="S142"/>
      <c r="T142"/>
      <c r="U142"/>
      <c r="V142"/>
      <c r="W142"/>
      <c r="X142"/>
      <c r="Y142"/>
      <c r="Z142"/>
      <c r="AA142"/>
      <c r="AB142"/>
      <c r="AC142"/>
    </row>
    <row r="143" spans="19:29" ht="15.95" hidden="1" customHeight="1">
      <c r="S143"/>
      <c r="T143"/>
      <c r="U143"/>
      <c r="V143"/>
      <c r="W143"/>
      <c r="X143"/>
      <c r="Y143"/>
      <c r="Z143"/>
      <c r="AA143"/>
      <c r="AB143"/>
      <c r="AC143"/>
    </row>
    <row r="144" spans="19:29" ht="15.95" hidden="1" customHeight="1">
      <c r="S144"/>
      <c r="T144"/>
      <c r="U144"/>
      <c r="V144"/>
      <c r="W144"/>
      <c r="X144"/>
      <c r="Y144"/>
      <c r="Z144"/>
      <c r="AA144"/>
      <c r="AB144"/>
      <c r="AC144"/>
    </row>
    <row r="145" spans="19:29" ht="15.95" hidden="1" customHeight="1">
      <c r="S145"/>
      <c r="T145"/>
      <c r="U145"/>
      <c r="V145"/>
      <c r="W145"/>
      <c r="X145"/>
      <c r="Y145"/>
      <c r="Z145"/>
      <c r="AA145"/>
      <c r="AB145"/>
      <c r="AC145"/>
    </row>
    <row r="146" spans="19:29" ht="15.95" hidden="1" customHeight="1">
      <c r="S146"/>
      <c r="T146"/>
      <c r="U146"/>
      <c r="V146"/>
      <c r="W146"/>
      <c r="X146"/>
      <c r="Y146"/>
      <c r="Z146"/>
      <c r="AA146"/>
      <c r="AB146"/>
      <c r="AC146"/>
    </row>
    <row r="147" spans="19:29" ht="15.95" hidden="1" customHeight="1">
      <c r="S147"/>
      <c r="T147"/>
      <c r="U147"/>
      <c r="V147"/>
      <c r="W147"/>
      <c r="X147"/>
      <c r="Y147"/>
      <c r="Z147"/>
      <c r="AA147"/>
      <c r="AB147"/>
      <c r="AC147"/>
    </row>
    <row r="148" spans="19:29" ht="15.95" hidden="1" customHeight="1">
      <c r="S148"/>
      <c r="T148"/>
      <c r="U148"/>
      <c r="V148"/>
      <c r="W148"/>
      <c r="X148"/>
      <c r="Y148"/>
      <c r="Z148"/>
      <c r="AA148"/>
      <c r="AB148"/>
      <c r="AC148"/>
    </row>
    <row r="149" spans="19:29" ht="15.95" hidden="1" customHeight="1">
      <c r="S149"/>
      <c r="T149"/>
      <c r="U149"/>
      <c r="V149"/>
      <c r="W149"/>
      <c r="X149"/>
      <c r="Y149"/>
      <c r="Z149"/>
      <c r="AA149"/>
      <c r="AB149"/>
      <c r="AC149"/>
    </row>
    <row r="150" spans="19:29" ht="15.95" hidden="1" customHeight="1">
      <c r="S150"/>
      <c r="T150"/>
      <c r="U150"/>
      <c r="V150"/>
      <c r="W150"/>
      <c r="X150"/>
      <c r="Y150"/>
      <c r="Z150"/>
      <c r="AA150"/>
      <c r="AB150"/>
      <c r="AC150"/>
    </row>
    <row r="151" spans="19:29" ht="15.95" hidden="1" customHeight="1">
      <c r="S151"/>
      <c r="T151"/>
      <c r="U151"/>
      <c r="V151"/>
      <c r="W151"/>
      <c r="X151"/>
      <c r="Y151"/>
      <c r="Z151"/>
      <c r="AA151"/>
      <c r="AB151"/>
      <c r="AC151"/>
    </row>
    <row r="152" spans="19:29" ht="15.95" hidden="1" customHeight="1">
      <c r="S152"/>
      <c r="T152"/>
      <c r="U152"/>
      <c r="V152"/>
      <c r="W152"/>
      <c r="X152"/>
      <c r="Y152"/>
      <c r="Z152"/>
      <c r="AA152"/>
      <c r="AB152"/>
      <c r="AC152"/>
    </row>
    <row r="153" spans="19:29" ht="15.95" hidden="1" customHeight="1">
      <c r="S153"/>
      <c r="T153"/>
      <c r="U153"/>
      <c r="V153"/>
      <c r="W153"/>
      <c r="X153"/>
      <c r="Y153"/>
      <c r="Z153"/>
      <c r="AA153"/>
      <c r="AB153"/>
      <c r="AC153"/>
    </row>
    <row r="154" spans="19:29" ht="15.95" hidden="1" customHeight="1">
      <c r="S154"/>
      <c r="T154"/>
      <c r="U154"/>
      <c r="V154"/>
      <c r="W154"/>
      <c r="X154"/>
      <c r="Y154"/>
      <c r="Z154"/>
      <c r="AA154"/>
      <c r="AB154"/>
      <c r="AC154"/>
    </row>
    <row r="155" spans="19:29" ht="15.95" hidden="1" customHeight="1">
      <c r="S155"/>
      <c r="T155"/>
      <c r="U155"/>
      <c r="V155"/>
      <c r="W155"/>
      <c r="X155"/>
      <c r="Y155"/>
      <c r="Z155"/>
      <c r="AA155"/>
      <c r="AB155"/>
      <c r="AC155"/>
    </row>
    <row r="156" spans="19:29" ht="15.95" hidden="1" customHeight="1">
      <c r="S156"/>
      <c r="T156"/>
      <c r="U156"/>
      <c r="V156"/>
      <c r="W156"/>
      <c r="X156"/>
      <c r="Y156"/>
      <c r="Z156"/>
      <c r="AA156"/>
      <c r="AB156"/>
      <c r="AC156"/>
    </row>
    <row r="157" spans="19:29" ht="15.95" hidden="1" customHeight="1">
      <c r="S157"/>
      <c r="T157"/>
      <c r="U157"/>
      <c r="V157"/>
      <c r="W157"/>
      <c r="X157"/>
      <c r="Y157"/>
      <c r="Z157"/>
      <c r="AA157"/>
      <c r="AB157"/>
      <c r="AC157"/>
    </row>
    <row r="158" spans="19:29" ht="15.95" hidden="1" customHeight="1">
      <c r="S158"/>
      <c r="T158"/>
      <c r="U158"/>
      <c r="V158"/>
      <c r="W158"/>
      <c r="X158"/>
      <c r="Y158"/>
      <c r="Z158"/>
      <c r="AA158"/>
      <c r="AB158"/>
      <c r="AC158"/>
    </row>
    <row r="159" spans="19:29" ht="15.95" hidden="1" customHeight="1">
      <c r="S159"/>
      <c r="T159"/>
      <c r="U159"/>
      <c r="V159"/>
      <c r="W159"/>
      <c r="X159"/>
      <c r="Y159"/>
      <c r="Z159"/>
      <c r="AA159"/>
      <c r="AB159"/>
      <c r="AC159"/>
    </row>
    <row r="160" spans="19:29" ht="15.95" hidden="1" customHeight="1">
      <c r="S160"/>
      <c r="T160"/>
      <c r="U160"/>
      <c r="V160"/>
      <c r="W160"/>
      <c r="X160"/>
      <c r="Y160"/>
      <c r="Z160"/>
      <c r="AA160"/>
      <c r="AB160"/>
      <c r="AC160"/>
    </row>
    <row r="161" spans="19:29" ht="15.95" hidden="1" customHeight="1">
      <c r="S161"/>
      <c r="T161"/>
      <c r="U161"/>
      <c r="V161"/>
      <c r="W161"/>
      <c r="X161"/>
      <c r="Y161"/>
      <c r="Z161"/>
      <c r="AA161"/>
      <c r="AB161"/>
      <c r="AC161"/>
    </row>
    <row r="162" spans="19:29" ht="15.95" hidden="1" customHeight="1">
      <c r="S162"/>
      <c r="T162"/>
      <c r="U162"/>
      <c r="V162"/>
      <c r="W162"/>
      <c r="X162"/>
      <c r="Y162"/>
      <c r="Z162"/>
      <c r="AA162"/>
      <c r="AB162"/>
      <c r="AC162"/>
    </row>
    <row r="163" spans="19:29" ht="15.95" hidden="1" customHeight="1">
      <c r="S163"/>
      <c r="T163"/>
      <c r="U163"/>
      <c r="V163"/>
      <c r="W163"/>
      <c r="X163"/>
      <c r="Y163"/>
      <c r="Z163"/>
      <c r="AA163"/>
      <c r="AB163"/>
      <c r="AC163"/>
    </row>
    <row r="164" spans="19:29" ht="15.95" hidden="1" customHeight="1">
      <c r="S164"/>
      <c r="T164"/>
      <c r="U164"/>
      <c r="V164"/>
      <c r="W164"/>
      <c r="X164"/>
      <c r="Y164"/>
      <c r="Z164"/>
      <c r="AA164"/>
      <c r="AB164"/>
      <c r="AC164"/>
    </row>
    <row r="165" spans="19:29" ht="15.95" hidden="1" customHeight="1">
      <c r="S165"/>
      <c r="T165"/>
      <c r="U165"/>
      <c r="V165"/>
      <c r="W165"/>
      <c r="X165"/>
      <c r="Y165"/>
      <c r="Z165"/>
      <c r="AA165"/>
      <c r="AB165"/>
      <c r="AC165"/>
    </row>
    <row r="166" spans="19:29" ht="15.95" hidden="1" customHeight="1">
      <c r="S166"/>
      <c r="T166"/>
      <c r="U166"/>
      <c r="V166"/>
      <c r="W166"/>
      <c r="X166"/>
      <c r="Y166"/>
      <c r="Z166"/>
      <c r="AA166"/>
      <c r="AB166"/>
      <c r="AC166"/>
    </row>
    <row r="167" spans="19:29" ht="15.95" hidden="1" customHeight="1">
      <c r="S167"/>
      <c r="T167"/>
      <c r="U167"/>
      <c r="V167"/>
      <c r="W167"/>
      <c r="X167"/>
      <c r="Y167"/>
      <c r="Z167"/>
      <c r="AA167"/>
      <c r="AB167"/>
      <c r="AC167"/>
    </row>
    <row r="168" spans="19:29" ht="15.95" hidden="1" customHeight="1">
      <c r="S168"/>
      <c r="T168"/>
      <c r="U168"/>
      <c r="V168"/>
      <c r="W168"/>
      <c r="X168"/>
      <c r="Y168"/>
      <c r="Z168"/>
      <c r="AA168"/>
      <c r="AB168"/>
      <c r="AC168"/>
    </row>
    <row r="169" spans="19:29" ht="15.95" hidden="1" customHeight="1">
      <c r="S169"/>
      <c r="T169"/>
      <c r="U169"/>
      <c r="V169"/>
      <c r="W169"/>
      <c r="X169"/>
      <c r="Y169"/>
      <c r="Z169"/>
      <c r="AA169"/>
      <c r="AB169"/>
      <c r="AC169"/>
    </row>
    <row r="170" spans="19:29" ht="15.95" hidden="1" customHeight="1">
      <c r="S170"/>
      <c r="T170"/>
      <c r="U170"/>
      <c r="V170"/>
      <c r="W170"/>
      <c r="X170"/>
      <c r="Y170"/>
      <c r="Z170"/>
      <c r="AA170"/>
      <c r="AB170"/>
      <c r="AC170"/>
    </row>
    <row r="171" spans="19:29" ht="15.95" hidden="1" customHeight="1">
      <c r="S171"/>
      <c r="T171"/>
      <c r="U171"/>
      <c r="V171"/>
      <c r="W171"/>
      <c r="X171"/>
      <c r="Y171"/>
      <c r="Z171"/>
      <c r="AA171"/>
      <c r="AB171"/>
      <c r="AC171"/>
    </row>
    <row r="172" spans="19:29" ht="15.95" hidden="1" customHeight="1">
      <c r="S172"/>
      <c r="T172"/>
      <c r="U172"/>
      <c r="V172"/>
      <c r="W172"/>
      <c r="X172"/>
      <c r="Y172"/>
      <c r="Z172"/>
      <c r="AA172"/>
      <c r="AB172"/>
      <c r="AC172"/>
    </row>
    <row r="173" spans="19:29" ht="15.95" hidden="1" customHeight="1">
      <c r="S173"/>
      <c r="T173"/>
      <c r="U173"/>
      <c r="V173"/>
      <c r="W173"/>
      <c r="X173"/>
      <c r="Y173"/>
      <c r="Z173"/>
      <c r="AA173"/>
      <c r="AB173"/>
      <c r="AC173"/>
    </row>
    <row r="174" spans="19:29" ht="15.95" hidden="1" customHeight="1">
      <c r="S174"/>
      <c r="T174"/>
      <c r="U174"/>
      <c r="V174"/>
      <c r="W174"/>
      <c r="X174"/>
      <c r="Y174"/>
      <c r="Z174"/>
      <c r="AA174"/>
      <c r="AB174"/>
      <c r="AC174"/>
    </row>
    <row r="175" spans="19:29" ht="15.95" hidden="1" customHeight="1">
      <c r="S175"/>
      <c r="T175"/>
      <c r="U175"/>
      <c r="V175"/>
      <c r="W175"/>
      <c r="X175"/>
      <c r="Y175"/>
      <c r="Z175"/>
      <c r="AA175"/>
      <c r="AB175"/>
      <c r="AC175"/>
    </row>
    <row r="176" spans="19:29" ht="15.95" hidden="1" customHeight="1">
      <c r="S176"/>
      <c r="T176"/>
      <c r="U176"/>
      <c r="V176"/>
      <c r="W176"/>
      <c r="X176"/>
      <c r="Y176"/>
      <c r="Z176"/>
      <c r="AA176"/>
      <c r="AB176"/>
      <c r="AC176"/>
    </row>
    <row r="177" spans="19:29" ht="15.95" hidden="1" customHeight="1">
      <c r="S177"/>
      <c r="T177"/>
      <c r="U177"/>
      <c r="V177"/>
      <c r="W177"/>
      <c r="X177"/>
      <c r="Y177"/>
      <c r="Z177"/>
      <c r="AA177"/>
      <c r="AB177"/>
      <c r="AC177"/>
    </row>
    <row r="178" spans="19:29" ht="15.95" hidden="1" customHeight="1">
      <c r="S178"/>
      <c r="T178"/>
      <c r="U178"/>
      <c r="V178"/>
      <c r="W178"/>
      <c r="X178"/>
      <c r="Y178"/>
      <c r="Z178"/>
      <c r="AA178"/>
      <c r="AB178"/>
      <c r="AC178"/>
    </row>
    <row r="179" spans="19:29" ht="15.95" hidden="1" customHeight="1">
      <c r="S179"/>
      <c r="T179"/>
      <c r="U179"/>
      <c r="V179"/>
      <c r="W179"/>
      <c r="X179"/>
      <c r="Y179"/>
      <c r="Z179"/>
      <c r="AA179"/>
      <c r="AB179"/>
      <c r="AC179"/>
    </row>
    <row r="180" spans="19:29" ht="15.95" hidden="1" customHeight="1">
      <c r="S180"/>
      <c r="T180"/>
      <c r="U180"/>
      <c r="V180"/>
      <c r="W180"/>
      <c r="X180"/>
      <c r="Y180"/>
      <c r="Z180"/>
      <c r="AA180"/>
      <c r="AB180"/>
      <c r="AC180"/>
    </row>
    <row r="181" spans="19:29" ht="15.95" hidden="1" customHeight="1">
      <c r="S181"/>
      <c r="T181"/>
      <c r="U181"/>
      <c r="V181"/>
      <c r="W181"/>
      <c r="X181"/>
      <c r="Y181"/>
      <c r="Z181"/>
      <c r="AA181"/>
      <c r="AB181"/>
      <c r="AC181"/>
    </row>
    <row r="182" spans="19:29" ht="15.95" hidden="1" customHeight="1">
      <c r="S182"/>
      <c r="T182"/>
      <c r="U182"/>
      <c r="V182"/>
      <c r="W182"/>
      <c r="X182"/>
      <c r="Y182"/>
      <c r="Z182"/>
      <c r="AA182"/>
      <c r="AB182"/>
      <c r="AC182"/>
    </row>
    <row r="183" spans="19:29" ht="15.95" hidden="1" customHeight="1">
      <c r="S183"/>
      <c r="T183"/>
      <c r="U183"/>
      <c r="V183"/>
      <c r="W183"/>
      <c r="X183"/>
      <c r="Y183"/>
      <c r="Z183"/>
      <c r="AA183"/>
      <c r="AB183"/>
      <c r="AC183"/>
    </row>
    <row r="184" spans="19:29" ht="15.95" hidden="1" customHeight="1">
      <c r="S184"/>
      <c r="T184"/>
      <c r="U184"/>
      <c r="V184"/>
      <c r="W184"/>
      <c r="X184"/>
      <c r="Y184"/>
      <c r="Z184"/>
      <c r="AA184"/>
      <c r="AB184"/>
      <c r="AC184"/>
    </row>
    <row r="185" spans="19:29" ht="15.95" hidden="1" customHeight="1">
      <c r="S185"/>
      <c r="T185"/>
      <c r="U185"/>
      <c r="V185"/>
      <c r="W185"/>
      <c r="X185"/>
      <c r="Y185"/>
      <c r="Z185"/>
      <c r="AA185"/>
      <c r="AB185"/>
      <c r="AC185"/>
    </row>
    <row r="186" spans="19:29" ht="15.95" hidden="1" customHeight="1">
      <c r="S186"/>
      <c r="T186"/>
      <c r="U186"/>
      <c r="V186"/>
      <c r="W186"/>
      <c r="X186"/>
      <c r="Y186"/>
      <c r="Z186"/>
      <c r="AA186"/>
      <c r="AB186"/>
      <c r="AC186"/>
    </row>
    <row r="187" spans="19:29" ht="15.95" hidden="1" customHeight="1">
      <c r="S187"/>
      <c r="T187"/>
      <c r="U187"/>
      <c r="V187"/>
      <c r="W187"/>
      <c r="X187"/>
      <c r="Y187"/>
      <c r="Z187"/>
      <c r="AA187"/>
      <c r="AB187"/>
      <c r="AC187"/>
    </row>
    <row r="188" spans="19:29" ht="15.95" hidden="1" customHeight="1">
      <c r="S188"/>
      <c r="T188"/>
      <c r="U188"/>
      <c r="V188"/>
      <c r="W188"/>
      <c r="X188"/>
      <c r="Y188"/>
      <c r="Z188"/>
      <c r="AA188"/>
      <c r="AB188"/>
      <c r="AC188"/>
    </row>
    <row r="189" spans="19:29" ht="15.95" hidden="1" customHeight="1">
      <c r="S189"/>
      <c r="T189"/>
      <c r="U189"/>
      <c r="V189"/>
      <c r="W189"/>
      <c r="X189"/>
      <c r="Y189"/>
      <c r="Z189"/>
      <c r="AA189"/>
      <c r="AB189"/>
      <c r="AC189"/>
    </row>
    <row r="190" spans="19:29" ht="15.95" hidden="1" customHeight="1">
      <c r="S190"/>
      <c r="T190"/>
      <c r="U190"/>
      <c r="V190"/>
      <c r="W190"/>
      <c r="X190"/>
      <c r="Y190"/>
      <c r="Z190"/>
      <c r="AA190"/>
      <c r="AB190"/>
      <c r="AC190"/>
    </row>
    <row r="191" spans="19:29" ht="15.95" hidden="1" customHeight="1">
      <c r="S191"/>
      <c r="T191"/>
      <c r="U191"/>
      <c r="V191"/>
      <c r="W191"/>
      <c r="X191"/>
      <c r="Y191"/>
      <c r="Z191"/>
      <c r="AA191"/>
      <c r="AB191"/>
      <c r="AC191"/>
    </row>
    <row r="192" spans="19:29" ht="15.95" hidden="1" customHeight="1">
      <c r="S192"/>
      <c r="T192"/>
      <c r="U192"/>
      <c r="V192"/>
      <c r="W192"/>
      <c r="X192"/>
      <c r="Y192"/>
      <c r="Z192"/>
      <c r="AA192"/>
      <c r="AB192"/>
      <c r="AC192"/>
    </row>
    <row r="193" spans="1:45" ht="15.95" hidden="1" customHeight="1">
      <c r="S193"/>
      <c r="T193"/>
      <c r="U193"/>
      <c r="V193"/>
      <c r="W193"/>
      <c r="X193"/>
      <c r="Y193"/>
      <c r="Z193"/>
      <c r="AA193"/>
      <c r="AB193"/>
      <c r="AC193"/>
    </row>
    <row r="194" spans="1:45" ht="15.95" hidden="1" customHeight="1">
      <c r="S194"/>
      <c r="T194"/>
      <c r="U194"/>
      <c r="V194"/>
      <c r="W194"/>
      <c r="X194"/>
      <c r="Y194"/>
      <c r="Z194"/>
      <c r="AA194"/>
      <c r="AB194"/>
      <c r="AC194"/>
    </row>
    <row r="195" spans="1:45" ht="15.95" hidden="1" customHeight="1">
      <c r="S195"/>
      <c r="T195"/>
      <c r="U195"/>
      <c r="V195"/>
      <c r="W195"/>
      <c r="X195"/>
      <c r="Y195"/>
      <c r="Z195"/>
      <c r="AA195"/>
      <c r="AB195"/>
      <c r="AC195"/>
    </row>
    <row r="196" spans="1:45" ht="15.95" hidden="1" customHeight="1">
      <c r="S196"/>
      <c r="T196"/>
      <c r="U196"/>
      <c r="V196"/>
      <c r="W196"/>
      <c r="X196"/>
      <c r="Y196"/>
      <c r="Z196"/>
      <c r="AA196"/>
      <c r="AB196"/>
      <c r="AC196"/>
    </row>
    <row r="197" spans="1:45" ht="15.95" hidden="1" customHeight="1">
      <c r="S197"/>
      <c r="T197"/>
      <c r="U197"/>
      <c r="V197"/>
      <c r="W197"/>
      <c r="X197"/>
      <c r="Y197"/>
      <c r="Z197"/>
      <c r="AA197"/>
      <c r="AB197"/>
      <c r="AC197"/>
    </row>
    <row r="198" spans="1:45" ht="15.95" hidden="1" customHeight="1">
      <c r="S198"/>
      <c r="T198"/>
      <c r="U198"/>
      <c r="V198"/>
      <c r="W198"/>
      <c r="X198"/>
      <c r="Y198"/>
      <c r="Z198"/>
      <c r="AA198"/>
      <c r="AB198"/>
      <c r="AC198"/>
    </row>
    <row r="199" spans="1:45" ht="15.95" hidden="1" customHeight="1">
      <c r="S199"/>
      <c r="T199"/>
      <c r="U199"/>
      <c r="V199"/>
      <c r="W199"/>
      <c r="X199"/>
      <c r="Y199"/>
      <c r="Z199"/>
      <c r="AA199"/>
      <c r="AB199"/>
      <c r="AC199"/>
    </row>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c r="S203"/>
      <c r="T203"/>
      <c r="U203"/>
      <c r="V203"/>
      <c r="W203"/>
      <c r="X203"/>
      <c r="Y203"/>
      <c r="Z203"/>
      <c r="AA203"/>
      <c r="AB203"/>
      <c r="AC203"/>
    </row>
    <row r="204" spans="1:45" ht="15.95" hidden="1" customHeight="1"/>
    <row r="205" spans="1:45" ht="15.95" hidden="1" customHeight="1"/>
  </sheetData>
  <sheetProtection algorithmName="SHA-512" hashValue="siUyEQudH6Gwy0lyPxnnM2cf/Gs84En0Ti6CRAZY/9Af7cO7NNLGJ1gtbecfULyF0sOzRRoms/8drC837qmusw==" saltValue="HAOVHDsjm+Vk8PczqzEZ7Q==" spinCount="100000" sheet="1" objects="1" scenarios="1" selectLockedCells="1"/>
  <sortState xmlns:xlrd2="http://schemas.microsoft.com/office/spreadsheetml/2017/richdata2" ref="J14:V42">
    <sortCondition ref="J41"/>
  </sortState>
  <mergeCells count="23">
    <mergeCell ref="Y29:AE30"/>
    <mergeCell ref="A4:E6"/>
    <mergeCell ref="A7:E8"/>
    <mergeCell ref="A9:AS10"/>
    <mergeCell ref="AO5:AS6"/>
    <mergeCell ref="AO7:AS7"/>
    <mergeCell ref="AO8:AS8"/>
    <mergeCell ref="O1:AE3"/>
    <mergeCell ref="M200:AG201"/>
    <mergeCell ref="AP1:AS3"/>
    <mergeCell ref="F1:I3"/>
    <mergeCell ref="J1:M3"/>
    <mergeCell ref="AH1:AK3"/>
    <mergeCell ref="AL1:AO3"/>
    <mergeCell ref="P19:V20"/>
    <mergeCell ref="Y19:AE20"/>
    <mergeCell ref="N11:AF11"/>
    <mergeCell ref="G19:M20"/>
    <mergeCell ref="G29:M30"/>
    <mergeCell ref="T34:Z35"/>
    <mergeCell ref="AH29:AN30"/>
    <mergeCell ref="AH19:AN20"/>
    <mergeCell ref="P29:V30"/>
  </mergeCells>
  <conditionalFormatting sqref="AO8:AS8">
    <cfRule type="expression" dxfId="119" priority="1">
      <formula>IF($AO$8=PROJSTATMEASURE,FALSE,TRUE)</formula>
    </cfRule>
  </conditionalFormatting>
  <hyperlinks>
    <hyperlink ref="J1:M3" location="'M01-S02'!J1" tooltip="Instructions" display="'M01-S02'!J1" xr:uid="{81A06B10-424A-4167-8F02-27DD51F3D974}"/>
    <hyperlink ref="AL1:AO3" location="'M05-S05'!AL1" tooltip=" " display="'M05-S05'!AL1" xr:uid="{9BCDD585-43AD-4782-B651-ADAB005ADE3C}"/>
    <hyperlink ref="AH1:AK3" location="'M05-S04'!AH1" tooltip=" " display="'M05-S04'!AH1" xr:uid="{56D797BD-7629-4D6E-A0C6-1256516A1A15}"/>
    <hyperlink ref="AP1:AS3" location="'M01-S03'!AP1" tooltip="Contact" display="'M01-S03'!AP1" xr:uid="{EBC847D3-C0F6-4C86-9C6C-998227747F72}"/>
    <hyperlink ref="B202" r:id="rId1" xr:uid="{3D525E7B-FECE-4BF0-AEEF-897883F34D30}"/>
    <hyperlink ref="P29:V30" location="'M03-S06'!A1" tooltip="Compressed Air / Process" display="'M03-S06'!A1" xr:uid="{79ACB4FD-C6DF-4D76-A219-1BC237F40D03}"/>
    <hyperlink ref="Y29:AE30" location="'M03-S07'!A1" tooltip="Water Heating / Food Services" display="'M03-S07'!A1" xr:uid="{3E84A672-1833-410C-B746-5D40138000F8}"/>
    <hyperlink ref="G29:M30" location="'M04-S08'!A1" tooltip="Motors and Drives" display="'M04-S08'!A1" xr:uid="{1C63D201-6651-437A-B29E-2900D7BBFDD2}"/>
    <hyperlink ref="AH29:AN30" location="'M04-S09'!A1" tooltip="Miscellaneous" display="'M04-S09'!A1" xr:uid="{EE4F7A69-F549-40FF-8E27-5E2B277A49A9}"/>
    <hyperlink ref="AH19:AN20" location="'M03-S05'!A1" tooltip="HVAC" display="'M03-S05'!A1" xr:uid="{30BF9F67-DAE1-4A44-9209-C43C9412904A}"/>
    <hyperlink ref="Y19:AE20" location="'M03-S04'!A1" tooltip="Refrigeration" display="'M03-S04'!A1" xr:uid="{90D2E2BE-1616-40B2-A33D-1CB5D58BE470}"/>
    <hyperlink ref="P19:V20" location="'M03-S03'!A1" tooltip="Lighting Controls" display="'M03-S03'!A1" xr:uid="{6CD591F5-BBBE-401C-A158-1B6500795B3A}"/>
    <hyperlink ref="G19:M20" location="'M03-S02'!A1" tooltip="Lighting" display="'M03-S02'!A1" xr:uid="{B8FD63A4-427F-4E48-9D3C-B2EC70C21B06}"/>
  </hyperlinks>
  <printOptions horizontalCentered="1"/>
  <pageMargins left="0.25" right="0.25" top="0.25" bottom="0.25" header="0.25" footer="0.25"/>
  <pageSetup scale="62"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pageSetUpPr fitToPage="1"/>
  </sheetPr>
  <dimension ref="A1:BI204"/>
  <sheetViews>
    <sheetView showGridLines="0" showRowColHeaders="0" zoomScale="85" zoomScaleNormal="85" workbookViewId="0">
      <selection activeCell="C18" sqref="C18:F19"/>
    </sheetView>
  </sheetViews>
  <sheetFormatPr defaultColWidth="0" defaultRowHeight="0" customHeight="1" zeroHeight="1"/>
  <cols>
    <col min="1" max="45" width="4.7109375" customWidth="1"/>
    <col min="46" max="46" width="9.5703125" style="14" hidden="1" customWidth="1"/>
    <col min="47" max="47" width="15.7109375" style="180" hidden="1" customWidth="1"/>
    <col min="48" max="51" width="9.5703125" hidden="1" customWidth="1"/>
    <col min="52" max="52" width="9.5703125" style="180" hidden="1" customWidth="1"/>
    <col min="53" max="54" width="9.5703125" hidden="1" customWidth="1"/>
    <col min="55" max="55" width="9.5703125" style="180" hidden="1" customWidth="1"/>
    <col min="56" max="58" width="9.5703125" hidden="1" customWidth="1"/>
    <col min="59" max="59" width="11" hidden="1" customWidth="1"/>
    <col min="60" max="60" width="12.42578125" hidden="1" customWidth="1"/>
    <col min="61" max="61" width="9.5703125" hidden="1" customWidth="1"/>
    <col min="62" max="71" width="4.7109375" hidden="1" customWidth="1"/>
    <col min="72" max="16384" width="4.7109375" hidden="1"/>
  </cols>
  <sheetData>
    <row r="1" spans="1:6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AT1"/>
      <c r="AU1"/>
      <c r="AZ1"/>
      <c r="BC1"/>
    </row>
    <row r="2" spans="1:6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AT2"/>
      <c r="AU2"/>
      <c r="AZ2"/>
      <c r="BC2"/>
    </row>
    <row r="3" spans="1:6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AT3"/>
      <c r="AU3"/>
      <c r="AZ3"/>
      <c r="BC3"/>
    </row>
    <row r="4" spans="1:61" ht="15.95" customHeight="1">
      <c r="A4" s="773">
        <f>INCENTOTAL</f>
        <v>0</v>
      </c>
      <c r="B4" s="773"/>
      <c r="C4" s="773"/>
      <c r="D4" s="773"/>
      <c r="E4" s="773"/>
      <c r="F4" s="14"/>
      <c r="G4" s="14"/>
      <c r="H4" s="14"/>
      <c r="I4" s="14"/>
      <c r="J4" s="14"/>
      <c r="K4" s="14"/>
      <c r="L4" s="14"/>
      <c r="M4" s="14"/>
      <c r="N4" s="14"/>
      <c r="O4" s="14"/>
      <c r="P4" s="14"/>
      <c r="Q4" s="14"/>
      <c r="R4" s="14"/>
      <c r="S4" s="14"/>
      <c r="T4" s="14"/>
      <c r="U4" s="180"/>
      <c r="V4" s="180"/>
      <c r="W4" s="180"/>
      <c r="X4" s="180"/>
      <c r="Y4" s="180"/>
      <c r="Z4" s="14"/>
      <c r="AA4" s="14"/>
      <c r="AB4" s="14"/>
      <c r="AC4" s="14"/>
      <c r="AD4" s="14"/>
      <c r="AE4" s="14"/>
      <c r="AF4" s="14"/>
      <c r="AG4" s="14"/>
      <c r="AH4" s="14"/>
      <c r="AI4" s="14"/>
      <c r="AJ4" s="14"/>
      <c r="AK4" s="14"/>
      <c r="AL4" s="14"/>
      <c r="AM4" s="14"/>
      <c r="AN4" s="14"/>
      <c r="AO4" s="180"/>
      <c r="AP4" s="180"/>
      <c r="AQ4" s="180"/>
      <c r="AR4" s="180"/>
      <c r="AS4" s="180"/>
      <c r="AT4"/>
      <c r="AY4" s="148"/>
      <c r="AZ4" s="148"/>
    </row>
    <row r="5" spans="1:61"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c r="AU5" s="290"/>
      <c r="AV5" s="194" t="s">
        <v>1438</v>
      </c>
      <c r="AW5" s="194" t="s">
        <v>336</v>
      </c>
    </row>
    <row r="6" spans="1:61"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c r="AU6" s="193" t="s">
        <v>1443</v>
      </c>
      <c r="AV6" s="192" t="str">
        <f>CBPRESE</f>
        <v>NA</v>
      </c>
      <c r="AW6" s="192" t="str">
        <f>PAYPRESE</f>
        <v>NA</v>
      </c>
    </row>
    <row r="7" spans="1:61"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c r="AU7" s="193" t="s">
        <v>144</v>
      </c>
      <c r="AV7" s="192" t="str">
        <f>CBCUSE</f>
        <v>NA</v>
      </c>
      <c r="AW7" s="192" t="str">
        <f>PAYCUSE</f>
        <v>NA</v>
      </c>
    </row>
    <row r="8" spans="1:61"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c r="AU8" s="193" t="s">
        <v>651</v>
      </c>
      <c r="AV8" s="192" t="str">
        <f>CBALL</f>
        <v>NA</v>
      </c>
      <c r="AW8" s="192" t="str">
        <f>PAYALL</f>
        <v>NA</v>
      </c>
    </row>
    <row r="9" spans="1:61" s="148" customFormat="1" ht="15.95" customHeight="1">
      <c r="B9" s="152"/>
      <c r="C9" s="152"/>
      <c r="D9" s="152"/>
      <c r="E9" s="181"/>
      <c r="F9" s="181"/>
      <c r="G9" s="181"/>
      <c r="H9" s="913" t="str">
        <f>M3S2</f>
        <v>Lighting</v>
      </c>
      <c r="I9" s="913"/>
      <c r="J9" s="913"/>
      <c r="K9" s="913"/>
      <c r="L9" s="910" t="str">
        <f>M3S3</f>
        <v>Lighting Controls</v>
      </c>
      <c r="M9" s="911"/>
      <c r="N9" s="911"/>
      <c r="O9" s="911"/>
      <c r="P9" s="910" t="str">
        <f>M3S4</f>
        <v>Refrigeration</v>
      </c>
      <c r="Q9" s="911"/>
      <c r="R9" s="911"/>
      <c r="S9" s="911"/>
      <c r="T9" s="910" t="str">
        <f>M3S5</f>
        <v>HVAC</v>
      </c>
      <c r="U9" s="911"/>
      <c r="V9" s="911"/>
      <c r="W9" s="911"/>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2"/>
      <c r="AP9" s="352"/>
      <c r="AQ9" s="352"/>
      <c r="AR9" s="352"/>
      <c r="AS9" s="336"/>
    </row>
    <row r="10" spans="1:61" s="148" customFormat="1" ht="15.95" customHeight="1">
      <c r="B10" s="152"/>
      <c r="C10" s="152"/>
      <c r="D10" s="152"/>
      <c r="E10" s="183"/>
      <c r="F10" s="183"/>
      <c r="G10" s="183"/>
      <c r="H10" s="914"/>
      <c r="I10" s="914"/>
      <c r="J10" s="914"/>
      <c r="K10" s="914"/>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152"/>
      <c r="AO10" s="344"/>
      <c r="AP10" s="344"/>
      <c r="AQ10" s="344"/>
      <c r="AR10" s="344"/>
      <c r="AS10" s="336"/>
    </row>
    <row r="11" spans="1:61" ht="15.95" customHeight="1">
      <c r="B11" s="171"/>
      <c r="C11" s="171"/>
      <c r="D11" s="171"/>
      <c r="E11" s="13"/>
      <c r="F11" s="13"/>
      <c r="G11" s="13"/>
      <c r="H11" s="914"/>
      <c r="I11" s="914"/>
      <c r="J11" s="914"/>
      <c r="K11" s="914"/>
      <c r="L11" s="912"/>
      <c r="M11" s="912"/>
      <c r="N11" s="912"/>
      <c r="O11" s="912"/>
      <c r="P11" s="912"/>
      <c r="Q11" s="912"/>
      <c r="R11" s="912"/>
      <c r="S11" s="912"/>
      <c r="T11" s="912"/>
      <c r="U11" s="912"/>
      <c r="V11" s="912"/>
      <c r="W11" s="912"/>
      <c r="X11" s="912"/>
      <c r="Y11" s="912"/>
      <c r="Z11" s="912"/>
      <c r="AA11" s="912"/>
      <c r="AB11" s="912"/>
      <c r="AC11" s="912"/>
      <c r="AD11" s="912"/>
      <c r="AE11" s="912"/>
      <c r="AF11" s="912"/>
      <c r="AG11" s="912"/>
      <c r="AH11" s="912"/>
      <c r="AI11" s="912"/>
      <c r="AJ11" s="912"/>
      <c r="AK11" s="912"/>
      <c r="AL11" s="912"/>
      <c r="AM11" s="912"/>
      <c r="AN11" s="394"/>
      <c r="AO11" s="337"/>
      <c r="AP11" s="337"/>
      <c r="AQ11" s="337"/>
      <c r="AR11" s="337"/>
      <c r="AS11" s="235"/>
    </row>
    <row r="12" spans="1:61" s="14" customFormat="1" ht="15.95" customHeight="1">
      <c r="A12" s="146"/>
      <c r="B12" s="146"/>
      <c r="C12" s="146"/>
      <c r="D12" s="146"/>
      <c r="E12" s="146"/>
      <c r="F12"/>
      <c r="G12"/>
      <c r="H12"/>
      <c r="I12"/>
      <c r="J12"/>
      <c r="K12"/>
      <c r="L12"/>
      <c r="M12"/>
      <c r="N12"/>
      <c r="O12"/>
      <c r="P12"/>
      <c r="Q12"/>
      <c r="R12" s="916">
        <f>SUM(AN18:AQ199)</f>
        <v>0</v>
      </c>
      <c r="S12" s="916"/>
      <c r="T12" s="916"/>
      <c r="U12" s="916"/>
      <c r="V12" s="916">
        <f>SUM(AT18:AT199)</f>
        <v>0</v>
      </c>
      <c r="W12" s="916"/>
      <c r="X12" s="916"/>
      <c r="Y12" s="916"/>
      <c r="Z12" s="915">
        <f ca="1">SUMIF(AN18:AQ199,"&gt;0",AK18:AM199)</f>
        <v>0</v>
      </c>
      <c r="AA12" s="915"/>
      <c r="AB12" s="915"/>
      <c r="AC12" s="915"/>
      <c r="AE12"/>
      <c r="AF12"/>
      <c r="AO12" s="235"/>
      <c r="AP12" s="333"/>
      <c r="AQ12" s="235"/>
      <c r="AR12" s="235"/>
      <c r="AS12" s="235"/>
      <c r="AU12" s="180"/>
      <c r="AZ12" s="180"/>
      <c r="BC12" s="180"/>
    </row>
    <row r="13" spans="1:61" s="14" customFormat="1" ht="15.95" customHeight="1">
      <c r="A13" s="146"/>
      <c r="B13" s="146"/>
      <c r="C13" s="860" t="s">
        <v>2136</v>
      </c>
      <c r="D13" s="860"/>
      <c r="E13" s="860"/>
      <c r="F13" s="860"/>
      <c r="G13" s="860"/>
      <c r="H13" s="860"/>
      <c r="I13" s="860"/>
      <c r="J13" s="860"/>
      <c r="K13" s="860"/>
      <c r="L13" s="860"/>
      <c r="M13" s="860"/>
      <c r="N13" s="860"/>
      <c r="O13" s="860"/>
      <c r="P13" s="860"/>
      <c r="Q13"/>
      <c r="R13" s="916"/>
      <c r="S13" s="916"/>
      <c r="T13" s="916"/>
      <c r="U13" s="916"/>
      <c r="V13" s="916"/>
      <c r="W13" s="916"/>
      <c r="X13" s="916"/>
      <c r="Y13" s="916"/>
      <c r="Z13" s="915"/>
      <c r="AA13" s="915"/>
      <c r="AB13" s="915"/>
      <c r="AC13" s="915"/>
      <c r="AE13"/>
      <c r="AF13"/>
      <c r="AG13"/>
      <c r="AH13"/>
      <c r="AO13" s="235"/>
      <c r="AP13" s="235"/>
      <c r="AQ13" s="235"/>
      <c r="AR13" s="235"/>
      <c r="AS13" s="235"/>
      <c r="AU13" s="180"/>
      <c r="AZ13" s="180"/>
      <c r="BC13" s="180"/>
    </row>
    <row r="14" spans="1:61" ht="15.95" customHeight="1">
      <c r="C14" s="180"/>
      <c r="D14" s="180"/>
      <c r="E14" s="180"/>
      <c r="F14" s="180"/>
      <c r="G14" s="180"/>
      <c r="H14" s="180"/>
      <c r="I14" s="180"/>
      <c r="J14" s="180"/>
      <c r="K14" s="180"/>
      <c r="L14" s="180"/>
      <c r="M14" s="180"/>
      <c r="N14" s="180"/>
      <c r="R14" s="860" t="s">
        <v>1979</v>
      </c>
      <c r="S14" s="860"/>
      <c r="T14" s="860"/>
      <c r="U14" s="860"/>
      <c r="V14" s="860" t="s">
        <v>67</v>
      </c>
      <c r="W14" s="860"/>
      <c r="X14" s="860"/>
      <c r="Y14" s="860"/>
      <c r="Z14" s="860" t="s">
        <v>1248</v>
      </c>
      <c r="AA14" s="860"/>
      <c r="AB14" s="860"/>
      <c r="AC14" s="860"/>
      <c r="AH14" s="1"/>
      <c r="AO14" s="235"/>
      <c r="AP14" s="235"/>
      <c r="AQ14" s="235"/>
      <c r="AR14" s="235"/>
      <c r="AS14" s="235"/>
    </row>
    <row r="15" spans="1:61" ht="15.95" customHeight="1">
      <c r="C15" s="180"/>
      <c r="D15" s="180"/>
      <c r="E15" s="180"/>
      <c r="F15" s="180"/>
      <c r="G15" s="180"/>
      <c r="H15" s="180"/>
      <c r="I15" s="180"/>
      <c r="J15" s="180"/>
      <c r="K15" s="180"/>
      <c r="L15" s="180"/>
      <c r="M15" s="180"/>
      <c r="N15" s="180"/>
      <c r="AO15" s="235"/>
      <c r="AP15" s="235"/>
      <c r="AQ15" s="235"/>
      <c r="AR15" s="235"/>
      <c r="AS15" s="235"/>
      <c r="BE15" s="180"/>
    </row>
    <row r="16" spans="1:61" ht="15.95" customHeight="1">
      <c r="C16" s="836" t="s">
        <v>1352</v>
      </c>
      <c r="D16" s="836"/>
      <c r="E16" s="836"/>
      <c r="F16" s="836"/>
      <c r="G16" s="836" t="s">
        <v>1370</v>
      </c>
      <c r="H16" s="836"/>
      <c r="I16" s="836"/>
      <c r="J16" s="836"/>
      <c r="K16" s="836"/>
      <c r="L16" s="836"/>
      <c r="M16" s="836" t="s">
        <v>2230</v>
      </c>
      <c r="N16" s="836"/>
      <c r="O16" s="836" t="s">
        <v>2231</v>
      </c>
      <c r="P16" s="836"/>
      <c r="Q16" s="836"/>
      <c r="R16" s="836" t="s">
        <v>1249</v>
      </c>
      <c r="S16" s="836"/>
      <c r="T16" s="836" t="s">
        <v>1250</v>
      </c>
      <c r="U16" s="836"/>
      <c r="V16" s="836" t="s">
        <v>74</v>
      </c>
      <c r="W16" s="836"/>
      <c r="X16" s="836" t="s">
        <v>1448</v>
      </c>
      <c r="Y16" s="836"/>
      <c r="Z16" s="836" t="s">
        <v>1378</v>
      </c>
      <c r="AA16" s="836"/>
      <c r="AB16" s="836"/>
      <c r="AC16" s="836" t="s">
        <v>1369</v>
      </c>
      <c r="AD16" s="836"/>
      <c r="AE16" s="907" t="s">
        <v>1355</v>
      </c>
      <c r="AF16" s="907"/>
      <c r="AG16" s="907"/>
      <c r="AH16" s="907"/>
      <c r="AI16" s="836" t="s">
        <v>1980</v>
      </c>
      <c r="AJ16" s="836"/>
      <c r="AK16" s="836" t="s">
        <v>1187</v>
      </c>
      <c r="AL16" s="836"/>
      <c r="AM16" s="836"/>
      <c r="AN16" s="836" t="s">
        <v>83</v>
      </c>
      <c r="AO16" s="908"/>
      <c r="AP16" s="908"/>
      <c r="AQ16" s="908"/>
      <c r="AR16" s="235"/>
      <c r="AS16" s="235"/>
      <c r="AT16" s="856" t="s">
        <v>1377</v>
      </c>
      <c r="AU16" s="856" t="s">
        <v>1195</v>
      </c>
      <c r="AV16" s="861" t="s">
        <v>1373</v>
      </c>
      <c r="AW16" s="861"/>
      <c r="AX16" s="858" t="s">
        <v>699</v>
      </c>
      <c r="AY16" s="858" t="s">
        <v>1376</v>
      </c>
      <c r="AZ16" s="856" t="s">
        <v>1426</v>
      </c>
      <c r="BA16" s="861" t="s">
        <v>1374</v>
      </c>
      <c r="BB16" s="861"/>
      <c r="BC16" s="856" t="s">
        <v>85</v>
      </c>
      <c r="BD16" s="856" t="s">
        <v>319</v>
      </c>
      <c r="BE16" s="932" t="s">
        <v>88</v>
      </c>
      <c r="BF16" s="932" t="s">
        <v>2500</v>
      </c>
      <c r="BG16" s="935"/>
      <c r="BH16" s="932" t="s">
        <v>2715</v>
      </c>
      <c r="BI16" s="932" t="s">
        <v>2893</v>
      </c>
    </row>
    <row r="17" spans="1:61" ht="15.95" customHeight="1" thickBot="1">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t="s">
        <v>1353</v>
      </c>
      <c r="AF17" s="837"/>
      <c r="AG17" s="837" t="s">
        <v>1354</v>
      </c>
      <c r="AH17" s="837"/>
      <c r="AI17" s="837"/>
      <c r="AJ17" s="837"/>
      <c r="AK17" s="837"/>
      <c r="AL17" s="837"/>
      <c r="AM17" s="837"/>
      <c r="AN17" s="837"/>
      <c r="AO17" s="909"/>
      <c r="AP17" s="909"/>
      <c r="AQ17" s="909"/>
      <c r="AR17" s="235"/>
      <c r="AS17" s="235"/>
      <c r="AT17" s="857"/>
      <c r="AU17" s="857"/>
      <c r="AV17" s="174" t="s">
        <v>1371</v>
      </c>
      <c r="AW17" s="174" t="s">
        <v>1372</v>
      </c>
      <c r="AX17" s="859"/>
      <c r="AY17" s="859"/>
      <c r="AZ17" s="857"/>
      <c r="BA17" s="174" t="s">
        <v>1371</v>
      </c>
      <c r="BB17" s="174" t="s">
        <v>1372</v>
      </c>
      <c r="BC17" s="857"/>
      <c r="BD17" s="857"/>
      <c r="BE17" s="933"/>
      <c r="BF17" s="933"/>
      <c r="BG17" s="936"/>
      <c r="BH17" s="933"/>
      <c r="BI17" s="933"/>
    </row>
    <row r="18" spans="1:61" ht="15.95" customHeight="1">
      <c r="B18" s="905">
        <v>1</v>
      </c>
      <c r="C18" s="833"/>
      <c r="D18" s="834"/>
      <c r="E18" s="834"/>
      <c r="F18" s="835"/>
      <c r="G18" s="840"/>
      <c r="H18" s="841"/>
      <c r="I18" s="841"/>
      <c r="J18" s="841"/>
      <c r="K18" s="841"/>
      <c r="L18" s="841"/>
      <c r="M18" s="833"/>
      <c r="N18" s="835"/>
      <c r="O18" s="833"/>
      <c r="P18" s="834"/>
      <c r="Q18" s="835"/>
      <c r="R18" s="884"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84"/>
      <c r="T18" s="886" t="str">
        <f>IF(C18="Permanent Lamp Removal",0,"")</f>
        <v/>
      </c>
      <c r="U18" s="886"/>
      <c r="V18" s="887"/>
      <c r="W18" s="887"/>
      <c r="X18" s="865"/>
      <c r="Y18" s="865"/>
      <c r="Z18" s="917"/>
      <c r="AA18" s="918"/>
      <c r="AB18" s="919"/>
      <c r="AC18" s="906"/>
      <c r="AD18" s="833"/>
      <c r="AE18" s="889"/>
      <c r="AF18" s="890"/>
      <c r="AG18" s="890"/>
      <c r="AH18" s="891"/>
      <c r="AI18" s="896" t="str">
        <f>IFERROR(IF(G18="","",IF(C18&lt;&gt;INDEX(STDLIGHT[Eff Category 1],MATCH(G18,STDLIGHT[Measure Name],0)),0,INDEX(STDLIGHT[Current Incentive],MATCH('M03-S02'!G18,STDLIGHT[Measure Name],0)))),"")</f>
        <v/>
      </c>
      <c r="AJ18" s="897"/>
      <c r="AK18" s="900" t="str">
        <f>IFERROR(IF(OR(C18="",G18="",M18="",O18="",R18="",T18="",V18="",X18="",Z18="",AC18="",AE18="",AG18=""),"",IF(BH18="Deemed",AV18,IF(BH18="Calculated",BA18,""))),"")</f>
        <v/>
      </c>
      <c r="AL18" s="900"/>
      <c r="AM18" s="900"/>
      <c r="AN18" s="897" t="str">
        <f>IFERROR(IF(OR(C18="",G18="",M18="",O18="",R18="",T18="",V18="",X18="",Z18="",AC18="",AE18="",AG18=""),"",IF(BD18&lt;&gt;"",BD18,IF(BI18&gt;0,BI18,ROUND(IF(AK18&lt;=0,0,MIN(AT18,V18*AI18)),2)))),"")</f>
        <v/>
      </c>
      <c r="AO18" s="902"/>
      <c r="AP18" s="902"/>
      <c r="AQ18" s="902"/>
      <c r="AR18" s="37"/>
      <c r="AS18" s="235"/>
      <c r="AT18" s="852" t="str">
        <f>IF(OR(C18="",G18="",M18="",O18="",R18="",T18="",V18="",X18="",Z18="",AC18="",AE18="",AG18=""),"",IF(AK18=0,"",ROUND(AE18+AG18,2)))</f>
        <v/>
      </c>
      <c r="AU18" s="854" t="str">
        <f>IFERROR(IF(OR(C18="",G18="",M18="",O18="",R18="",T18="",V18="",X18="",Z18="",AC18="",AE18="",AG18=""),"",INDEX(STDLIGHT[Current Unit],MATCH(G18,STDLIGHT[Measure Name],0))),"Err")</f>
        <v/>
      </c>
      <c r="AV18" s="850" t="str">
        <f>IF(OR(C18="",G18="",M18="",O18="",R18="",T18="",V18="",X18="",Z18="",AC18="",AE18="",AG18=""),"",IFERROR(IF(G18="","",IF(C18&lt;&gt;INDEX(STDLIGHT[Eff Category 1],MATCH(G18,STDLIGHT[Measure Name],0)),0,
IF(AX18&lt;=AY18,0,
ROUND(V18*INDEX(STDLIGHT[Electric Energy Savings (Annual kWh/unit)],MATCH('M03-S02'!G18,STDLIGHT[Measure Name],0)),4)))),""))</f>
        <v/>
      </c>
      <c r="AW18" s="850" t="str">
        <f>IF(OR(C18="",G18="",M18="",O18="",R18="",T18="",V18="",X18="",Z18="",AC18="",AE18="",AG18=""),"",IFERROR(IF(G18="","",IF(C18&lt;&gt;INDEX(STDLIGHT[Eff Category 1],MATCH(G18,STDLIGHT[Measure Name],0)),0,
IF(AX18&lt;=AY18,0,
ROUND(V18*INDEX(STDLIGHT[Coincident Peak Demand Savings (kW/unit)],MATCH('M03-S02'!G18,STDLIGHT[Measure Name],0)),4)))),""))</f>
        <v/>
      </c>
      <c r="AX18" s="848" t="str">
        <f>IF(OR(C18="",G18="",M18="",O18="",R18="",T18="",V18="",X18="",Z18="",AC18="",AE18="",AG18=""),"",
IF(OR(ISNUMBER(SEARCH("Exterior",C18)),ISNUMBER(SEARCH("Parking",C18))),ROUND(R18*V18*X18/1000,4),
ROUND(R18*V18*X18/1000*INDEX(BUILDINGTYPE[Waste Heat Factor (e)],MATCH(M02S04F19,BUILDINGTYPE[Building Type],0)),4)))</f>
        <v/>
      </c>
      <c r="AY18" s="848" t="str">
        <f>IF(OR(C18="",G18="",M18="",O18="",R18="",T18="",V18="",X18="",Z18="",AC18="",AE18="",AG18=""),"",
IF(OR(ISNUMBER(SEARCH("Exterior",C18)),ISNUMBER(SEARCH("Parking",C18))),ROUND(T18*V18*X18/1000,4),
ROUND(T18*V18*X18/1000*INDEX(BUILDINGTYPE[Waste Heat Factor (e)],MATCH(M02S04F19,BUILDINGTYPE[Building Type],0)),4)))</f>
        <v/>
      </c>
      <c r="AZ18" s="854" t="str">
        <f>IFERROR(IF(OR(C18="",G18="",M18="",O18="",R18="",T18="",V18="",X18="",Z18="",AC18="",AE18="",AG18=""),"",INDEX(STDLIGHT[End Use],MATCH(G18,STDLIGHT[Measure Name],0))),"Err")</f>
        <v/>
      </c>
      <c r="BA18" s="850" t="str">
        <f>IFERROR(IF(OR(C18="",G18="",M18="",O18="",R18="",T18="",V18="",X18="",Z18="",AC18="",AE18="",AG18=""),"",
IF(AX18&lt;=AY18,0,
IF(OR(ISNUMBER(SEARCH("Exterior",C18)),ISNUMBER(SEARCH("Parking",C18))),ROUND((R18-T18)*V18*X18/1000,4),
ROUND((R18-T18)*V18*X18/1000*INDEX(BUILDINGTYPE[Waste Heat Factor (e)],MATCH(M02S04F19,BUILDINGTYPE[Building Type],0)),4)))),"")</f>
        <v/>
      </c>
      <c r="BB18" s="846" t="str">
        <f>IFERROR(IF(OR(C18="",G18="",M18="",O18="",R18="",T18="",V18="",X18="",Z18="",AC18="",AE18="",AG18=""),"",
IF(AX18&lt;=AY18,0,
ROUND(BA18*INDEX(ENDUSEALL[Factor],MATCH(AZ18,ENDUSEALL[End Use to Coincident Peak Demand Factors],0)),4))),"")</f>
        <v/>
      </c>
      <c r="BC18" s="854" t="str">
        <f>IFERROR(IF(OR(C18="",G18="",M18="",O18="",R18="",T18="",V18="",X18="",Z18="",AC18="",AE18="",AG18="",ISNUMBER(AN18)=FALSE,AN18=0),"",INDEX(STDLIGHT[Measure Number],MATCH(G18,STDLIGHT[Measure Name],0))),"Err")</f>
        <v/>
      </c>
      <c r="BD18" s="854" t="str">
        <f>IFERROR(IF(OR(C18="",G18="",M18="",O18="",R18="",T18="",V18="",X18="",Z18="",AC18="",AE18="",AG18=""),"",
IF(BI18&gt;0,"",
IF(EXPIRATION&lt;&gt;"",PROJSTATEXP,
IF(M02S04F19="",MEASUREBLDG,
IF(AX18&lt;=AY18,MEASURESAVE,""))))),MEASURESUBMIT)</f>
        <v/>
      </c>
      <c r="BE18" s="928" t="str">
        <f>IFERROR(INDEX(STDLIGHT[Measure Life (Years)],MATCH(G18,STDLIGHT[Measure Name],0)),"")</f>
        <v/>
      </c>
      <c r="BF18" s="930" t="str">
        <f>IFERROR(IF(OR(C18="",G18="",M18="",O18="",R18="",T18="",V18="",X18="",Z18="",AC18="",AE18="",AG18=""),"",
ROUND(((1+ELOSS)*((BA18*INDEX(ELECCB[NPV AEC $/kWh],MATCH(BE18,ELECCB[Year Number],1)))+(BB18*INDEX(ELECCB[NPV ACC $/kW],MATCH(BE18,ELECCB[Year Number],1))))),2)),0)</f>
        <v/>
      </c>
      <c r="BG18" s="937"/>
      <c r="BH18" s="934" t="str">
        <f>IFERROR(IF(OR(C18="",G18="",M18="",O18="",R18="",T18="",V18="",X18="",Z18="",AC18="",AE18="",AG18=""),"",INDEX(STDLIGHT[Reporting Methodology],MATCH(G18,STDLIGHT[Measure Name],0))),"Err")</f>
        <v/>
      </c>
      <c r="BI18" s="939"/>
    </row>
    <row r="19" spans="1:61" ht="15.95" customHeight="1">
      <c r="B19" s="905"/>
      <c r="C19" s="827"/>
      <c r="D19" s="828"/>
      <c r="E19" s="828"/>
      <c r="F19" s="829"/>
      <c r="G19" s="838"/>
      <c r="H19" s="839"/>
      <c r="I19" s="839"/>
      <c r="J19" s="839"/>
      <c r="K19" s="839"/>
      <c r="L19" s="839"/>
      <c r="M19" s="827"/>
      <c r="N19" s="829"/>
      <c r="O19" s="827"/>
      <c r="P19" s="828"/>
      <c r="Q19" s="829"/>
      <c r="R19" s="885"/>
      <c r="S19" s="885"/>
      <c r="T19" s="886"/>
      <c r="U19" s="886"/>
      <c r="V19" s="888"/>
      <c r="W19" s="888"/>
      <c r="X19" s="866"/>
      <c r="Y19" s="866"/>
      <c r="Z19" s="833"/>
      <c r="AA19" s="834"/>
      <c r="AB19" s="835"/>
      <c r="AC19" s="904"/>
      <c r="AD19" s="827"/>
      <c r="AE19" s="867"/>
      <c r="AF19" s="868"/>
      <c r="AG19" s="868"/>
      <c r="AH19" s="869"/>
      <c r="AI19" s="898"/>
      <c r="AJ19" s="899"/>
      <c r="AK19" s="901"/>
      <c r="AL19" s="901"/>
      <c r="AM19" s="901"/>
      <c r="AN19" s="899"/>
      <c r="AO19" s="903"/>
      <c r="AP19" s="903"/>
      <c r="AQ19" s="903"/>
      <c r="AR19" s="37"/>
      <c r="AS19" s="235"/>
      <c r="AT19" s="853"/>
      <c r="AU19" s="855"/>
      <c r="AV19" s="851"/>
      <c r="AW19" s="851"/>
      <c r="AX19" s="849"/>
      <c r="AY19" s="849"/>
      <c r="AZ19" s="855"/>
      <c r="BA19" s="851"/>
      <c r="BB19" s="847"/>
      <c r="BC19" s="855"/>
      <c r="BD19" s="855"/>
      <c r="BE19" s="929"/>
      <c r="BF19" s="931"/>
      <c r="BG19" s="938"/>
      <c r="BH19" s="934"/>
      <c r="BI19" s="939"/>
    </row>
    <row r="20" spans="1:61" ht="15.95" customHeight="1">
      <c r="A20" s="145"/>
      <c r="B20" s="905">
        <v>2</v>
      </c>
      <c r="C20" s="827"/>
      <c r="D20" s="828"/>
      <c r="E20" s="828"/>
      <c r="F20" s="829"/>
      <c r="G20" s="838"/>
      <c r="H20" s="839"/>
      <c r="I20" s="839"/>
      <c r="J20" s="839"/>
      <c r="K20" s="839"/>
      <c r="L20" s="839"/>
      <c r="M20" s="827"/>
      <c r="N20" s="829"/>
      <c r="O20" s="827"/>
      <c r="P20" s="828"/>
      <c r="Q20" s="829"/>
      <c r="R20" s="884"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884"/>
      <c r="T20" s="886" t="str">
        <f>IF(C20="Permanent Lamp Removal",0,"")</f>
        <v/>
      </c>
      <c r="U20" s="886"/>
      <c r="V20" s="887"/>
      <c r="W20" s="887"/>
      <c r="X20" s="865"/>
      <c r="Y20" s="865"/>
      <c r="Z20" s="830"/>
      <c r="AA20" s="831"/>
      <c r="AB20" s="832"/>
      <c r="AC20" s="904"/>
      <c r="AD20" s="827"/>
      <c r="AE20" s="867"/>
      <c r="AF20" s="868"/>
      <c r="AG20" s="868"/>
      <c r="AH20" s="869"/>
      <c r="AI20" s="896" t="str">
        <f>IFERROR(IF(G20="","",IF(C20&lt;&gt;INDEX(STDLIGHT[Eff Category 1],MATCH(G20,STDLIGHT[Measure Name],0)),0,INDEX(STDLIGHT[Current Incentive],MATCH('M03-S02'!G20,STDLIGHT[Measure Name],0)))),"")</f>
        <v/>
      </c>
      <c r="AJ20" s="897"/>
      <c r="AK20" s="900" t="str">
        <f t="shared" ref="AK20" si="0">IFERROR(IF(OR(C20="",G20="",M20="",O20="",R20="",T20="",V20="",X20="",Z20="",AC20="",AE20="",AG20=""),"",IF(BH20="Deemed",AV20,IF(BH20="Calculated",BA20,""))),"")</f>
        <v/>
      </c>
      <c r="AL20" s="900"/>
      <c r="AM20" s="900"/>
      <c r="AN20" s="897" t="str">
        <f t="shared" ref="AN20" si="1">IFERROR(IF(OR(C20="",G20="",M20="",O20="",R20="",T20="",V20="",X20="",Z20="",AC20="",AE20="",AG20=""),"",IF(BD20&lt;&gt;"",BD20,IF(BI20&gt;0,BI20,ROUND(IF(AK20&lt;=0,0,MIN(AT20,V20*AI20)),2)))),"")</f>
        <v/>
      </c>
      <c r="AO20" s="902"/>
      <c r="AP20" s="902"/>
      <c r="AQ20" s="902"/>
      <c r="AR20" s="37"/>
      <c r="AS20" s="235"/>
      <c r="AT20" s="852" t="str">
        <f t="shared" ref="AT20" si="2">IF(OR(C20="",G20="",M20="",O20="",R20="",T20="",V20="",X20="",Z20="",AC20="",AE20="",AG20=""),"",IF(AK20=0,"",ROUND(AE20+AG20,2)))</f>
        <v/>
      </c>
      <c r="AU20" s="854" t="str">
        <f>IFERROR(IF(OR(C20="",G20="",M20="",O20="",R20="",T20="",V20="",X20="",Z20="",AC20="",AE20="",AG20=""),"",INDEX(STDLIGHT[Current Unit],MATCH(G20,STDLIGHT[Measure Name],0))),"Err")</f>
        <v/>
      </c>
      <c r="AV20" s="850" t="str">
        <f>IF(OR(C20="",G20="",M20="",O20="",R20="",T20="",V20="",X20="",Z20="",AC20="",AE20="",AG20=""),"",IFERROR(IF(G20="","",IF(C20&lt;&gt;INDEX(STDLIGHT[Eff Category 1],MATCH(G20,STDLIGHT[Measure Name],0)),0,
IF(AX20&lt;=AY20,0,
ROUND(V20*INDEX(STDLIGHT[Electric Energy Savings (Annual kWh/unit)],MATCH('M03-S02'!G20,STDLIGHT[Measure Name],0)),4)))),""))</f>
        <v/>
      </c>
      <c r="AW20" s="850" t="str">
        <f>IF(OR(C20="",G20="",M20="",O20="",R20="",T20="",V20="",X20="",Z20="",AC20="",AE20="",AG20=""),"",IFERROR(IF(G20="","",IF(C20&lt;&gt;INDEX(STDLIGHT[Eff Category 1],MATCH(G20,STDLIGHT[Measure Name],0)),0,
IF(AX20&lt;=AY20,0,
ROUND(V20*INDEX(STDLIGHT[Coincident Peak Demand Savings (kW/unit)],MATCH('M03-S02'!G20,STDLIGHT[Measure Name],0)),4)))),""))</f>
        <v/>
      </c>
      <c r="AX20" s="848" t="str">
        <f>IF(OR(C20="",G20="",M20="",O20="",R20="",T20="",V20="",X20="",Z20="",AC20="",AE20="",AG20=""),"",
IF(OR(ISNUMBER(SEARCH("Exterior",C20)),ISNUMBER(SEARCH("Parking",C20))),ROUND(R20*V20*X20/1000,4),
ROUND(R20*V20*X20/1000*INDEX(BUILDINGTYPE[Waste Heat Factor (e)],MATCH(M02S04F19,BUILDINGTYPE[Building Type],0)),4)))</f>
        <v/>
      </c>
      <c r="AY20" s="848" t="str">
        <f>IF(OR(C20="",G20="",M20="",O20="",R20="",T20="",V20="",X20="",Z20="",AC20="",AE20="",AG20=""),"",
IF(OR(ISNUMBER(SEARCH("Exterior",C20)),ISNUMBER(SEARCH("Parking",C20))),ROUND(T20*V20*X20/1000,4),
ROUND(T20*V20*X20/1000*INDEX(BUILDINGTYPE[Waste Heat Factor (e)],MATCH(M02S04F19,BUILDINGTYPE[Building Type],0)),4)))</f>
        <v/>
      </c>
      <c r="AZ20" s="854" t="str">
        <f>IFERROR(IF(OR(C20="",G20="",M20="",O20="",R20="",T20="",V20="",X20="",Z20="",AC20="",AE20="",AG20=""),"",INDEX(STDLIGHT[End Use],MATCH(G20,STDLIGHT[Measure Name],0))),"Err")</f>
        <v/>
      </c>
      <c r="BA20" s="850" t="str">
        <f>IFERROR(IF(OR(C20="",G20="",M20="",O20="",R20="",T20="",V20="",X20="",Z20="",AC20="",AE20="",AG20=""),"",
IF(AX20&lt;=AY20,0,
IF(OR(ISNUMBER(SEARCH("Exterior",C20)),ISNUMBER(SEARCH("Parking",C20))),ROUND((R20-T20)*V20*X20/1000,4),
ROUND((R20-T20)*V20*X20/1000*INDEX(BUILDINGTYPE[Waste Heat Factor (e)],MATCH(M02S04F19,BUILDINGTYPE[Building Type],0)),4)))),"")</f>
        <v/>
      </c>
      <c r="BB20" s="846" t="str">
        <f>IFERROR(IF(OR(C20="",G20="",M20="",O20="",R20="",T20="",V20="",X20="",Z20="",AC20="",AE20="",AG20=""),"",
IF(AX20&lt;=AY20,0,
ROUND(BA20*INDEX(ENDUSEALL[Factor],MATCH(AZ20,ENDUSEALL[End Use to Coincident Peak Demand Factors],0)),4))),"")</f>
        <v/>
      </c>
      <c r="BC20" s="854" t="str">
        <f>IFERROR(IF(OR(C20="",G20="",M20="",O20="",R20="",T20="",V20="",X20="",Z20="",AC20="",AE20="",AG20="",ISNUMBER(AN20)=FALSE,AN20=0),"",INDEX(STDLIGHT[Measure Number],MATCH(G20,STDLIGHT[Measure Name],0))),"Err")</f>
        <v/>
      </c>
      <c r="BD20" s="854" t="str">
        <f>IFERROR(IF(OR(C20="",G20="",M20="",O20="",R20="",T20="",V20="",X20="",Z20="",AC20="",AE20="",AG20=""),"",
IF(BI20&gt;0,"",
IF(EXPIRATION&lt;&gt;"",PROJSTATEXP,
IF(M02S04F19="",MEASUREBLDG,
IF(AX20&lt;=AY20,MEASURESAVE,""))))),MEASURESUBMIT)</f>
        <v/>
      </c>
      <c r="BE20" s="928" t="str">
        <f>IFERROR(INDEX(STDLIGHT[Measure Life (Years)],MATCH(G20,STDLIGHT[Measure Name],0)),"")</f>
        <v/>
      </c>
      <c r="BF20" s="930" t="str">
        <f>IFERROR(IF(OR(C20="",G20="",M20="",O20="",R20="",T20="",V20="",X20="",Z20="",AC20="",AE20="",AG20=""),"",
ROUND(((1+ELOSS)*((BA20*INDEX(ELECCB[NPV AEC $/kWh],MATCH(BE20,ELECCB[Year Number],1)))+(BB20*INDEX(ELECCB[NPV ACC $/kW],MATCH(BE20,ELECCB[Year Number],1))))),2)),0)</f>
        <v/>
      </c>
      <c r="BG20" s="937"/>
      <c r="BH20" s="934" t="str">
        <f>IFERROR(IF(OR(C20="",G20="",M20="",O20="",R20="",T20="",V20="",X20="",Z20="",AC20="",AE20="",AG20=""),"",INDEX(STDLIGHT[Reporting Methodology],MATCH(G20,STDLIGHT[Measure Name],0))),"Err")</f>
        <v/>
      </c>
      <c r="BI20" s="939"/>
    </row>
    <row r="21" spans="1:61" ht="15.95" customHeight="1">
      <c r="B21" s="905"/>
      <c r="C21" s="827"/>
      <c r="D21" s="828"/>
      <c r="E21" s="828"/>
      <c r="F21" s="829"/>
      <c r="G21" s="838"/>
      <c r="H21" s="839"/>
      <c r="I21" s="839"/>
      <c r="J21" s="839"/>
      <c r="K21" s="839"/>
      <c r="L21" s="839"/>
      <c r="M21" s="827"/>
      <c r="N21" s="829"/>
      <c r="O21" s="827"/>
      <c r="P21" s="828"/>
      <c r="Q21" s="829"/>
      <c r="R21" s="885"/>
      <c r="S21" s="885"/>
      <c r="T21" s="886"/>
      <c r="U21" s="886"/>
      <c r="V21" s="888"/>
      <c r="W21" s="888"/>
      <c r="X21" s="866"/>
      <c r="Y21" s="866"/>
      <c r="Z21" s="833"/>
      <c r="AA21" s="834"/>
      <c r="AB21" s="835"/>
      <c r="AC21" s="904"/>
      <c r="AD21" s="827"/>
      <c r="AE21" s="867"/>
      <c r="AF21" s="868"/>
      <c r="AG21" s="868"/>
      <c r="AH21" s="869"/>
      <c r="AI21" s="898"/>
      <c r="AJ21" s="899"/>
      <c r="AK21" s="901"/>
      <c r="AL21" s="901"/>
      <c r="AM21" s="901"/>
      <c r="AN21" s="899"/>
      <c r="AO21" s="903"/>
      <c r="AP21" s="903"/>
      <c r="AQ21" s="903"/>
      <c r="AR21" s="37"/>
      <c r="AS21" s="235"/>
      <c r="AT21" s="853"/>
      <c r="AU21" s="855"/>
      <c r="AV21" s="851"/>
      <c r="AW21" s="851"/>
      <c r="AX21" s="849"/>
      <c r="AY21" s="849"/>
      <c r="AZ21" s="855"/>
      <c r="BA21" s="851"/>
      <c r="BB21" s="847"/>
      <c r="BC21" s="855"/>
      <c r="BD21" s="855"/>
      <c r="BE21" s="929"/>
      <c r="BF21" s="931"/>
      <c r="BG21" s="938"/>
      <c r="BH21" s="934"/>
      <c r="BI21" s="939"/>
    </row>
    <row r="22" spans="1:61" s="180" customFormat="1" ht="15.95" customHeight="1">
      <c r="B22" s="905">
        <v>3</v>
      </c>
      <c r="C22" s="827"/>
      <c r="D22" s="828"/>
      <c r="E22" s="828"/>
      <c r="F22" s="829"/>
      <c r="G22" s="838"/>
      <c r="H22" s="839"/>
      <c r="I22" s="839"/>
      <c r="J22" s="839"/>
      <c r="K22" s="839"/>
      <c r="L22" s="839"/>
      <c r="M22" s="827"/>
      <c r="N22" s="829"/>
      <c r="O22" s="827"/>
      <c r="P22" s="828"/>
      <c r="Q22" s="829"/>
      <c r="R22" s="884"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884"/>
      <c r="T22" s="886" t="str">
        <f>IF(C22="Permanent Lamp Removal",0,"")</f>
        <v/>
      </c>
      <c r="U22" s="886"/>
      <c r="V22" s="888"/>
      <c r="W22" s="888"/>
      <c r="X22" s="865"/>
      <c r="Y22" s="865"/>
      <c r="Z22" s="830"/>
      <c r="AA22" s="831"/>
      <c r="AB22" s="832"/>
      <c r="AC22" s="904"/>
      <c r="AD22" s="827"/>
      <c r="AE22" s="867"/>
      <c r="AF22" s="868"/>
      <c r="AG22" s="868"/>
      <c r="AH22" s="869"/>
      <c r="AI22" s="896" t="str">
        <f>IFERROR(IF(G22="","",IF(C22&lt;&gt;INDEX(STDLIGHT[Eff Category 1],MATCH(G22,STDLIGHT[Measure Name],0)),0,INDEX(STDLIGHT[Current Incentive],MATCH('M03-S02'!G22,STDLIGHT[Measure Name],0)))),"")</f>
        <v/>
      </c>
      <c r="AJ22" s="897"/>
      <c r="AK22" s="900" t="str">
        <f t="shared" ref="AK22" si="3">IFERROR(IF(OR(C22="",G22="",M22="",O22="",R22="",T22="",V22="",X22="",Z22="",AC22="",AE22="",AG22=""),"",IF(BH22="Deemed",AV22,IF(BH22="Calculated",BA22,""))),"")</f>
        <v/>
      </c>
      <c r="AL22" s="900"/>
      <c r="AM22" s="900"/>
      <c r="AN22" s="897" t="str">
        <f t="shared" ref="AN22" si="4">IFERROR(IF(OR(C22="",G22="",M22="",O22="",R22="",T22="",V22="",X22="",Z22="",AC22="",AE22="",AG22=""),"",IF(BD22&lt;&gt;"",BD22,IF(BI22&gt;0,BI22,ROUND(IF(AK22&lt;=0,0,MIN(AT22,V22*AI22)),2)))),"")</f>
        <v/>
      </c>
      <c r="AO22" s="902"/>
      <c r="AP22" s="902"/>
      <c r="AQ22" s="902"/>
      <c r="AR22" s="37"/>
      <c r="AS22" s="235"/>
      <c r="AT22" s="852" t="str">
        <f t="shared" ref="AT22" si="5">IF(OR(C22="",G22="",M22="",O22="",R22="",T22="",V22="",X22="",Z22="",AC22="",AE22="",AG22=""),"",IF(AK22=0,"",ROUND(AE22+AG22,2)))</f>
        <v/>
      </c>
      <c r="AU22" s="854" t="str">
        <f>IFERROR(IF(OR(C22="",G22="",M22="",O22="",R22="",T22="",V22="",X22="",Z22="",AC22="",AE22="",AG22=""),"",INDEX(STDLIGHT[Current Unit],MATCH(G22,STDLIGHT[Measure Name],0))),"Err")</f>
        <v/>
      </c>
      <c r="AV22" s="850" t="str">
        <f>IF(OR(C22="",G22="",M22="",O22="",R22="",T22="",V22="",X22="",Z22="",AC22="",AE22="",AG22=""),"",IFERROR(IF(G22="","",IF(C22&lt;&gt;INDEX(STDLIGHT[Eff Category 1],MATCH(G22,STDLIGHT[Measure Name],0)),0,
IF(AX22&lt;=AY22,0,
ROUND(V22*INDEX(STDLIGHT[Electric Energy Savings (Annual kWh/unit)],MATCH('M03-S02'!G22,STDLIGHT[Measure Name],0)),4)))),""))</f>
        <v/>
      </c>
      <c r="AW22" s="850" t="str">
        <f>IF(OR(C22="",G22="",M22="",O22="",R22="",T22="",V22="",X22="",Z22="",AC22="",AE22="",AG22=""),"",IFERROR(IF(G22="","",IF(C22&lt;&gt;INDEX(STDLIGHT[Eff Category 1],MATCH(G22,STDLIGHT[Measure Name],0)),0,
IF(AX22&lt;=AY22,0,
ROUND(V22*INDEX(STDLIGHT[Coincident Peak Demand Savings (kW/unit)],MATCH('M03-S02'!G22,STDLIGHT[Measure Name],0)),4)))),""))</f>
        <v/>
      </c>
      <c r="AX22" s="848" t="str">
        <f>IF(OR(C22="",G22="",M22="",O22="",R22="",T22="",V22="",X22="",Z22="",AC22="",AE22="",AG22=""),"",
IF(OR(ISNUMBER(SEARCH("Exterior",C22)),ISNUMBER(SEARCH("Parking",C22))),ROUND(R22*V22*X22/1000,4),
ROUND(R22*V22*X22/1000*INDEX(BUILDINGTYPE[Waste Heat Factor (e)],MATCH(M02S04F19,BUILDINGTYPE[Building Type],0)),4)))</f>
        <v/>
      </c>
      <c r="AY22" s="848" t="str">
        <f>IF(OR(C22="",G22="",M22="",O22="",R22="",T22="",V22="",X22="",Z22="",AC22="",AE22="",AG22=""),"",
IF(OR(ISNUMBER(SEARCH("Exterior",C22)),ISNUMBER(SEARCH("Parking",C22))),ROUND(T22*V22*X22/1000,4),
ROUND(T22*V22*X22/1000*INDEX(BUILDINGTYPE[Waste Heat Factor (e)],MATCH(M02S04F19,BUILDINGTYPE[Building Type],0)),4)))</f>
        <v/>
      </c>
      <c r="AZ22" s="854" t="str">
        <f>IFERROR(IF(OR(C22="",G22="",M22="",O22="",R22="",T22="",V22="",X22="",Z22="",AC22="",AE22="",AG22=""),"",INDEX(STDLIGHT[End Use],MATCH(G22,STDLIGHT[Measure Name],0))),"Err")</f>
        <v/>
      </c>
      <c r="BA22" s="850" t="str">
        <f>IFERROR(IF(OR(C22="",G22="",M22="",O22="",R22="",T22="",V22="",X22="",Z22="",AC22="",AE22="",AG22=""),"",
IF(AX22&lt;=AY22,0,
IF(OR(ISNUMBER(SEARCH("Exterior",C22)),ISNUMBER(SEARCH("Parking",C22))),ROUND((R22-T22)*V22*X22/1000,4),
ROUND((R22-T22)*V22*X22/1000*INDEX(BUILDINGTYPE[Waste Heat Factor (e)],MATCH(M02S04F19,BUILDINGTYPE[Building Type],0)),4)))),"")</f>
        <v/>
      </c>
      <c r="BB22" s="846" t="str">
        <f>IFERROR(IF(OR(C22="",G22="",M22="",O22="",R22="",T22="",V22="",X22="",Z22="",AC22="",AE22="",AG22=""),"",
IF(AX22&lt;=AY22,0,
ROUND(BA22*INDEX(ENDUSEALL[Factor],MATCH(AZ22,ENDUSEALL[End Use to Coincident Peak Demand Factors],0)),4))),"")</f>
        <v/>
      </c>
      <c r="BC22" s="854" t="str">
        <f>IFERROR(IF(OR(C22="",G22="",M22="",O22="",R22="",T22="",V22="",X22="",Z22="",AC22="",AE22="",AG22="",ISNUMBER(AN22)=FALSE,AN22=0),"",INDEX(STDLIGHT[Measure Number],MATCH(G22,STDLIGHT[Measure Name],0))),"Err")</f>
        <v/>
      </c>
      <c r="BD22" s="854" t="str">
        <f>IFERROR(IF(OR(C22="",G22="",M22="",O22="",R22="",T22="",V22="",X22="",Z22="",AC22="",AE22="",AG22=""),"",
IF(BI22&gt;0,"",
IF(EXPIRATION&lt;&gt;"",PROJSTATEXP,
IF(M02S04F19="",MEASUREBLDG,
IF(AX22&lt;=AY22,MEASURESAVE,""))))),MEASURESUBMIT)</f>
        <v/>
      </c>
      <c r="BE22" s="928" t="str">
        <f>IFERROR(INDEX(STDLIGHT[Measure Life (Years)],MATCH(G22,STDLIGHT[Measure Name],0)),"")</f>
        <v/>
      </c>
      <c r="BF22" s="930" t="str">
        <f>IFERROR(IF(OR(C22="",G22="",M22="",O22="",R22="",T22="",V22="",X22="",Z22="",AC22="",AE22="",AG22=""),"",
ROUND(((1+ELOSS)*((BA22*INDEX(ELECCB[NPV AEC $/kWh],MATCH(BE22,ELECCB[Year Number],1)))+(BB22*INDEX(ELECCB[NPV ACC $/kW],MATCH(BE22,ELECCB[Year Number],1))))),2)),0)</f>
        <v/>
      </c>
      <c r="BG22" s="937"/>
      <c r="BH22" s="934" t="str">
        <f>IFERROR(IF(OR(C22="",G22="",M22="",O22="",R22="",T22="",V22="",X22="",Z22="",AC22="",AE22="",AG22=""),"",INDEX(STDLIGHT[Reporting Methodology],MATCH(G22,STDLIGHT[Measure Name],0))),"Err")</f>
        <v/>
      </c>
      <c r="BI22" s="939"/>
    </row>
    <row r="23" spans="1:61" s="180" customFormat="1" ht="15.95" customHeight="1">
      <c r="A23" s="145"/>
      <c r="B23" s="905"/>
      <c r="C23" s="827"/>
      <c r="D23" s="828"/>
      <c r="E23" s="828"/>
      <c r="F23" s="829"/>
      <c r="G23" s="838"/>
      <c r="H23" s="839"/>
      <c r="I23" s="839"/>
      <c r="J23" s="839"/>
      <c r="K23" s="839"/>
      <c r="L23" s="839"/>
      <c r="M23" s="827"/>
      <c r="N23" s="829"/>
      <c r="O23" s="827"/>
      <c r="P23" s="828"/>
      <c r="Q23" s="829"/>
      <c r="R23" s="885"/>
      <c r="S23" s="885"/>
      <c r="T23" s="886"/>
      <c r="U23" s="886"/>
      <c r="V23" s="888"/>
      <c r="W23" s="888"/>
      <c r="X23" s="866"/>
      <c r="Y23" s="866"/>
      <c r="Z23" s="833"/>
      <c r="AA23" s="834"/>
      <c r="AB23" s="835"/>
      <c r="AC23" s="904"/>
      <c r="AD23" s="827"/>
      <c r="AE23" s="867"/>
      <c r="AF23" s="868"/>
      <c r="AG23" s="868"/>
      <c r="AH23" s="869"/>
      <c r="AI23" s="898"/>
      <c r="AJ23" s="899"/>
      <c r="AK23" s="901"/>
      <c r="AL23" s="901"/>
      <c r="AM23" s="901"/>
      <c r="AN23" s="899"/>
      <c r="AO23" s="903"/>
      <c r="AP23" s="903"/>
      <c r="AQ23" s="903"/>
      <c r="AR23" s="37"/>
      <c r="AS23" s="235"/>
      <c r="AT23" s="853"/>
      <c r="AU23" s="855"/>
      <c r="AV23" s="851"/>
      <c r="AW23" s="851"/>
      <c r="AX23" s="849"/>
      <c r="AY23" s="849"/>
      <c r="AZ23" s="855"/>
      <c r="BA23" s="851"/>
      <c r="BB23" s="847"/>
      <c r="BC23" s="855"/>
      <c r="BD23" s="855"/>
      <c r="BE23" s="929"/>
      <c r="BF23" s="931"/>
      <c r="BG23" s="938"/>
      <c r="BH23" s="934"/>
      <c r="BI23" s="939"/>
    </row>
    <row r="24" spans="1:61" ht="15.95" customHeight="1">
      <c r="B24" s="905">
        <v>4</v>
      </c>
      <c r="C24" s="830"/>
      <c r="D24" s="831"/>
      <c r="E24" s="831"/>
      <c r="F24" s="832"/>
      <c r="G24" s="838"/>
      <c r="H24" s="839"/>
      <c r="I24" s="839"/>
      <c r="J24" s="839"/>
      <c r="K24" s="839"/>
      <c r="L24" s="839"/>
      <c r="M24" s="827"/>
      <c r="N24" s="829"/>
      <c r="O24" s="827"/>
      <c r="P24" s="828"/>
      <c r="Q24" s="829"/>
      <c r="R24" s="884"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884"/>
      <c r="T24" s="886" t="str">
        <f>IF(C24="Permanent Lamp Removal",0,"")</f>
        <v/>
      </c>
      <c r="U24" s="886"/>
      <c r="V24" s="888"/>
      <c r="W24" s="888"/>
      <c r="X24" s="865"/>
      <c r="Y24" s="865"/>
      <c r="Z24" s="830"/>
      <c r="AA24" s="831"/>
      <c r="AB24" s="832"/>
      <c r="AC24" s="904"/>
      <c r="AD24" s="827"/>
      <c r="AE24" s="867"/>
      <c r="AF24" s="868"/>
      <c r="AG24" s="868"/>
      <c r="AH24" s="869"/>
      <c r="AI24" s="896" t="str">
        <f>IFERROR(IF(G24="","",IF(C24&lt;&gt;INDEX(STDLIGHT[Eff Category 1],MATCH(G24,STDLIGHT[Measure Name],0)),0,INDEX(STDLIGHT[Current Incentive],MATCH('M03-S02'!G24,STDLIGHT[Measure Name],0)))),"")</f>
        <v/>
      </c>
      <c r="AJ24" s="897"/>
      <c r="AK24" s="900" t="str">
        <f t="shared" ref="AK24" si="6">IFERROR(IF(OR(C24="",G24="",M24="",O24="",R24="",T24="",V24="",X24="",Z24="",AC24="",AE24="",AG24=""),"",IF(BH24="Deemed",AV24,IF(BH24="Calculated",BA24,""))),"")</f>
        <v/>
      </c>
      <c r="AL24" s="900"/>
      <c r="AM24" s="900"/>
      <c r="AN24" s="897" t="str">
        <f t="shared" ref="AN24" si="7">IFERROR(IF(OR(C24="",G24="",M24="",O24="",R24="",T24="",V24="",X24="",Z24="",AC24="",AE24="",AG24=""),"",IF(BD24&lt;&gt;"",BD24,IF(BI24&gt;0,BI24,ROUND(IF(AK24&lt;=0,0,MIN(AT24,V24*AI24)),2)))),"")</f>
        <v/>
      </c>
      <c r="AO24" s="902"/>
      <c r="AP24" s="902"/>
      <c r="AQ24" s="902"/>
      <c r="AR24" s="37"/>
      <c r="AS24" s="235"/>
      <c r="AT24" s="852" t="str">
        <f t="shared" ref="AT24" si="8">IF(OR(C24="",G24="",M24="",O24="",R24="",T24="",V24="",X24="",Z24="",AC24="",AE24="",AG24=""),"",IF(AK24=0,"",ROUND(AE24+AG24,2)))</f>
        <v/>
      </c>
      <c r="AU24" s="854" t="str">
        <f>IFERROR(IF(OR(C24="",G24="",M24="",O24="",R24="",T24="",V24="",X24="",Z24="",AC24="",AE24="",AG24=""),"",INDEX(STDLIGHT[Current Unit],MATCH(G24,STDLIGHT[Measure Name],0))),"Err")</f>
        <v/>
      </c>
      <c r="AV24" s="850" t="str">
        <f>IF(OR(C24="",G24="",M24="",O24="",R24="",T24="",V24="",X24="",Z24="",AC24="",AE24="",AG24=""),"",IFERROR(IF(G24="","",IF(C24&lt;&gt;INDEX(STDLIGHT[Eff Category 1],MATCH(G24,STDLIGHT[Measure Name],0)),0,
IF(AX24&lt;=AY24,0,
ROUND(V24*INDEX(STDLIGHT[Electric Energy Savings (Annual kWh/unit)],MATCH('M03-S02'!G24,STDLIGHT[Measure Name],0)),4)))),""))</f>
        <v/>
      </c>
      <c r="AW24" s="850" t="str">
        <f>IF(OR(C24="",G24="",M24="",O24="",R24="",T24="",V24="",X24="",Z24="",AC24="",AE24="",AG24=""),"",IFERROR(IF(G24="","",IF(C24&lt;&gt;INDEX(STDLIGHT[Eff Category 1],MATCH(G24,STDLIGHT[Measure Name],0)),0,
IF(AX24&lt;=AY24,0,
ROUND(V24*INDEX(STDLIGHT[Coincident Peak Demand Savings (kW/unit)],MATCH('M03-S02'!G24,STDLIGHT[Measure Name],0)),4)))),""))</f>
        <v/>
      </c>
      <c r="AX24" s="848" t="str">
        <f>IF(OR(C24="",G24="",M24="",O24="",R24="",T24="",V24="",X24="",Z24="",AC24="",AE24="",AG24=""),"",
IF(OR(ISNUMBER(SEARCH("Exterior",C24)),ISNUMBER(SEARCH("Parking",C24))),ROUND(R24*V24*X24/1000,4),
ROUND(R24*V24*X24/1000*INDEX(BUILDINGTYPE[Waste Heat Factor (e)],MATCH(M02S04F19,BUILDINGTYPE[Building Type],0)),4)))</f>
        <v/>
      </c>
      <c r="AY24" s="848" t="str">
        <f>IF(OR(C24="",G24="",M24="",O24="",R24="",T24="",V24="",X24="",Z24="",AC24="",AE24="",AG24=""),"",
IF(OR(ISNUMBER(SEARCH("Exterior",C24)),ISNUMBER(SEARCH("Parking",C24))),ROUND(T24*V24*X24/1000,4),
ROUND(T24*V24*X24/1000*INDEX(BUILDINGTYPE[Waste Heat Factor (e)],MATCH(M02S04F19,BUILDINGTYPE[Building Type],0)),4)))</f>
        <v/>
      </c>
      <c r="AZ24" s="854" t="str">
        <f>IFERROR(IF(OR(C24="",G24="",M24="",O24="",R24="",T24="",V24="",X24="",Z24="",AC24="",AE24="",AG24=""),"",INDEX(STDLIGHT[End Use],MATCH(G24,STDLIGHT[Measure Name],0))),"Err")</f>
        <v/>
      </c>
      <c r="BA24" s="850" t="str">
        <f>IFERROR(IF(OR(C24="",G24="",M24="",O24="",R24="",T24="",V24="",X24="",Z24="",AC24="",AE24="",AG24=""),"",
IF(AX24&lt;=AY24,0,
IF(OR(ISNUMBER(SEARCH("Exterior",C24)),ISNUMBER(SEARCH("Parking",C24))),ROUND((R24-T24)*V24*X24/1000,4),
ROUND((R24-T24)*V24*X24/1000*INDEX(BUILDINGTYPE[Waste Heat Factor (e)],MATCH(M02S04F19,BUILDINGTYPE[Building Type],0)),4)))),"")</f>
        <v/>
      </c>
      <c r="BB24" s="846" t="str">
        <f>IFERROR(IF(OR(C24="",G24="",M24="",O24="",R24="",T24="",V24="",X24="",Z24="",AC24="",AE24="",AG24=""),"",
IF(AX24&lt;=AY24,0,
ROUND(BA24*INDEX(ENDUSEALL[Factor],MATCH(AZ24,ENDUSEALL[End Use to Coincident Peak Demand Factors],0)),4))),"")</f>
        <v/>
      </c>
      <c r="BC24" s="854" t="str">
        <f>IFERROR(IF(OR(C24="",G24="",M24="",O24="",R24="",T24="",V24="",X24="",Z24="",AC24="",AE24="",AG24="",ISNUMBER(AN24)=FALSE,AN24=0),"",INDEX(STDLIGHT[Measure Number],MATCH(G24,STDLIGHT[Measure Name],0))),"Err")</f>
        <v/>
      </c>
      <c r="BD24" s="854" t="str">
        <f>IFERROR(IF(OR(C24="",G24="",M24="",O24="",R24="",T24="",V24="",X24="",Z24="",AC24="",AE24="",AG24=""),"",
IF(BI24&gt;0,"",
IF(EXPIRATION&lt;&gt;"",PROJSTATEXP,
IF(M02S04F19="",MEASUREBLDG,
IF(AX24&lt;=AY24,MEASURESAVE,""))))),MEASURESUBMIT)</f>
        <v/>
      </c>
      <c r="BE24" s="928" t="str">
        <f>IFERROR(INDEX(STDLIGHT[Measure Life (Years)],MATCH(G24,STDLIGHT[Measure Name],0)),"")</f>
        <v/>
      </c>
      <c r="BF24" s="930" t="str">
        <f>IFERROR(IF(OR(C24="",G24="",M24="",O24="",R24="",T24="",V24="",X24="",Z24="",AC24="",AE24="",AG24=""),"",
ROUND(((1+ELOSS)*((BA24*INDEX(ELECCB[NPV AEC $/kWh],MATCH(BE24,ELECCB[Year Number],1)))+(BB24*INDEX(ELECCB[NPV ACC $/kW],MATCH(BE24,ELECCB[Year Number],1))))),2)),0)</f>
        <v/>
      </c>
      <c r="BG24" s="937"/>
      <c r="BH24" s="934" t="str">
        <f>IFERROR(IF(OR(C24="",G24="",M24="",O24="",R24="",T24="",V24="",X24="",Z24="",AC24="",AE24="",AG24=""),"",INDEX(STDLIGHT[Reporting Methodology],MATCH(G24,STDLIGHT[Measure Name],0))),"Err")</f>
        <v/>
      </c>
      <c r="BI24" s="939"/>
    </row>
    <row r="25" spans="1:61" ht="15.95" customHeight="1">
      <c r="A25" s="145"/>
      <c r="B25" s="905"/>
      <c r="C25" s="833"/>
      <c r="D25" s="834"/>
      <c r="E25" s="834"/>
      <c r="F25" s="835"/>
      <c r="G25" s="838"/>
      <c r="H25" s="839"/>
      <c r="I25" s="839"/>
      <c r="J25" s="839"/>
      <c r="K25" s="839"/>
      <c r="L25" s="839"/>
      <c r="M25" s="827"/>
      <c r="N25" s="829"/>
      <c r="O25" s="827"/>
      <c r="P25" s="828"/>
      <c r="Q25" s="829"/>
      <c r="R25" s="885"/>
      <c r="S25" s="885"/>
      <c r="T25" s="886"/>
      <c r="U25" s="886"/>
      <c r="V25" s="888"/>
      <c r="W25" s="888"/>
      <c r="X25" s="866"/>
      <c r="Y25" s="866"/>
      <c r="Z25" s="833"/>
      <c r="AA25" s="834"/>
      <c r="AB25" s="835"/>
      <c r="AC25" s="904"/>
      <c r="AD25" s="827"/>
      <c r="AE25" s="867"/>
      <c r="AF25" s="868"/>
      <c r="AG25" s="868"/>
      <c r="AH25" s="869"/>
      <c r="AI25" s="898"/>
      <c r="AJ25" s="899"/>
      <c r="AK25" s="901"/>
      <c r="AL25" s="901"/>
      <c r="AM25" s="901"/>
      <c r="AN25" s="899"/>
      <c r="AO25" s="903"/>
      <c r="AP25" s="903"/>
      <c r="AQ25" s="903"/>
      <c r="AR25" s="37"/>
      <c r="AS25" s="235"/>
      <c r="AT25" s="853"/>
      <c r="AU25" s="855"/>
      <c r="AV25" s="851"/>
      <c r="AW25" s="851"/>
      <c r="AX25" s="849"/>
      <c r="AY25" s="849"/>
      <c r="AZ25" s="855"/>
      <c r="BA25" s="851"/>
      <c r="BB25" s="847"/>
      <c r="BC25" s="855"/>
      <c r="BD25" s="855"/>
      <c r="BE25" s="929"/>
      <c r="BF25" s="931"/>
      <c r="BG25" s="938"/>
      <c r="BH25" s="934"/>
      <c r="BI25" s="939"/>
    </row>
    <row r="26" spans="1:61" ht="15.95" customHeight="1">
      <c r="B26" s="905">
        <v>5</v>
      </c>
      <c r="C26" s="830"/>
      <c r="D26" s="831"/>
      <c r="E26" s="831"/>
      <c r="F26" s="832"/>
      <c r="G26" s="842"/>
      <c r="H26" s="843"/>
      <c r="I26" s="843"/>
      <c r="J26" s="843"/>
      <c r="K26" s="843"/>
      <c r="L26" s="844"/>
      <c r="M26" s="827"/>
      <c r="N26" s="829"/>
      <c r="O26" s="827"/>
      <c r="P26" s="828"/>
      <c r="Q26" s="829"/>
      <c r="R26" s="884"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884"/>
      <c r="T26" s="886" t="str">
        <f>IF(C26="Permanent Lamp Removal",0,"")</f>
        <v/>
      </c>
      <c r="U26" s="886"/>
      <c r="V26" s="888"/>
      <c r="W26" s="888"/>
      <c r="X26" s="865"/>
      <c r="Y26" s="865"/>
      <c r="Z26" s="830"/>
      <c r="AA26" s="831"/>
      <c r="AB26" s="832"/>
      <c r="AC26" s="904"/>
      <c r="AD26" s="827"/>
      <c r="AE26" s="867"/>
      <c r="AF26" s="868"/>
      <c r="AG26" s="868"/>
      <c r="AH26" s="869"/>
      <c r="AI26" s="896" t="str">
        <f>IFERROR(IF(G26="","",IF(C26&lt;&gt;INDEX(STDLIGHT[Eff Category 1],MATCH(G26,STDLIGHT[Measure Name],0)),0,INDEX(STDLIGHT[Current Incentive],MATCH('M03-S02'!G26,STDLIGHT[Measure Name],0)))),"")</f>
        <v/>
      </c>
      <c r="AJ26" s="897"/>
      <c r="AK26" s="900" t="str">
        <f t="shared" ref="AK26" si="9">IFERROR(IF(OR(C26="",G26="",M26="",O26="",R26="",T26="",V26="",X26="",Z26="",AC26="",AE26="",AG26=""),"",IF(BH26="Deemed",AV26,IF(BH26="Calculated",BA26,""))),"")</f>
        <v/>
      </c>
      <c r="AL26" s="900"/>
      <c r="AM26" s="900"/>
      <c r="AN26" s="897" t="str">
        <f t="shared" ref="AN26" si="10">IFERROR(IF(OR(C26="",G26="",M26="",O26="",R26="",T26="",V26="",X26="",Z26="",AC26="",AE26="",AG26=""),"",IF(BD26&lt;&gt;"",BD26,IF(BI26&gt;0,BI26,ROUND(IF(AK26&lt;=0,0,MIN(AT26,V26*AI26)),2)))),"")</f>
        <v/>
      </c>
      <c r="AO26" s="902"/>
      <c r="AP26" s="902"/>
      <c r="AQ26" s="902"/>
      <c r="AR26" s="37"/>
      <c r="AS26" s="235"/>
      <c r="AT26" s="852" t="str">
        <f t="shared" ref="AT26" si="11">IF(OR(C26="",G26="",M26="",O26="",R26="",T26="",V26="",X26="",Z26="",AC26="",AE26="",AG26=""),"",IF(AK26=0,"",ROUND(AE26+AG26,2)))</f>
        <v/>
      </c>
      <c r="AU26" s="854" t="str">
        <f>IFERROR(IF(OR(C26="",G26="",M26="",O26="",R26="",T26="",V26="",X26="",Z26="",AC26="",AE26="",AG26=""),"",INDEX(STDLIGHT[Current Unit],MATCH(G26,STDLIGHT[Measure Name],0))),"Err")</f>
        <v/>
      </c>
      <c r="AV26" s="850" t="str">
        <f>IF(OR(C26="",G26="",M26="",O26="",R26="",T26="",V26="",X26="",Z26="",AC26="",AE26="",AG26=""),"",IFERROR(IF(G26="","",IF(C26&lt;&gt;INDEX(STDLIGHT[Eff Category 1],MATCH(G26,STDLIGHT[Measure Name],0)),0,
IF(AX26&lt;=AY26,0,
ROUND(V26*INDEX(STDLIGHT[Electric Energy Savings (Annual kWh/unit)],MATCH('M03-S02'!G26,STDLIGHT[Measure Name],0)),4)))),""))</f>
        <v/>
      </c>
      <c r="AW26" s="850" t="str">
        <f>IF(OR(C26="",G26="",M26="",O26="",R26="",T26="",V26="",X26="",Z26="",AC26="",AE26="",AG26=""),"",IFERROR(IF(G26="","",IF(C26&lt;&gt;INDEX(STDLIGHT[Eff Category 1],MATCH(G26,STDLIGHT[Measure Name],0)),0,
IF(AX26&lt;=AY26,0,
ROUND(V26*INDEX(STDLIGHT[Coincident Peak Demand Savings (kW/unit)],MATCH('M03-S02'!G26,STDLIGHT[Measure Name],0)),4)))),""))</f>
        <v/>
      </c>
      <c r="AX26" s="848" t="str">
        <f>IF(OR(C26="",G26="",M26="",O26="",R26="",T26="",V26="",X26="",Z26="",AC26="",AE26="",AG26=""),"",
IF(OR(ISNUMBER(SEARCH("Exterior",C26)),ISNUMBER(SEARCH("Parking",C26))),ROUND(R26*V26*X26/1000,4),
ROUND(R26*V26*X26/1000*INDEX(BUILDINGTYPE[Waste Heat Factor (e)],MATCH(M02S04F19,BUILDINGTYPE[Building Type],0)),4)))</f>
        <v/>
      </c>
      <c r="AY26" s="848" t="str">
        <f>IF(OR(C26="",G26="",M26="",O26="",R26="",T26="",V26="",X26="",Z26="",AC26="",AE26="",AG26=""),"",
IF(OR(ISNUMBER(SEARCH("Exterior",C26)),ISNUMBER(SEARCH("Parking",C26))),ROUND(T26*V26*X26/1000,4),
ROUND(T26*V26*X26/1000*INDEX(BUILDINGTYPE[Waste Heat Factor (e)],MATCH(M02S04F19,BUILDINGTYPE[Building Type],0)),4)))</f>
        <v/>
      </c>
      <c r="AZ26" s="854" t="str">
        <f>IFERROR(IF(OR(C26="",G26="",M26="",O26="",R26="",T26="",V26="",X26="",Z26="",AC26="",AE26="",AG26=""),"",INDEX(STDLIGHT[End Use],MATCH(G26,STDLIGHT[Measure Name],0))),"Err")</f>
        <v/>
      </c>
      <c r="BA26" s="850" t="str">
        <f>IFERROR(IF(OR(C26="",G26="",M26="",O26="",R26="",T26="",V26="",X26="",Z26="",AC26="",AE26="",AG26=""),"",
IF(AX26&lt;=AY26,0,
IF(OR(ISNUMBER(SEARCH("Exterior",C26)),ISNUMBER(SEARCH("Parking",C26))),ROUND((R26-T26)*V26*X26/1000,4),
ROUND((R26-T26)*V26*X26/1000*INDEX(BUILDINGTYPE[Waste Heat Factor (e)],MATCH(M02S04F19,BUILDINGTYPE[Building Type],0)),4)))),"")</f>
        <v/>
      </c>
      <c r="BB26" s="846" t="str">
        <f>IFERROR(IF(OR(C26="",G26="",M26="",O26="",R26="",T26="",V26="",X26="",Z26="",AC26="",AE26="",AG26=""),"",
IF(AX26&lt;=AY26,0,
ROUND(BA26*INDEX(ENDUSEALL[Factor],MATCH(AZ26,ENDUSEALL[End Use to Coincident Peak Demand Factors],0)),4))),"")</f>
        <v/>
      </c>
      <c r="BC26" s="854" t="str">
        <f>IFERROR(IF(OR(C26="",G26="",M26="",O26="",R26="",T26="",V26="",X26="",Z26="",AC26="",AE26="",AG26="",ISNUMBER(AN26)=FALSE,AN26=0),"",INDEX(STDLIGHT[Measure Number],MATCH(G26,STDLIGHT[Measure Name],0))),"Err")</f>
        <v/>
      </c>
      <c r="BD26" s="854" t="str">
        <f>IFERROR(IF(OR(C26="",G26="",M26="",O26="",R26="",T26="",V26="",X26="",Z26="",AC26="",AE26="",AG26=""),"",
IF(BI26&gt;0,"",
IF(EXPIRATION&lt;&gt;"",PROJSTATEXP,
IF(M02S04F19="",MEASUREBLDG,
IF(AX26&lt;=AY26,MEASURESAVE,""))))),MEASURESUBMIT)</f>
        <v/>
      </c>
      <c r="BE26" s="928" t="str">
        <f>IFERROR(INDEX(STDLIGHT[Measure Life (Years)],MATCH(G26,STDLIGHT[Measure Name],0)),"")</f>
        <v/>
      </c>
      <c r="BF26" s="930" t="str">
        <f>IFERROR(IF(OR(C26="",G26="",M26="",O26="",R26="",T26="",V26="",X26="",Z26="",AC26="",AE26="",AG26=""),"",
ROUND(((1+ELOSS)*((BA26*INDEX(ELECCB[NPV AEC $/kWh],MATCH(BE26,ELECCB[Year Number],1)))+(BB26*INDEX(ELECCB[NPV ACC $/kW],MATCH(BE26,ELECCB[Year Number],1))))),2)),0)</f>
        <v/>
      </c>
      <c r="BG26" s="937"/>
      <c r="BH26" s="934" t="str">
        <f>IFERROR(IF(OR(C26="",G26="",M26="",O26="",R26="",T26="",V26="",X26="",Z26="",AC26="",AE26="",AG26=""),"",INDEX(STDLIGHT[Reporting Methodology],MATCH(G26,STDLIGHT[Measure Name],0))),"Err")</f>
        <v/>
      </c>
      <c r="BI26" s="939"/>
    </row>
    <row r="27" spans="1:61" ht="15.95" customHeight="1">
      <c r="B27" s="905"/>
      <c r="C27" s="833"/>
      <c r="D27" s="834"/>
      <c r="E27" s="834"/>
      <c r="F27" s="835"/>
      <c r="G27" s="840"/>
      <c r="H27" s="841"/>
      <c r="I27" s="841"/>
      <c r="J27" s="841"/>
      <c r="K27" s="841"/>
      <c r="L27" s="845"/>
      <c r="M27" s="827"/>
      <c r="N27" s="829"/>
      <c r="O27" s="827"/>
      <c r="P27" s="828"/>
      <c r="Q27" s="829"/>
      <c r="R27" s="885"/>
      <c r="S27" s="885"/>
      <c r="T27" s="886"/>
      <c r="U27" s="886"/>
      <c r="V27" s="888"/>
      <c r="W27" s="888"/>
      <c r="X27" s="866"/>
      <c r="Y27" s="866"/>
      <c r="Z27" s="833"/>
      <c r="AA27" s="834"/>
      <c r="AB27" s="835"/>
      <c r="AC27" s="904"/>
      <c r="AD27" s="827"/>
      <c r="AE27" s="867"/>
      <c r="AF27" s="868"/>
      <c r="AG27" s="868"/>
      <c r="AH27" s="869"/>
      <c r="AI27" s="898"/>
      <c r="AJ27" s="899"/>
      <c r="AK27" s="901"/>
      <c r="AL27" s="901"/>
      <c r="AM27" s="901"/>
      <c r="AN27" s="899"/>
      <c r="AO27" s="903"/>
      <c r="AP27" s="903"/>
      <c r="AQ27" s="903"/>
      <c r="AR27" s="37"/>
      <c r="AS27" s="235"/>
      <c r="AT27" s="853"/>
      <c r="AU27" s="855"/>
      <c r="AV27" s="851"/>
      <c r="AW27" s="851"/>
      <c r="AX27" s="849"/>
      <c r="AY27" s="849"/>
      <c r="AZ27" s="855"/>
      <c r="BA27" s="851"/>
      <c r="BB27" s="847"/>
      <c r="BC27" s="855"/>
      <c r="BD27" s="855"/>
      <c r="BE27" s="929"/>
      <c r="BF27" s="931"/>
      <c r="BG27" s="938"/>
      <c r="BH27" s="934"/>
      <c r="BI27" s="939"/>
    </row>
    <row r="28" spans="1:61" ht="15.95" customHeight="1">
      <c r="B28" s="905">
        <v>6</v>
      </c>
      <c r="C28" s="830"/>
      <c r="D28" s="831"/>
      <c r="E28" s="831"/>
      <c r="F28" s="832"/>
      <c r="G28" s="842"/>
      <c r="H28" s="843"/>
      <c r="I28" s="843"/>
      <c r="J28" s="843"/>
      <c r="K28" s="843"/>
      <c r="L28" s="844"/>
      <c r="M28" s="830"/>
      <c r="N28" s="832"/>
      <c r="O28" s="830"/>
      <c r="P28" s="831"/>
      <c r="Q28" s="832"/>
      <c r="R28" s="920"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921"/>
      <c r="T28" s="924" t="str">
        <f>IF(C28="Permanent Lamp Removal",0,"")</f>
        <v/>
      </c>
      <c r="U28" s="925"/>
      <c r="V28" s="892"/>
      <c r="W28" s="893"/>
      <c r="X28" s="870"/>
      <c r="Y28" s="871"/>
      <c r="Z28" s="830"/>
      <c r="AA28" s="831"/>
      <c r="AB28" s="832"/>
      <c r="AC28" s="830"/>
      <c r="AD28" s="882"/>
      <c r="AE28" s="874"/>
      <c r="AF28" s="875"/>
      <c r="AG28" s="878"/>
      <c r="AH28" s="879"/>
      <c r="AI28" s="896" t="str">
        <f>IFERROR(IF(G28="","",IF(C28&lt;&gt;INDEX(STDLIGHT[Eff Category 1],MATCH(G28,STDLIGHT[Measure Name],0)),0,INDEX(STDLIGHT[Current Incentive],MATCH('M03-S02'!G28,STDLIGHT[Measure Name],0)))),"")</f>
        <v/>
      </c>
      <c r="AJ28" s="897"/>
      <c r="AK28" s="900" t="str">
        <f t="shared" ref="AK28" si="12">IFERROR(IF(OR(C28="",G28="",M28="",O28="",R28="",T28="",V28="",X28="",Z28="",AC28="",AE28="",AG28=""),"",IF(BH28="Deemed",AV28,IF(BH28="Calculated",BA28,""))),"")</f>
        <v/>
      </c>
      <c r="AL28" s="900"/>
      <c r="AM28" s="900"/>
      <c r="AN28" s="897" t="str">
        <f t="shared" ref="AN28" si="13">IFERROR(IF(OR(C28="",G28="",M28="",O28="",R28="",T28="",V28="",X28="",Z28="",AC28="",AE28="",AG28=""),"",IF(BD28&lt;&gt;"",BD28,IF(BI28&gt;0,BI28,ROUND(IF(AK28&lt;=0,0,MIN(AT28,V28*AI28)),2)))),"")</f>
        <v/>
      </c>
      <c r="AO28" s="902"/>
      <c r="AP28" s="902"/>
      <c r="AQ28" s="902"/>
      <c r="AR28" s="37"/>
      <c r="AS28" s="235"/>
      <c r="AT28" s="852" t="str">
        <f t="shared" ref="AT28" si="14">IF(OR(C28="",G28="",M28="",O28="",R28="",T28="",V28="",X28="",Z28="",AC28="",AE28="",AG28=""),"",IF(AK28=0,"",ROUND(AE28+AG28,2)))</f>
        <v/>
      </c>
      <c r="AU28" s="854" t="str">
        <f>IFERROR(IF(OR(C28="",G28="",M28="",O28="",R28="",T28="",V28="",X28="",Z28="",AC28="",AE28="",AG28=""),"",INDEX(STDLIGHT[Current Unit],MATCH(G28,STDLIGHT[Measure Name],0))),"Err")</f>
        <v/>
      </c>
      <c r="AV28" s="850" t="str">
        <f>IF(OR(C28="",G28="",M28="",O28="",R28="",T28="",V28="",X28="",Z28="",AC28="",AE28="",AG28=""),"",IFERROR(IF(G28="","",IF(C28&lt;&gt;INDEX(STDLIGHT[Eff Category 1],MATCH(G28,STDLIGHT[Measure Name],0)),0,
IF(AX28&lt;=AY28,0,
ROUND(V28*INDEX(STDLIGHT[Electric Energy Savings (Annual kWh/unit)],MATCH('M03-S02'!G28,STDLIGHT[Measure Name],0)),4)))),""))</f>
        <v/>
      </c>
      <c r="AW28" s="850" t="str">
        <f>IF(OR(C28="",G28="",M28="",O28="",R28="",T28="",V28="",X28="",Z28="",AC28="",AE28="",AG28=""),"",IFERROR(IF(G28="","",IF(C28&lt;&gt;INDEX(STDLIGHT[Eff Category 1],MATCH(G28,STDLIGHT[Measure Name],0)),0,
IF(AX28&lt;=AY28,0,
ROUND(V28*INDEX(STDLIGHT[Coincident Peak Demand Savings (kW/unit)],MATCH('M03-S02'!G28,STDLIGHT[Measure Name],0)),4)))),""))</f>
        <v/>
      </c>
      <c r="AX28" s="848" t="str">
        <f>IF(OR(C28="",G28="",M28="",O28="",R28="",T28="",V28="",X28="",Z28="",AC28="",AE28="",AG28=""),"",
IF(OR(ISNUMBER(SEARCH("Exterior",C28)),ISNUMBER(SEARCH("Parking",C28))),ROUND(R28*V28*X28/1000,4),
ROUND(R28*V28*X28/1000*INDEX(BUILDINGTYPE[Waste Heat Factor (e)],MATCH(M02S04F19,BUILDINGTYPE[Building Type],0)),4)))</f>
        <v/>
      </c>
      <c r="AY28" s="848" t="str">
        <f>IF(OR(C28="",G28="",M28="",O28="",R28="",T28="",V28="",X28="",Z28="",AC28="",AE28="",AG28=""),"",
IF(OR(ISNUMBER(SEARCH("Exterior",C28)),ISNUMBER(SEARCH("Parking",C28))),ROUND(T28*V28*X28/1000,4),
ROUND(T28*V28*X28/1000*INDEX(BUILDINGTYPE[Waste Heat Factor (e)],MATCH(M02S04F19,BUILDINGTYPE[Building Type],0)),4)))</f>
        <v/>
      </c>
      <c r="AZ28" s="854" t="str">
        <f>IFERROR(IF(OR(C28="",G28="",M28="",O28="",R28="",T28="",V28="",X28="",Z28="",AC28="",AE28="",AG28=""),"",INDEX(STDLIGHT[End Use],MATCH(G28,STDLIGHT[Measure Name],0))),"Err")</f>
        <v/>
      </c>
      <c r="BA28" s="850" t="str">
        <f>IFERROR(IF(OR(C28="",G28="",M28="",O28="",R28="",T28="",V28="",X28="",Z28="",AC28="",AE28="",AG28=""),"",
IF(AX28&lt;=AY28,0,
IF(OR(ISNUMBER(SEARCH("Exterior",C28)),ISNUMBER(SEARCH("Parking",C28))),ROUND((R28-T28)*V28*X28/1000,4),
ROUND((R28-T28)*V28*X28/1000*INDEX(BUILDINGTYPE[Waste Heat Factor (e)],MATCH(M02S04F19,BUILDINGTYPE[Building Type],0)),4)))),"")</f>
        <v/>
      </c>
      <c r="BB28" s="846" t="str">
        <f>IFERROR(IF(OR(C28="",G28="",M28="",O28="",R28="",T28="",V28="",X28="",Z28="",AC28="",AE28="",AG28=""),"",
IF(AX28&lt;=AY28,0,
ROUND(BA28*INDEX(ENDUSEALL[Factor],MATCH(AZ28,ENDUSEALL[End Use to Coincident Peak Demand Factors],0)),4))),"")</f>
        <v/>
      </c>
      <c r="BC28" s="854" t="str">
        <f>IFERROR(IF(OR(C28="",G28="",M28="",O28="",R28="",T28="",V28="",X28="",Z28="",AC28="",AE28="",AG28="",ISNUMBER(AN28)=FALSE,AN28=0),"",INDEX(STDLIGHT[Measure Number],MATCH(G28,STDLIGHT[Measure Name],0))),"Err")</f>
        <v/>
      </c>
      <c r="BD28" s="854" t="str">
        <f>IFERROR(IF(OR(C28="",G28="",M28="",O28="",R28="",T28="",V28="",X28="",Z28="",AC28="",AE28="",AG28=""),"",
IF(BI28&gt;0,"",
IF(EXPIRATION&lt;&gt;"",PROJSTATEXP,
IF(M02S04F19="",MEASUREBLDG,
IF(AX28&lt;=AY28,MEASURESAVE,""))))),MEASURESUBMIT)</f>
        <v/>
      </c>
      <c r="BE28" s="928" t="str">
        <f>IFERROR(INDEX(STDLIGHT[Measure Life (Years)],MATCH(G28,STDLIGHT[Measure Name],0)),"")</f>
        <v/>
      </c>
      <c r="BF28" s="930" t="str">
        <f>IFERROR(IF(OR(C28="",G28="",M28="",O28="",R28="",T28="",V28="",X28="",Z28="",AC28="",AE28="",AG28=""),"",
ROUND(((1+ELOSS)*((BA28*INDEX(ELECCB[NPV AEC $/kWh],MATCH(BE28,ELECCB[Year Number],1)))+(BB28*INDEX(ELECCB[NPV ACC $/kW],MATCH(BE28,ELECCB[Year Number],1))))),2)),0)</f>
        <v/>
      </c>
      <c r="BG28" s="937"/>
      <c r="BH28" s="934" t="str">
        <f>IFERROR(IF(OR(C28="",G28="",M28="",O28="",R28="",T28="",V28="",X28="",Z28="",AC28="",AE28="",AG28=""),"",INDEX(STDLIGHT[Reporting Methodology],MATCH(G28,STDLIGHT[Measure Name],0))),"Err")</f>
        <v/>
      </c>
      <c r="BI28" s="939"/>
    </row>
    <row r="29" spans="1:61" ht="15.95" customHeight="1">
      <c r="B29" s="905"/>
      <c r="C29" s="833"/>
      <c r="D29" s="834"/>
      <c r="E29" s="834"/>
      <c r="F29" s="835"/>
      <c r="G29" s="840"/>
      <c r="H29" s="841"/>
      <c r="I29" s="841"/>
      <c r="J29" s="841"/>
      <c r="K29" s="841"/>
      <c r="L29" s="845"/>
      <c r="M29" s="833"/>
      <c r="N29" s="835"/>
      <c r="O29" s="833"/>
      <c r="P29" s="834"/>
      <c r="Q29" s="835"/>
      <c r="R29" s="922"/>
      <c r="S29" s="923"/>
      <c r="T29" s="926"/>
      <c r="U29" s="927"/>
      <c r="V29" s="894"/>
      <c r="W29" s="895"/>
      <c r="X29" s="872"/>
      <c r="Y29" s="873"/>
      <c r="Z29" s="833"/>
      <c r="AA29" s="834"/>
      <c r="AB29" s="835"/>
      <c r="AC29" s="833"/>
      <c r="AD29" s="883"/>
      <c r="AE29" s="876"/>
      <c r="AF29" s="877"/>
      <c r="AG29" s="880"/>
      <c r="AH29" s="881"/>
      <c r="AI29" s="898"/>
      <c r="AJ29" s="899"/>
      <c r="AK29" s="901"/>
      <c r="AL29" s="901"/>
      <c r="AM29" s="901"/>
      <c r="AN29" s="899"/>
      <c r="AO29" s="903"/>
      <c r="AP29" s="903"/>
      <c r="AQ29" s="903"/>
      <c r="AR29" s="37"/>
      <c r="AS29" s="235"/>
      <c r="AT29" s="853"/>
      <c r="AU29" s="855"/>
      <c r="AV29" s="851"/>
      <c r="AW29" s="851"/>
      <c r="AX29" s="849"/>
      <c r="AY29" s="849"/>
      <c r="AZ29" s="855"/>
      <c r="BA29" s="851"/>
      <c r="BB29" s="847"/>
      <c r="BC29" s="855"/>
      <c r="BD29" s="855"/>
      <c r="BE29" s="929"/>
      <c r="BF29" s="931"/>
      <c r="BG29" s="938"/>
      <c r="BH29" s="934"/>
      <c r="BI29" s="939"/>
    </row>
    <row r="30" spans="1:61" ht="15.95" customHeight="1">
      <c r="B30" s="905">
        <v>7</v>
      </c>
      <c r="C30" s="827"/>
      <c r="D30" s="828"/>
      <c r="E30" s="828"/>
      <c r="F30" s="829"/>
      <c r="G30" s="838"/>
      <c r="H30" s="839"/>
      <c r="I30" s="839"/>
      <c r="J30" s="839"/>
      <c r="K30" s="839"/>
      <c r="L30" s="839"/>
      <c r="M30" s="827"/>
      <c r="N30" s="829"/>
      <c r="O30" s="827"/>
      <c r="P30" s="828"/>
      <c r="Q30" s="829"/>
      <c r="R30" s="884"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884"/>
      <c r="T30" s="886" t="str">
        <f>IF(C30="Permanent Lamp Removal",0,"")</f>
        <v/>
      </c>
      <c r="U30" s="886"/>
      <c r="V30" s="888"/>
      <c r="W30" s="888"/>
      <c r="X30" s="865"/>
      <c r="Y30" s="865"/>
      <c r="Z30" s="830"/>
      <c r="AA30" s="831"/>
      <c r="AB30" s="832"/>
      <c r="AC30" s="904"/>
      <c r="AD30" s="827"/>
      <c r="AE30" s="867"/>
      <c r="AF30" s="868"/>
      <c r="AG30" s="868"/>
      <c r="AH30" s="869"/>
      <c r="AI30" s="896" t="str">
        <f>IFERROR(IF(G30="","",IF(C30&lt;&gt;INDEX(STDLIGHT[Eff Category 1],MATCH(G30,STDLIGHT[Measure Name],0)),0,INDEX(STDLIGHT[Current Incentive],MATCH('M03-S02'!G30,STDLIGHT[Measure Name],0)))),"")</f>
        <v/>
      </c>
      <c r="AJ30" s="897"/>
      <c r="AK30" s="900" t="str">
        <f t="shared" ref="AK30" si="15">IFERROR(IF(OR(C30="",G30="",M30="",O30="",R30="",T30="",V30="",X30="",Z30="",AC30="",AE30="",AG30=""),"",IF(BH30="Deemed",AV30,IF(BH30="Calculated",BA30,""))),"")</f>
        <v/>
      </c>
      <c r="AL30" s="900"/>
      <c r="AM30" s="900"/>
      <c r="AN30" s="897" t="str">
        <f t="shared" ref="AN30" si="16">IFERROR(IF(OR(C30="",G30="",M30="",O30="",R30="",T30="",V30="",X30="",Z30="",AC30="",AE30="",AG30=""),"",IF(BD30&lt;&gt;"",BD30,IF(BI30&gt;0,BI30,ROUND(IF(AK30&lt;=0,0,MIN(AT30,V30*AI30)),2)))),"")</f>
        <v/>
      </c>
      <c r="AO30" s="902"/>
      <c r="AP30" s="902"/>
      <c r="AQ30" s="902"/>
      <c r="AR30" s="37"/>
      <c r="AS30" s="235"/>
      <c r="AT30" s="852" t="str">
        <f t="shared" ref="AT30" si="17">IF(OR(C30="",G30="",M30="",O30="",R30="",T30="",V30="",X30="",Z30="",AC30="",AE30="",AG30=""),"",IF(AK30=0,"",ROUND(AE30+AG30,2)))</f>
        <v/>
      </c>
      <c r="AU30" s="854" t="str">
        <f>IFERROR(IF(OR(C30="",G30="",M30="",O30="",R30="",T30="",V30="",X30="",Z30="",AC30="",AE30="",AG30=""),"",INDEX(STDLIGHT[Current Unit],MATCH(G30,STDLIGHT[Measure Name],0))),"Err")</f>
        <v/>
      </c>
      <c r="AV30" s="850" t="str">
        <f>IF(OR(C30="",G30="",M30="",O30="",R30="",T30="",V30="",X30="",Z30="",AC30="",AE30="",AG30=""),"",IFERROR(IF(G30="","",IF(C30&lt;&gt;INDEX(STDLIGHT[Eff Category 1],MATCH(G30,STDLIGHT[Measure Name],0)),0,
IF(AX30&lt;=AY30,0,
ROUND(V30*INDEX(STDLIGHT[Electric Energy Savings (Annual kWh/unit)],MATCH('M03-S02'!G30,STDLIGHT[Measure Name],0)),4)))),""))</f>
        <v/>
      </c>
      <c r="AW30" s="850" t="str">
        <f>IF(OR(C30="",G30="",M30="",O30="",R30="",T30="",V30="",X30="",Z30="",AC30="",AE30="",AG30=""),"",IFERROR(IF(G30="","",IF(C30&lt;&gt;INDEX(STDLIGHT[Eff Category 1],MATCH(G30,STDLIGHT[Measure Name],0)),0,
IF(AX30&lt;=AY30,0,
ROUND(V30*INDEX(STDLIGHT[Coincident Peak Demand Savings (kW/unit)],MATCH('M03-S02'!G30,STDLIGHT[Measure Name],0)),4)))),""))</f>
        <v/>
      </c>
      <c r="AX30" s="848" t="str">
        <f>IF(OR(C30="",G30="",M30="",O30="",R30="",T30="",V30="",X30="",Z30="",AC30="",AE30="",AG30=""),"",
IF(OR(ISNUMBER(SEARCH("Exterior",C30)),ISNUMBER(SEARCH("Parking",C30))),ROUND(R30*V30*X30/1000,4),
ROUND(R30*V30*X30/1000*INDEX(BUILDINGTYPE[Waste Heat Factor (e)],MATCH(M02S04F19,BUILDINGTYPE[Building Type],0)),4)))</f>
        <v/>
      </c>
      <c r="AY30" s="848" t="str">
        <f>IF(OR(C30="",G30="",M30="",O30="",R30="",T30="",V30="",X30="",Z30="",AC30="",AE30="",AG30=""),"",
IF(OR(ISNUMBER(SEARCH("Exterior",C30)),ISNUMBER(SEARCH("Parking",C30))),ROUND(T30*V30*X30/1000,4),
ROUND(T30*V30*X30/1000*INDEX(BUILDINGTYPE[Waste Heat Factor (e)],MATCH(M02S04F19,BUILDINGTYPE[Building Type],0)),4)))</f>
        <v/>
      </c>
      <c r="AZ30" s="854" t="str">
        <f>IFERROR(IF(OR(C30="",G30="",M30="",O30="",R30="",T30="",V30="",X30="",Z30="",AC30="",AE30="",AG30=""),"",INDEX(STDLIGHT[End Use],MATCH(G30,STDLIGHT[Measure Name],0))),"Err")</f>
        <v/>
      </c>
      <c r="BA30" s="850" t="str">
        <f>IFERROR(IF(OR(C30="",G30="",M30="",O30="",R30="",T30="",V30="",X30="",Z30="",AC30="",AE30="",AG30=""),"",
IF(AX30&lt;=AY30,0,
IF(OR(ISNUMBER(SEARCH("Exterior",C30)),ISNUMBER(SEARCH("Parking",C30))),ROUND((R30-T30)*V30*X30/1000,4),
ROUND((R30-T30)*V30*X30/1000*INDEX(BUILDINGTYPE[Waste Heat Factor (e)],MATCH(M02S04F19,BUILDINGTYPE[Building Type],0)),4)))),"")</f>
        <v/>
      </c>
      <c r="BB30" s="846" t="str">
        <f>IFERROR(IF(OR(C30="",G30="",M30="",O30="",R30="",T30="",V30="",X30="",Z30="",AC30="",AE30="",AG30=""),"",
IF(AX30&lt;=AY30,0,
ROUND(BA30*INDEX(ENDUSEALL[Factor],MATCH(AZ30,ENDUSEALL[End Use to Coincident Peak Demand Factors],0)),4))),"")</f>
        <v/>
      </c>
      <c r="BC30" s="854" t="str">
        <f>IFERROR(IF(OR(C30="",G30="",M30="",O30="",R30="",T30="",V30="",X30="",Z30="",AC30="",AE30="",AG30="",ISNUMBER(AN30)=FALSE,AN30=0),"",INDEX(STDLIGHT[Measure Number],MATCH(G30,STDLIGHT[Measure Name],0))),"Err")</f>
        <v/>
      </c>
      <c r="BD30" s="854" t="str">
        <f>IFERROR(IF(OR(C30="",G30="",M30="",O30="",R30="",T30="",V30="",X30="",Z30="",AC30="",AE30="",AG30=""),"",
IF(BI30&gt;0,"",
IF(EXPIRATION&lt;&gt;"",PROJSTATEXP,
IF(M02S04F19="",MEASUREBLDG,
IF(AX30&lt;=AY30,MEASURESAVE,""))))),MEASURESUBMIT)</f>
        <v/>
      </c>
      <c r="BE30" s="928" t="str">
        <f>IFERROR(INDEX(STDLIGHT[Measure Life (Years)],MATCH(G30,STDLIGHT[Measure Name],0)),"")</f>
        <v/>
      </c>
      <c r="BF30" s="930" t="str">
        <f>IFERROR(IF(OR(C30="",G30="",M30="",O30="",R30="",T30="",V30="",X30="",Z30="",AC30="",AE30="",AG30=""),"",
ROUND(((1+ELOSS)*((BA30*INDEX(ELECCB[NPV AEC $/kWh],MATCH(BE30,ELECCB[Year Number],1)))+(BB30*INDEX(ELECCB[NPV ACC $/kW],MATCH(BE30,ELECCB[Year Number],1))))),2)),0)</f>
        <v/>
      </c>
      <c r="BG30" s="937"/>
      <c r="BH30" s="934" t="str">
        <f>IFERROR(IF(OR(C30="",G30="",M30="",O30="",R30="",T30="",V30="",X30="",Z30="",AC30="",AE30="",AG30=""),"",INDEX(STDLIGHT[Reporting Methodology],MATCH(G30,STDLIGHT[Measure Name],0))),"Err")</f>
        <v/>
      </c>
      <c r="BI30" s="939"/>
    </row>
    <row r="31" spans="1:61" ht="15.95" customHeight="1">
      <c r="B31" s="905"/>
      <c r="C31" s="827"/>
      <c r="D31" s="828"/>
      <c r="E31" s="828"/>
      <c r="F31" s="829"/>
      <c r="G31" s="838"/>
      <c r="H31" s="839"/>
      <c r="I31" s="839"/>
      <c r="J31" s="839"/>
      <c r="K31" s="839"/>
      <c r="L31" s="839"/>
      <c r="M31" s="827"/>
      <c r="N31" s="829"/>
      <c r="O31" s="827"/>
      <c r="P31" s="828"/>
      <c r="Q31" s="829"/>
      <c r="R31" s="885"/>
      <c r="S31" s="885"/>
      <c r="T31" s="886"/>
      <c r="U31" s="886"/>
      <c r="V31" s="888"/>
      <c r="W31" s="888"/>
      <c r="X31" s="866"/>
      <c r="Y31" s="866"/>
      <c r="Z31" s="833"/>
      <c r="AA31" s="834"/>
      <c r="AB31" s="835"/>
      <c r="AC31" s="904"/>
      <c r="AD31" s="827"/>
      <c r="AE31" s="867"/>
      <c r="AF31" s="868"/>
      <c r="AG31" s="868"/>
      <c r="AH31" s="869"/>
      <c r="AI31" s="898"/>
      <c r="AJ31" s="899"/>
      <c r="AK31" s="901"/>
      <c r="AL31" s="901"/>
      <c r="AM31" s="901"/>
      <c r="AN31" s="899"/>
      <c r="AO31" s="903"/>
      <c r="AP31" s="903"/>
      <c r="AQ31" s="903"/>
      <c r="AR31" s="37"/>
      <c r="AS31" s="235"/>
      <c r="AT31" s="853"/>
      <c r="AU31" s="855"/>
      <c r="AV31" s="851"/>
      <c r="AW31" s="851"/>
      <c r="AX31" s="849"/>
      <c r="AY31" s="849"/>
      <c r="AZ31" s="855"/>
      <c r="BA31" s="851"/>
      <c r="BB31" s="847"/>
      <c r="BC31" s="855"/>
      <c r="BD31" s="855"/>
      <c r="BE31" s="929"/>
      <c r="BF31" s="931"/>
      <c r="BG31" s="938"/>
      <c r="BH31" s="934"/>
      <c r="BI31" s="939"/>
    </row>
    <row r="32" spans="1:61" ht="15.95" customHeight="1">
      <c r="B32" s="905">
        <v>8</v>
      </c>
      <c r="C32" s="827"/>
      <c r="D32" s="828"/>
      <c r="E32" s="828"/>
      <c r="F32" s="829"/>
      <c r="G32" s="838"/>
      <c r="H32" s="839"/>
      <c r="I32" s="839"/>
      <c r="J32" s="839"/>
      <c r="K32" s="839"/>
      <c r="L32" s="839"/>
      <c r="M32" s="827"/>
      <c r="N32" s="829"/>
      <c r="O32" s="827"/>
      <c r="P32" s="828"/>
      <c r="Q32" s="829"/>
      <c r="R32" s="884"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884"/>
      <c r="T32" s="886" t="str">
        <f>IF(C32="Permanent Lamp Removal",0,"")</f>
        <v/>
      </c>
      <c r="U32" s="886"/>
      <c r="V32" s="888"/>
      <c r="W32" s="888"/>
      <c r="X32" s="865"/>
      <c r="Y32" s="865"/>
      <c r="Z32" s="830"/>
      <c r="AA32" s="831"/>
      <c r="AB32" s="832"/>
      <c r="AC32" s="904"/>
      <c r="AD32" s="827"/>
      <c r="AE32" s="867"/>
      <c r="AF32" s="868"/>
      <c r="AG32" s="868"/>
      <c r="AH32" s="869"/>
      <c r="AI32" s="896" t="str">
        <f>IFERROR(IF(G32="","",IF(C32&lt;&gt;INDEX(STDLIGHT[Eff Category 1],MATCH(G32,STDLIGHT[Measure Name],0)),0,INDEX(STDLIGHT[Current Incentive],MATCH('M03-S02'!G32,STDLIGHT[Measure Name],0)))),"")</f>
        <v/>
      </c>
      <c r="AJ32" s="897"/>
      <c r="AK32" s="900" t="str">
        <f t="shared" ref="AK32" si="18">IFERROR(IF(OR(C32="",G32="",M32="",O32="",R32="",T32="",V32="",X32="",Z32="",AC32="",AE32="",AG32=""),"",IF(BH32="Deemed",AV32,IF(BH32="Calculated",BA32,""))),"")</f>
        <v/>
      </c>
      <c r="AL32" s="900"/>
      <c r="AM32" s="900"/>
      <c r="AN32" s="897" t="str">
        <f t="shared" ref="AN32" si="19">IFERROR(IF(OR(C32="",G32="",M32="",O32="",R32="",T32="",V32="",X32="",Z32="",AC32="",AE32="",AG32=""),"",IF(BD32&lt;&gt;"",BD32,IF(BI32&gt;0,BI32,ROUND(IF(AK32&lt;=0,0,MIN(AT32,V32*AI32)),2)))),"")</f>
        <v/>
      </c>
      <c r="AO32" s="902"/>
      <c r="AP32" s="902"/>
      <c r="AQ32" s="902"/>
      <c r="AR32" s="37"/>
      <c r="AS32" s="235"/>
      <c r="AT32" s="852" t="str">
        <f t="shared" ref="AT32" si="20">IF(OR(C32="",G32="",M32="",O32="",R32="",T32="",V32="",X32="",Z32="",AC32="",AE32="",AG32=""),"",IF(AK32=0,"",ROUND(AE32+AG32,2)))</f>
        <v/>
      </c>
      <c r="AU32" s="854" t="str">
        <f>IFERROR(IF(OR(C32="",G32="",M32="",O32="",R32="",T32="",V32="",X32="",Z32="",AC32="",AE32="",AG32=""),"",INDEX(STDLIGHT[Current Unit],MATCH(G32,STDLIGHT[Measure Name],0))),"Err")</f>
        <v/>
      </c>
      <c r="AV32" s="850" t="str">
        <f>IF(OR(C32="",G32="",M32="",O32="",R32="",T32="",V32="",X32="",Z32="",AC32="",AE32="",AG32=""),"",IFERROR(IF(G32="","",IF(C32&lt;&gt;INDEX(STDLIGHT[Eff Category 1],MATCH(G32,STDLIGHT[Measure Name],0)),0,
IF(AX32&lt;=AY32,0,
ROUND(V32*INDEX(STDLIGHT[Electric Energy Savings (Annual kWh/unit)],MATCH('M03-S02'!G32,STDLIGHT[Measure Name],0)),4)))),""))</f>
        <v/>
      </c>
      <c r="AW32" s="850" t="str">
        <f>IF(OR(C32="",G32="",M32="",O32="",R32="",T32="",V32="",X32="",Z32="",AC32="",AE32="",AG32=""),"",IFERROR(IF(G32="","",IF(C32&lt;&gt;INDEX(STDLIGHT[Eff Category 1],MATCH(G32,STDLIGHT[Measure Name],0)),0,
IF(AX32&lt;=AY32,0,
ROUND(V32*INDEX(STDLIGHT[Coincident Peak Demand Savings (kW/unit)],MATCH('M03-S02'!G32,STDLIGHT[Measure Name],0)),4)))),""))</f>
        <v/>
      </c>
      <c r="AX32" s="848" t="str">
        <f>IF(OR(C32="",G32="",M32="",O32="",R32="",T32="",V32="",X32="",Z32="",AC32="",AE32="",AG32=""),"",
IF(OR(ISNUMBER(SEARCH("Exterior",C32)),ISNUMBER(SEARCH("Parking",C32))),ROUND(R32*V32*X32/1000,4),
ROUND(R32*V32*X32/1000*INDEX(BUILDINGTYPE[Waste Heat Factor (e)],MATCH(M02S04F19,BUILDINGTYPE[Building Type],0)),4)))</f>
        <v/>
      </c>
      <c r="AY32" s="848" t="str">
        <f>IF(OR(C32="",G32="",M32="",O32="",R32="",T32="",V32="",X32="",Z32="",AC32="",AE32="",AG32=""),"",
IF(OR(ISNUMBER(SEARCH("Exterior",C32)),ISNUMBER(SEARCH("Parking",C32))),ROUND(T32*V32*X32/1000,4),
ROUND(T32*V32*X32/1000*INDEX(BUILDINGTYPE[Waste Heat Factor (e)],MATCH(M02S04F19,BUILDINGTYPE[Building Type],0)),4)))</f>
        <v/>
      </c>
      <c r="AZ32" s="854" t="str">
        <f>IFERROR(IF(OR(C32="",G32="",M32="",O32="",R32="",T32="",V32="",X32="",Z32="",AC32="",AE32="",AG32=""),"",INDEX(STDLIGHT[End Use],MATCH(G32,STDLIGHT[Measure Name],0))),"Err")</f>
        <v/>
      </c>
      <c r="BA32" s="850" t="str">
        <f>IFERROR(IF(OR(C32="",G32="",M32="",O32="",R32="",T32="",V32="",X32="",Z32="",AC32="",AE32="",AG32=""),"",
IF(AX32&lt;=AY32,0,
IF(OR(ISNUMBER(SEARCH("Exterior",C32)),ISNUMBER(SEARCH("Parking",C32))),ROUND((R32-T32)*V32*X32/1000,4),
ROUND((R32-T32)*V32*X32/1000*INDEX(BUILDINGTYPE[Waste Heat Factor (e)],MATCH(M02S04F19,BUILDINGTYPE[Building Type],0)),4)))),"")</f>
        <v/>
      </c>
      <c r="BB32" s="846" t="str">
        <f>IFERROR(IF(OR(C32="",G32="",M32="",O32="",R32="",T32="",V32="",X32="",Z32="",AC32="",AE32="",AG32=""),"",
IF(AX32&lt;=AY32,0,
ROUND(BA32*INDEX(ENDUSEALL[Factor],MATCH(AZ32,ENDUSEALL[End Use to Coincident Peak Demand Factors],0)),4))),"")</f>
        <v/>
      </c>
      <c r="BC32" s="854" t="str">
        <f>IFERROR(IF(OR(C32="",G32="",M32="",O32="",R32="",T32="",V32="",X32="",Z32="",AC32="",AE32="",AG32="",ISNUMBER(AN32)=FALSE,AN32=0),"",INDEX(STDLIGHT[Measure Number],MATCH(G32,STDLIGHT[Measure Name],0))),"Err")</f>
        <v/>
      </c>
      <c r="BD32" s="854" t="str">
        <f>IFERROR(IF(OR(C32="",G32="",M32="",O32="",R32="",T32="",V32="",X32="",Z32="",AC32="",AE32="",AG32=""),"",
IF(BI32&gt;0,"",
IF(EXPIRATION&lt;&gt;"",PROJSTATEXP,
IF(M02S04F19="",MEASUREBLDG,
IF(AX32&lt;=AY32,MEASURESAVE,""))))),MEASURESUBMIT)</f>
        <v/>
      </c>
      <c r="BE32" s="928" t="str">
        <f>IFERROR(INDEX(STDLIGHT[Measure Life (Years)],MATCH(G32,STDLIGHT[Measure Name],0)),"")</f>
        <v/>
      </c>
      <c r="BF32" s="930" t="str">
        <f>IFERROR(IF(OR(C32="",G32="",M32="",O32="",R32="",T32="",V32="",X32="",Z32="",AC32="",AE32="",AG32=""),"",
ROUND(((1+ELOSS)*((BA32*INDEX(ELECCB[NPV AEC $/kWh],MATCH(BE32,ELECCB[Year Number],1)))+(BB32*INDEX(ELECCB[NPV ACC $/kW],MATCH(BE32,ELECCB[Year Number],1))))),2)),0)</f>
        <v/>
      </c>
      <c r="BG32" s="937"/>
      <c r="BH32" s="934" t="str">
        <f>IFERROR(IF(OR(C32="",G32="",M32="",O32="",R32="",T32="",V32="",X32="",Z32="",AC32="",AE32="",AG32=""),"",INDEX(STDLIGHT[Reporting Methodology],MATCH(G32,STDLIGHT[Measure Name],0))),"Err")</f>
        <v/>
      </c>
      <c r="BI32" s="939"/>
    </row>
    <row r="33" spans="2:61" ht="15.95" customHeight="1">
      <c r="B33" s="905"/>
      <c r="C33" s="827"/>
      <c r="D33" s="828"/>
      <c r="E33" s="828"/>
      <c r="F33" s="829"/>
      <c r="G33" s="838"/>
      <c r="H33" s="839"/>
      <c r="I33" s="839"/>
      <c r="J33" s="839"/>
      <c r="K33" s="839"/>
      <c r="L33" s="839"/>
      <c r="M33" s="827"/>
      <c r="N33" s="829"/>
      <c r="O33" s="827"/>
      <c r="P33" s="828"/>
      <c r="Q33" s="829"/>
      <c r="R33" s="885"/>
      <c r="S33" s="885"/>
      <c r="T33" s="886"/>
      <c r="U33" s="886"/>
      <c r="V33" s="888"/>
      <c r="W33" s="888"/>
      <c r="X33" s="866"/>
      <c r="Y33" s="866"/>
      <c r="Z33" s="833"/>
      <c r="AA33" s="834"/>
      <c r="AB33" s="835"/>
      <c r="AC33" s="904"/>
      <c r="AD33" s="827"/>
      <c r="AE33" s="867"/>
      <c r="AF33" s="868"/>
      <c r="AG33" s="868"/>
      <c r="AH33" s="869"/>
      <c r="AI33" s="898"/>
      <c r="AJ33" s="899"/>
      <c r="AK33" s="901"/>
      <c r="AL33" s="901"/>
      <c r="AM33" s="901"/>
      <c r="AN33" s="899"/>
      <c r="AO33" s="903"/>
      <c r="AP33" s="903"/>
      <c r="AQ33" s="903"/>
      <c r="AR33" s="37"/>
      <c r="AS33" s="235"/>
      <c r="AT33" s="853"/>
      <c r="AU33" s="855"/>
      <c r="AV33" s="851"/>
      <c r="AW33" s="851"/>
      <c r="AX33" s="849"/>
      <c r="AY33" s="849"/>
      <c r="AZ33" s="855"/>
      <c r="BA33" s="851"/>
      <c r="BB33" s="847"/>
      <c r="BC33" s="855"/>
      <c r="BD33" s="855"/>
      <c r="BE33" s="929"/>
      <c r="BF33" s="931"/>
      <c r="BG33" s="938"/>
      <c r="BH33" s="934"/>
      <c r="BI33" s="939"/>
    </row>
    <row r="34" spans="2:61" ht="15.95" customHeight="1">
      <c r="B34" s="905">
        <v>9</v>
      </c>
      <c r="C34" s="827"/>
      <c r="D34" s="828"/>
      <c r="E34" s="828"/>
      <c r="F34" s="829"/>
      <c r="G34" s="838"/>
      <c r="H34" s="839"/>
      <c r="I34" s="839"/>
      <c r="J34" s="839"/>
      <c r="K34" s="839"/>
      <c r="L34" s="839"/>
      <c r="M34" s="827"/>
      <c r="N34" s="829"/>
      <c r="O34" s="827"/>
      <c r="P34" s="828"/>
      <c r="Q34" s="829"/>
      <c r="R34" s="884"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884"/>
      <c r="T34" s="886" t="str">
        <f>IF(C34="Permanent Lamp Removal",0,"")</f>
        <v/>
      </c>
      <c r="U34" s="886"/>
      <c r="V34" s="888"/>
      <c r="W34" s="888"/>
      <c r="X34" s="865"/>
      <c r="Y34" s="865"/>
      <c r="Z34" s="830"/>
      <c r="AA34" s="831"/>
      <c r="AB34" s="832"/>
      <c r="AC34" s="904"/>
      <c r="AD34" s="827"/>
      <c r="AE34" s="867"/>
      <c r="AF34" s="868"/>
      <c r="AG34" s="868"/>
      <c r="AH34" s="869"/>
      <c r="AI34" s="896" t="str">
        <f>IFERROR(IF(G34="","",IF(C34&lt;&gt;INDEX(STDLIGHT[Eff Category 1],MATCH(G34,STDLIGHT[Measure Name],0)),0,INDEX(STDLIGHT[Current Incentive],MATCH('M03-S02'!G34,STDLIGHT[Measure Name],0)))),"")</f>
        <v/>
      </c>
      <c r="AJ34" s="897"/>
      <c r="AK34" s="900" t="str">
        <f t="shared" ref="AK34" si="21">IFERROR(IF(OR(C34="",G34="",M34="",O34="",R34="",T34="",V34="",X34="",Z34="",AC34="",AE34="",AG34=""),"",IF(BH34="Deemed",AV34,IF(BH34="Calculated",BA34,""))),"")</f>
        <v/>
      </c>
      <c r="AL34" s="900"/>
      <c r="AM34" s="900"/>
      <c r="AN34" s="897" t="str">
        <f t="shared" ref="AN34" si="22">IFERROR(IF(OR(C34="",G34="",M34="",O34="",R34="",T34="",V34="",X34="",Z34="",AC34="",AE34="",AG34=""),"",IF(BD34&lt;&gt;"",BD34,IF(BI34&gt;0,BI34,ROUND(IF(AK34&lt;=0,0,MIN(AT34,V34*AI34)),2)))),"")</f>
        <v/>
      </c>
      <c r="AO34" s="902"/>
      <c r="AP34" s="902"/>
      <c r="AQ34" s="902"/>
      <c r="AR34" s="37"/>
      <c r="AS34" s="235"/>
      <c r="AT34" s="852" t="str">
        <f t="shared" ref="AT34" si="23">IF(OR(C34="",G34="",M34="",O34="",R34="",T34="",V34="",X34="",Z34="",AC34="",AE34="",AG34=""),"",IF(AK34=0,"",ROUND(AE34+AG34,2)))</f>
        <v/>
      </c>
      <c r="AU34" s="854" t="str">
        <f>IFERROR(IF(OR(C34="",G34="",M34="",O34="",R34="",T34="",V34="",X34="",Z34="",AC34="",AE34="",AG34=""),"",INDEX(STDLIGHT[Current Unit],MATCH(G34,STDLIGHT[Measure Name],0))),"Err")</f>
        <v/>
      </c>
      <c r="AV34" s="850" t="str">
        <f>IF(OR(C34="",G34="",M34="",O34="",R34="",T34="",V34="",X34="",Z34="",AC34="",AE34="",AG34=""),"",IFERROR(IF(G34="","",IF(C34&lt;&gt;INDEX(STDLIGHT[Eff Category 1],MATCH(G34,STDLIGHT[Measure Name],0)),0,
IF(AX34&lt;=AY34,0,
ROUND(V34*INDEX(STDLIGHT[Electric Energy Savings (Annual kWh/unit)],MATCH('M03-S02'!G34,STDLIGHT[Measure Name],0)),4)))),""))</f>
        <v/>
      </c>
      <c r="AW34" s="850" t="str">
        <f>IF(OR(C34="",G34="",M34="",O34="",R34="",T34="",V34="",X34="",Z34="",AC34="",AE34="",AG34=""),"",IFERROR(IF(G34="","",IF(C34&lt;&gt;INDEX(STDLIGHT[Eff Category 1],MATCH(G34,STDLIGHT[Measure Name],0)),0,
IF(AX34&lt;=AY34,0,
ROUND(V34*INDEX(STDLIGHT[Coincident Peak Demand Savings (kW/unit)],MATCH('M03-S02'!G34,STDLIGHT[Measure Name],0)),4)))),""))</f>
        <v/>
      </c>
      <c r="AX34" s="848" t="str">
        <f>IF(OR(C34="",G34="",M34="",O34="",R34="",T34="",V34="",X34="",Z34="",AC34="",AE34="",AG34=""),"",
IF(OR(ISNUMBER(SEARCH("Exterior",C34)),ISNUMBER(SEARCH("Parking",C34))),ROUND(R34*V34*X34/1000,4),
ROUND(R34*V34*X34/1000*INDEX(BUILDINGTYPE[Waste Heat Factor (e)],MATCH(M02S04F19,BUILDINGTYPE[Building Type],0)),4)))</f>
        <v/>
      </c>
      <c r="AY34" s="848" t="str">
        <f>IF(OR(C34="",G34="",M34="",O34="",R34="",T34="",V34="",X34="",Z34="",AC34="",AE34="",AG34=""),"",
IF(OR(ISNUMBER(SEARCH("Exterior",C34)),ISNUMBER(SEARCH("Parking",C34))),ROUND(T34*V34*X34/1000,4),
ROUND(T34*V34*X34/1000*INDEX(BUILDINGTYPE[Waste Heat Factor (e)],MATCH(M02S04F19,BUILDINGTYPE[Building Type],0)),4)))</f>
        <v/>
      </c>
      <c r="AZ34" s="854" t="str">
        <f>IFERROR(IF(OR(C34="",G34="",M34="",O34="",R34="",T34="",V34="",X34="",Z34="",AC34="",AE34="",AG34=""),"",INDEX(STDLIGHT[End Use],MATCH(G34,STDLIGHT[Measure Name],0))),"Err")</f>
        <v/>
      </c>
      <c r="BA34" s="850" t="str">
        <f>IFERROR(IF(OR(C34="",G34="",M34="",O34="",R34="",T34="",V34="",X34="",Z34="",AC34="",AE34="",AG34=""),"",
IF(AX34&lt;=AY34,0,
IF(OR(ISNUMBER(SEARCH("Exterior",C34)),ISNUMBER(SEARCH("Parking",C34))),ROUND((R34-T34)*V34*X34/1000,4),
ROUND((R34-T34)*V34*X34/1000*INDEX(BUILDINGTYPE[Waste Heat Factor (e)],MATCH(M02S04F19,BUILDINGTYPE[Building Type],0)),4)))),"")</f>
        <v/>
      </c>
      <c r="BB34" s="846" t="str">
        <f>IFERROR(IF(OR(C34="",G34="",M34="",O34="",R34="",T34="",V34="",X34="",Z34="",AC34="",AE34="",AG34=""),"",
IF(AX34&lt;=AY34,0,
ROUND(BA34*INDEX(ENDUSEALL[Factor],MATCH(AZ34,ENDUSEALL[End Use to Coincident Peak Demand Factors],0)),4))),"")</f>
        <v/>
      </c>
      <c r="BC34" s="854" t="str">
        <f>IFERROR(IF(OR(C34="",G34="",M34="",O34="",R34="",T34="",V34="",X34="",Z34="",AC34="",AE34="",AG34="",ISNUMBER(AN34)=FALSE,AN34=0),"",INDEX(STDLIGHT[Measure Number],MATCH(G34,STDLIGHT[Measure Name],0))),"Err")</f>
        <v/>
      </c>
      <c r="BD34" s="854" t="str">
        <f>IFERROR(IF(OR(C34="",G34="",M34="",O34="",R34="",T34="",V34="",X34="",Z34="",AC34="",AE34="",AG34=""),"",
IF(BI34&gt;0,"",
IF(EXPIRATION&lt;&gt;"",PROJSTATEXP,
IF(M02S04F19="",MEASUREBLDG,
IF(AX34&lt;=AY34,MEASURESAVE,""))))),MEASURESUBMIT)</f>
        <v/>
      </c>
      <c r="BE34" s="928" t="str">
        <f>IFERROR(INDEX(STDLIGHT[Measure Life (Years)],MATCH(G34,STDLIGHT[Measure Name],0)),"")</f>
        <v/>
      </c>
      <c r="BF34" s="930" t="str">
        <f>IFERROR(IF(OR(C34="",G34="",M34="",O34="",R34="",T34="",V34="",X34="",Z34="",AC34="",AE34="",AG34=""),"",
ROUND(((1+ELOSS)*((BA34*INDEX(ELECCB[NPV AEC $/kWh],MATCH(BE34,ELECCB[Year Number],1)))+(BB34*INDEX(ELECCB[NPV ACC $/kW],MATCH(BE34,ELECCB[Year Number],1))))),2)),0)</f>
        <v/>
      </c>
      <c r="BG34" s="937"/>
      <c r="BH34" s="934" t="str">
        <f>IFERROR(IF(OR(C34="",G34="",M34="",O34="",R34="",T34="",V34="",X34="",Z34="",AC34="",AE34="",AG34=""),"",INDEX(STDLIGHT[Reporting Methodology],MATCH(G34,STDLIGHT[Measure Name],0))),"Err")</f>
        <v/>
      </c>
      <c r="BI34" s="939"/>
    </row>
    <row r="35" spans="2:61" ht="15.95" customHeight="1">
      <c r="B35" s="905"/>
      <c r="C35" s="827"/>
      <c r="D35" s="828"/>
      <c r="E35" s="828"/>
      <c r="F35" s="829"/>
      <c r="G35" s="838"/>
      <c r="H35" s="839"/>
      <c r="I35" s="839"/>
      <c r="J35" s="839"/>
      <c r="K35" s="839"/>
      <c r="L35" s="839"/>
      <c r="M35" s="827"/>
      <c r="N35" s="829"/>
      <c r="O35" s="827"/>
      <c r="P35" s="828"/>
      <c r="Q35" s="829"/>
      <c r="R35" s="885"/>
      <c r="S35" s="885"/>
      <c r="T35" s="886"/>
      <c r="U35" s="886"/>
      <c r="V35" s="888"/>
      <c r="W35" s="888"/>
      <c r="X35" s="866"/>
      <c r="Y35" s="866"/>
      <c r="Z35" s="833"/>
      <c r="AA35" s="834"/>
      <c r="AB35" s="835"/>
      <c r="AC35" s="904"/>
      <c r="AD35" s="827"/>
      <c r="AE35" s="867"/>
      <c r="AF35" s="868"/>
      <c r="AG35" s="868"/>
      <c r="AH35" s="869"/>
      <c r="AI35" s="898"/>
      <c r="AJ35" s="899"/>
      <c r="AK35" s="901"/>
      <c r="AL35" s="901"/>
      <c r="AM35" s="901"/>
      <c r="AN35" s="899"/>
      <c r="AO35" s="903"/>
      <c r="AP35" s="903"/>
      <c r="AQ35" s="903"/>
      <c r="AR35" s="37"/>
      <c r="AS35" s="235"/>
      <c r="AT35" s="853"/>
      <c r="AU35" s="855"/>
      <c r="AV35" s="851"/>
      <c r="AW35" s="851"/>
      <c r="AX35" s="849"/>
      <c r="AY35" s="849"/>
      <c r="AZ35" s="855"/>
      <c r="BA35" s="851"/>
      <c r="BB35" s="847"/>
      <c r="BC35" s="855"/>
      <c r="BD35" s="855"/>
      <c r="BE35" s="929"/>
      <c r="BF35" s="931"/>
      <c r="BG35" s="938"/>
      <c r="BH35" s="934"/>
      <c r="BI35" s="939"/>
    </row>
    <row r="36" spans="2:61" ht="15.95" customHeight="1">
      <c r="B36" s="905">
        <v>10</v>
      </c>
      <c r="C36" s="827"/>
      <c r="D36" s="828"/>
      <c r="E36" s="828"/>
      <c r="F36" s="829"/>
      <c r="G36" s="838"/>
      <c r="H36" s="839"/>
      <c r="I36" s="839"/>
      <c r="J36" s="839"/>
      <c r="K36" s="839"/>
      <c r="L36" s="839"/>
      <c r="M36" s="827"/>
      <c r="N36" s="829"/>
      <c r="O36" s="827"/>
      <c r="P36" s="828"/>
      <c r="Q36" s="829"/>
      <c r="R36" s="884"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884"/>
      <c r="T36" s="886" t="str">
        <f>IF(C36="Permanent Lamp Removal",0,"")</f>
        <v/>
      </c>
      <c r="U36" s="886"/>
      <c r="V36" s="888"/>
      <c r="W36" s="888"/>
      <c r="X36" s="865"/>
      <c r="Y36" s="865"/>
      <c r="Z36" s="830"/>
      <c r="AA36" s="831"/>
      <c r="AB36" s="832"/>
      <c r="AC36" s="904"/>
      <c r="AD36" s="827"/>
      <c r="AE36" s="867"/>
      <c r="AF36" s="868"/>
      <c r="AG36" s="868"/>
      <c r="AH36" s="869"/>
      <c r="AI36" s="896" t="str">
        <f>IFERROR(IF(G36="","",IF(C36&lt;&gt;INDEX(STDLIGHT[Eff Category 1],MATCH(G36,STDLIGHT[Measure Name],0)),0,INDEX(STDLIGHT[Current Incentive],MATCH('M03-S02'!G36,STDLIGHT[Measure Name],0)))),"")</f>
        <v/>
      </c>
      <c r="AJ36" s="897"/>
      <c r="AK36" s="900" t="str">
        <f t="shared" ref="AK36" si="24">IFERROR(IF(OR(C36="",G36="",M36="",O36="",R36="",T36="",V36="",X36="",Z36="",AC36="",AE36="",AG36=""),"",IF(BH36="Deemed",AV36,IF(BH36="Calculated",BA36,""))),"")</f>
        <v/>
      </c>
      <c r="AL36" s="900"/>
      <c r="AM36" s="900"/>
      <c r="AN36" s="897" t="str">
        <f t="shared" ref="AN36" si="25">IFERROR(IF(OR(C36="",G36="",M36="",O36="",R36="",T36="",V36="",X36="",Z36="",AC36="",AE36="",AG36=""),"",IF(BD36&lt;&gt;"",BD36,IF(BI36&gt;0,BI36,ROUND(IF(AK36&lt;=0,0,MIN(AT36,V36*AI36)),2)))),"")</f>
        <v/>
      </c>
      <c r="AO36" s="902"/>
      <c r="AP36" s="902"/>
      <c r="AQ36" s="902"/>
      <c r="AR36" s="37"/>
      <c r="AS36" s="235"/>
      <c r="AT36" s="852" t="str">
        <f t="shared" ref="AT36" si="26">IF(OR(C36="",G36="",M36="",O36="",R36="",T36="",V36="",X36="",Z36="",AC36="",AE36="",AG36=""),"",IF(AK36=0,"",ROUND(AE36+AG36,2)))</f>
        <v/>
      </c>
      <c r="AU36" s="854" t="str">
        <f>IFERROR(IF(OR(C36="",G36="",M36="",O36="",R36="",T36="",V36="",X36="",Z36="",AC36="",AE36="",AG36=""),"",INDEX(STDLIGHT[Current Unit],MATCH(G36,STDLIGHT[Measure Name],0))),"Err")</f>
        <v/>
      </c>
      <c r="AV36" s="850" t="str">
        <f>IF(OR(C36="",G36="",M36="",O36="",R36="",T36="",V36="",X36="",Z36="",AC36="",AE36="",AG36=""),"",IFERROR(IF(G36="","",IF(C36&lt;&gt;INDEX(STDLIGHT[Eff Category 1],MATCH(G36,STDLIGHT[Measure Name],0)),0,
IF(AX36&lt;=AY36,0,
ROUND(V36*INDEX(STDLIGHT[Electric Energy Savings (Annual kWh/unit)],MATCH('M03-S02'!G36,STDLIGHT[Measure Name],0)),4)))),""))</f>
        <v/>
      </c>
      <c r="AW36" s="850" t="str">
        <f>IF(OR(C36="",G36="",M36="",O36="",R36="",T36="",V36="",X36="",Z36="",AC36="",AE36="",AG36=""),"",IFERROR(IF(G36="","",IF(C36&lt;&gt;INDEX(STDLIGHT[Eff Category 1],MATCH(G36,STDLIGHT[Measure Name],0)),0,
IF(AX36&lt;=AY36,0,
ROUND(V36*INDEX(STDLIGHT[Coincident Peak Demand Savings (kW/unit)],MATCH('M03-S02'!G36,STDLIGHT[Measure Name],0)),4)))),""))</f>
        <v/>
      </c>
      <c r="AX36" s="848" t="str">
        <f>IF(OR(C36="",G36="",M36="",O36="",R36="",T36="",V36="",X36="",Z36="",AC36="",AE36="",AG36=""),"",
IF(OR(ISNUMBER(SEARCH("Exterior",C36)),ISNUMBER(SEARCH("Parking",C36))),ROUND(R36*V36*X36/1000,4),
ROUND(R36*V36*X36/1000*INDEX(BUILDINGTYPE[Waste Heat Factor (e)],MATCH(M02S04F19,BUILDINGTYPE[Building Type],0)),4)))</f>
        <v/>
      </c>
      <c r="AY36" s="848" t="str">
        <f>IF(OR(C36="",G36="",M36="",O36="",R36="",T36="",V36="",X36="",Z36="",AC36="",AE36="",AG36=""),"",
IF(OR(ISNUMBER(SEARCH("Exterior",C36)),ISNUMBER(SEARCH("Parking",C36))),ROUND(T36*V36*X36/1000,4),
ROUND(T36*V36*X36/1000*INDEX(BUILDINGTYPE[Waste Heat Factor (e)],MATCH(M02S04F19,BUILDINGTYPE[Building Type],0)),4)))</f>
        <v/>
      </c>
      <c r="AZ36" s="854" t="str">
        <f>IFERROR(IF(OR(C36="",G36="",M36="",O36="",R36="",T36="",V36="",X36="",Z36="",AC36="",AE36="",AG36=""),"",INDEX(STDLIGHT[End Use],MATCH(G36,STDLIGHT[Measure Name],0))),"Err")</f>
        <v/>
      </c>
      <c r="BA36" s="850" t="str">
        <f>IFERROR(IF(OR(C36="",G36="",M36="",O36="",R36="",T36="",V36="",X36="",Z36="",AC36="",AE36="",AG36=""),"",
IF(AX36&lt;=AY36,0,
IF(OR(ISNUMBER(SEARCH("Exterior",C36)),ISNUMBER(SEARCH("Parking",C36))),ROUND((R36-T36)*V36*X36/1000,4),
ROUND((R36-T36)*V36*X36/1000*INDEX(BUILDINGTYPE[Waste Heat Factor (e)],MATCH(M02S04F19,BUILDINGTYPE[Building Type],0)),4)))),"")</f>
        <v/>
      </c>
      <c r="BB36" s="846" t="str">
        <f>IFERROR(IF(OR(C36="",G36="",M36="",O36="",R36="",T36="",V36="",X36="",Z36="",AC36="",AE36="",AG36=""),"",
IF(AX36&lt;=AY36,0,
ROUND(BA36*INDEX(ENDUSEALL[Factor],MATCH(AZ36,ENDUSEALL[End Use to Coincident Peak Demand Factors],0)),4))),"")</f>
        <v/>
      </c>
      <c r="BC36" s="854" t="str">
        <f>IFERROR(IF(OR(C36="",G36="",M36="",O36="",R36="",T36="",V36="",X36="",Z36="",AC36="",AE36="",AG36="",ISNUMBER(AN36)=FALSE,AN36=0),"",INDEX(STDLIGHT[Measure Number],MATCH(G36,STDLIGHT[Measure Name],0))),"Err")</f>
        <v/>
      </c>
      <c r="BD36" s="854" t="str">
        <f>IFERROR(IF(OR(C36="",G36="",M36="",O36="",R36="",T36="",V36="",X36="",Z36="",AC36="",AE36="",AG36=""),"",
IF(BI36&gt;0,"",
IF(EXPIRATION&lt;&gt;"",PROJSTATEXP,
IF(M02S04F19="",MEASUREBLDG,
IF(AX36&lt;=AY36,MEASURESAVE,""))))),MEASURESUBMIT)</f>
        <v/>
      </c>
      <c r="BE36" s="928" t="str">
        <f>IFERROR(INDEX(STDLIGHT[Measure Life (Years)],MATCH(G36,STDLIGHT[Measure Name],0)),"")</f>
        <v/>
      </c>
      <c r="BF36" s="930" t="str">
        <f>IFERROR(IF(OR(C36="",G36="",M36="",O36="",R36="",T36="",V36="",X36="",Z36="",AC36="",AE36="",AG36=""),"",
ROUND(((1+ELOSS)*((BA36*INDEX(ELECCB[NPV AEC $/kWh],MATCH(BE36,ELECCB[Year Number],1)))+(BB36*INDEX(ELECCB[NPV ACC $/kW],MATCH(BE36,ELECCB[Year Number],1))))),2)),0)</f>
        <v/>
      </c>
      <c r="BG36" s="937"/>
      <c r="BH36" s="934" t="str">
        <f>IFERROR(IF(OR(C36="",G36="",M36="",O36="",R36="",T36="",V36="",X36="",Z36="",AC36="",AE36="",AG36=""),"",INDEX(STDLIGHT[Reporting Methodology],MATCH(G36,STDLIGHT[Measure Name],0))),"Err")</f>
        <v/>
      </c>
      <c r="BI36" s="939"/>
    </row>
    <row r="37" spans="2:61" ht="15.95" customHeight="1">
      <c r="B37" s="905"/>
      <c r="C37" s="827"/>
      <c r="D37" s="828"/>
      <c r="E37" s="828"/>
      <c r="F37" s="829"/>
      <c r="G37" s="838"/>
      <c r="H37" s="839"/>
      <c r="I37" s="839"/>
      <c r="J37" s="839"/>
      <c r="K37" s="839"/>
      <c r="L37" s="839"/>
      <c r="M37" s="827"/>
      <c r="N37" s="829"/>
      <c r="O37" s="827"/>
      <c r="P37" s="828"/>
      <c r="Q37" s="829"/>
      <c r="R37" s="885"/>
      <c r="S37" s="885"/>
      <c r="T37" s="886"/>
      <c r="U37" s="886"/>
      <c r="V37" s="888"/>
      <c r="W37" s="888"/>
      <c r="X37" s="866"/>
      <c r="Y37" s="866"/>
      <c r="Z37" s="833"/>
      <c r="AA37" s="834"/>
      <c r="AB37" s="835"/>
      <c r="AC37" s="904"/>
      <c r="AD37" s="827"/>
      <c r="AE37" s="867"/>
      <c r="AF37" s="868"/>
      <c r="AG37" s="868"/>
      <c r="AH37" s="869"/>
      <c r="AI37" s="898"/>
      <c r="AJ37" s="899"/>
      <c r="AK37" s="901"/>
      <c r="AL37" s="901"/>
      <c r="AM37" s="901"/>
      <c r="AN37" s="899"/>
      <c r="AO37" s="903"/>
      <c r="AP37" s="903"/>
      <c r="AQ37" s="903"/>
      <c r="AR37" s="37"/>
      <c r="AS37" s="235"/>
      <c r="AT37" s="853"/>
      <c r="AU37" s="855"/>
      <c r="AV37" s="851"/>
      <c r="AW37" s="851"/>
      <c r="AX37" s="849"/>
      <c r="AY37" s="849"/>
      <c r="AZ37" s="855"/>
      <c r="BA37" s="851"/>
      <c r="BB37" s="847"/>
      <c r="BC37" s="855"/>
      <c r="BD37" s="855"/>
      <c r="BE37" s="929"/>
      <c r="BF37" s="931"/>
      <c r="BG37" s="938"/>
      <c r="BH37" s="934"/>
      <c r="BI37" s="939"/>
    </row>
    <row r="38" spans="2:61" ht="15.95" customHeight="1">
      <c r="B38" s="905">
        <v>11</v>
      </c>
      <c r="C38" s="827"/>
      <c r="D38" s="828"/>
      <c r="E38" s="828"/>
      <c r="F38" s="829"/>
      <c r="G38" s="838"/>
      <c r="H38" s="839"/>
      <c r="I38" s="839"/>
      <c r="J38" s="839"/>
      <c r="K38" s="839"/>
      <c r="L38" s="839"/>
      <c r="M38" s="827"/>
      <c r="N38" s="829"/>
      <c r="O38" s="827"/>
      <c r="P38" s="828"/>
      <c r="Q38" s="829"/>
      <c r="R38" s="884"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884"/>
      <c r="T38" s="886" t="str">
        <f>IF(C38="Permanent Lamp Removal",0,"")</f>
        <v/>
      </c>
      <c r="U38" s="886"/>
      <c r="V38" s="888"/>
      <c r="W38" s="888"/>
      <c r="X38" s="865"/>
      <c r="Y38" s="865"/>
      <c r="Z38" s="830"/>
      <c r="AA38" s="831"/>
      <c r="AB38" s="832"/>
      <c r="AC38" s="904"/>
      <c r="AD38" s="827"/>
      <c r="AE38" s="867"/>
      <c r="AF38" s="868"/>
      <c r="AG38" s="868"/>
      <c r="AH38" s="869"/>
      <c r="AI38" s="896" t="str">
        <f>IFERROR(IF(G38="","",IF(C38&lt;&gt;INDEX(STDLIGHT[Eff Category 1],MATCH(G38,STDLIGHT[Measure Name],0)),0,INDEX(STDLIGHT[Current Incentive],MATCH('M03-S02'!G38,STDLIGHT[Measure Name],0)))),"")</f>
        <v/>
      </c>
      <c r="AJ38" s="897"/>
      <c r="AK38" s="900" t="str">
        <f t="shared" ref="AK38" si="27">IFERROR(IF(OR(C38="",G38="",M38="",O38="",R38="",T38="",V38="",X38="",Z38="",AC38="",AE38="",AG38=""),"",IF(BH38="Deemed",AV38,IF(BH38="Calculated",BA38,""))),"")</f>
        <v/>
      </c>
      <c r="AL38" s="900"/>
      <c r="AM38" s="900"/>
      <c r="AN38" s="897" t="str">
        <f t="shared" ref="AN38" si="28">IFERROR(IF(OR(C38="",G38="",M38="",O38="",R38="",T38="",V38="",X38="",Z38="",AC38="",AE38="",AG38=""),"",IF(BD38&lt;&gt;"",BD38,IF(BI38&gt;0,BI38,ROUND(IF(AK38&lt;=0,0,MIN(AT38,V38*AI38)),2)))),"")</f>
        <v/>
      </c>
      <c r="AO38" s="902"/>
      <c r="AP38" s="902"/>
      <c r="AQ38" s="902"/>
      <c r="AR38" s="37"/>
      <c r="AS38" s="235"/>
      <c r="AT38" s="852" t="str">
        <f t="shared" ref="AT38" si="29">IF(OR(C38="",G38="",M38="",O38="",R38="",T38="",V38="",X38="",Z38="",AC38="",AE38="",AG38=""),"",IF(AK38=0,"",ROUND(AE38+AG38,2)))</f>
        <v/>
      </c>
      <c r="AU38" s="854" t="str">
        <f>IFERROR(IF(OR(C38="",G38="",M38="",O38="",R38="",T38="",V38="",X38="",Z38="",AC38="",AE38="",AG38=""),"",INDEX(STDLIGHT[Current Unit],MATCH(G38,STDLIGHT[Measure Name],0))),"Err")</f>
        <v/>
      </c>
      <c r="AV38" s="850" t="str">
        <f>IF(OR(C38="",G38="",M38="",O38="",R38="",T38="",V38="",X38="",Z38="",AC38="",AE38="",AG38=""),"",IFERROR(IF(G38="","",IF(C38&lt;&gt;INDEX(STDLIGHT[Eff Category 1],MATCH(G38,STDLIGHT[Measure Name],0)),0,
IF(AX38&lt;=AY38,0,
ROUND(V38*INDEX(STDLIGHT[Electric Energy Savings (Annual kWh/unit)],MATCH('M03-S02'!G38,STDLIGHT[Measure Name],0)),4)))),""))</f>
        <v/>
      </c>
      <c r="AW38" s="850" t="str">
        <f>IF(OR(C38="",G38="",M38="",O38="",R38="",T38="",V38="",X38="",Z38="",AC38="",AE38="",AG38=""),"",IFERROR(IF(G38="","",IF(C38&lt;&gt;INDEX(STDLIGHT[Eff Category 1],MATCH(G38,STDLIGHT[Measure Name],0)),0,
IF(AX38&lt;=AY38,0,
ROUND(V38*INDEX(STDLIGHT[Coincident Peak Demand Savings (kW/unit)],MATCH('M03-S02'!G38,STDLIGHT[Measure Name],0)),4)))),""))</f>
        <v/>
      </c>
      <c r="AX38" s="848" t="str">
        <f>IF(OR(C38="",G38="",M38="",O38="",R38="",T38="",V38="",X38="",Z38="",AC38="",AE38="",AG38=""),"",
IF(OR(ISNUMBER(SEARCH("Exterior",C38)),ISNUMBER(SEARCH("Parking",C38))),ROUND(R38*V38*X38/1000,4),
ROUND(R38*V38*X38/1000*INDEX(BUILDINGTYPE[Waste Heat Factor (e)],MATCH(M02S04F19,BUILDINGTYPE[Building Type],0)),4)))</f>
        <v/>
      </c>
      <c r="AY38" s="848" t="str">
        <f>IF(OR(C38="",G38="",M38="",O38="",R38="",T38="",V38="",X38="",Z38="",AC38="",AE38="",AG38=""),"",
IF(OR(ISNUMBER(SEARCH("Exterior",C38)),ISNUMBER(SEARCH("Parking",C38))),ROUND(T38*V38*X38/1000,4),
ROUND(T38*V38*X38/1000*INDEX(BUILDINGTYPE[Waste Heat Factor (e)],MATCH(M02S04F19,BUILDINGTYPE[Building Type],0)),4)))</f>
        <v/>
      </c>
      <c r="AZ38" s="854" t="str">
        <f>IFERROR(IF(OR(C38="",G38="",M38="",O38="",R38="",T38="",V38="",X38="",Z38="",AC38="",AE38="",AG38=""),"",INDEX(STDLIGHT[End Use],MATCH(G38,STDLIGHT[Measure Name],0))),"Err")</f>
        <v/>
      </c>
      <c r="BA38" s="850" t="str">
        <f>IFERROR(IF(OR(C38="",G38="",M38="",O38="",R38="",T38="",V38="",X38="",Z38="",AC38="",AE38="",AG38=""),"",
IF(AX38&lt;=AY38,0,
IF(OR(ISNUMBER(SEARCH("Exterior",C38)),ISNUMBER(SEARCH("Parking",C38))),ROUND((R38-T38)*V38*X38/1000,4),
ROUND((R38-T38)*V38*X38/1000*INDEX(BUILDINGTYPE[Waste Heat Factor (e)],MATCH(M02S04F19,BUILDINGTYPE[Building Type],0)),4)))),"")</f>
        <v/>
      </c>
      <c r="BB38" s="846" t="str">
        <f>IFERROR(IF(OR(C38="",G38="",M38="",O38="",R38="",T38="",V38="",X38="",Z38="",AC38="",AE38="",AG38=""),"",
IF(AX38&lt;=AY38,0,
ROUND(BA38*INDEX(ENDUSEALL[Factor],MATCH(AZ38,ENDUSEALL[End Use to Coincident Peak Demand Factors],0)),4))),"")</f>
        <v/>
      </c>
      <c r="BC38" s="854" t="str">
        <f>IFERROR(IF(OR(C38="",G38="",M38="",O38="",R38="",T38="",V38="",X38="",Z38="",AC38="",AE38="",AG38="",ISNUMBER(AN38)=FALSE,AN38=0),"",INDEX(STDLIGHT[Measure Number],MATCH(G38,STDLIGHT[Measure Name],0))),"Err")</f>
        <v/>
      </c>
      <c r="BD38" s="854" t="str">
        <f>IFERROR(IF(OR(C38="",G38="",M38="",O38="",R38="",T38="",V38="",X38="",Z38="",AC38="",AE38="",AG38=""),"",
IF(BI38&gt;0,"",
IF(EXPIRATION&lt;&gt;"",PROJSTATEXP,
IF(M02S04F19="",MEASUREBLDG,
IF(AX38&lt;=AY38,MEASURESAVE,""))))),MEASURESUBMIT)</f>
        <v/>
      </c>
      <c r="BE38" s="928" t="str">
        <f>IFERROR(INDEX(STDLIGHT[Measure Life (Years)],MATCH(G38,STDLIGHT[Measure Name],0)),"")</f>
        <v/>
      </c>
      <c r="BF38" s="930" t="str">
        <f>IFERROR(IF(OR(C38="",G38="",M38="",O38="",R38="",T38="",V38="",X38="",Z38="",AC38="",AE38="",AG38=""),"",
ROUND(((1+ELOSS)*((BA38*INDEX(ELECCB[NPV AEC $/kWh],MATCH(BE38,ELECCB[Year Number],1)))+(BB38*INDEX(ELECCB[NPV ACC $/kW],MATCH(BE38,ELECCB[Year Number],1))))),2)),0)</f>
        <v/>
      </c>
      <c r="BG38" s="937"/>
      <c r="BH38" s="934" t="str">
        <f>IFERROR(IF(OR(C38="",G38="",M38="",O38="",R38="",T38="",V38="",X38="",Z38="",AC38="",AE38="",AG38=""),"",INDEX(STDLIGHT[Reporting Methodology],MATCH(G38,STDLIGHT[Measure Name],0))),"Err")</f>
        <v/>
      </c>
      <c r="BI38" s="939"/>
    </row>
    <row r="39" spans="2:61" ht="15.95" customHeight="1">
      <c r="B39" s="905"/>
      <c r="C39" s="827"/>
      <c r="D39" s="828"/>
      <c r="E39" s="828"/>
      <c r="F39" s="829"/>
      <c r="G39" s="838"/>
      <c r="H39" s="839"/>
      <c r="I39" s="839"/>
      <c r="J39" s="839"/>
      <c r="K39" s="839"/>
      <c r="L39" s="839"/>
      <c r="M39" s="827"/>
      <c r="N39" s="829"/>
      <c r="O39" s="827"/>
      <c r="P39" s="828"/>
      <c r="Q39" s="829"/>
      <c r="R39" s="885"/>
      <c r="S39" s="885"/>
      <c r="T39" s="886"/>
      <c r="U39" s="886"/>
      <c r="V39" s="888"/>
      <c r="W39" s="888"/>
      <c r="X39" s="866"/>
      <c r="Y39" s="866"/>
      <c r="Z39" s="833"/>
      <c r="AA39" s="834"/>
      <c r="AB39" s="835"/>
      <c r="AC39" s="904"/>
      <c r="AD39" s="827"/>
      <c r="AE39" s="867"/>
      <c r="AF39" s="868"/>
      <c r="AG39" s="868"/>
      <c r="AH39" s="869"/>
      <c r="AI39" s="898"/>
      <c r="AJ39" s="899"/>
      <c r="AK39" s="901"/>
      <c r="AL39" s="901"/>
      <c r="AM39" s="901"/>
      <c r="AN39" s="899"/>
      <c r="AO39" s="903"/>
      <c r="AP39" s="903"/>
      <c r="AQ39" s="903"/>
      <c r="AR39" s="37"/>
      <c r="AS39" s="235"/>
      <c r="AT39" s="853"/>
      <c r="AU39" s="855"/>
      <c r="AV39" s="851"/>
      <c r="AW39" s="851"/>
      <c r="AX39" s="849"/>
      <c r="AY39" s="849"/>
      <c r="AZ39" s="855"/>
      <c r="BA39" s="851"/>
      <c r="BB39" s="847"/>
      <c r="BC39" s="855"/>
      <c r="BD39" s="855"/>
      <c r="BE39" s="929"/>
      <c r="BF39" s="931"/>
      <c r="BG39" s="938"/>
      <c r="BH39" s="934"/>
      <c r="BI39" s="939"/>
    </row>
    <row r="40" spans="2:61" ht="15.95" customHeight="1">
      <c r="B40" s="905">
        <v>12</v>
      </c>
      <c r="C40" s="827"/>
      <c r="D40" s="828"/>
      <c r="E40" s="828"/>
      <c r="F40" s="829"/>
      <c r="G40" s="838"/>
      <c r="H40" s="839"/>
      <c r="I40" s="839"/>
      <c r="J40" s="839"/>
      <c r="K40" s="839"/>
      <c r="L40" s="839"/>
      <c r="M40" s="827"/>
      <c r="N40" s="829"/>
      <c r="O40" s="827"/>
      <c r="P40" s="828"/>
      <c r="Q40" s="829"/>
      <c r="R40" s="884"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884"/>
      <c r="T40" s="886" t="str">
        <f>IF(C40="Permanent Lamp Removal",0,"")</f>
        <v/>
      </c>
      <c r="U40" s="886"/>
      <c r="V40" s="888"/>
      <c r="W40" s="888"/>
      <c r="X40" s="865"/>
      <c r="Y40" s="865"/>
      <c r="Z40" s="830"/>
      <c r="AA40" s="831"/>
      <c r="AB40" s="832"/>
      <c r="AC40" s="904"/>
      <c r="AD40" s="827"/>
      <c r="AE40" s="867"/>
      <c r="AF40" s="868"/>
      <c r="AG40" s="868"/>
      <c r="AH40" s="869"/>
      <c r="AI40" s="896" t="str">
        <f>IFERROR(IF(G40="","",IF(C40&lt;&gt;INDEX(STDLIGHT[Eff Category 1],MATCH(G40,STDLIGHT[Measure Name],0)),0,INDEX(STDLIGHT[Current Incentive],MATCH('M03-S02'!G40,STDLIGHT[Measure Name],0)))),"")</f>
        <v/>
      </c>
      <c r="AJ40" s="897"/>
      <c r="AK40" s="900" t="str">
        <f t="shared" ref="AK40" si="30">IFERROR(IF(OR(C40="",G40="",M40="",O40="",R40="",T40="",V40="",X40="",Z40="",AC40="",AE40="",AG40=""),"",IF(BH40="Deemed",AV40,IF(BH40="Calculated",BA40,""))),"")</f>
        <v/>
      </c>
      <c r="AL40" s="900"/>
      <c r="AM40" s="900"/>
      <c r="AN40" s="897" t="str">
        <f t="shared" ref="AN40" si="31">IFERROR(IF(OR(C40="",G40="",M40="",O40="",R40="",T40="",V40="",X40="",Z40="",AC40="",AE40="",AG40=""),"",IF(BD40&lt;&gt;"",BD40,IF(BI40&gt;0,BI40,ROUND(IF(AK40&lt;=0,0,MIN(AT40,V40*AI40)),2)))),"")</f>
        <v/>
      </c>
      <c r="AO40" s="902"/>
      <c r="AP40" s="902"/>
      <c r="AQ40" s="902"/>
      <c r="AR40" s="37"/>
      <c r="AS40" s="235"/>
      <c r="AT40" s="852" t="str">
        <f t="shared" ref="AT40" si="32">IF(OR(C40="",G40="",M40="",O40="",R40="",T40="",V40="",X40="",Z40="",AC40="",AE40="",AG40=""),"",IF(AK40=0,"",ROUND(AE40+AG40,2)))</f>
        <v/>
      </c>
      <c r="AU40" s="854" t="str">
        <f>IFERROR(IF(OR(C40="",G40="",M40="",O40="",R40="",T40="",V40="",X40="",Z40="",AC40="",AE40="",AG40=""),"",INDEX(STDLIGHT[Current Unit],MATCH(G40,STDLIGHT[Measure Name],0))),"Err")</f>
        <v/>
      </c>
      <c r="AV40" s="850" t="str">
        <f>IF(OR(C40="",G40="",M40="",O40="",R40="",T40="",V40="",X40="",Z40="",AC40="",AE40="",AG40=""),"",IFERROR(IF(G40="","",IF(C40&lt;&gt;INDEX(STDLIGHT[Eff Category 1],MATCH(G40,STDLIGHT[Measure Name],0)),0,
IF(AX40&lt;=AY40,0,
ROUND(V40*INDEX(STDLIGHT[Electric Energy Savings (Annual kWh/unit)],MATCH('M03-S02'!G40,STDLIGHT[Measure Name],0)),4)))),""))</f>
        <v/>
      </c>
      <c r="AW40" s="850" t="str">
        <f>IF(OR(C40="",G40="",M40="",O40="",R40="",T40="",V40="",X40="",Z40="",AC40="",AE40="",AG40=""),"",IFERROR(IF(G40="","",IF(C40&lt;&gt;INDEX(STDLIGHT[Eff Category 1],MATCH(G40,STDLIGHT[Measure Name],0)),0,
IF(AX40&lt;=AY40,0,
ROUND(V40*INDEX(STDLIGHT[Coincident Peak Demand Savings (kW/unit)],MATCH('M03-S02'!G40,STDLIGHT[Measure Name],0)),4)))),""))</f>
        <v/>
      </c>
      <c r="AX40" s="848" t="str">
        <f>IF(OR(C40="",G40="",M40="",O40="",R40="",T40="",V40="",X40="",Z40="",AC40="",AE40="",AG40=""),"",
IF(OR(ISNUMBER(SEARCH("Exterior",C40)),ISNUMBER(SEARCH("Parking",C40))),ROUND(R40*V40*X40/1000,4),
ROUND(R40*V40*X40/1000*INDEX(BUILDINGTYPE[Waste Heat Factor (e)],MATCH(M02S04F19,BUILDINGTYPE[Building Type],0)),4)))</f>
        <v/>
      </c>
      <c r="AY40" s="848" t="str">
        <f>IF(OR(C40="",G40="",M40="",O40="",R40="",T40="",V40="",X40="",Z40="",AC40="",AE40="",AG40=""),"",
IF(OR(ISNUMBER(SEARCH("Exterior",C40)),ISNUMBER(SEARCH("Parking",C40))),ROUND(T40*V40*X40/1000,4),
ROUND(T40*V40*X40/1000*INDEX(BUILDINGTYPE[Waste Heat Factor (e)],MATCH(M02S04F19,BUILDINGTYPE[Building Type],0)),4)))</f>
        <v/>
      </c>
      <c r="AZ40" s="854" t="str">
        <f>IFERROR(IF(OR(C40="",G40="",M40="",O40="",R40="",T40="",V40="",X40="",Z40="",AC40="",AE40="",AG40=""),"",INDEX(STDLIGHT[End Use],MATCH(G40,STDLIGHT[Measure Name],0))),"Err")</f>
        <v/>
      </c>
      <c r="BA40" s="850" t="str">
        <f>IFERROR(IF(OR(C40="",G40="",M40="",O40="",R40="",T40="",V40="",X40="",Z40="",AC40="",AE40="",AG40=""),"",
IF(AX40&lt;=AY40,0,
IF(OR(ISNUMBER(SEARCH("Exterior",C40)),ISNUMBER(SEARCH("Parking",C40))),ROUND((R40-T40)*V40*X40/1000,4),
ROUND((R40-T40)*V40*X40/1000*INDEX(BUILDINGTYPE[Waste Heat Factor (e)],MATCH(M02S04F19,BUILDINGTYPE[Building Type],0)),4)))),"")</f>
        <v/>
      </c>
      <c r="BB40" s="846" t="str">
        <f>IFERROR(IF(OR(C40="",G40="",M40="",O40="",R40="",T40="",V40="",X40="",Z40="",AC40="",AE40="",AG40=""),"",
IF(AX40&lt;=AY40,0,
ROUND(BA40*INDEX(ENDUSEALL[Factor],MATCH(AZ40,ENDUSEALL[End Use to Coincident Peak Demand Factors],0)),4))),"")</f>
        <v/>
      </c>
      <c r="BC40" s="854" t="str">
        <f>IFERROR(IF(OR(C40="",G40="",M40="",O40="",R40="",T40="",V40="",X40="",Z40="",AC40="",AE40="",AG40="",ISNUMBER(AN40)=FALSE,AN40=0),"",INDEX(STDLIGHT[Measure Number],MATCH(G40,STDLIGHT[Measure Name],0))),"Err")</f>
        <v/>
      </c>
      <c r="BD40" s="854" t="str">
        <f>IFERROR(IF(OR(C40="",G40="",M40="",O40="",R40="",T40="",V40="",X40="",Z40="",AC40="",AE40="",AG40=""),"",
IF(BI40&gt;0,"",
IF(EXPIRATION&lt;&gt;"",PROJSTATEXP,
IF(M02S04F19="",MEASUREBLDG,
IF(AX40&lt;=AY40,MEASURESAVE,""))))),MEASURESUBMIT)</f>
        <v/>
      </c>
      <c r="BE40" s="928" t="str">
        <f>IFERROR(INDEX(STDLIGHT[Measure Life (Years)],MATCH(G40,STDLIGHT[Measure Name],0)),"")</f>
        <v/>
      </c>
      <c r="BF40" s="930" t="str">
        <f>IFERROR(IF(OR(C40="",G40="",M40="",O40="",R40="",T40="",V40="",X40="",Z40="",AC40="",AE40="",AG40=""),"",
ROUND(((1+ELOSS)*((BA40*INDEX(ELECCB[NPV AEC $/kWh],MATCH(BE40,ELECCB[Year Number],1)))+(BB40*INDEX(ELECCB[NPV ACC $/kW],MATCH(BE40,ELECCB[Year Number],1))))),2)),0)</f>
        <v/>
      </c>
      <c r="BG40" s="937"/>
      <c r="BH40" s="934" t="str">
        <f>IFERROR(IF(OR(C40="",G40="",M40="",O40="",R40="",T40="",V40="",X40="",Z40="",AC40="",AE40="",AG40=""),"",INDEX(STDLIGHT[Reporting Methodology],MATCH(G40,STDLIGHT[Measure Name],0))),"Err")</f>
        <v/>
      </c>
      <c r="BI40" s="939"/>
    </row>
    <row r="41" spans="2:61" ht="15.95" customHeight="1">
      <c r="B41" s="905"/>
      <c r="C41" s="827"/>
      <c r="D41" s="828"/>
      <c r="E41" s="828"/>
      <c r="F41" s="829"/>
      <c r="G41" s="838"/>
      <c r="H41" s="839"/>
      <c r="I41" s="839"/>
      <c r="J41" s="839"/>
      <c r="K41" s="839"/>
      <c r="L41" s="839"/>
      <c r="M41" s="827"/>
      <c r="N41" s="829"/>
      <c r="O41" s="827"/>
      <c r="P41" s="828"/>
      <c r="Q41" s="829"/>
      <c r="R41" s="885"/>
      <c r="S41" s="885"/>
      <c r="T41" s="886"/>
      <c r="U41" s="886"/>
      <c r="V41" s="888"/>
      <c r="W41" s="888"/>
      <c r="X41" s="866"/>
      <c r="Y41" s="866"/>
      <c r="Z41" s="833"/>
      <c r="AA41" s="834"/>
      <c r="AB41" s="835"/>
      <c r="AC41" s="904"/>
      <c r="AD41" s="827"/>
      <c r="AE41" s="867"/>
      <c r="AF41" s="868"/>
      <c r="AG41" s="868"/>
      <c r="AH41" s="869"/>
      <c r="AI41" s="898"/>
      <c r="AJ41" s="899"/>
      <c r="AK41" s="901"/>
      <c r="AL41" s="901"/>
      <c r="AM41" s="901"/>
      <c r="AN41" s="899"/>
      <c r="AO41" s="903"/>
      <c r="AP41" s="903"/>
      <c r="AQ41" s="903"/>
      <c r="AR41" s="37"/>
      <c r="AS41" s="235"/>
      <c r="AT41" s="853"/>
      <c r="AU41" s="855"/>
      <c r="AV41" s="851"/>
      <c r="AW41" s="851"/>
      <c r="AX41" s="849"/>
      <c r="AY41" s="849"/>
      <c r="AZ41" s="855"/>
      <c r="BA41" s="851"/>
      <c r="BB41" s="847"/>
      <c r="BC41" s="855"/>
      <c r="BD41" s="855"/>
      <c r="BE41" s="929"/>
      <c r="BF41" s="931"/>
      <c r="BG41" s="938"/>
      <c r="BH41" s="934"/>
      <c r="BI41" s="939"/>
    </row>
    <row r="42" spans="2:61" ht="15.95" customHeight="1">
      <c r="B42" s="905">
        <v>13</v>
      </c>
      <c r="C42" s="827"/>
      <c r="D42" s="828"/>
      <c r="E42" s="828"/>
      <c r="F42" s="829"/>
      <c r="G42" s="838"/>
      <c r="H42" s="839"/>
      <c r="I42" s="839"/>
      <c r="J42" s="839"/>
      <c r="K42" s="839"/>
      <c r="L42" s="839"/>
      <c r="M42" s="827"/>
      <c r="N42" s="829"/>
      <c r="O42" s="827"/>
      <c r="P42" s="828"/>
      <c r="Q42" s="829"/>
      <c r="R42" s="884"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884"/>
      <c r="T42" s="886" t="str">
        <f>IF(C42="Permanent Lamp Removal",0,"")</f>
        <v/>
      </c>
      <c r="U42" s="886"/>
      <c r="V42" s="888"/>
      <c r="W42" s="888"/>
      <c r="X42" s="865"/>
      <c r="Y42" s="865"/>
      <c r="Z42" s="830"/>
      <c r="AA42" s="831"/>
      <c r="AB42" s="832"/>
      <c r="AC42" s="904"/>
      <c r="AD42" s="827"/>
      <c r="AE42" s="867"/>
      <c r="AF42" s="868"/>
      <c r="AG42" s="868"/>
      <c r="AH42" s="869"/>
      <c r="AI42" s="896" t="str">
        <f>IFERROR(IF(G42="","",IF(C42&lt;&gt;INDEX(STDLIGHT[Eff Category 1],MATCH(G42,STDLIGHT[Measure Name],0)),0,INDEX(STDLIGHT[Current Incentive],MATCH('M03-S02'!G42,STDLIGHT[Measure Name],0)))),"")</f>
        <v/>
      </c>
      <c r="AJ42" s="897"/>
      <c r="AK42" s="900" t="str">
        <f t="shared" ref="AK42" si="33">IFERROR(IF(OR(C42="",G42="",M42="",O42="",R42="",T42="",V42="",X42="",Z42="",AC42="",AE42="",AG42=""),"",IF(BH42="Deemed",AV42,IF(BH42="Calculated",BA42,""))),"")</f>
        <v/>
      </c>
      <c r="AL42" s="900"/>
      <c r="AM42" s="900"/>
      <c r="AN42" s="897" t="str">
        <f t="shared" ref="AN42" si="34">IFERROR(IF(OR(C42="",G42="",M42="",O42="",R42="",T42="",V42="",X42="",Z42="",AC42="",AE42="",AG42=""),"",IF(BD42&lt;&gt;"",BD42,IF(BI42&gt;0,BI42,ROUND(IF(AK42&lt;=0,0,MIN(AT42,V42*AI42)),2)))),"")</f>
        <v/>
      </c>
      <c r="AO42" s="902"/>
      <c r="AP42" s="902"/>
      <c r="AQ42" s="902"/>
      <c r="AR42" s="37"/>
      <c r="AS42" s="235"/>
      <c r="AT42" s="852" t="str">
        <f t="shared" ref="AT42" si="35">IF(OR(C42="",G42="",M42="",O42="",R42="",T42="",V42="",X42="",Z42="",AC42="",AE42="",AG42=""),"",IF(AK42=0,"",ROUND(AE42+AG42,2)))</f>
        <v/>
      </c>
      <c r="AU42" s="854" t="str">
        <f>IFERROR(IF(OR(C42="",G42="",M42="",O42="",R42="",T42="",V42="",X42="",Z42="",AC42="",AE42="",AG42=""),"",INDEX(STDLIGHT[Current Unit],MATCH(G42,STDLIGHT[Measure Name],0))),"Err")</f>
        <v/>
      </c>
      <c r="AV42" s="850" t="str">
        <f>IF(OR(C42="",G42="",M42="",O42="",R42="",T42="",V42="",X42="",Z42="",AC42="",AE42="",AG42=""),"",IFERROR(IF(G42="","",IF(C42&lt;&gt;INDEX(STDLIGHT[Eff Category 1],MATCH(G42,STDLIGHT[Measure Name],0)),0,
IF(AX42&lt;=AY42,0,
ROUND(V42*INDEX(STDLIGHT[Electric Energy Savings (Annual kWh/unit)],MATCH('M03-S02'!G42,STDLIGHT[Measure Name],0)),4)))),""))</f>
        <v/>
      </c>
      <c r="AW42" s="850" t="str">
        <f>IF(OR(C42="",G42="",M42="",O42="",R42="",T42="",V42="",X42="",Z42="",AC42="",AE42="",AG42=""),"",IFERROR(IF(G42="","",IF(C42&lt;&gt;INDEX(STDLIGHT[Eff Category 1],MATCH(G42,STDLIGHT[Measure Name],0)),0,
IF(AX42&lt;=AY42,0,
ROUND(V42*INDEX(STDLIGHT[Coincident Peak Demand Savings (kW/unit)],MATCH('M03-S02'!G42,STDLIGHT[Measure Name],0)),4)))),""))</f>
        <v/>
      </c>
      <c r="AX42" s="848" t="str">
        <f>IF(OR(C42="",G42="",M42="",O42="",R42="",T42="",V42="",X42="",Z42="",AC42="",AE42="",AG42=""),"",
IF(OR(ISNUMBER(SEARCH("Exterior",C42)),ISNUMBER(SEARCH("Parking",C42))),ROUND(R42*V42*X42/1000,4),
ROUND(R42*V42*X42/1000*INDEX(BUILDINGTYPE[Waste Heat Factor (e)],MATCH(M02S04F19,BUILDINGTYPE[Building Type],0)),4)))</f>
        <v/>
      </c>
      <c r="AY42" s="848" t="str">
        <f>IF(OR(C42="",G42="",M42="",O42="",R42="",T42="",V42="",X42="",Z42="",AC42="",AE42="",AG42=""),"",
IF(OR(ISNUMBER(SEARCH("Exterior",C42)),ISNUMBER(SEARCH("Parking",C42))),ROUND(T42*V42*X42/1000,4),
ROUND(T42*V42*X42/1000*INDEX(BUILDINGTYPE[Waste Heat Factor (e)],MATCH(M02S04F19,BUILDINGTYPE[Building Type],0)),4)))</f>
        <v/>
      </c>
      <c r="AZ42" s="854" t="str">
        <f>IFERROR(IF(OR(C42="",G42="",M42="",O42="",R42="",T42="",V42="",X42="",Z42="",AC42="",AE42="",AG42=""),"",INDEX(STDLIGHT[End Use],MATCH(G42,STDLIGHT[Measure Name],0))),"Err")</f>
        <v/>
      </c>
      <c r="BA42" s="850" t="str">
        <f>IFERROR(IF(OR(C42="",G42="",M42="",O42="",R42="",T42="",V42="",X42="",Z42="",AC42="",AE42="",AG42=""),"",
IF(AX42&lt;=AY42,0,
IF(OR(ISNUMBER(SEARCH("Exterior",C42)),ISNUMBER(SEARCH("Parking",C42))),ROUND((R42-T42)*V42*X42/1000,4),
ROUND((R42-T42)*V42*X42/1000*INDEX(BUILDINGTYPE[Waste Heat Factor (e)],MATCH(M02S04F19,BUILDINGTYPE[Building Type],0)),4)))),"")</f>
        <v/>
      </c>
      <c r="BB42" s="846" t="str">
        <f>IFERROR(IF(OR(C42="",G42="",M42="",O42="",R42="",T42="",V42="",X42="",Z42="",AC42="",AE42="",AG42=""),"",
IF(AX42&lt;=AY42,0,
ROUND(BA42*INDEX(ENDUSEALL[Factor],MATCH(AZ42,ENDUSEALL[End Use to Coincident Peak Demand Factors],0)),4))),"")</f>
        <v/>
      </c>
      <c r="BC42" s="854" t="str">
        <f>IFERROR(IF(OR(C42="",G42="",M42="",O42="",R42="",T42="",V42="",X42="",Z42="",AC42="",AE42="",AG42="",ISNUMBER(AN42)=FALSE,AN42=0),"",INDEX(STDLIGHT[Measure Number],MATCH(G42,STDLIGHT[Measure Name],0))),"Err")</f>
        <v/>
      </c>
      <c r="BD42" s="854" t="str">
        <f>IFERROR(IF(OR(C42="",G42="",M42="",O42="",R42="",T42="",V42="",X42="",Z42="",AC42="",AE42="",AG42=""),"",
IF(BI42&gt;0,"",
IF(EXPIRATION&lt;&gt;"",PROJSTATEXP,
IF(M02S04F19="",MEASUREBLDG,
IF(AX42&lt;=AY42,MEASURESAVE,""))))),MEASURESUBMIT)</f>
        <v/>
      </c>
      <c r="BE42" s="928" t="str">
        <f>IFERROR(INDEX(STDLIGHT[Measure Life (Years)],MATCH(G42,STDLIGHT[Measure Name],0)),"")</f>
        <v/>
      </c>
      <c r="BF42" s="930" t="str">
        <f>IFERROR(IF(OR(C42="",G42="",M42="",O42="",R42="",T42="",V42="",X42="",Z42="",AC42="",AE42="",AG42=""),"",
ROUND(((1+ELOSS)*((BA42*INDEX(ELECCB[NPV AEC $/kWh],MATCH(BE42,ELECCB[Year Number],1)))+(BB42*INDEX(ELECCB[NPV ACC $/kW],MATCH(BE42,ELECCB[Year Number],1))))),2)),0)</f>
        <v/>
      </c>
      <c r="BG42" s="937"/>
      <c r="BH42" s="934" t="str">
        <f>IFERROR(IF(OR(C42="",G42="",M42="",O42="",R42="",T42="",V42="",X42="",Z42="",AC42="",AE42="",AG42=""),"",INDEX(STDLIGHT[Reporting Methodology],MATCH(G42,STDLIGHT[Measure Name],0))),"Err")</f>
        <v/>
      </c>
      <c r="BI42" s="939"/>
    </row>
    <row r="43" spans="2:61" ht="15.95" customHeight="1">
      <c r="B43" s="905"/>
      <c r="C43" s="827"/>
      <c r="D43" s="828"/>
      <c r="E43" s="828"/>
      <c r="F43" s="829"/>
      <c r="G43" s="838"/>
      <c r="H43" s="839"/>
      <c r="I43" s="839"/>
      <c r="J43" s="839"/>
      <c r="K43" s="839"/>
      <c r="L43" s="839"/>
      <c r="M43" s="827"/>
      <c r="N43" s="829"/>
      <c r="O43" s="827"/>
      <c r="P43" s="828"/>
      <c r="Q43" s="829"/>
      <c r="R43" s="885"/>
      <c r="S43" s="885"/>
      <c r="T43" s="886"/>
      <c r="U43" s="886"/>
      <c r="V43" s="888"/>
      <c r="W43" s="888"/>
      <c r="X43" s="866"/>
      <c r="Y43" s="866"/>
      <c r="Z43" s="833"/>
      <c r="AA43" s="834"/>
      <c r="AB43" s="835"/>
      <c r="AC43" s="904"/>
      <c r="AD43" s="827"/>
      <c r="AE43" s="867"/>
      <c r="AF43" s="868"/>
      <c r="AG43" s="868"/>
      <c r="AH43" s="869"/>
      <c r="AI43" s="898"/>
      <c r="AJ43" s="899"/>
      <c r="AK43" s="901"/>
      <c r="AL43" s="901"/>
      <c r="AM43" s="901"/>
      <c r="AN43" s="899"/>
      <c r="AO43" s="903"/>
      <c r="AP43" s="903"/>
      <c r="AQ43" s="903"/>
      <c r="AR43" s="37"/>
      <c r="AS43" s="235"/>
      <c r="AT43" s="853"/>
      <c r="AU43" s="855"/>
      <c r="AV43" s="851"/>
      <c r="AW43" s="851"/>
      <c r="AX43" s="849"/>
      <c r="AY43" s="849"/>
      <c r="AZ43" s="855"/>
      <c r="BA43" s="851"/>
      <c r="BB43" s="847"/>
      <c r="BC43" s="855"/>
      <c r="BD43" s="855"/>
      <c r="BE43" s="929"/>
      <c r="BF43" s="931"/>
      <c r="BG43" s="938"/>
      <c r="BH43" s="934"/>
      <c r="BI43" s="939"/>
    </row>
    <row r="44" spans="2:61" ht="15.95" customHeight="1">
      <c r="B44" s="905">
        <v>14</v>
      </c>
      <c r="C44" s="827"/>
      <c r="D44" s="828"/>
      <c r="E44" s="828"/>
      <c r="F44" s="829"/>
      <c r="G44" s="838"/>
      <c r="H44" s="839"/>
      <c r="I44" s="839"/>
      <c r="J44" s="839"/>
      <c r="K44" s="839"/>
      <c r="L44" s="839"/>
      <c r="M44" s="827"/>
      <c r="N44" s="829"/>
      <c r="O44" s="827"/>
      <c r="P44" s="828"/>
      <c r="Q44" s="829"/>
      <c r="R44" s="884"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884"/>
      <c r="T44" s="886" t="str">
        <f>IF(C44="Permanent Lamp Removal",0,"")</f>
        <v/>
      </c>
      <c r="U44" s="886"/>
      <c r="V44" s="888"/>
      <c r="W44" s="888"/>
      <c r="X44" s="865"/>
      <c r="Y44" s="865"/>
      <c r="Z44" s="830"/>
      <c r="AA44" s="831"/>
      <c r="AB44" s="832"/>
      <c r="AC44" s="904"/>
      <c r="AD44" s="827"/>
      <c r="AE44" s="867"/>
      <c r="AF44" s="868"/>
      <c r="AG44" s="868"/>
      <c r="AH44" s="869"/>
      <c r="AI44" s="896" t="str">
        <f>IFERROR(IF(G44="","",IF(C44&lt;&gt;INDEX(STDLIGHT[Eff Category 1],MATCH(G44,STDLIGHT[Measure Name],0)),0,INDEX(STDLIGHT[Current Incentive],MATCH('M03-S02'!G44,STDLIGHT[Measure Name],0)))),"")</f>
        <v/>
      </c>
      <c r="AJ44" s="897"/>
      <c r="AK44" s="900" t="str">
        <f t="shared" ref="AK44" si="36">IFERROR(IF(OR(C44="",G44="",M44="",O44="",R44="",T44="",V44="",X44="",Z44="",AC44="",AE44="",AG44=""),"",IF(BH44="Deemed",AV44,IF(BH44="Calculated",BA44,""))),"")</f>
        <v/>
      </c>
      <c r="AL44" s="900"/>
      <c r="AM44" s="900"/>
      <c r="AN44" s="897" t="str">
        <f t="shared" ref="AN44" si="37">IFERROR(IF(OR(C44="",G44="",M44="",O44="",R44="",T44="",V44="",X44="",Z44="",AC44="",AE44="",AG44=""),"",IF(BD44&lt;&gt;"",BD44,IF(BI44&gt;0,BI44,ROUND(IF(AK44&lt;=0,0,MIN(AT44,V44*AI44)),2)))),"")</f>
        <v/>
      </c>
      <c r="AO44" s="902"/>
      <c r="AP44" s="902"/>
      <c r="AQ44" s="902"/>
      <c r="AR44" s="37"/>
      <c r="AS44" s="235"/>
      <c r="AT44" s="852" t="str">
        <f t="shared" ref="AT44" si="38">IF(OR(C44="",G44="",M44="",O44="",R44="",T44="",V44="",X44="",Z44="",AC44="",AE44="",AG44=""),"",IF(AK44=0,"",ROUND(AE44+AG44,2)))</f>
        <v/>
      </c>
      <c r="AU44" s="854" t="str">
        <f>IFERROR(IF(OR(C44="",G44="",M44="",O44="",R44="",T44="",V44="",X44="",Z44="",AC44="",AE44="",AG44=""),"",INDEX(STDLIGHT[Current Unit],MATCH(G44,STDLIGHT[Measure Name],0))),"Err")</f>
        <v/>
      </c>
      <c r="AV44" s="850" t="str">
        <f>IF(OR(C44="",G44="",M44="",O44="",R44="",T44="",V44="",X44="",Z44="",AC44="",AE44="",AG44=""),"",IFERROR(IF(G44="","",IF(C44&lt;&gt;INDEX(STDLIGHT[Eff Category 1],MATCH(G44,STDLIGHT[Measure Name],0)),0,
IF(AX44&lt;=AY44,0,
ROUND(V44*INDEX(STDLIGHT[Electric Energy Savings (Annual kWh/unit)],MATCH('M03-S02'!G44,STDLIGHT[Measure Name],0)),4)))),""))</f>
        <v/>
      </c>
      <c r="AW44" s="850" t="str">
        <f>IF(OR(C44="",G44="",M44="",O44="",R44="",T44="",V44="",X44="",Z44="",AC44="",AE44="",AG44=""),"",IFERROR(IF(G44="","",IF(C44&lt;&gt;INDEX(STDLIGHT[Eff Category 1],MATCH(G44,STDLIGHT[Measure Name],0)),0,
IF(AX44&lt;=AY44,0,
ROUND(V44*INDEX(STDLIGHT[Coincident Peak Demand Savings (kW/unit)],MATCH('M03-S02'!G44,STDLIGHT[Measure Name],0)),4)))),""))</f>
        <v/>
      </c>
      <c r="AX44" s="848" t="str">
        <f>IF(OR(C44="",G44="",M44="",O44="",R44="",T44="",V44="",X44="",Z44="",AC44="",AE44="",AG44=""),"",
IF(OR(ISNUMBER(SEARCH("Exterior",C44)),ISNUMBER(SEARCH("Parking",C44))),ROUND(R44*V44*X44/1000,4),
ROUND(R44*V44*X44/1000*INDEX(BUILDINGTYPE[Waste Heat Factor (e)],MATCH(M02S04F19,BUILDINGTYPE[Building Type],0)),4)))</f>
        <v/>
      </c>
      <c r="AY44" s="848" t="str">
        <f>IF(OR(C44="",G44="",M44="",O44="",R44="",T44="",V44="",X44="",Z44="",AC44="",AE44="",AG44=""),"",
IF(OR(ISNUMBER(SEARCH("Exterior",C44)),ISNUMBER(SEARCH("Parking",C44))),ROUND(T44*V44*X44/1000,4),
ROUND(T44*V44*X44/1000*INDEX(BUILDINGTYPE[Waste Heat Factor (e)],MATCH(M02S04F19,BUILDINGTYPE[Building Type],0)),4)))</f>
        <v/>
      </c>
      <c r="AZ44" s="854" t="str">
        <f>IFERROR(IF(OR(C44="",G44="",M44="",O44="",R44="",T44="",V44="",X44="",Z44="",AC44="",AE44="",AG44=""),"",INDEX(STDLIGHT[End Use],MATCH(G44,STDLIGHT[Measure Name],0))),"Err")</f>
        <v/>
      </c>
      <c r="BA44" s="850" t="str">
        <f>IFERROR(IF(OR(C44="",G44="",M44="",O44="",R44="",T44="",V44="",X44="",Z44="",AC44="",AE44="",AG44=""),"",
IF(AX44&lt;=AY44,0,
IF(OR(ISNUMBER(SEARCH("Exterior",C44)),ISNUMBER(SEARCH("Parking",C44))),ROUND((R44-T44)*V44*X44/1000,4),
ROUND((R44-T44)*V44*X44/1000*INDEX(BUILDINGTYPE[Waste Heat Factor (e)],MATCH(M02S04F19,BUILDINGTYPE[Building Type],0)),4)))),"")</f>
        <v/>
      </c>
      <c r="BB44" s="846" t="str">
        <f>IFERROR(IF(OR(C44="",G44="",M44="",O44="",R44="",T44="",V44="",X44="",Z44="",AC44="",AE44="",AG44=""),"",
IF(AX44&lt;=AY44,0,
ROUND(BA44*INDEX(ENDUSEALL[Factor],MATCH(AZ44,ENDUSEALL[End Use to Coincident Peak Demand Factors],0)),4))),"")</f>
        <v/>
      </c>
      <c r="BC44" s="854" t="str">
        <f>IFERROR(IF(OR(C44="",G44="",M44="",O44="",R44="",T44="",V44="",X44="",Z44="",AC44="",AE44="",AG44="",ISNUMBER(AN44)=FALSE,AN44=0),"",INDEX(STDLIGHT[Measure Number],MATCH(G44,STDLIGHT[Measure Name],0))),"Err")</f>
        <v/>
      </c>
      <c r="BD44" s="854" t="str">
        <f>IFERROR(IF(OR(C44="",G44="",M44="",O44="",R44="",T44="",V44="",X44="",Z44="",AC44="",AE44="",AG44=""),"",
IF(BI44&gt;0,"",
IF(EXPIRATION&lt;&gt;"",PROJSTATEXP,
IF(M02S04F19="",MEASUREBLDG,
IF(AX44&lt;=AY44,MEASURESAVE,""))))),MEASURESUBMIT)</f>
        <v/>
      </c>
      <c r="BE44" s="928" t="str">
        <f>IFERROR(INDEX(STDLIGHT[Measure Life (Years)],MATCH(G44,STDLIGHT[Measure Name],0)),"")</f>
        <v/>
      </c>
      <c r="BF44" s="930" t="str">
        <f>IFERROR(IF(OR(C44="",G44="",M44="",O44="",R44="",T44="",V44="",X44="",Z44="",AC44="",AE44="",AG44=""),"",
ROUND(((1+ELOSS)*((BA44*INDEX(ELECCB[NPV AEC $/kWh],MATCH(BE44,ELECCB[Year Number],1)))+(BB44*INDEX(ELECCB[NPV ACC $/kW],MATCH(BE44,ELECCB[Year Number],1))))),2)),0)</f>
        <v/>
      </c>
      <c r="BG44" s="937"/>
      <c r="BH44" s="934" t="str">
        <f>IFERROR(IF(OR(C44="",G44="",M44="",O44="",R44="",T44="",V44="",X44="",Z44="",AC44="",AE44="",AG44=""),"",INDEX(STDLIGHT[Reporting Methodology],MATCH(G44,STDLIGHT[Measure Name],0))),"Err")</f>
        <v/>
      </c>
      <c r="BI44" s="939"/>
    </row>
    <row r="45" spans="2:61" ht="15.95" customHeight="1">
      <c r="B45" s="905"/>
      <c r="C45" s="827"/>
      <c r="D45" s="828"/>
      <c r="E45" s="828"/>
      <c r="F45" s="829"/>
      <c r="G45" s="838"/>
      <c r="H45" s="839"/>
      <c r="I45" s="839"/>
      <c r="J45" s="839"/>
      <c r="K45" s="839"/>
      <c r="L45" s="839"/>
      <c r="M45" s="827"/>
      <c r="N45" s="829"/>
      <c r="O45" s="827"/>
      <c r="P45" s="828"/>
      <c r="Q45" s="829"/>
      <c r="R45" s="885"/>
      <c r="S45" s="885"/>
      <c r="T45" s="886"/>
      <c r="U45" s="886"/>
      <c r="V45" s="888"/>
      <c r="W45" s="888"/>
      <c r="X45" s="866"/>
      <c r="Y45" s="866"/>
      <c r="Z45" s="833"/>
      <c r="AA45" s="834"/>
      <c r="AB45" s="835"/>
      <c r="AC45" s="904"/>
      <c r="AD45" s="827"/>
      <c r="AE45" s="867"/>
      <c r="AF45" s="868"/>
      <c r="AG45" s="868"/>
      <c r="AH45" s="869"/>
      <c r="AI45" s="898"/>
      <c r="AJ45" s="899"/>
      <c r="AK45" s="901"/>
      <c r="AL45" s="901"/>
      <c r="AM45" s="901"/>
      <c r="AN45" s="899"/>
      <c r="AO45" s="903"/>
      <c r="AP45" s="903"/>
      <c r="AQ45" s="903"/>
      <c r="AR45" s="37"/>
      <c r="AS45" s="235"/>
      <c r="AT45" s="853"/>
      <c r="AU45" s="855"/>
      <c r="AV45" s="851"/>
      <c r="AW45" s="851"/>
      <c r="AX45" s="849"/>
      <c r="AY45" s="849"/>
      <c r="AZ45" s="855"/>
      <c r="BA45" s="851"/>
      <c r="BB45" s="847"/>
      <c r="BC45" s="855"/>
      <c r="BD45" s="855"/>
      <c r="BE45" s="929"/>
      <c r="BF45" s="931"/>
      <c r="BG45" s="938"/>
      <c r="BH45" s="934"/>
      <c r="BI45" s="939"/>
    </row>
    <row r="46" spans="2:61" ht="15.95" customHeight="1">
      <c r="B46" s="905">
        <v>15</v>
      </c>
      <c r="C46" s="833"/>
      <c r="D46" s="834"/>
      <c r="E46" s="834"/>
      <c r="F46" s="835"/>
      <c r="G46" s="840"/>
      <c r="H46" s="841"/>
      <c r="I46" s="841"/>
      <c r="J46" s="841"/>
      <c r="K46" s="841"/>
      <c r="L46" s="841"/>
      <c r="M46" s="833"/>
      <c r="N46" s="835"/>
      <c r="O46" s="833"/>
      <c r="P46" s="834"/>
      <c r="Q46" s="835"/>
      <c r="R46" s="884"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884"/>
      <c r="T46" s="886" t="str">
        <f>IF(C46="Permanent Lamp Removal",0,"")</f>
        <v/>
      </c>
      <c r="U46" s="886"/>
      <c r="V46" s="887"/>
      <c r="W46" s="887"/>
      <c r="X46" s="865"/>
      <c r="Y46" s="865"/>
      <c r="Z46" s="917"/>
      <c r="AA46" s="918"/>
      <c r="AB46" s="919"/>
      <c r="AC46" s="906"/>
      <c r="AD46" s="833"/>
      <c r="AE46" s="889"/>
      <c r="AF46" s="890"/>
      <c r="AG46" s="890"/>
      <c r="AH46" s="891"/>
      <c r="AI46" s="896" t="str">
        <f>IFERROR(IF(G46="","",IF(C46&lt;&gt;INDEX(STDLIGHT[Eff Category 1],MATCH(G46,STDLIGHT[Measure Name],0)),0,INDEX(STDLIGHT[Current Incentive],MATCH('M03-S02'!G46,STDLIGHT[Measure Name],0)))),"")</f>
        <v/>
      </c>
      <c r="AJ46" s="897"/>
      <c r="AK46" s="900" t="str">
        <f t="shared" ref="AK46" si="39">IFERROR(IF(OR(C46="",G46="",M46="",O46="",R46="",T46="",V46="",X46="",Z46="",AC46="",AE46="",AG46=""),"",IF(BH46="Deemed",AV46,IF(BH46="Calculated",BA46,""))),"")</f>
        <v/>
      </c>
      <c r="AL46" s="900"/>
      <c r="AM46" s="900"/>
      <c r="AN46" s="897" t="str">
        <f t="shared" ref="AN46" si="40">IFERROR(IF(OR(C46="",G46="",M46="",O46="",R46="",T46="",V46="",X46="",Z46="",AC46="",AE46="",AG46=""),"",IF(BD46&lt;&gt;"",BD46,IF(BI46&gt;0,BI46,ROUND(IF(AK46&lt;=0,0,MIN(AT46,V46*AI46)),2)))),"")</f>
        <v/>
      </c>
      <c r="AO46" s="902"/>
      <c r="AP46" s="902"/>
      <c r="AQ46" s="902"/>
      <c r="AR46" s="37"/>
      <c r="AS46" s="235"/>
      <c r="AT46" s="852" t="str">
        <f t="shared" ref="AT46" si="41">IF(OR(C46="",G46="",M46="",O46="",R46="",T46="",V46="",X46="",Z46="",AC46="",AE46="",AG46=""),"",IF(AK46=0,"",ROUND(AE46+AG46,2)))</f>
        <v/>
      </c>
      <c r="AU46" s="854" t="str">
        <f>IFERROR(IF(OR(C46="",G46="",M46="",O46="",R46="",T46="",V46="",X46="",Z46="",AC46="",AE46="",AG46=""),"",INDEX(STDLIGHT[Current Unit],MATCH(G46,STDLIGHT[Measure Name],0))),"Err")</f>
        <v/>
      </c>
      <c r="AV46" s="850" t="str">
        <f>IF(OR(C46="",G46="",M46="",O46="",R46="",T46="",V46="",X46="",Z46="",AC46="",AE46="",AG46=""),"",IFERROR(IF(G46="","",IF(C46&lt;&gt;INDEX(STDLIGHT[Eff Category 1],MATCH(G46,STDLIGHT[Measure Name],0)),0,
IF(AX46&lt;=AY46,0,
ROUND(V46*INDEX(STDLIGHT[Electric Energy Savings (Annual kWh/unit)],MATCH('M03-S02'!G46,STDLIGHT[Measure Name],0)),4)))),""))</f>
        <v/>
      </c>
      <c r="AW46" s="850" t="str">
        <f>IF(OR(C46="",G46="",M46="",O46="",R46="",T46="",V46="",X46="",Z46="",AC46="",AE46="",AG46=""),"",IFERROR(IF(G46="","",IF(C46&lt;&gt;INDEX(STDLIGHT[Eff Category 1],MATCH(G46,STDLIGHT[Measure Name],0)),0,
IF(AX46&lt;=AY46,0,
ROUND(V46*INDEX(STDLIGHT[Coincident Peak Demand Savings (kW/unit)],MATCH('M03-S02'!G46,STDLIGHT[Measure Name],0)),4)))),""))</f>
        <v/>
      </c>
      <c r="AX46" s="848" t="str">
        <f>IF(OR(C46="",G46="",M46="",O46="",R46="",T46="",V46="",X46="",Z46="",AC46="",AE46="",AG46=""),"",
IF(OR(ISNUMBER(SEARCH("Exterior",C46)),ISNUMBER(SEARCH("Parking",C46))),ROUND(R46*V46*X46/1000,4),
ROUND(R46*V46*X46/1000*INDEX(BUILDINGTYPE[Waste Heat Factor (e)],MATCH(M02S04F19,BUILDINGTYPE[Building Type],0)),4)))</f>
        <v/>
      </c>
      <c r="AY46" s="848" t="str">
        <f>IF(OR(C46="",G46="",M46="",O46="",R46="",T46="",V46="",X46="",Z46="",AC46="",AE46="",AG46=""),"",
IF(OR(ISNUMBER(SEARCH("Exterior",C46)),ISNUMBER(SEARCH("Parking",C46))),ROUND(T46*V46*X46/1000,4),
ROUND(T46*V46*X46/1000*INDEX(BUILDINGTYPE[Waste Heat Factor (e)],MATCH(M02S04F19,BUILDINGTYPE[Building Type],0)),4)))</f>
        <v/>
      </c>
      <c r="AZ46" s="854" t="str">
        <f>IFERROR(IF(OR(C46="",G46="",M46="",O46="",R46="",T46="",V46="",X46="",Z46="",AC46="",AE46="",AG46=""),"",INDEX(STDLIGHT[End Use],MATCH(G46,STDLIGHT[Measure Name],0))),"Err")</f>
        <v/>
      </c>
      <c r="BA46" s="850" t="str">
        <f>IFERROR(IF(OR(C46="",G46="",M46="",O46="",R46="",T46="",V46="",X46="",Z46="",AC46="",AE46="",AG46=""),"",
IF(AX46&lt;=AY46,0,
IF(OR(ISNUMBER(SEARCH("Exterior",C46)),ISNUMBER(SEARCH("Parking",C46))),ROUND((R46-T46)*V46*X46/1000,4),
ROUND((R46-T46)*V46*X46/1000*INDEX(BUILDINGTYPE[Waste Heat Factor (e)],MATCH(M02S04F19,BUILDINGTYPE[Building Type],0)),4)))),"")</f>
        <v/>
      </c>
      <c r="BB46" s="846" t="str">
        <f>IFERROR(IF(OR(C46="",G46="",M46="",O46="",R46="",T46="",V46="",X46="",Z46="",AC46="",AE46="",AG46=""),"",
IF(AX46&lt;=AY46,0,
ROUND(BA46*INDEX(ENDUSEALL[Factor],MATCH(AZ46,ENDUSEALL[End Use to Coincident Peak Demand Factors],0)),4))),"")</f>
        <v/>
      </c>
      <c r="BC46" s="854" t="str">
        <f>IFERROR(IF(OR(C46="",G46="",M46="",O46="",R46="",T46="",V46="",X46="",Z46="",AC46="",AE46="",AG46="",ISNUMBER(AN46)=FALSE,AN46=0),"",INDEX(STDLIGHT[Measure Number],MATCH(G46,STDLIGHT[Measure Name],0))),"Err")</f>
        <v/>
      </c>
      <c r="BD46" s="854" t="str">
        <f>IFERROR(IF(OR(C46="",G46="",M46="",O46="",R46="",T46="",V46="",X46="",Z46="",AC46="",AE46="",AG46=""),"",
IF(BI46&gt;0,"",
IF(EXPIRATION&lt;&gt;"",PROJSTATEXP,
IF(M02S04F19="",MEASUREBLDG,
IF(AX46&lt;=AY46,MEASURESAVE,""))))),MEASURESUBMIT)</f>
        <v/>
      </c>
      <c r="BE46" s="928" t="str">
        <f>IFERROR(INDEX(STDLIGHT[Measure Life (Years)],MATCH(G46,STDLIGHT[Measure Name],0)),"")</f>
        <v/>
      </c>
      <c r="BF46" s="930" t="str">
        <f>IFERROR(IF(OR(C46="",G46="",M46="",O46="",R46="",T46="",V46="",X46="",Z46="",AC46="",AE46="",AG46=""),"",
ROUND(((1+ELOSS)*((BA46*INDEX(ELECCB[NPV AEC $/kWh],MATCH(BE46,ELECCB[Year Number],1)))+(BB46*INDEX(ELECCB[NPV ACC $/kW],MATCH(BE46,ELECCB[Year Number],1))))),2)),0)</f>
        <v/>
      </c>
      <c r="BG46" s="937"/>
      <c r="BH46" s="934" t="str">
        <f>IFERROR(IF(OR(C46="",G46="",M46="",O46="",R46="",T46="",V46="",X46="",Z46="",AC46="",AE46="",AG46=""),"",INDEX(STDLIGHT[Reporting Methodology],MATCH(G46,STDLIGHT[Measure Name],0))),"Err")</f>
        <v/>
      </c>
      <c r="BI46" s="939"/>
    </row>
    <row r="47" spans="2:61" ht="15.95" customHeight="1">
      <c r="B47" s="905"/>
      <c r="C47" s="827"/>
      <c r="D47" s="828"/>
      <c r="E47" s="828"/>
      <c r="F47" s="829"/>
      <c r="G47" s="838"/>
      <c r="H47" s="839"/>
      <c r="I47" s="839"/>
      <c r="J47" s="839"/>
      <c r="K47" s="839"/>
      <c r="L47" s="839"/>
      <c r="M47" s="827"/>
      <c r="N47" s="829"/>
      <c r="O47" s="827"/>
      <c r="P47" s="828"/>
      <c r="Q47" s="829"/>
      <c r="R47" s="885"/>
      <c r="S47" s="885"/>
      <c r="T47" s="886"/>
      <c r="U47" s="886"/>
      <c r="V47" s="888"/>
      <c r="W47" s="888"/>
      <c r="X47" s="866"/>
      <c r="Y47" s="866"/>
      <c r="Z47" s="833"/>
      <c r="AA47" s="834"/>
      <c r="AB47" s="835"/>
      <c r="AC47" s="904"/>
      <c r="AD47" s="827"/>
      <c r="AE47" s="867"/>
      <c r="AF47" s="868"/>
      <c r="AG47" s="868"/>
      <c r="AH47" s="869"/>
      <c r="AI47" s="898"/>
      <c r="AJ47" s="899"/>
      <c r="AK47" s="901"/>
      <c r="AL47" s="901"/>
      <c r="AM47" s="901"/>
      <c r="AN47" s="899"/>
      <c r="AO47" s="903"/>
      <c r="AP47" s="903"/>
      <c r="AQ47" s="903"/>
      <c r="AR47" s="37"/>
      <c r="AS47" s="235"/>
      <c r="AT47" s="853"/>
      <c r="AU47" s="855"/>
      <c r="AV47" s="851"/>
      <c r="AW47" s="851"/>
      <c r="AX47" s="849"/>
      <c r="AY47" s="849"/>
      <c r="AZ47" s="855"/>
      <c r="BA47" s="851"/>
      <c r="BB47" s="847"/>
      <c r="BC47" s="855"/>
      <c r="BD47" s="855"/>
      <c r="BE47" s="929"/>
      <c r="BF47" s="931"/>
      <c r="BG47" s="938"/>
      <c r="BH47" s="934"/>
      <c r="BI47" s="939"/>
    </row>
    <row r="48" spans="2:61" ht="15.95" customHeight="1">
      <c r="B48" s="905">
        <v>16</v>
      </c>
      <c r="C48" s="833"/>
      <c r="D48" s="834"/>
      <c r="E48" s="834"/>
      <c r="F48" s="835"/>
      <c r="G48" s="840"/>
      <c r="H48" s="841"/>
      <c r="I48" s="841"/>
      <c r="J48" s="841"/>
      <c r="K48" s="841"/>
      <c r="L48" s="841"/>
      <c r="M48" s="833"/>
      <c r="N48" s="835"/>
      <c r="O48" s="833"/>
      <c r="P48" s="834"/>
      <c r="Q48" s="835"/>
      <c r="R48" s="884"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884"/>
      <c r="T48" s="886" t="str">
        <f t="shared" ref="T48" si="42">IF(C48="Permanent Lamp Removal",0,"")</f>
        <v/>
      </c>
      <c r="U48" s="886"/>
      <c r="V48" s="887"/>
      <c r="W48" s="887"/>
      <c r="X48" s="865"/>
      <c r="Y48" s="865"/>
      <c r="Z48" s="917"/>
      <c r="AA48" s="918"/>
      <c r="AB48" s="919"/>
      <c r="AC48" s="906"/>
      <c r="AD48" s="833"/>
      <c r="AE48" s="889"/>
      <c r="AF48" s="890"/>
      <c r="AG48" s="890"/>
      <c r="AH48" s="891"/>
      <c r="AI48" s="896" t="str">
        <f>IFERROR(IF(G48="","",IF(C48&lt;&gt;INDEX(STDLIGHT[Eff Category 1],MATCH(G48,STDLIGHT[Measure Name],0)),0,INDEX(STDLIGHT[Current Incentive],MATCH('M03-S02'!G48,STDLIGHT[Measure Name],0)))),"")</f>
        <v/>
      </c>
      <c r="AJ48" s="897"/>
      <c r="AK48" s="900" t="str">
        <f t="shared" ref="AK48" si="43">IFERROR(IF(OR(C48="",G48="",M48="",O48="",R48="",T48="",V48="",X48="",Z48="",AC48="",AE48="",AG48=""),"",IF(BH48="Deemed",AV48,IF(BH48="Calculated",BA48,""))),"")</f>
        <v/>
      </c>
      <c r="AL48" s="900"/>
      <c r="AM48" s="900"/>
      <c r="AN48" s="897" t="str">
        <f t="shared" ref="AN48" si="44">IFERROR(IF(OR(C48="",G48="",M48="",O48="",R48="",T48="",V48="",X48="",Z48="",AC48="",AE48="",AG48=""),"",IF(BD48&lt;&gt;"",BD48,IF(BI48&gt;0,BI48,ROUND(IF(AK48&lt;=0,0,MIN(AT48,V48*AI48)),2)))),"")</f>
        <v/>
      </c>
      <c r="AO48" s="902"/>
      <c r="AP48" s="902"/>
      <c r="AQ48" s="902"/>
      <c r="AR48" s="235"/>
      <c r="AS48" s="235"/>
      <c r="AT48" s="852" t="str">
        <f t="shared" ref="AT48" si="45">IF(OR(C48="",G48="",M48="",O48="",R48="",T48="",V48="",X48="",Z48="",AC48="",AE48="",AG48=""),"",IF(AK48=0,"",ROUND(AE48+AG48,2)))</f>
        <v/>
      </c>
      <c r="AU48" s="854" t="str">
        <f>IFERROR(IF(OR(C48="",G48="",M48="",O48="",R48="",T48="",V48="",X48="",Z48="",AC48="",AE48="",AG48=""),"",INDEX(STDLIGHT[Current Unit],MATCH(G48,STDLIGHT[Measure Name],0))),"Err")</f>
        <v/>
      </c>
      <c r="AV48" s="850" t="str">
        <f>IF(OR(C48="",G48="",M48="",O48="",R48="",T48="",V48="",X48="",Z48="",AC48="",AE48="",AG48=""),"",IFERROR(IF(G48="","",IF(C48&lt;&gt;INDEX(STDLIGHT[Eff Category 1],MATCH(G48,STDLIGHT[Measure Name],0)),0,
IF(AX48&lt;=AY48,0,
ROUND(V48*INDEX(STDLIGHT[Electric Energy Savings (Annual kWh/unit)],MATCH('M03-S02'!G48,STDLIGHT[Measure Name],0)),4)))),""))</f>
        <v/>
      </c>
      <c r="AW48" s="850" t="str">
        <f>IF(OR(C48="",G48="",M48="",O48="",R48="",T48="",V48="",X48="",Z48="",AC48="",AE48="",AG48=""),"",IFERROR(IF(G48="","",IF(C48&lt;&gt;INDEX(STDLIGHT[Eff Category 1],MATCH(G48,STDLIGHT[Measure Name],0)),0,
IF(AX48&lt;=AY48,0,
ROUND(V48*INDEX(STDLIGHT[Coincident Peak Demand Savings (kW/unit)],MATCH('M03-S02'!G48,STDLIGHT[Measure Name],0)),4)))),""))</f>
        <v/>
      </c>
      <c r="AX48" s="848" t="str">
        <f>IF(OR(C48="",G48="",M48="",O48="",R48="",T48="",V48="",X48="",Z48="",AC48="",AE48="",AG48=""),"",
IF(OR(ISNUMBER(SEARCH("Exterior",C48)),ISNUMBER(SEARCH("Parking",C48))),ROUND(R48*V48*X48/1000,4),
ROUND(R48*V48*X48/1000*INDEX(BUILDINGTYPE[Waste Heat Factor (e)],MATCH(M02S04F19,BUILDINGTYPE[Building Type],0)),4)))</f>
        <v/>
      </c>
      <c r="AY48" s="848" t="str">
        <f>IF(OR(C48="",G48="",M48="",O48="",R48="",T48="",V48="",X48="",Z48="",AC48="",AE48="",AG48=""),"",
IF(OR(ISNUMBER(SEARCH("Exterior",C48)),ISNUMBER(SEARCH("Parking",C48))),ROUND(T48*V48*X48/1000,4),
ROUND(T48*V48*X48/1000*INDEX(BUILDINGTYPE[Waste Heat Factor (e)],MATCH(M02S04F19,BUILDINGTYPE[Building Type],0)),4)))</f>
        <v/>
      </c>
      <c r="AZ48" s="854" t="str">
        <f>IFERROR(IF(OR(C48="",G48="",M48="",O48="",R48="",T48="",V48="",X48="",Z48="",AC48="",AE48="",AG48=""),"",INDEX(STDLIGHT[End Use],MATCH(G48,STDLIGHT[Measure Name],0))),"Err")</f>
        <v/>
      </c>
      <c r="BA48" s="850" t="str">
        <f>IFERROR(IF(OR(C48="",G48="",M48="",O48="",R48="",T48="",V48="",X48="",Z48="",AC48="",AE48="",AG48=""),"",
IF(AX48&lt;=AY48,0,
IF(OR(ISNUMBER(SEARCH("Exterior",C48)),ISNUMBER(SEARCH("Parking",C48))),ROUND((R48-T48)*V48*X48/1000,4),
ROUND((R48-T48)*V48*X48/1000*INDEX(BUILDINGTYPE[Waste Heat Factor (e)],MATCH(M02S04F19,BUILDINGTYPE[Building Type],0)),4)))),"")</f>
        <v/>
      </c>
      <c r="BB48" s="846" t="str">
        <f>IFERROR(IF(OR(C48="",G48="",M48="",O48="",R48="",T48="",V48="",X48="",Z48="",AC48="",AE48="",AG48=""),"",
IF(AX48&lt;=AY48,0,
ROUND(BA48*INDEX(ENDUSEALL[Factor],MATCH(AZ48,ENDUSEALL[End Use to Coincident Peak Demand Factors],0)),4))),"")</f>
        <v/>
      </c>
      <c r="BC48" s="854" t="str">
        <f>IFERROR(IF(OR(C48="",G48="",M48="",O48="",R48="",T48="",V48="",X48="",Z48="",AC48="",AE48="",AG48="",ISNUMBER(AN48)=FALSE,AN48=0),"",INDEX(STDLIGHT[Measure Number],MATCH(G48,STDLIGHT[Measure Name],0))),"Err")</f>
        <v/>
      </c>
      <c r="BD48" s="854" t="str">
        <f>IFERROR(IF(OR(C48="",G48="",M48="",O48="",R48="",T48="",V48="",X48="",Z48="",AC48="",AE48="",AG48=""),"",
IF(BI48&gt;0,"",
IF(EXPIRATION&lt;&gt;"",PROJSTATEXP,
IF(M02S04F19="",MEASUREBLDG,
IF(AX48&lt;=AY48,MEASURESAVE,""))))),MEASURESUBMIT)</f>
        <v/>
      </c>
      <c r="BE48" s="928" t="str">
        <f>IFERROR(INDEX(STDLIGHT[Measure Life (Years)],MATCH(G48,STDLIGHT[Measure Name],0)),"")</f>
        <v/>
      </c>
      <c r="BF48" s="930" t="str">
        <f>IFERROR(IF(OR(C48="",G48="",M48="",O48="",R48="",T48="",V48="",X48="",Z48="",AC48="",AE48="",AG48=""),"",
ROUND(((1+ELOSS)*((BA48*INDEX(ELECCB[NPV AEC $/kWh],MATCH(BE48,ELECCB[Year Number],1)))+(BB48*INDEX(ELECCB[NPV ACC $/kW],MATCH(BE48,ELECCB[Year Number],1))))),2)),0)</f>
        <v/>
      </c>
      <c r="BG48" s="937"/>
      <c r="BH48" s="934" t="str">
        <f>IFERROR(IF(OR(C48="",G48="",M48="",O48="",R48="",T48="",V48="",X48="",Z48="",AC48="",AE48="",AG48=""),"",INDEX(STDLIGHT[Reporting Methodology],MATCH(G48,STDLIGHT[Measure Name],0))),"Err")</f>
        <v/>
      </c>
      <c r="BI48" s="939"/>
    </row>
    <row r="49" spans="2:61" ht="15.95" customHeight="1">
      <c r="B49" s="905"/>
      <c r="C49" s="827"/>
      <c r="D49" s="828"/>
      <c r="E49" s="828"/>
      <c r="F49" s="829"/>
      <c r="G49" s="838"/>
      <c r="H49" s="839"/>
      <c r="I49" s="839"/>
      <c r="J49" s="839"/>
      <c r="K49" s="839"/>
      <c r="L49" s="839"/>
      <c r="M49" s="827"/>
      <c r="N49" s="829"/>
      <c r="O49" s="827"/>
      <c r="P49" s="828"/>
      <c r="Q49" s="829"/>
      <c r="R49" s="885"/>
      <c r="S49" s="885"/>
      <c r="T49" s="886"/>
      <c r="U49" s="886"/>
      <c r="V49" s="888"/>
      <c r="W49" s="888"/>
      <c r="X49" s="866"/>
      <c r="Y49" s="866"/>
      <c r="Z49" s="833"/>
      <c r="AA49" s="834"/>
      <c r="AB49" s="835"/>
      <c r="AC49" s="904"/>
      <c r="AD49" s="827"/>
      <c r="AE49" s="867"/>
      <c r="AF49" s="868"/>
      <c r="AG49" s="868"/>
      <c r="AH49" s="869"/>
      <c r="AI49" s="898"/>
      <c r="AJ49" s="899"/>
      <c r="AK49" s="901"/>
      <c r="AL49" s="901"/>
      <c r="AM49" s="901"/>
      <c r="AN49" s="899"/>
      <c r="AO49" s="903"/>
      <c r="AP49" s="903"/>
      <c r="AQ49" s="903"/>
      <c r="AR49" s="235"/>
      <c r="AS49" s="235"/>
      <c r="AT49" s="853"/>
      <c r="AU49" s="855"/>
      <c r="AV49" s="851"/>
      <c r="AW49" s="851"/>
      <c r="AX49" s="849"/>
      <c r="AY49" s="849"/>
      <c r="AZ49" s="855"/>
      <c r="BA49" s="851"/>
      <c r="BB49" s="847"/>
      <c r="BC49" s="855"/>
      <c r="BD49" s="855"/>
      <c r="BE49" s="929"/>
      <c r="BF49" s="931"/>
      <c r="BG49" s="938"/>
      <c r="BH49" s="934"/>
      <c r="BI49" s="939"/>
    </row>
    <row r="50" spans="2:61" ht="15.95" customHeight="1">
      <c r="B50" s="905">
        <v>17</v>
      </c>
      <c r="C50" s="833"/>
      <c r="D50" s="834"/>
      <c r="E50" s="834"/>
      <c r="F50" s="835"/>
      <c r="G50" s="840"/>
      <c r="H50" s="841"/>
      <c r="I50" s="841"/>
      <c r="J50" s="841"/>
      <c r="K50" s="841"/>
      <c r="L50" s="841"/>
      <c r="M50" s="833"/>
      <c r="N50" s="835"/>
      <c r="O50" s="833"/>
      <c r="P50" s="834"/>
      <c r="Q50" s="835"/>
      <c r="R50" s="884"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884"/>
      <c r="T50" s="886" t="str">
        <f t="shared" ref="T50" si="46">IF(C50="Permanent Lamp Removal",0,"")</f>
        <v/>
      </c>
      <c r="U50" s="886"/>
      <c r="V50" s="887"/>
      <c r="W50" s="887"/>
      <c r="X50" s="865"/>
      <c r="Y50" s="865"/>
      <c r="Z50" s="917"/>
      <c r="AA50" s="918"/>
      <c r="AB50" s="919"/>
      <c r="AC50" s="906"/>
      <c r="AD50" s="833"/>
      <c r="AE50" s="889"/>
      <c r="AF50" s="890"/>
      <c r="AG50" s="890"/>
      <c r="AH50" s="891"/>
      <c r="AI50" s="896" t="str">
        <f>IFERROR(IF(G50="","",IF(C50&lt;&gt;INDEX(STDLIGHT[Eff Category 1],MATCH(G50,STDLIGHT[Measure Name],0)),0,INDEX(STDLIGHT[Current Incentive],MATCH('M03-S02'!G50,STDLIGHT[Measure Name],0)))),"")</f>
        <v/>
      </c>
      <c r="AJ50" s="897"/>
      <c r="AK50" s="900" t="str">
        <f t="shared" ref="AK50" si="47">IFERROR(IF(OR(C50="",G50="",M50="",O50="",R50="",T50="",V50="",X50="",Z50="",AC50="",AE50="",AG50=""),"",IF(BH50="Deemed",AV50,IF(BH50="Calculated",BA50,""))),"")</f>
        <v/>
      </c>
      <c r="AL50" s="900"/>
      <c r="AM50" s="900"/>
      <c r="AN50" s="897" t="str">
        <f t="shared" ref="AN50" si="48">IFERROR(IF(OR(C50="",G50="",M50="",O50="",R50="",T50="",V50="",X50="",Z50="",AC50="",AE50="",AG50=""),"",IF(BD50&lt;&gt;"",BD50,IF(BI50&gt;0,BI50,ROUND(IF(AK50&lt;=0,0,MIN(AT50,V50*AI50)),2)))),"")</f>
        <v/>
      </c>
      <c r="AO50" s="902"/>
      <c r="AP50" s="902"/>
      <c r="AQ50" s="902"/>
      <c r="AR50" s="235"/>
      <c r="AS50" s="235"/>
      <c r="AT50" s="852" t="str">
        <f t="shared" ref="AT50" si="49">IF(OR(C50="",G50="",M50="",O50="",R50="",T50="",V50="",X50="",Z50="",AC50="",AE50="",AG50=""),"",IF(AK50=0,"",ROUND(AE50+AG50,2)))</f>
        <v/>
      </c>
      <c r="AU50" s="854" t="str">
        <f>IFERROR(IF(OR(C50="",G50="",M50="",O50="",R50="",T50="",V50="",X50="",Z50="",AC50="",AE50="",AG50=""),"",INDEX(STDLIGHT[Current Unit],MATCH(G50,STDLIGHT[Measure Name],0))),"Err")</f>
        <v/>
      </c>
      <c r="AV50" s="850" t="str">
        <f>IF(OR(C50="",G50="",M50="",O50="",R50="",T50="",V50="",X50="",Z50="",AC50="",AE50="",AG50=""),"",IFERROR(IF(G50="","",IF(C50&lt;&gt;INDEX(STDLIGHT[Eff Category 1],MATCH(G50,STDLIGHT[Measure Name],0)),0,
IF(AX50&lt;=AY50,0,
ROUND(V50*INDEX(STDLIGHT[Electric Energy Savings (Annual kWh/unit)],MATCH('M03-S02'!G50,STDLIGHT[Measure Name],0)),4)))),""))</f>
        <v/>
      </c>
      <c r="AW50" s="850" t="str">
        <f>IF(OR(C50="",G50="",M50="",O50="",R50="",T50="",V50="",X50="",Z50="",AC50="",AE50="",AG50=""),"",IFERROR(IF(G50="","",IF(C50&lt;&gt;INDEX(STDLIGHT[Eff Category 1],MATCH(G50,STDLIGHT[Measure Name],0)),0,
IF(AX50&lt;=AY50,0,
ROUND(V50*INDEX(STDLIGHT[Coincident Peak Demand Savings (kW/unit)],MATCH('M03-S02'!G50,STDLIGHT[Measure Name],0)),4)))),""))</f>
        <v/>
      </c>
      <c r="AX50" s="848" t="str">
        <f>IF(OR(C50="",G50="",M50="",O50="",R50="",T50="",V50="",X50="",Z50="",AC50="",AE50="",AG50=""),"",
IF(OR(ISNUMBER(SEARCH("Exterior",C50)),ISNUMBER(SEARCH("Parking",C50))),ROUND(R50*V50*X50/1000,4),
ROUND(R50*V50*X50/1000*INDEX(BUILDINGTYPE[Waste Heat Factor (e)],MATCH(M02S04F19,BUILDINGTYPE[Building Type],0)),4)))</f>
        <v/>
      </c>
      <c r="AY50" s="848" t="str">
        <f>IF(OR(C50="",G50="",M50="",O50="",R50="",T50="",V50="",X50="",Z50="",AC50="",AE50="",AG50=""),"",
IF(OR(ISNUMBER(SEARCH("Exterior",C50)),ISNUMBER(SEARCH("Parking",C50))),ROUND(T50*V50*X50/1000,4),
ROUND(T50*V50*X50/1000*INDEX(BUILDINGTYPE[Waste Heat Factor (e)],MATCH(M02S04F19,BUILDINGTYPE[Building Type],0)),4)))</f>
        <v/>
      </c>
      <c r="AZ50" s="854" t="str">
        <f>IFERROR(IF(OR(C50="",G50="",M50="",O50="",R50="",T50="",V50="",X50="",Z50="",AC50="",AE50="",AG50=""),"",INDEX(STDLIGHT[End Use],MATCH(G50,STDLIGHT[Measure Name],0))),"Err")</f>
        <v/>
      </c>
      <c r="BA50" s="850" t="str">
        <f>IFERROR(IF(OR(C50="",G50="",M50="",O50="",R50="",T50="",V50="",X50="",Z50="",AC50="",AE50="",AG50=""),"",
IF(AX50&lt;=AY50,0,
IF(OR(ISNUMBER(SEARCH("Exterior",C50)),ISNUMBER(SEARCH("Parking",C50))),ROUND((R50-T50)*V50*X50/1000,4),
ROUND((R50-T50)*V50*X50/1000*INDEX(BUILDINGTYPE[Waste Heat Factor (e)],MATCH(M02S04F19,BUILDINGTYPE[Building Type],0)),4)))),"")</f>
        <v/>
      </c>
      <c r="BB50" s="846" t="str">
        <f>IFERROR(IF(OR(C50="",G50="",M50="",O50="",R50="",T50="",V50="",X50="",Z50="",AC50="",AE50="",AG50=""),"",
IF(AX50&lt;=AY50,0,
ROUND(BA50*INDEX(ENDUSEALL[Factor],MATCH(AZ50,ENDUSEALL[End Use to Coincident Peak Demand Factors],0)),4))),"")</f>
        <v/>
      </c>
      <c r="BC50" s="854" t="str">
        <f>IFERROR(IF(OR(C50="",G50="",M50="",O50="",R50="",T50="",V50="",X50="",Z50="",AC50="",AE50="",AG50="",ISNUMBER(AN50)=FALSE,AN50=0),"",INDEX(STDLIGHT[Measure Number],MATCH(G50,STDLIGHT[Measure Name],0))),"Err")</f>
        <v/>
      </c>
      <c r="BD50" s="854" t="str">
        <f>IFERROR(IF(OR(C50="",G50="",M50="",O50="",R50="",T50="",V50="",X50="",Z50="",AC50="",AE50="",AG50=""),"",
IF(BI50&gt;0,"",
IF(EXPIRATION&lt;&gt;"",PROJSTATEXP,
IF(M02S04F19="",MEASUREBLDG,
IF(AX50&lt;=AY50,MEASURESAVE,""))))),MEASURESUBMIT)</f>
        <v/>
      </c>
      <c r="BE50" s="928" t="str">
        <f>IFERROR(INDEX(STDLIGHT[Measure Life (Years)],MATCH(G50,STDLIGHT[Measure Name],0)),"")</f>
        <v/>
      </c>
      <c r="BF50" s="930" t="str">
        <f>IFERROR(IF(OR(C50="",G50="",M50="",O50="",R50="",T50="",V50="",X50="",Z50="",AC50="",AE50="",AG50=""),"",
ROUND(((1+ELOSS)*((BA50*INDEX(ELECCB[NPV AEC $/kWh],MATCH(BE50,ELECCB[Year Number],1)))+(BB50*INDEX(ELECCB[NPV ACC $/kW],MATCH(BE50,ELECCB[Year Number],1))))),2)),0)</f>
        <v/>
      </c>
      <c r="BG50" s="937"/>
      <c r="BH50" s="934" t="str">
        <f>IFERROR(IF(OR(C50="",G50="",M50="",O50="",R50="",T50="",V50="",X50="",Z50="",AC50="",AE50="",AG50=""),"",INDEX(STDLIGHT[Reporting Methodology],MATCH(G50,STDLIGHT[Measure Name],0))),"Err")</f>
        <v/>
      </c>
      <c r="BI50" s="939"/>
    </row>
    <row r="51" spans="2:61" ht="15.95" customHeight="1">
      <c r="B51" s="905"/>
      <c r="C51" s="827"/>
      <c r="D51" s="828"/>
      <c r="E51" s="828"/>
      <c r="F51" s="829"/>
      <c r="G51" s="838"/>
      <c r="H51" s="839"/>
      <c r="I51" s="839"/>
      <c r="J51" s="839"/>
      <c r="K51" s="839"/>
      <c r="L51" s="839"/>
      <c r="M51" s="827"/>
      <c r="N51" s="829"/>
      <c r="O51" s="827"/>
      <c r="P51" s="828"/>
      <c r="Q51" s="829"/>
      <c r="R51" s="885"/>
      <c r="S51" s="885"/>
      <c r="T51" s="886"/>
      <c r="U51" s="886"/>
      <c r="V51" s="888"/>
      <c r="W51" s="888"/>
      <c r="X51" s="866"/>
      <c r="Y51" s="866"/>
      <c r="Z51" s="833"/>
      <c r="AA51" s="834"/>
      <c r="AB51" s="835"/>
      <c r="AC51" s="904"/>
      <c r="AD51" s="827"/>
      <c r="AE51" s="867"/>
      <c r="AF51" s="868"/>
      <c r="AG51" s="868"/>
      <c r="AH51" s="869"/>
      <c r="AI51" s="898"/>
      <c r="AJ51" s="899"/>
      <c r="AK51" s="901"/>
      <c r="AL51" s="901"/>
      <c r="AM51" s="901"/>
      <c r="AN51" s="899"/>
      <c r="AO51" s="903"/>
      <c r="AP51" s="903"/>
      <c r="AQ51" s="903"/>
      <c r="AR51" s="235"/>
      <c r="AS51" s="235"/>
      <c r="AT51" s="853"/>
      <c r="AU51" s="855"/>
      <c r="AV51" s="851"/>
      <c r="AW51" s="851"/>
      <c r="AX51" s="849"/>
      <c r="AY51" s="849"/>
      <c r="AZ51" s="855"/>
      <c r="BA51" s="851"/>
      <c r="BB51" s="847"/>
      <c r="BC51" s="855"/>
      <c r="BD51" s="855"/>
      <c r="BE51" s="929"/>
      <c r="BF51" s="931"/>
      <c r="BG51" s="938"/>
      <c r="BH51" s="934"/>
      <c r="BI51" s="939"/>
    </row>
    <row r="52" spans="2:61" ht="15.95" customHeight="1">
      <c r="B52" s="905">
        <v>18</v>
      </c>
      <c r="C52" s="833"/>
      <c r="D52" s="834"/>
      <c r="E52" s="834"/>
      <c r="F52" s="835"/>
      <c r="G52" s="840"/>
      <c r="H52" s="841"/>
      <c r="I52" s="841"/>
      <c r="J52" s="841"/>
      <c r="K52" s="841"/>
      <c r="L52" s="841"/>
      <c r="M52" s="833"/>
      <c r="N52" s="835"/>
      <c r="O52" s="833"/>
      <c r="P52" s="834"/>
      <c r="Q52" s="835"/>
      <c r="R52" s="884"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884"/>
      <c r="T52" s="886" t="str">
        <f t="shared" ref="T52" si="50">IF(C52="Permanent Lamp Removal",0,"")</f>
        <v/>
      </c>
      <c r="U52" s="886"/>
      <c r="V52" s="887"/>
      <c r="W52" s="887"/>
      <c r="X52" s="865"/>
      <c r="Y52" s="865"/>
      <c r="Z52" s="917"/>
      <c r="AA52" s="918"/>
      <c r="AB52" s="919"/>
      <c r="AC52" s="906"/>
      <c r="AD52" s="833"/>
      <c r="AE52" s="889"/>
      <c r="AF52" s="890"/>
      <c r="AG52" s="890"/>
      <c r="AH52" s="891"/>
      <c r="AI52" s="896" t="str">
        <f>IFERROR(IF(G52="","",IF(C52&lt;&gt;INDEX(STDLIGHT[Eff Category 1],MATCH(G52,STDLIGHT[Measure Name],0)),0,INDEX(STDLIGHT[Current Incentive],MATCH('M03-S02'!G52,STDLIGHT[Measure Name],0)))),"")</f>
        <v/>
      </c>
      <c r="AJ52" s="897"/>
      <c r="AK52" s="900" t="str">
        <f t="shared" ref="AK52" si="51">IFERROR(IF(OR(C52="",G52="",M52="",O52="",R52="",T52="",V52="",X52="",Z52="",AC52="",AE52="",AG52=""),"",IF(BH52="Deemed",AV52,IF(BH52="Calculated",BA52,""))),"")</f>
        <v/>
      </c>
      <c r="AL52" s="900"/>
      <c r="AM52" s="900"/>
      <c r="AN52" s="897" t="str">
        <f t="shared" ref="AN52" si="52">IFERROR(IF(OR(C52="",G52="",M52="",O52="",R52="",T52="",V52="",X52="",Z52="",AC52="",AE52="",AG52=""),"",IF(BD52&lt;&gt;"",BD52,IF(BI52&gt;0,BI52,ROUND(IF(AK52&lt;=0,0,MIN(AT52,V52*AI52)),2)))),"")</f>
        <v/>
      </c>
      <c r="AO52" s="902"/>
      <c r="AP52" s="902"/>
      <c r="AQ52" s="902"/>
      <c r="AR52" s="235"/>
      <c r="AS52" s="235"/>
      <c r="AT52" s="852" t="str">
        <f t="shared" ref="AT52" si="53">IF(OR(C52="",G52="",M52="",O52="",R52="",T52="",V52="",X52="",Z52="",AC52="",AE52="",AG52=""),"",IF(AK52=0,"",ROUND(AE52+AG52,2)))</f>
        <v/>
      </c>
      <c r="AU52" s="854" t="str">
        <f>IFERROR(IF(OR(C52="",G52="",M52="",O52="",R52="",T52="",V52="",X52="",Z52="",AC52="",AE52="",AG52=""),"",INDEX(STDLIGHT[Current Unit],MATCH(G52,STDLIGHT[Measure Name],0))),"Err")</f>
        <v/>
      </c>
      <c r="AV52" s="850" t="str">
        <f>IF(OR(C52="",G52="",M52="",O52="",R52="",T52="",V52="",X52="",Z52="",AC52="",AE52="",AG52=""),"",IFERROR(IF(G52="","",IF(C52&lt;&gt;INDEX(STDLIGHT[Eff Category 1],MATCH(G52,STDLIGHT[Measure Name],0)),0,
IF(AX52&lt;=AY52,0,
ROUND(V52*INDEX(STDLIGHT[Electric Energy Savings (Annual kWh/unit)],MATCH('M03-S02'!G52,STDLIGHT[Measure Name],0)),4)))),""))</f>
        <v/>
      </c>
      <c r="AW52" s="850" t="str">
        <f>IF(OR(C52="",G52="",M52="",O52="",R52="",T52="",V52="",X52="",Z52="",AC52="",AE52="",AG52=""),"",IFERROR(IF(G52="","",IF(C52&lt;&gt;INDEX(STDLIGHT[Eff Category 1],MATCH(G52,STDLIGHT[Measure Name],0)),0,
IF(AX52&lt;=AY52,0,
ROUND(V52*INDEX(STDLIGHT[Coincident Peak Demand Savings (kW/unit)],MATCH('M03-S02'!G52,STDLIGHT[Measure Name],0)),4)))),""))</f>
        <v/>
      </c>
      <c r="AX52" s="848" t="str">
        <f>IF(OR(C52="",G52="",M52="",O52="",R52="",T52="",V52="",X52="",Z52="",AC52="",AE52="",AG52=""),"",
IF(OR(ISNUMBER(SEARCH("Exterior",C52)),ISNUMBER(SEARCH("Parking",C52))),ROUND(R52*V52*X52/1000,4),
ROUND(R52*V52*X52/1000*INDEX(BUILDINGTYPE[Waste Heat Factor (e)],MATCH(M02S04F19,BUILDINGTYPE[Building Type],0)),4)))</f>
        <v/>
      </c>
      <c r="AY52" s="848" t="str">
        <f>IF(OR(C52="",G52="",M52="",O52="",R52="",T52="",V52="",X52="",Z52="",AC52="",AE52="",AG52=""),"",
IF(OR(ISNUMBER(SEARCH("Exterior",C52)),ISNUMBER(SEARCH("Parking",C52))),ROUND(T52*V52*X52/1000,4),
ROUND(T52*V52*X52/1000*INDEX(BUILDINGTYPE[Waste Heat Factor (e)],MATCH(M02S04F19,BUILDINGTYPE[Building Type],0)),4)))</f>
        <v/>
      </c>
      <c r="AZ52" s="854" t="str">
        <f>IFERROR(IF(OR(C52="",G52="",M52="",O52="",R52="",T52="",V52="",X52="",Z52="",AC52="",AE52="",AG52=""),"",INDEX(STDLIGHT[End Use],MATCH(G52,STDLIGHT[Measure Name],0))),"Err")</f>
        <v/>
      </c>
      <c r="BA52" s="850" t="str">
        <f>IFERROR(IF(OR(C52="",G52="",M52="",O52="",R52="",T52="",V52="",X52="",Z52="",AC52="",AE52="",AG52=""),"",
IF(AX52&lt;=AY52,0,
IF(OR(ISNUMBER(SEARCH("Exterior",C52)),ISNUMBER(SEARCH("Parking",C52))),ROUND((R52-T52)*V52*X52/1000,4),
ROUND((R52-T52)*V52*X52/1000*INDEX(BUILDINGTYPE[Waste Heat Factor (e)],MATCH(M02S04F19,BUILDINGTYPE[Building Type],0)),4)))),"")</f>
        <v/>
      </c>
      <c r="BB52" s="846" t="str">
        <f>IFERROR(IF(OR(C52="",G52="",M52="",O52="",R52="",T52="",V52="",X52="",Z52="",AC52="",AE52="",AG52=""),"",
IF(AX52&lt;=AY52,0,
ROUND(BA52*INDEX(ENDUSEALL[Factor],MATCH(AZ52,ENDUSEALL[End Use to Coincident Peak Demand Factors],0)),4))),"")</f>
        <v/>
      </c>
      <c r="BC52" s="854" t="str">
        <f>IFERROR(IF(OR(C52="",G52="",M52="",O52="",R52="",T52="",V52="",X52="",Z52="",AC52="",AE52="",AG52="",ISNUMBER(AN52)=FALSE,AN52=0),"",INDEX(STDLIGHT[Measure Number],MATCH(G52,STDLIGHT[Measure Name],0))),"Err")</f>
        <v/>
      </c>
      <c r="BD52" s="854" t="str">
        <f>IFERROR(IF(OR(C52="",G52="",M52="",O52="",R52="",T52="",V52="",X52="",Z52="",AC52="",AE52="",AG52=""),"",
IF(BI52&gt;0,"",
IF(EXPIRATION&lt;&gt;"",PROJSTATEXP,
IF(M02S04F19="",MEASUREBLDG,
IF(AX52&lt;=AY52,MEASURESAVE,""))))),MEASURESUBMIT)</f>
        <v/>
      </c>
      <c r="BE52" s="928" t="str">
        <f>IFERROR(INDEX(STDLIGHT[Measure Life (Years)],MATCH(G52,STDLIGHT[Measure Name],0)),"")</f>
        <v/>
      </c>
      <c r="BF52" s="930" t="str">
        <f>IFERROR(IF(OR(C52="",G52="",M52="",O52="",R52="",T52="",V52="",X52="",Z52="",AC52="",AE52="",AG52=""),"",
ROUND(((1+ELOSS)*((BA52*INDEX(ELECCB[NPV AEC $/kWh],MATCH(BE52,ELECCB[Year Number],1)))+(BB52*INDEX(ELECCB[NPV ACC $/kW],MATCH(BE52,ELECCB[Year Number],1))))),2)),0)</f>
        <v/>
      </c>
      <c r="BG52" s="937"/>
      <c r="BH52" s="934" t="str">
        <f>IFERROR(IF(OR(C52="",G52="",M52="",O52="",R52="",T52="",V52="",X52="",Z52="",AC52="",AE52="",AG52=""),"",INDEX(STDLIGHT[Reporting Methodology],MATCH(G52,STDLIGHT[Measure Name],0))),"Err")</f>
        <v/>
      </c>
      <c r="BI52" s="939"/>
    </row>
    <row r="53" spans="2:61" ht="15.95" customHeight="1">
      <c r="B53" s="905"/>
      <c r="C53" s="827"/>
      <c r="D53" s="828"/>
      <c r="E53" s="828"/>
      <c r="F53" s="829"/>
      <c r="G53" s="838"/>
      <c r="H53" s="839"/>
      <c r="I53" s="839"/>
      <c r="J53" s="839"/>
      <c r="K53" s="839"/>
      <c r="L53" s="839"/>
      <c r="M53" s="827"/>
      <c r="N53" s="829"/>
      <c r="O53" s="827"/>
      <c r="P53" s="828"/>
      <c r="Q53" s="829"/>
      <c r="R53" s="885"/>
      <c r="S53" s="885"/>
      <c r="T53" s="886"/>
      <c r="U53" s="886"/>
      <c r="V53" s="888"/>
      <c r="W53" s="888"/>
      <c r="X53" s="866"/>
      <c r="Y53" s="866"/>
      <c r="Z53" s="833"/>
      <c r="AA53" s="834"/>
      <c r="AB53" s="835"/>
      <c r="AC53" s="904"/>
      <c r="AD53" s="827"/>
      <c r="AE53" s="867"/>
      <c r="AF53" s="868"/>
      <c r="AG53" s="868"/>
      <c r="AH53" s="869"/>
      <c r="AI53" s="898"/>
      <c r="AJ53" s="899"/>
      <c r="AK53" s="901"/>
      <c r="AL53" s="901"/>
      <c r="AM53" s="901"/>
      <c r="AN53" s="899"/>
      <c r="AO53" s="903"/>
      <c r="AP53" s="903"/>
      <c r="AQ53" s="903"/>
      <c r="AR53" s="235"/>
      <c r="AS53" s="235"/>
      <c r="AT53" s="853"/>
      <c r="AU53" s="855"/>
      <c r="AV53" s="851"/>
      <c r="AW53" s="851"/>
      <c r="AX53" s="849"/>
      <c r="AY53" s="849"/>
      <c r="AZ53" s="855"/>
      <c r="BA53" s="851"/>
      <c r="BB53" s="847"/>
      <c r="BC53" s="855"/>
      <c r="BD53" s="855"/>
      <c r="BE53" s="929"/>
      <c r="BF53" s="931"/>
      <c r="BG53" s="938"/>
      <c r="BH53" s="934"/>
      <c r="BI53" s="939"/>
    </row>
    <row r="54" spans="2:61" ht="15.95" customHeight="1">
      <c r="B54" s="905">
        <v>19</v>
      </c>
      <c r="C54" s="833"/>
      <c r="D54" s="834"/>
      <c r="E54" s="834"/>
      <c r="F54" s="835"/>
      <c r="G54" s="840"/>
      <c r="H54" s="841"/>
      <c r="I54" s="841"/>
      <c r="J54" s="841"/>
      <c r="K54" s="841"/>
      <c r="L54" s="841"/>
      <c r="M54" s="833"/>
      <c r="N54" s="835"/>
      <c r="O54" s="833"/>
      <c r="P54" s="834"/>
      <c r="Q54" s="835"/>
      <c r="R54" s="884"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884"/>
      <c r="T54" s="886" t="str">
        <f t="shared" ref="T54" si="54">IF(C54="Permanent Lamp Removal",0,"")</f>
        <v/>
      </c>
      <c r="U54" s="886"/>
      <c r="V54" s="887"/>
      <c r="W54" s="887"/>
      <c r="X54" s="865"/>
      <c r="Y54" s="865"/>
      <c r="Z54" s="917"/>
      <c r="AA54" s="918"/>
      <c r="AB54" s="919"/>
      <c r="AC54" s="906"/>
      <c r="AD54" s="833"/>
      <c r="AE54" s="889"/>
      <c r="AF54" s="890"/>
      <c r="AG54" s="890"/>
      <c r="AH54" s="891"/>
      <c r="AI54" s="896" t="str">
        <f>IFERROR(IF(G54="","",IF(C54&lt;&gt;INDEX(STDLIGHT[Eff Category 1],MATCH(G54,STDLIGHT[Measure Name],0)),0,INDEX(STDLIGHT[Current Incentive],MATCH('M03-S02'!G54,STDLIGHT[Measure Name],0)))),"")</f>
        <v/>
      </c>
      <c r="AJ54" s="897"/>
      <c r="AK54" s="900" t="str">
        <f t="shared" ref="AK54" si="55">IFERROR(IF(OR(C54="",G54="",M54="",O54="",R54="",T54="",V54="",X54="",Z54="",AC54="",AE54="",AG54=""),"",IF(BH54="Deemed",AV54,IF(BH54="Calculated",BA54,""))),"")</f>
        <v/>
      </c>
      <c r="AL54" s="900"/>
      <c r="AM54" s="900"/>
      <c r="AN54" s="897" t="str">
        <f t="shared" ref="AN54" si="56">IFERROR(IF(OR(C54="",G54="",M54="",O54="",R54="",T54="",V54="",X54="",Z54="",AC54="",AE54="",AG54=""),"",IF(BD54&lt;&gt;"",BD54,IF(BI54&gt;0,BI54,ROUND(IF(AK54&lt;=0,0,MIN(AT54,V54*AI54)),2)))),"")</f>
        <v/>
      </c>
      <c r="AO54" s="902"/>
      <c r="AP54" s="902"/>
      <c r="AQ54" s="902"/>
      <c r="AR54" s="235"/>
      <c r="AS54" s="235"/>
      <c r="AT54" s="852" t="str">
        <f t="shared" ref="AT54" si="57">IF(OR(C54="",G54="",M54="",O54="",R54="",T54="",V54="",X54="",Z54="",AC54="",AE54="",AG54=""),"",IF(AK54=0,"",ROUND(AE54+AG54,2)))</f>
        <v/>
      </c>
      <c r="AU54" s="854" t="str">
        <f>IFERROR(IF(OR(C54="",G54="",M54="",O54="",R54="",T54="",V54="",X54="",Z54="",AC54="",AE54="",AG54=""),"",INDEX(STDLIGHT[Current Unit],MATCH(G54,STDLIGHT[Measure Name],0))),"Err")</f>
        <v/>
      </c>
      <c r="AV54" s="850" t="str">
        <f>IF(OR(C54="",G54="",M54="",O54="",R54="",T54="",V54="",X54="",Z54="",AC54="",AE54="",AG54=""),"",IFERROR(IF(G54="","",IF(C54&lt;&gt;INDEX(STDLIGHT[Eff Category 1],MATCH(G54,STDLIGHT[Measure Name],0)),0,
IF(AX54&lt;=AY54,0,
ROUND(V54*INDEX(STDLIGHT[Electric Energy Savings (Annual kWh/unit)],MATCH('M03-S02'!G54,STDLIGHT[Measure Name],0)),4)))),""))</f>
        <v/>
      </c>
      <c r="AW54" s="850" t="str">
        <f>IF(OR(C54="",G54="",M54="",O54="",R54="",T54="",V54="",X54="",Z54="",AC54="",AE54="",AG54=""),"",IFERROR(IF(G54="","",IF(C54&lt;&gt;INDEX(STDLIGHT[Eff Category 1],MATCH(G54,STDLIGHT[Measure Name],0)),0,
IF(AX54&lt;=AY54,0,
ROUND(V54*INDEX(STDLIGHT[Coincident Peak Demand Savings (kW/unit)],MATCH('M03-S02'!G54,STDLIGHT[Measure Name],0)),4)))),""))</f>
        <v/>
      </c>
      <c r="AX54" s="848" t="str">
        <f>IF(OR(C54="",G54="",M54="",O54="",R54="",T54="",V54="",X54="",Z54="",AC54="",AE54="",AG54=""),"",
IF(OR(ISNUMBER(SEARCH("Exterior",C54)),ISNUMBER(SEARCH("Parking",C54))),ROUND(R54*V54*X54/1000,4),
ROUND(R54*V54*X54/1000*INDEX(BUILDINGTYPE[Waste Heat Factor (e)],MATCH(M02S04F19,BUILDINGTYPE[Building Type],0)),4)))</f>
        <v/>
      </c>
      <c r="AY54" s="848" t="str">
        <f>IF(OR(C54="",G54="",M54="",O54="",R54="",T54="",V54="",X54="",Z54="",AC54="",AE54="",AG54=""),"",
IF(OR(ISNUMBER(SEARCH("Exterior",C54)),ISNUMBER(SEARCH("Parking",C54))),ROUND(T54*V54*X54/1000,4),
ROUND(T54*V54*X54/1000*INDEX(BUILDINGTYPE[Waste Heat Factor (e)],MATCH(M02S04F19,BUILDINGTYPE[Building Type],0)),4)))</f>
        <v/>
      </c>
      <c r="AZ54" s="854" t="str">
        <f>IFERROR(IF(OR(C54="",G54="",M54="",O54="",R54="",T54="",V54="",X54="",Z54="",AC54="",AE54="",AG54=""),"",INDEX(STDLIGHT[End Use],MATCH(G54,STDLIGHT[Measure Name],0))),"Err")</f>
        <v/>
      </c>
      <c r="BA54" s="850" t="str">
        <f>IFERROR(IF(OR(C54="",G54="",M54="",O54="",R54="",T54="",V54="",X54="",Z54="",AC54="",AE54="",AG54=""),"",
IF(AX54&lt;=AY54,0,
IF(OR(ISNUMBER(SEARCH("Exterior",C54)),ISNUMBER(SEARCH("Parking",C54))),ROUND((R54-T54)*V54*X54/1000,4),
ROUND((R54-T54)*V54*X54/1000*INDEX(BUILDINGTYPE[Waste Heat Factor (e)],MATCH(M02S04F19,BUILDINGTYPE[Building Type],0)),4)))),"")</f>
        <v/>
      </c>
      <c r="BB54" s="846" t="str">
        <f>IFERROR(IF(OR(C54="",G54="",M54="",O54="",R54="",T54="",V54="",X54="",Z54="",AC54="",AE54="",AG54=""),"",
IF(AX54&lt;=AY54,0,
ROUND(BA54*INDEX(ENDUSEALL[Factor],MATCH(AZ54,ENDUSEALL[End Use to Coincident Peak Demand Factors],0)),4))),"")</f>
        <v/>
      </c>
      <c r="BC54" s="854" t="str">
        <f>IFERROR(IF(OR(C54="",G54="",M54="",O54="",R54="",T54="",V54="",X54="",Z54="",AC54="",AE54="",AG54="",ISNUMBER(AN54)=FALSE,AN54=0),"",INDEX(STDLIGHT[Measure Number],MATCH(G54,STDLIGHT[Measure Name],0))),"Err")</f>
        <v/>
      </c>
      <c r="BD54" s="854" t="str">
        <f>IFERROR(IF(OR(C54="",G54="",M54="",O54="",R54="",T54="",V54="",X54="",Z54="",AC54="",AE54="",AG54=""),"",
IF(BI54&gt;0,"",
IF(EXPIRATION&lt;&gt;"",PROJSTATEXP,
IF(M02S04F19="",MEASUREBLDG,
IF(AX54&lt;=AY54,MEASURESAVE,""))))),MEASURESUBMIT)</f>
        <v/>
      </c>
      <c r="BE54" s="928" t="str">
        <f>IFERROR(INDEX(STDLIGHT[Measure Life (Years)],MATCH(G54,STDLIGHT[Measure Name],0)),"")</f>
        <v/>
      </c>
      <c r="BF54" s="930" t="str">
        <f>IFERROR(IF(OR(C54="",G54="",M54="",O54="",R54="",T54="",V54="",X54="",Z54="",AC54="",AE54="",AG54=""),"",
ROUND(((1+ELOSS)*((BA54*INDEX(ELECCB[NPV AEC $/kWh],MATCH(BE54,ELECCB[Year Number],1)))+(BB54*INDEX(ELECCB[NPV ACC $/kW],MATCH(BE54,ELECCB[Year Number],1))))),2)),0)</f>
        <v/>
      </c>
      <c r="BG54" s="937"/>
      <c r="BH54" s="934" t="str">
        <f>IFERROR(IF(OR(C54="",G54="",M54="",O54="",R54="",T54="",V54="",X54="",Z54="",AC54="",AE54="",AG54=""),"",INDEX(STDLIGHT[Reporting Methodology],MATCH(G54,STDLIGHT[Measure Name],0))),"Err")</f>
        <v/>
      </c>
      <c r="BI54" s="939"/>
    </row>
    <row r="55" spans="2:61" ht="15.95" customHeight="1">
      <c r="B55" s="905"/>
      <c r="C55" s="827"/>
      <c r="D55" s="828"/>
      <c r="E55" s="828"/>
      <c r="F55" s="829"/>
      <c r="G55" s="838"/>
      <c r="H55" s="839"/>
      <c r="I55" s="839"/>
      <c r="J55" s="839"/>
      <c r="K55" s="839"/>
      <c r="L55" s="839"/>
      <c r="M55" s="827"/>
      <c r="N55" s="829"/>
      <c r="O55" s="827"/>
      <c r="P55" s="828"/>
      <c r="Q55" s="829"/>
      <c r="R55" s="885"/>
      <c r="S55" s="885"/>
      <c r="T55" s="886"/>
      <c r="U55" s="886"/>
      <c r="V55" s="888"/>
      <c r="W55" s="888"/>
      <c r="X55" s="866"/>
      <c r="Y55" s="866"/>
      <c r="Z55" s="833"/>
      <c r="AA55" s="834"/>
      <c r="AB55" s="835"/>
      <c r="AC55" s="904"/>
      <c r="AD55" s="827"/>
      <c r="AE55" s="867"/>
      <c r="AF55" s="868"/>
      <c r="AG55" s="868"/>
      <c r="AH55" s="869"/>
      <c r="AI55" s="898"/>
      <c r="AJ55" s="899"/>
      <c r="AK55" s="901"/>
      <c r="AL55" s="901"/>
      <c r="AM55" s="901"/>
      <c r="AN55" s="899"/>
      <c r="AO55" s="903"/>
      <c r="AP55" s="903"/>
      <c r="AQ55" s="903"/>
      <c r="AR55" s="235"/>
      <c r="AS55" s="235"/>
      <c r="AT55" s="853"/>
      <c r="AU55" s="855"/>
      <c r="AV55" s="851"/>
      <c r="AW55" s="851"/>
      <c r="AX55" s="849"/>
      <c r="AY55" s="849"/>
      <c r="AZ55" s="855"/>
      <c r="BA55" s="851"/>
      <c r="BB55" s="847"/>
      <c r="BC55" s="855"/>
      <c r="BD55" s="855"/>
      <c r="BE55" s="929"/>
      <c r="BF55" s="931"/>
      <c r="BG55" s="938"/>
      <c r="BH55" s="934"/>
      <c r="BI55" s="939"/>
    </row>
    <row r="56" spans="2:61" ht="15.95" customHeight="1">
      <c r="B56" s="905">
        <v>20</v>
      </c>
      <c r="C56" s="833"/>
      <c r="D56" s="834"/>
      <c r="E56" s="834"/>
      <c r="F56" s="835"/>
      <c r="G56" s="840"/>
      <c r="H56" s="841"/>
      <c r="I56" s="841"/>
      <c r="J56" s="841"/>
      <c r="K56" s="841"/>
      <c r="L56" s="841"/>
      <c r="M56" s="833"/>
      <c r="N56" s="835"/>
      <c r="O56" s="833"/>
      <c r="P56" s="834"/>
      <c r="Q56" s="835"/>
      <c r="R56" s="884"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884"/>
      <c r="T56" s="886" t="str">
        <f t="shared" ref="T56" si="58">IF(C56="Permanent Lamp Removal",0,"")</f>
        <v/>
      </c>
      <c r="U56" s="886"/>
      <c r="V56" s="887"/>
      <c r="W56" s="887"/>
      <c r="X56" s="865"/>
      <c r="Y56" s="865"/>
      <c r="Z56" s="917"/>
      <c r="AA56" s="918"/>
      <c r="AB56" s="919"/>
      <c r="AC56" s="906"/>
      <c r="AD56" s="833"/>
      <c r="AE56" s="889"/>
      <c r="AF56" s="890"/>
      <c r="AG56" s="890"/>
      <c r="AH56" s="891"/>
      <c r="AI56" s="896" t="str">
        <f>IFERROR(IF(G56="","",IF(C56&lt;&gt;INDEX(STDLIGHT[Eff Category 1],MATCH(G56,STDLIGHT[Measure Name],0)),0,INDEX(STDLIGHT[Current Incentive],MATCH('M03-S02'!G56,STDLIGHT[Measure Name],0)))),"")</f>
        <v/>
      </c>
      <c r="AJ56" s="897"/>
      <c r="AK56" s="900" t="str">
        <f t="shared" ref="AK56" si="59">IFERROR(IF(OR(C56="",G56="",M56="",O56="",R56="",T56="",V56="",X56="",Z56="",AC56="",AE56="",AG56=""),"",IF(BH56="Deemed",AV56,IF(BH56="Calculated",BA56,""))),"")</f>
        <v/>
      </c>
      <c r="AL56" s="900"/>
      <c r="AM56" s="900"/>
      <c r="AN56" s="897" t="str">
        <f t="shared" ref="AN56" si="60">IFERROR(IF(OR(C56="",G56="",M56="",O56="",R56="",T56="",V56="",X56="",Z56="",AC56="",AE56="",AG56=""),"",IF(BD56&lt;&gt;"",BD56,IF(BI56&gt;0,BI56,ROUND(IF(AK56&lt;=0,0,MIN(AT56,V56*AI56)),2)))),"")</f>
        <v/>
      </c>
      <c r="AO56" s="902"/>
      <c r="AP56" s="902"/>
      <c r="AQ56" s="902"/>
      <c r="AR56" s="235"/>
      <c r="AS56" s="235"/>
      <c r="AT56" s="852" t="str">
        <f t="shared" ref="AT56" si="61">IF(OR(C56="",G56="",M56="",O56="",R56="",T56="",V56="",X56="",Z56="",AC56="",AE56="",AG56=""),"",IF(AK56=0,"",ROUND(AE56+AG56,2)))</f>
        <v/>
      </c>
      <c r="AU56" s="854" t="str">
        <f>IFERROR(IF(OR(C56="",G56="",M56="",O56="",R56="",T56="",V56="",X56="",Z56="",AC56="",AE56="",AG56=""),"",INDEX(STDLIGHT[Current Unit],MATCH(G56,STDLIGHT[Measure Name],0))),"Err")</f>
        <v/>
      </c>
      <c r="AV56" s="850" t="str">
        <f>IF(OR(C56="",G56="",M56="",O56="",R56="",T56="",V56="",X56="",Z56="",AC56="",AE56="",AG56=""),"",IFERROR(IF(G56="","",IF(C56&lt;&gt;INDEX(STDLIGHT[Eff Category 1],MATCH(G56,STDLIGHT[Measure Name],0)),0,
IF(AX56&lt;=AY56,0,
ROUND(V56*INDEX(STDLIGHT[Electric Energy Savings (Annual kWh/unit)],MATCH('M03-S02'!G56,STDLIGHT[Measure Name],0)),4)))),""))</f>
        <v/>
      </c>
      <c r="AW56" s="850" t="str">
        <f>IF(OR(C56="",G56="",M56="",O56="",R56="",T56="",V56="",X56="",Z56="",AC56="",AE56="",AG56=""),"",IFERROR(IF(G56="","",IF(C56&lt;&gt;INDEX(STDLIGHT[Eff Category 1],MATCH(G56,STDLIGHT[Measure Name],0)),0,
IF(AX56&lt;=AY56,0,
ROUND(V56*INDEX(STDLIGHT[Coincident Peak Demand Savings (kW/unit)],MATCH('M03-S02'!G56,STDLIGHT[Measure Name],0)),4)))),""))</f>
        <v/>
      </c>
      <c r="AX56" s="848" t="str">
        <f>IF(OR(C56="",G56="",M56="",O56="",R56="",T56="",V56="",X56="",Z56="",AC56="",AE56="",AG56=""),"",
IF(OR(ISNUMBER(SEARCH("Exterior",C56)),ISNUMBER(SEARCH("Parking",C56))),ROUND(R56*V56*X56/1000,4),
ROUND(R56*V56*X56/1000*INDEX(BUILDINGTYPE[Waste Heat Factor (e)],MATCH(M02S04F19,BUILDINGTYPE[Building Type],0)),4)))</f>
        <v/>
      </c>
      <c r="AY56" s="848" t="str">
        <f>IF(OR(C56="",G56="",M56="",O56="",R56="",T56="",V56="",X56="",Z56="",AC56="",AE56="",AG56=""),"",
IF(OR(ISNUMBER(SEARCH("Exterior",C56)),ISNUMBER(SEARCH("Parking",C56))),ROUND(T56*V56*X56/1000,4),
ROUND(T56*V56*X56/1000*INDEX(BUILDINGTYPE[Waste Heat Factor (e)],MATCH(M02S04F19,BUILDINGTYPE[Building Type],0)),4)))</f>
        <v/>
      </c>
      <c r="AZ56" s="854" t="str">
        <f>IFERROR(IF(OR(C56="",G56="",M56="",O56="",R56="",T56="",V56="",X56="",Z56="",AC56="",AE56="",AG56=""),"",INDEX(STDLIGHT[End Use],MATCH(G56,STDLIGHT[Measure Name],0))),"Err")</f>
        <v/>
      </c>
      <c r="BA56" s="850" t="str">
        <f>IFERROR(IF(OR(C56="",G56="",M56="",O56="",R56="",T56="",V56="",X56="",Z56="",AC56="",AE56="",AG56=""),"",
IF(AX56&lt;=AY56,0,
IF(OR(ISNUMBER(SEARCH("Exterior",C56)),ISNUMBER(SEARCH("Parking",C56))),ROUND((R56-T56)*V56*X56/1000,4),
ROUND((R56-T56)*V56*X56/1000*INDEX(BUILDINGTYPE[Waste Heat Factor (e)],MATCH(M02S04F19,BUILDINGTYPE[Building Type],0)),4)))),"")</f>
        <v/>
      </c>
      <c r="BB56" s="846" t="str">
        <f>IFERROR(IF(OR(C56="",G56="",M56="",O56="",R56="",T56="",V56="",X56="",Z56="",AC56="",AE56="",AG56=""),"",
IF(AX56&lt;=AY56,0,
ROUND(BA56*INDEX(ENDUSEALL[Factor],MATCH(AZ56,ENDUSEALL[End Use to Coincident Peak Demand Factors],0)),4))),"")</f>
        <v/>
      </c>
      <c r="BC56" s="854" t="str">
        <f>IFERROR(IF(OR(C56="",G56="",M56="",O56="",R56="",T56="",V56="",X56="",Z56="",AC56="",AE56="",AG56="",ISNUMBER(AN56)=FALSE,AN56=0),"",INDEX(STDLIGHT[Measure Number],MATCH(G56,STDLIGHT[Measure Name],0))),"Err")</f>
        <v/>
      </c>
      <c r="BD56" s="854" t="str">
        <f>IFERROR(IF(OR(C56="",G56="",M56="",O56="",R56="",T56="",V56="",X56="",Z56="",AC56="",AE56="",AG56=""),"",
IF(BI56&gt;0,"",
IF(EXPIRATION&lt;&gt;"",PROJSTATEXP,
IF(M02S04F19="",MEASUREBLDG,
IF(AX56&lt;=AY56,MEASURESAVE,""))))),MEASURESUBMIT)</f>
        <v/>
      </c>
      <c r="BE56" s="928" t="str">
        <f>IFERROR(INDEX(STDLIGHT[Measure Life (Years)],MATCH(G56,STDLIGHT[Measure Name],0)),"")</f>
        <v/>
      </c>
      <c r="BF56" s="930" t="str">
        <f>IFERROR(IF(OR(C56="",G56="",M56="",O56="",R56="",T56="",V56="",X56="",Z56="",AC56="",AE56="",AG56=""),"",
ROUND(((1+ELOSS)*((BA56*INDEX(ELECCB[NPV AEC $/kWh],MATCH(BE56,ELECCB[Year Number],1)))+(BB56*INDEX(ELECCB[NPV ACC $/kW],MATCH(BE56,ELECCB[Year Number],1))))),2)),0)</f>
        <v/>
      </c>
      <c r="BG56" s="937"/>
      <c r="BH56" s="934" t="str">
        <f>IFERROR(IF(OR(C56="",G56="",M56="",O56="",R56="",T56="",V56="",X56="",Z56="",AC56="",AE56="",AG56=""),"",INDEX(STDLIGHT[Reporting Methodology],MATCH(G56,STDLIGHT[Measure Name],0))),"Err")</f>
        <v/>
      </c>
      <c r="BI56" s="939"/>
    </row>
    <row r="57" spans="2:61" ht="15.95" customHeight="1">
      <c r="B57" s="905"/>
      <c r="C57" s="827"/>
      <c r="D57" s="828"/>
      <c r="E57" s="828"/>
      <c r="F57" s="829"/>
      <c r="G57" s="838"/>
      <c r="H57" s="839"/>
      <c r="I57" s="839"/>
      <c r="J57" s="839"/>
      <c r="K57" s="839"/>
      <c r="L57" s="839"/>
      <c r="M57" s="827"/>
      <c r="N57" s="829"/>
      <c r="O57" s="827"/>
      <c r="P57" s="828"/>
      <c r="Q57" s="829"/>
      <c r="R57" s="885"/>
      <c r="S57" s="885"/>
      <c r="T57" s="886"/>
      <c r="U57" s="886"/>
      <c r="V57" s="888"/>
      <c r="W57" s="888"/>
      <c r="X57" s="866"/>
      <c r="Y57" s="866"/>
      <c r="Z57" s="833"/>
      <c r="AA57" s="834"/>
      <c r="AB57" s="835"/>
      <c r="AC57" s="904"/>
      <c r="AD57" s="827"/>
      <c r="AE57" s="867"/>
      <c r="AF57" s="868"/>
      <c r="AG57" s="868"/>
      <c r="AH57" s="869"/>
      <c r="AI57" s="898"/>
      <c r="AJ57" s="899"/>
      <c r="AK57" s="901"/>
      <c r="AL57" s="901"/>
      <c r="AM57" s="901"/>
      <c r="AN57" s="899"/>
      <c r="AO57" s="903"/>
      <c r="AP57" s="903"/>
      <c r="AQ57" s="903"/>
      <c r="AR57" s="235"/>
      <c r="AS57" s="235"/>
      <c r="AT57" s="853"/>
      <c r="AU57" s="855"/>
      <c r="AV57" s="851"/>
      <c r="AW57" s="851"/>
      <c r="AX57" s="849"/>
      <c r="AY57" s="849"/>
      <c r="AZ57" s="855"/>
      <c r="BA57" s="851"/>
      <c r="BB57" s="847"/>
      <c r="BC57" s="855"/>
      <c r="BD57" s="855"/>
      <c r="BE57" s="929"/>
      <c r="BF57" s="931"/>
      <c r="BG57" s="938"/>
      <c r="BH57" s="934"/>
      <c r="BI57" s="939"/>
    </row>
    <row r="58" spans="2:61" ht="15.95" customHeight="1">
      <c r="B58" s="905">
        <v>21</v>
      </c>
      <c r="C58" s="833"/>
      <c r="D58" s="834"/>
      <c r="E58" s="834"/>
      <c r="F58" s="835"/>
      <c r="G58" s="840"/>
      <c r="H58" s="841"/>
      <c r="I58" s="841"/>
      <c r="J58" s="841"/>
      <c r="K58" s="841"/>
      <c r="L58" s="841"/>
      <c r="M58" s="833"/>
      <c r="N58" s="835"/>
      <c r="O58" s="833"/>
      <c r="P58" s="834"/>
      <c r="Q58" s="835"/>
      <c r="R58" s="884"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884"/>
      <c r="T58" s="886" t="str">
        <f t="shared" ref="T58" si="62">IF(C58="Permanent Lamp Removal",0,"")</f>
        <v/>
      </c>
      <c r="U58" s="886"/>
      <c r="V58" s="887"/>
      <c r="W58" s="887"/>
      <c r="X58" s="865"/>
      <c r="Y58" s="865"/>
      <c r="Z58" s="917"/>
      <c r="AA58" s="918"/>
      <c r="AB58" s="919"/>
      <c r="AC58" s="906"/>
      <c r="AD58" s="833"/>
      <c r="AE58" s="889"/>
      <c r="AF58" s="890"/>
      <c r="AG58" s="890"/>
      <c r="AH58" s="891"/>
      <c r="AI58" s="896" t="str">
        <f>IFERROR(IF(G58="","",IF(C58&lt;&gt;INDEX(STDLIGHT[Eff Category 1],MATCH(G58,STDLIGHT[Measure Name],0)),0,INDEX(STDLIGHT[Current Incentive],MATCH('M03-S02'!G58,STDLIGHT[Measure Name],0)))),"")</f>
        <v/>
      </c>
      <c r="AJ58" s="897"/>
      <c r="AK58" s="900" t="str">
        <f t="shared" ref="AK58" si="63">IFERROR(IF(OR(C58="",G58="",M58="",O58="",R58="",T58="",V58="",X58="",Z58="",AC58="",AE58="",AG58=""),"",IF(BH58="Deemed",AV58,IF(BH58="Calculated",BA58,""))),"")</f>
        <v/>
      </c>
      <c r="AL58" s="900"/>
      <c r="AM58" s="900"/>
      <c r="AN58" s="897" t="str">
        <f t="shared" ref="AN58" si="64">IFERROR(IF(OR(C58="",G58="",M58="",O58="",R58="",T58="",V58="",X58="",Z58="",AC58="",AE58="",AG58=""),"",IF(BD58&lt;&gt;"",BD58,IF(BI58&gt;0,BI58,ROUND(IF(AK58&lt;=0,0,MIN(AT58,V58*AI58)),2)))),"")</f>
        <v/>
      </c>
      <c r="AO58" s="902"/>
      <c r="AP58" s="902"/>
      <c r="AQ58" s="902"/>
      <c r="AR58" s="235"/>
      <c r="AS58" s="235"/>
      <c r="AT58" s="852" t="str">
        <f t="shared" ref="AT58" si="65">IF(OR(C58="",G58="",M58="",O58="",R58="",T58="",V58="",X58="",Z58="",AC58="",AE58="",AG58=""),"",IF(AK58=0,"",ROUND(AE58+AG58,2)))</f>
        <v/>
      </c>
      <c r="AU58" s="854" t="str">
        <f>IFERROR(IF(OR(C58="",G58="",M58="",O58="",R58="",T58="",V58="",X58="",Z58="",AC58="",AE58="",AG58=""),"",INDEX(STDLIGHT[Current Unit],MATCH(G58,STDLIGHT[Measure Name],0))),"Err")</f>
        <v/>
      </c>
      <c r="AV58" s="850" t="str">
        <f>IF(OR(C58="",G58="",M58="",O58="",R58="",T58="",V58="",X58="",Z58="",AC58="",AE58="",AG58=""),"",IFERROR(IF(G58="","",IF(C58&lt;&gt;INDEX(STDLIGHT[Eff Category 1],MATCH(G58,STDLIGHT[Measure Name],0)),0,
IF(AX58&lt;=AY58,0,
ROUND(V58*INDEX(STDLIGHT[Electric Energy Savings (Annual kWh/unit)],MATCH('M03-S02'!G58,STDLIGHT[Measure Name],0)),4)))),""))</f>
        <v/>
      </c>
      <c r="AW58" s="850" t="str">
        <f>IF(OR(C58="",G58="",M58="",O58="",R58="",T58="",V58="",X58="",Z58="",AC58="",AE58="",AG58=""),"",IFERROR(IF(G58="","",IF(C58&lt;&gt;INDEX(STDLIGHT[Eff Category 1],MATCH(G58,STDLIGHT[Measure Name],0)),0,
IF(AX58&lt;=AY58,0,
ROUND(V58*INDEX(STDLIGHT[Coincident Peak Demand Savings (kW/unit)],MATCH('M03-S02'!G58,STDLIGHT[Measure Name],0)),4)))),""))</f>
        <v/>
      </c>
      <c r="AX58" s="848" t="str">
        <f>IF(OR(C58="",G58="",M58="",O58="",R58="",T58="",V58="",X58="",Z58="",AC58="",AE58="",AG58=""),"",
IF(OR(ISNUMBER(SEARCH("Exterior",C58)),ISNUMBER(SEARCH("Parking",C58))),ROUND(R58*V58*X58/1000,4),
ROUND(R58*V58*X58/1000*INDEX(BUILDINGTYPE[Waste Heat Factor (e)],MATCH(M02S04F19,BUILDINGTYPE[Building Type],0)),4)))</f>
        <v/>
      </c>
      <c r="AY58" s="848" t="str">
        <f>IF(OR(C58="",G58="",M58="",O58="",R58="",T58="",V58="",X58="",Z58="",AC58="",AE58="",AG58=""),"",
IF(OR(ISNUMBER(SEARCH("Exterior",C58)),ISNUMBER(SEARCH("Parking",C58))),ROUND(T58*V58*X58/1000,4),
ROUND(T58*V58*X58/1000*INDEX(BUILDINGTYPE[Waste Heat Factor (e)],MATCH(M02S04F19,BUILDINGTYPE[Building Type],0)),4)))</f>
        <v/>
      </c>
      <c r="AZ58" s="854" t="str">
        <f>IFERROR(IF(OR(C58="",G58="",M58="",O58="",R58="",T58="",V58="",X58="",Z58="",AC58="",AE58="",AG58=""),"",INDEX(STDLIGHT[End Use],MATCH(G58,STDLIGHT[Measure Name],0))),"Err")</f>
        <v/>
      </c>
      <c r="BA58" s="850" t="str">
        <f>IFERROR(IF(OR(C58="",G58="",M58="",O58="",R58="",T58="",V58="",X58="",Z58="",AC58="",AE58="",AG58=""),"",
IF(AX58&lt;=AY58,0,
IF(OR(ISNUMBER(SEARCH("Exterior",C58)),ISNUMBER(SEARCH("Parking",C58))),ROUND((R58-T58)*V58*X58/1000,4),
ROUND((R58-T58)*V58*X58/1000*INDEX(BUILDINGTYPE[Waste Heat Factor (e)],MATCH(M02S04F19,BUILDINGTYPE[Building Type],0)),4)))),"")</f>
        <v/>
      </c>
      <c r="BB58" s="846" t="str">
        <f>IFERROR(IF(OR(C58="",G58="",M58="",O58="",R58="",T58="",V58="",X58="",Z58="",AC58="",AE58="",AG58=""),"",
IF(AX58&lt;=AY58,0,
ROUND(BA58*INDEX(ENDUSEALL[Factor],MATCH(AZ58,ENDUSEALL[End Use to Coincident Peak Demand Factors],0)),4))),"")</f>
        <v/>
      </c>
      <c r="BC58" s="854" t="str">
        <f>IFERROR(IF(OR(C58="",G58="",M58="",O58="",R58="",T58="",V58="",X58="",Z58="",AC58="",AE58="",AG58="",ISNUMBER(AN58)=FALSE,AN58=0),"",INDEX(STDLIGHT[Measure Number],MATCH(G58,STDLIGHT[Measure Name],0))),"Err")</f>
        <v/>
      </c>
      <c r="BD58" s="854" t="str">
        <f>IFERROR(IF(OR(C58="",G58="",M58="",O58="",R58="",T58="",V58="",X58="",Z58="",AC58="",AE58="",AG58=""),"",
IF(BI58&gt;0,"",
IF(EXPIRATION&lt;&gt;"",PROJSTATEXP,
IF(M02S04F19="",MEASUREBLDG,
IF(AX58&lt;=AY58,MEASURESAVE,""))))),MEASURESUBMIT)</f>
        <v/>
      </c>
      <c r="BE58" s="928" t="str">
        <f>IFERROR(INDEX(STDLIGHT[Measure Life (Years)],MATCH(G58,STDLIGHT[Measure Name],0)),"")</f>
        <v/>
      </c>
      <c r="BF58" s="930" t="str">
        <f>IFERROR(IF(OR(C58="",G58="",M58="",O58="",R58="",T58="",V58="",X58="",Z58="",AC58="",AE58="",AG58=""),"",
ROUND(((1+ELOSS)*((BA58*INDEX(ELECCB[NPV AEC $/kWh],MATCH(BE58,ELECCB[Year Number],1)))+(BB58*INDEX(ELECCB[NPV ACC $/kW],MATCH(BE58,ELECCB[Year Number],1))))),2)),0)</f>
        <v/>
      </c>
      <c r="BG58" s="937"/>
      <c r="BH58" s="934" t="str">
        <f>IFERROR(IF(OR(C58="",G58="",M58="",O58="",R58="",T58="",V58="",X58="",Z58="",AC58="",AE58="",AG58=""),"",INDEX(STDLIGHT[Reporting Methodology],MATCH(G58,STDLIGHT[Measure Name],0))),"Err")</f>
        <v/>
      </c>
      <c r="BI58" s="939"/>
    </row>
    <row r="59" spans="2:61" ht="15.95" customHeight="1">
      <c r="B59" s="905"/>
      <c r="C59" s="827"/>
      <c r="D59" s="828"/>
      <c r="E59" s="828"/>
      <c r="F59" s="829"/>
      <c r="G59" s="838"/>
      <c r="H59" s="839"/>
      <c r="I59" s="839"/>
      <c r="J59" s="839"/>
      <c r="K59" s="839"/>
      <c r="L59" s="839"/>
      <c r="M59" s="827"/>
      <c r="N59" s="829"/>
      <c r="O59" s="827"/>
      <c r="P59" s="828"/>
      <c r="Q59" s="829"/>
      <c r="R59" s="885"/>
      <c r="S59" s="885"/>
      <c r="T59" s="886"/>
      <c r="U59" s="886"/>
      <c r="V59" s="888"/>
      <c r="W59" s="888"/>
      <c r="X59" s="866"/>
      <c r="Y59" s="866"/>
      <c r="Z59" s="833"/>
      <c r="AA59" s="834"/>
      <c r="AB59" s="835"/>
      <c r="AC59" s="904"/>
      <c r="AD59" s="827"/>
      <c r="AE59" s="867"/>
      <c r="AF59" s="868"/>
      <c r="AG59" s="868"/>
      <c r="AH59" s="869"/>
      <c r="AI59" s="898"/>
      <c r="AJ59" s="899"/>
      <c r="AK59" s="901"/>
      <c r="AL59" s="901"/>
      <c r="AM59" s="901"/>
      <c r="AN59" s="899"/>
      <c r="AO59" s="903"/>
      <c r="AP59" s="903"/>
      <c r="AQ59" s="903"/>
      <c r="AR59" s="235"/>
      <c r="AS59" s="235"/>
      <c r="AT59" s="853"/>
      <c r="AU59" s="855"/>
      <c r="AV59" s="851"/>
      <c r="AW59" s="851"/>
      <c r="AX59" s="849"/>
      <c r="AY59" s="849"/>
      <c r="AZ59" s="855"/>
      <c r="BA59" s="851"/>
      <c r="BB59" s="847"/>
      <c r="BC59" s="855"/>
      <c r="BD59" s="855"/>
      <c r="BE59" s="929"/>
      <c r="BF59" s="931"/>
      <c r="BG59" s="938"/>
      <c r="BH59" s="934"/>
      <c r="BI59" s="939"/>
    </row>
    <row r="60" spans="2:61" ht="15.95" customHeight="1">
      <c r="B60" s="905">
        <v>22</v>
      </c>
      <c r="C60" s="833"/>
      <c r="D60" s="834"/>
      <c r="E60" s="834"/>
      <c r="F60" s="835"/>
      <c r="G60" s="840"/>
      <c r="H60" s="841"/>
      <c r="I60" s="841"/>
      <c r="J60" s="841"/>
      <c r="K60" s="841"/>
      <c r="L60" s="841"/>
      <c r="M60" s="833"/>
      <c r="N60" s="835"/>
      <c r="O60" s="833"/>
      <c r="P60" s="834"/>
      <c r="Q60" s="835"/>
      <c r="R60" s="884"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884"/>
      <c r="T60" s="886" t="str">
        <f t="shared" ref="T60" si="66">IF(C60="Permanent Lamp Removal",0,"")</f>
        <v/>
      </c>
      <c r="U60" s="886"/>
      <c r="V60" s="887"/>
      <c r="W60" s="887"/>
      <c r="X60" s="865"/>
      <c r="Y60" s="865"/>
      <c r="Z60" s="917"/>
      <c r="AA60" s="918"/>
      <c r="AB60" s="919"/>
      <c r="AC60" s="906"/>
      <c r="AD60" s="833"/>
      <c r="AE60" s="889"/>
      <c r="AF60" s="890"/>
      <c r="AG60" s="890"/>
      <c r="AH60" s="891"/>
      <c r="AI60" s="896" t="str">
        <f>IFERROR(IF(G60="","",IF(C60&lt;&gt;INDEX(STDLIGHT[Eff Category 1],MATCH(G60,STDLIGHT[Measure Name],0)),0,INDEX(STDLIGHT[Current Incentive],MATCH('M03-S02'!G60,STDLIGHT[Measure Name],0)))),"")</f>
        <v/>
      </c>
      <c r="AJ60" s="897"/>
      <c r="AK60" s="900" t="str">
        <f t="shared" ref="AK60" si="67">IFERROR(IF(OR(C60="",G60="",M60="",O60="",R60="",T60="",V60="",X60="",Z60="",AC60="",AE60="",AG60=""),"",IF(BH60="Deemed",AV60,IF(BH60="Calculated",BA60,""))),"")</f>
        <v/>
      </c>
      <c r="AL60" s="900"/>
      <c r="AM60" s="900"/>
      <c r="AN60" s="897" t="str">
        <f t="shared" ref="AN60" si="68">IFERROR(IF(OR(C60="",G60="",M60="",O60="",R60="",T60="",V60="",X60="",Z60="",AC60="",AE60="",AG60=""),"",IF(BD60&lt;&gt;"",BD60,IF(BI60&gt;0,BI60,ROUND(IF(AK60&lt;=0,0,MIN(AT60,V60*AI60)),2)))),"")</f>
        <v/>
      </c>
      <c r="AO60" s="902"/>
      <c r="AP60" s="902"/>
      <c r="AQ60" s="902"/>
      <c r="AR60" s="235"/>
      <c r="AS60" s="235"/>
      <c r="AT60" s="852" t="str">
        <f t="shared" ref="AT60" si="69">IF(OR(C60="",G60="",M60="",O60="",R60="",T60="",V60="",X60="",Z60="",AC60="",AE60="",AG60=""),"",IF(AK60=0,"",ROUND(AE60+AG60,2)))</f>
        <v/>
      </c>
      <c r="AU60" s="854" t="str">
        <f>IFERROR(IF(OR(C60="",G60="",M60="",O60="",R60="",T60="",V60="",X60="",Z60="",AC60="",AE60="",AG60=""),"",INDEX(STDLIGHT[Current Unit],MATCH(G60,STDLIGHT[Measure Name],0))),"Err")</f>
        <v/>
      </c>
      <c r="AV60" s="850" t="str">
        <f>IF(OR(C60="",G60="",M60="",O60="",R60="",T60="",V60="",X60="",Z60="",AC60="",AE60="",AG60=""),"",IFERROR(IF(G60="","",IF(C60&lt;&gt;INDEX(STDLIGHT[Eff Category 1],MATCH(G60,STDLIGHT[Measure Name],0)),0,
IF(AX60&lt;=AY60,0,
ROUND(V60*INDEX(STDLIGHT[Electric Energy Savings (Annual kWh/unit)],MATCH('M03-S02'!G60,STDLIGHT[Measure Name],0)),4)))),""))</f>
        <v/>
      </c>
      <c r="AW60" s="850" t="str">
        <f>IF(OR(C60="",G60="",M60="",O60="",R60="",T60="",V60="",X60="",Z60="",AC60="",AE60="",AG60=""),"",IFERROR(IF(G60="","",IF(C60&lt;&gt;INDEX(STDLIGHT[Eff Category 1],MATCH(G60,STDLIGHT[Measure Name],0)),0,
IF(AX60&lt;=AY60,0,
ROUND(V60*INDEX(STDLIGHT[Coincident Peak Demand Savings (kW/unit)],MATCH('M03-S02'!G60,STDLIGHT[Measure Name],0)),4)))),""))</f>
        <v/>
      </c>
      <c r="AX60" s="848" t="str">
        <f>IF(OR(C60="",G60="",M60="",O60="",R60="",T60="",V60="",X60="",Z60="",AC60="",AE60="",AG60=""),"",
IF(OR(ISNUMBER(SEARCH("Exterior",C60)),ISNUMBER(SEARCH("Parking",C60))),ROUND(R60*V60*X60/1000,4),
ROUND(R60*V60*X60/1000*INDEX(BUILDINGTYPE[Waste Heat Factor (e)],MATCH(M02S04F19,BUILDINGTYPE[Building Type],0)),4)))</f>
        <v/>
      </c>
      <c r="AY60" s="848" t="str">
        <f>IF(OR(C60="",G60="",M60="",O60="",R60="",T60="",V60="",X60="",Z60="",AC60="",AE60="",AG60=""),"",
IF(OR(ISNUMBER(SEARCH("Exterior",C60)),ISNUMBER(SEARCH("Parking",C60))),ROUND(T60*V60*X60/1000,4),
ROUND(T60*V60*X60/1000*INDEX(BUILDINGTYPE[Waste Heat Factor (e)],MATCH(M02S04F19,BUILDINGTYPE[Building Type],0)),4)))</f>
        <v/>
      </c>
      <c r="AZ60" s="854" t="str">
        <f>IFERROR(IF(OR(C60="",G60="",M60="",O60="",R60="",T60="",V60="",X60="",Z60="",AC60="",AE60="",AG60=""),"",INDEX(STDLIGHT[End Use],MATCH(G60,STDLIGHT[Measure Name],0))),"Err")</f>
        <v/>
      </c>
      <c r="BA60" s="850" t="str">
        <f>IFERROR(IF(OR(C60="",G60="",M60="",O60="",R60="",T60="",V60="",X60="",Z60="",AC60="",AE60="",AG60=""),"",
IF(AX60&lt;=AY60,0,
IF(OR(ISNUMBER(SEARCH("Exterior",C60)),ISNUMBER(SEARCH("Parking",C60))),ROUND((R60-T60)*V60*X60/1000,4),
ROUND((R60-T60)*V60*X60/1000*INDEX(BUILDINGTYPE[Waste Heat Factor (e)],MATCH(M02S04F19,BUILDINGTYPE[Building Type],0)),4)))),"")</f>
        <v/>
      </c>
      <c r="BB60" s="846" t="str">
        <f>IFERROR(IF(OR(C60="",G60="",M60="",O60="",R60="",T60="",V60="",X60="",Z60="",AC60="",AE60="",AG60=""),"",
IF(AX60&lt;=AY60,0,
ROUND(BA60*INDEX(ENDUSEALL[Factor],MATCH(AZ60,ENDUSEALL[End Use to Coincident Peak Demand Factors],0)),4))),"")</f>
        <v/>
      </c>
      <c r="BC60" s="854" t="str">
        <f>IFERROR(IF(OR(C60="",G60="",M60="",O60="",R60="",T60="",V60="",X60="",Z60="",AC60="",AE60="",AG60="",ISNUMBER(AN60)=FALSE,AN60=0),"",INDEX(STDLIGHT[Measure Number],MATCH(G60,STDLIGHT[Measure Name],0))),"Err")</f>
        <v/>
      </c>
      <c r="BD60" s="854" t="str">
        <f>IFERROR(IF(OR(C60="",G60="",M60="",O60="",R60="",T60="",V60="",X60="",Z60="",AC60="",AE60="",AG60=""),"",
IF(BI60&gt;0,"",
IF(EXPIRATION&lt;&gt;"",PROJSTATEXP,
IF(M02S04F19="",MEASUREBLDG,
IF(AX60&lt;=AY60,MEASURESAVE,""))))),MEASURESUBMIT)</f>
        <v/>
      </c>
      <c r="BE60" s="928" t="str">
        <f>IFERROR(INDEX(STDLIGHT[Measure Life (Years)],MATCH(G60,STDLIGHT[Measure Name],0)),"")</f>
        <v/>
      </c>
      <c r="BF60" s="930" t="str">
        <f>IFERROR(IF(OR(C60="",G60="",M60="",O60="",R60="",T60="",V60="",X60="",Z60="",AC60="",AE60="",AG60=""),"",
ROUND(((1+ELOSS)*((BA60*INDEX(ELECCB[NPV AEC $/kWh],MATCH(BE60,ELECCB[Year Number],1)))+(BB60*INDEX(ELECCB[NPV ACC $/kW],MATCH(BE60,ELECCB[Year Number],1))))),2)),0)</f>
        <v/>
      </c>
      <c r="BG60" s="937"/>
      <c r="BH60" s="934" t="str">
        <f>IFERROR(IF(OR(C60="",G60="",M60="",O60="",R60="",T60="",V60="",X60="",Z60="",AC60="",AE60="",AG60=""),"",INDEX(STDLIGHT[Reporting Methodology],MATCH(G60,STDLIGHT[Measure Name],0))),"Err")</f>
        <v/>
      </c>
      <c r="BI60" s="939"/>
    </row>
    <row r="61" spans="2:61" ht="15.95" customHeight="1">
      <c r="B61" s="905"/>
      <c r="C61" s="827"/>
      <c r="D61" s="828"/>
      <c r="E61" s="828"/>
      <c r="F61" s="829"/>
      <c r="G61" s="838"/>
      <c r="H61" s="839"/>
      <c r="I61" s="839"/>
      <c r="J61" s="839"/>
      <c r="K61" s="839"/>
      <c r="L61" s="839"/>
      <c r="M61" s="827"/>
      <c r="N61" s="829"/>
      <c r="O61" s="827"/>
      <c r="P61" s="828"/>
      <c r="Q61" s="829"/>
      <c r="R61" s="885"/>
      <c r="S61" s="885"/>
      <c r="T61" s="886"/>
      <c r="U61" s="886"/>
      <c r="V61" s="888"/>
      <c r="W61" s="888"/>
      <c r="X61" s="866"/>
      <c r="Y61" s="866"/>
      <c r="Z61" s="833"/>
      <c r="AA61" s="834"/>
      <c r="AB61" s="835"/>
      <c r="AC61" s="904"/>
      <c r="AD61" s="827"/>
      <c r="AE61" s="867"/>
      <c r="AF61" s="868"/>
      <c r="AG61" s="868"/>
      <c r="AH61" s="869"/>
      <c r="AI61" s="898"/>
      <c r="AJ61" s="899"/>
      <c r="AK61" s="901"/>
      <c r="AL61" s="901"/>
      <c r="AM61" s="901"/>
      <c r="AN61" s="899"/>
      <c r="AO61" s="903"/>
      <c r="AP61" s="903"/>
      <c r="AQ61" s="903"/>
      <c r="AR61" s="235"/>
      <c r="AS61" s="235"/>
      <c r="AT61" s="853"/>
      <c r="AU61" s="855"/>
      <c r="AV61" s="851"/>
      <c r="AW61" s="851"/>
      <c r="AX61" s="849"/>
      <c r="AY61" s="849"/>
      <c r="AZ61" s="855"/>
      <c r="BA61" s="851"/>
      <c r="BB61" s="847"/>
      <c r="BC61" s="855"/>
      <c r="BD61" s="855"/>
      <c r="BE61" s="929"/>
      <c r="BF61" s="931"/>
      <c r="BG61" s="938"/>
      <c r="BH61" s="934"/>
      <c r="BI61" s="939"/>
    </row>
    <row r="62" spans="2:61" ht="15.95" customHeight="1">
      <c r="B62" s="905">
        <v>23</v>
      </c>
      <c r="C62" s="833"/>
      <c r="D62" s="834"/>
      <c r="E62" s="834"/>
      <c r="F62" s="835"/>
      <c r="G62" s="840"/>
      <c r="H62" s="841"/>
      <c r="I62" s="841"/>
      <c r="J62" s="841"/>
      <c r="K62" s="841"/>
      <c r="L62" s="841"/>
      <c r="M62" s="833"/>
      <c r="N62" s="835"/>
      <c r="O62" s="833"/>
      <c r="P62" s="834"/>
      <c r="Q62" s="835"/>
      <c r="R62" s="884"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884"/>
      <c r="T62" s="886" t="str">
        <f t="shared" ref="T62" si="70">IF(C62="Permanent Lamp Removal",0,"")</f>
        <v/>
      </c>
      <c r="U62" s="886"/>
      <c r="V62" s="887"/>
      <c r="W62" s="887"/>
      <c r="X62" s="865"/>
      <c r="Y62" s="865"/>
      <c r="Z62" s="917"/>
      <c r="AA62" s="918"/>
      <c r="AB62" s="919"/>
      <c r="AC62" s="906"/>
      <c r="AD62" s="833"/>
      <c r="AE62" s="889"/>
      <c r="AF62" s="890"/>
      <c r="AG62" s="890"/>
      <c r="AH62" s="891"/>
      <c r="AI62" s="896" t="str">
        <f>IFERROR(IF(G62="","",IF(C62&lt;&gt;INDEX(STDLIGHT[Eff Category 1],MATCH(G62,STDLIGHT[Measure Name],0)),0,INDEX(STDLIGHT[Current Incentive],MATCH('M03-S02'!G62,STDLIGHT[Measure Name],0)))),"")</f>
        <v/>
      </c>
      <c r="AJ62" s="897"/>
      <c r="AK62" s="900" t="str">
        <f t="shared" ref="AK62" si="71">IFERROR(IF(OR(C62="",G62="",M62="",O62="",R62="",T62="",V62="",X62="",Z62="",AC62="",AE62="",AG62=""),"",IF(BH62="Deemed",AV62,IF(BH62="Calculated",BA62,""))),"")</f>
        <v/>
      </c>
      <c r="AL62" s="900"/>
      <c r="AM62" s="900"/>
      <c r="AN62" s="897" t="str">
        <f t="shared" ref="AN62" si="72">IFERROR(IF(OR(C62="",G62="",M62="",O62="",R62="",T62="",V62="",X62="",Z62="",AC62="",AE62="",AG62=""),"",IF(BD62&lt;&gt;"",BD62,IF(BI62&gt;0,BI62,ROUND(IF(AK62&lt;=0,0,MIN(AT62,V62*AI62)),2)))),"")</f>
        <v/>
      </c>
      <c r="AO62" s="902"/>
      <c r="AP62" s="902"/>
      <c r="AQ62" s="902"/>
      <c r="AT62" s="852" t="str">
        <f t="shared" ref="AT62" si="73">IF(OR(C62="",G62="",M62="",O62="",R62="",T62="",V62="",X62="",Z62="",AC62="",AE62="",AG62=""),"",IF(AK62=0,"",ROUND(AE62+AG62,2)))</f>
        <v/>
      </c>
      <c r="AU62" s="854" t="str">
        <f>IFERROR(IF(OR(C62="",G62="",M62="",O62="",R62="",T62="",V62="",X62="",Z62="",AC62="",AE62="",AG62=""),"",INDEX(STDLIGHT[Current Unit],MATCH(G62,STDLIGHT[Measure Name],0))),"Err")</f>
        <v/>
      </c>
      <c r="AV62" s="850" t="str">
        <f>IF(OR(C62="",G62="",M62="",O62="",R62="",T62="",V62="",X62="",Z62="",AC62="",AE62="",AG62=""),"",IFERROR(IF(G62="","",IF(C62&lt;&gt;INDEX(STDLIGHT[Eff Category 1],MATCH(G62,STDLIGHT[Measure Name],0)),0,
IF(AX62&lt;=AY62,0,
ROUND(V62*INDEX(STDLIGHT[Electric Energy Savings (Annual kWh/unit)],MATCH('M03-S02'!G62,STDLIGHT[Measure Name],0)),4)))),""))</f>
        <v/>
      </c>
      <c r="AW62" s="850" t="str">
        <f>IF(OR(C62="",G62="",M62="",O62="",R62="",T62="",V62="",X62="",Z62="",AC62="",AE62="",AG62=""),"",IFERROR(IF(G62="","",IF(C62&lt;&gt;INDEX(STDLIGHT[Eff Category 1],MATCH(G62,STDLIGHT[Measure Name],0)),0,
IF(AX62&lt;=AY62,0,
ROUND(V62*INDEX(STDLIGHT[Coincident Peak Demand Savings (kW/unit)],MATCH('M03-S02'!G62,STDLIGHT[Measure Name],0)),4)))),""))</f>
        <v/>
      </c>
      <c r="AX62" s="848" t="str">
        <f>IF(OR(C62="",G62="",M62="",O62="",R62="",T62="",V62="",X62="",Z62="",AC62="",AE62="",AG62=""),"",
IF(OR(ISNUMBER(SEARCH("Exterior",C62)),ISNUMBER(SEARCH("Parking",C62))),ROUND(R62*V62*X62/1000,4),
ROUND(R62*V62*X62/1000*INDEX(BUILDINGTYPE[Waste Heat Factor (e)],MATCH(M02S04F19,BUILDINGTYPE[Building Type],0)),4)))</f>
        <v/>
      </c>
      <c r="AY62" s="848" t="str">
        <f>IF(OR(C62="",G62="",M62="",O62="",R62="",T62="",V62="",X62="",Z62="",AC62="",AE62="",AG62=""),"",
IF(OR(ISNUMBER(SEARCH("Exterior",C62)),ISNUMBER(SEARCH("Parking",C62))),ROUND(T62*V62*X62/1000,4),
ROUND(T62*V62*X62/1000*INDEX(BUILDINGTYPE[Waste Heat Factor (e)],MATCH(M02S04F19,BUILDINGTYPE[Building Type],0)),4)))</f>
        <v/>
      </c>
      <c r="AZ62" s="854" t="str">
        <f>IFERROR(IF(OR(C62="",G62="",M62="",O62="",R62="",T62="",V62="",X62="",Z62="",AC62="",AE62="",AG62=""),"",INDEX(STDLIGHT[End Use],MATCH(G62,STDLIGHT[Measure Name],0))),"Err")</f>
        <v/>
      </c>
      <c r="BA62" s="850" t="str">
        <f>IFERROR(IF(OR(C62="",G62="",M62="",O62="",R62="",T62="",V62="",X62="",Z62="",AC62="",AE62="",AG62=""),"",
IF(AX62&lt;=AY62,0,
IF(OR(ISNUMBER(SEARCH("Exterior",C62)),ISNUMBER(SEARCH("Parking",C62))),ROUND((R62-T62)*V62*X62/1000,4),
ROUND((R62-T62)*V62*X62/1000*INDEX(BUILDINGTYPE[Waste Heat Factor (e)],MATCH(M02S04F19,BUILDINGTYPE[Building Type],0)),4)))),"")</f>
        <v/>
      </c>
      <c r="BB62" s="846" t="str">
        <f>IFERROR(IF(OR(C62="",G62="",M62="",O62="",R62="",T62="",V62="",X62="",Z62="",AC62="",AE62="",AG62=""),"",
IF(AX62&lt;=AY62,0,
ROUND(BA62*INDEX(ENDUSEALL[Factor],MATCH(AZ62,ENDUSEALL[End Use to Coincident Peak Demand Factors],0)),4))),"")</f>
        <v/>
      </c>
      <c r="BC62" s="854" t="str">
        <f>IFERROR(IF(OR(C62="",G62="",M62="",O62="",R62="",T62="",V62="",X62="",Z62="",AC62="",AE62="",AG62="",ISNUMBER(AN62)=FALSE,AN62=0),"",INDEX(STDLIGHT[Measure Number],MATCH(G62,STDLIGHT[Measure Name],0))),"Err")</f>
        <v/>
      </c>
      <c r="BD62" s="854" t="str">
        <f>IFERROR(IF(OR(C62="",G62="",M62="",O62="",R62="",T62="",V62="",X62="",Z62="",AC62="",AE62="",AG62=""),"",
IF(BI62&gt;0,"",
IF(EXPIRATION&lt;&gt;"",PROJSTATEXP,
IF(M02S04F19="",MEASUREBLDG,
IF(AX62&lt;=AY62,MEASURESAVE,""))))),MEASURESUBMIT)</f>
        <v/>
      </c>
      <c r="BE62" s="928" t="str">
        <f>IFERROR(INDEX(STDLIGHT[Measure Life (Years)],MATCH(G62,STDLIGHT[Measure Name],0)),"")</f>
        <v/>
      </c>
      <c r="BF62" s="930" t="str">
        <f>IFERROR(IF(OR(C62="",G62="",M62="",O62="",R62="",T62="",V62="",X62="",Z62="",AC62="",AE62="",AG62=""),"",
ROUND(((1+ELOSS)*((BA62*INDEX(ELECCB[NPV AEC $/kWh],MATCH(BE62,ELECCB[Year Number],1)))+(BB62*INDEX(ELECCB[NPV ACC $/kW],MATCH(BE62,ELECCB[Year Number],1))))),2)),0)</f>
        <v/>
      </c>
      <c r="BG62" s="937"/>
      <c r="BH62" s="934" t="str">
        <f>IFERROR(IF(OR(C62="",G62="",M62="",O62="",R62="",T62="",V62="",X62="",Z62="",AC62="",AE62="",AG62=""),"",INDEX(STDLIGHT[Reporting Methodology],MATCH(G62,STDLIGHT[Measure Name],0))),"Err")</f>
        <v/>
      </c>
      <c r="BI62" s="939"/>
    </row>
    <row r="63" spans="2:61" ht="15.95" customHeight="1">
      <c r="B63" s="905"/>
      <c r="C63" s="827"/>
      <c r="D63" s="828"/>
      <c r="E63" s="828"/>
      <c r="F63" s="829"/>
      <c r="G63" s="838"/>
      <c r="H63" s="839"/>
      <c r="I63" s="839"/>
      <c r="J63" s="839"/>
      <c r="K63" s="839"/>
      <c r="L63" s="839"/>
      <c r="M63" s="827"/>
      <c r="N63" s="829"/>
      <c r="O63" s="827"/>
      <c r="P63" s="828"/>
      <c r="Q63" s="829"/>
      <c r="R63" s="885"/>
      <c r="S63" s="885"/>
      <c r="T63" s="886"/>
      <c r="U63" s="886"/>
      <c r="V63" s="888"/>
      <c r="W63" s="888"/>
      <c r="X63" s="866"/>
      <c r="Y63" s="866"/>
      <c r="Z63" s="833"/>
      <c r="AA63" s="834"/>
      <c r="AB63" s="835"/>
      <c r="AC63" s="904"/>
      <c r="AD63" s="827"/>
      <c r="AE63" s="867"/>
      <c r="AF63" s="868"/>
      <c r="AG63" s="868"/>
      <c r="AH63" s="869"/>
      <c r="AI63" s="898"/>
      <c r="AJ63" s="899"/>
      <c r="AK63" s="901"/>
      <c r="AL63" s="901"/>
      <c r="AM63" s="901"/>
      <c r="AN63" s="899"/>
      <c r="AO63" s="903"/>
      <c r="AP63" s="903"/>
      <c r="AQ63" s="903"/>
      <c r="AT63" s="853"/>
      <c r="AU63" s="855"/>
      <c r="AV63" s="851"/>
      <c r="AW63" s="851"/>
      <c r="AX63" s="849"/>
      <c r="AY63" s="849"/>
      <c r="AZ63" s="855"/>
      <c r="BA63" s="851"/>
      <c r="BB63" s="847"/>
      <c r="BC63" s="855"/>
      <c r="BD63" s="855"/>
      <c r="BE63" s="929"/>
      <c r="BF63" s="931"/>
      <c r="BG63" s="938"/>
      <c r="BH63" s="934"/>
      <c r="BI63" s="939"/>
    </row>
    <row r="64" spans="2:61" ht="15.95" customHeight="1">
      <c r="B64" s="905">
        <v>24</v>
      </c>
      <c r="C64" s="833"/>
      <c r="D64" s="834"/>
      <c r="E64" s="834"/>
      <c r="F64" s="835"/>
      <c r="G64" s="840"/>
      <c r="H64" s="841"/>
      <c r="I64" s="841"/>
      <c r="J64" s="841"/>
      <c r="K64" s="841"/>
      <c r="L64" s="841"/>
      <c r="M64" s="833"/>
      <c r="N64" s="835"/>
      <c r="O64" s="833"/>
      <c r="P64" s="834"/>
      <c r="Q64" s="835"/>
      <c r="R64" s="884"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884"/>
      <c r="T64" s="886" t="str">
        <f t="shared" ref="T64" si="74">IF(C64="Permanent Lamp Removal",0,"")</f>
        <v/>
      </c>
      <c r="U64" s="886"/>
      <c r="V64" s="887"/>
      <c r="W64" s="887"/>
      <c r="X64" s="865"/>
      <c r="Y64" s="865"/>
      <c r="Z64" s="917"/>
      <c r="AA64" s="918"/>
      <c r="AB64" s="919"/>
      <c r="AC64" s="906"/>
      <c r="AD64" s="833"/>
      <c r="AE64" s="889"/>
      <c r="AF64" s="890"/>
      <c r="AG64" s="890"/>
      <c r="AH64" s="891"/>
      <c r="AI64" s="896" t="str">
        <f>IFERROR(IF(G64="","",IF(C64&lt;&gt;INDEX(STDLIGHT[Eff Category 1],MATCH(G64,STDLIGHT[Measure Name],0)),0,INDEX(STDLIGHT[Current Incentive],MATCH('M03-S02'!G64,STDLIGHT[Measure Name],0)))),"")</f>
        <v/>
      </c>
      <c r="AJ64" s="897"/>
      <c r="AK64" s="900" t="str">
        <f t="shared" ref="AK64" si="75">IFERROR(IF(OR(C64="",G64="",M64="",O64="",R64="",T64="",V64="",X64="",Z64="",AC64="",AE64="",AG64=""),"",IF(BH64="Deemed",AV64,IF(BH64="Calculated",BA64,""))),"")</f>
        <v/>
      </c>
      <c r="AL64" s="900"/>
      <c r="AM64" s="900"/>
      <c r="AN64" s="897" t="str">
        <f t="shared" ref="AN64" si="76">IFERROR(IF(OR(C64="",G64="",M64="",O64="",R64="",T64="",V64="",X64="",Z64="",AC64="",AE64="",AG64=""),"",IF(BD64&lt;&gt;"",BD64,IF(BI64&gt;0,BI64,ROUND(IF(AK64&lt;=0,0,MIN(AT64,V64*AI64)),2)))),"")</f>
        <v/>
      </c>
      <c r="AO64" s="902"/>
      <c r="AP64" s="902"/>
      <c r="AQ64" s="902"/>
      <c r="AT64" s="852" t="str">
        <f t="shared" ref="AT64" si="77">IF(OR(C64="",G64="",M64="",O64="",R64="",T64="",V64="",X64="",Z64="",AC64="",AE64="",AG64=""),"",IF(AK64=0,"",ROUND(AE64+AG64,2)))</f>
        <v/>
      </c>
      <c r="AU64" s="854" t="str">
        <f>IFERROR(IF(OR(C64="",G64="",M64="",O64="",R64="",T64="",V64="",X64="",Z64="",AC64="",AE64="",AG64=""),"",INDEX(STDLIGHT[Current Unit],MATCH(G64,STDLIGHT[Measure Name],0))),"Err")</f>
        <v/>
      </c>
      <c r="AV64" s="850" t="str">
        <f>IF(OR(C64="",G64="",M64="",O64="",R64="",T64="",V64="",X64="",Z64="",AC64="",AE64="",AG64=""),"",IFERROR(IF(G64="","",IF(C64&lt;&gt;INDEX(STDLIGHT[Eff Category 1],MATCH(G64,STDLIGHT[Measure Name],0)),0,
IF(AX64&lt;=AY64,0,
ROUND(V64*INDEX(STDLIGHT[Electric Energy Savings (Annual kWh/unit)],MATCH('M03-S02'!G64,STDLIGHT[Measure Name],0)),4)))),""))</f>
        <v/>
      </c>
      <c r="AW64" s="850" t="str">
        <f>IF(OR(C64="",G64="",M64="",O64="",R64="",T64="",V64="",X64="",Z64="",AC64="",AE64="",AG64=""),"",IFERROR(IF(G64="","",IF(C64&lt;&gt;INDEX(STDLIGHT[Eff Category 1],MATCH(G64,STDLIGHT[Measure Name],0)),0,
IF(AX64&lt;=AY64,0,
ROUND(V64*INDEX(STDLIGHT[Coincident Peak Demand Savings (kW/unit)],MATCH('M03-S02'!G64,STDLIGHT[Measure Name],0)),4)))),""))</f>
        <v/>
      </c>
      <c r="AX64" s="848" t="str">
        <f>IF(OR(C64="",G64="",M64="",O64="",R64="",T64="",V64="",X64="",Z64="",AC64="",AE64="",AG64=""),"",
IF(OR(ISNUMBER(SEARCH("Exterior",C64)),ISNUMBER(SEARCH("Parking",C64))),ROUND(R64*V64*X64/1000,4),
ROUND(R64*V64*X64/1000*INDEX(BUILDINGTYPE[Waste Heat Factor (e)],MATCH(M02S04F19,BUILDINGTYPE[Building Type],0)),4)))</f>
        <v/>
      </c>
      <c r="AY64" s="848" t="str">
        <f>IF(OR(C64="",G64="",M64="",O64="",R64="",T64="",V64="",X64="",Z64="",AC64="",AE64="",AG64=""),"",
IF(OR(ISNUMBER(SEARCH("Exterior",C64)),ISNUMBER(SEARCH("Parking",C64))),ROUND(T64*V64*X64/1000,4),
ROUND(T64*V64*X64/1000*INDEX(BUILDINGTYPE[Waste Heat Factor (e)],MATCH(M02S04F19,BUILDINGTYPE[Building Type],0)),4)))</f>
        <v/>
      </c>
      <c r="AZ64" s="854" t="str">
        <f>IFERROR(IF(OR(C64="",G64="",M64="",O64="",R64="",T64="",V64="",X64="",Z64="",AC64="",AE64="",AG64=""),"",INDEX(STDLIGHT[End Use],MATCH(G64,STDLIGHT[Measure Name],0))),"Err")</f>
        <v/>
      </c>
      <c r="BA64" s="850" t="str">
        <f>IFERROR(IF(OR(C64="",G64="",M64="",O64="",R64="",T64="",V64="",X64="",Z64="",AC64="",AE64="",AG64=""),"",
IF(AX64&lt;=AY64,0,
IF(OR(ISNUMBER(SEARCH("Exterior",C64)),ISNUMBER(SEARCH("Parking",C64))),ROUND((R64-T64)*V64*X64/1000,4),
ROUND((R64-T64)*V64*X64/1000*INDEX(BUILDINGTYPE[Waste Heat Factor (e)],MATCH(M02S04F19,BUILDINGTYPE[Building Type],0)),4)))),"")</f>
        <v/>
      </c>
      <c r="BB64" s="846" t="str">
        <f>IFERROR(IF(OR(C64="",G64="",M64="",O64="",R64="",T64="",V64="",X64="",Z64="",AC64="",AE64="",AG64=""),"",
IF(AX64&lt;=AY64,0,
ROUND(BA64*INDEX(ENDUSEALL[Factor],MATCH(AZ64,ENDUSEALL[End Use to Coincident Peak Demand Factors],0)),4))),"")</f>
        <v/>
      </c>
      <c r="BC64" s="854" t="str">
        <f>IFERROR(IF(OR(C64="",G64="",M64="",O64="",R64="",T64="",V64="",X64="",Z64="",AC64="",AE64="",AG64="",ISNUMBER(AN64)=FALSE,AN64=0),"",INDEX(STDLIGHT[Measure Number],MATCH(G64,STDLIGHT[Measure Name],0))),"Err")</f>
        <v/>
      </c>
      <c r="BD64" s="854" t="str">
        <f>IFERROR(IF(OR(C64="",G64="",M64="",O64="",R64="",T64="",V64="",X64="",Z64="",AC64="",AE64="",AG64=""),"",
IF(BI64&gt;0,"",
IF(EXPIRATION&lt;&gt;"",PROJSTATEXP,
IF(M02S04F19="",MEASUREBLDG,
IF(AX64&lt;=AY64,MEASURESAVE,""))))),MEASURESUBMIT)</f>
        <v/>
      </c>
      <c r="BE64" s="928" t="str">
        <f>IFERROR(INDEX(STDLIGHT[Measure Life (Years)],MATCH(G64,STDLIGHT[Measure Name],0)),"")</f>
        <v/>
      </c>
      <c r="BF64" s="930" t="str">
        <f>IFERROR(IF(OR(C64="",G64="",M64="",O64="",R64="",T64="",V64="",X64="",Z64="",AC64="",AE64="",AG64=""),"",
ROUND(((1+ELOSS)*((BA64*INDEX(ELECCB[NPV AEC $/kWh],MATCH(BE64,ELECCB[Year Number],1)))+(BB64*INDEX(ELECCB[NPV ACC $/kW],MATCH(BE64,ELECCB[Year Number],1))))),2)),0)</f>
        <v/>
      </c>
      <c r="BG64" s="937"/>
      <c r="BH64" s="934" t="str">
        <f>IFERROR(IF(OR(C64="",G64="",M64="",O64="",R64="",T64="",V64="",X64="",Z64="",AC64="",AE64="",AG64=""),"",INDEX(STDLIGHT[Reporting Methodology],MATCH(G64,STDLIGHT[Measure Name],0))),"Err")</f>
        <v/>
      </c>
      <c r="BI64" s="939"/>
    </row>
    <row r="65" spans="2:61" ht="15.95" customHeight="1">
      <c r="B65" s="905"/>
      <c r="C65" s="827"/>
      <c r="D65" s="828"/>
      <c r="E65" s="828"/>
      <c r="F65" s="829"/>
      <c r="G65" s="838"/>
      <c r="H65" s="839"/>
      <c r="I65" s="839"/>
      <c r="J65" s="839"/>
      <c r="K65" s="839"/>
      <c r="L65" s="839"/>
      <c r="M65" s="827"/>
      <c r="N65" s="829"/>
      <c r="O65" s="827"/>
      <c r="P65" s="828"/>
      <c r="Q65" s="829"/>
      <c r="R65" s="885"/>
      <c r="S65" s="885"/>
      <c r="T65" s="886"/>
      <c r="U65" s="886"/>
      <c r="V65" s="888"/>
      <c r="W65" s="888"/>
      <c r="X65" s="866"/>
      <c r="Y65" s="866"/>
      <c r="Z65" s="833"/>
      <c r="AA65" s="834"/>
      <c r="AB65" s="835"/>
      <c r="AC65" s="904"/>
      <c r="AD65" s="827"/>
      <c r="AE65" s="867"/>
      <c r="AF65" s="868"/>
      <c r="AG65" s="868"/>
      <c r="AH65" s="869"/>
      <c r="AI65" s="898"/>
      <c r="AJ65" s="899"/>
      <c r="AK65" s="901"/>
      <c r="AL65" s="901"/>
      <c r="AM65" s="901"/>
      <c r="AN65" s="899"/>
      <c r="AO65" s="903"/>
      <c r="AP65" s="903"/>
      <c r="AQ65" s="903"/>
      <c r="AT65" s="853"/>
      <c r="AU65" s="855"/>
      <c r="AV65" s="851"/>
      <c r="AW65" s="851"/>
      <c r="AX65" s="849"/>
      <c r="AY65" s="849"/>
      <c r="AZ65" s="855"/>
      <c r="BA65" s="851"/>
      <c r="BB65" s="847"/>
      <c r="BC65" s="855"/>
      <c r="BD65" s="855"/>
      <c r="BE65" s="929"/>
      <c r="BF65" s="931"/>
      <c r="BG65" s="938"/>
      <c r="BH65" s="934"/>
      <c r="BI65" s="939"/>
    </row>
    <row r="66" spans="2:61" ht="15.95" customHeight="1">
      <c r="B66" s="905">
        <v>25</v>
      </c>
      <c r="C66" s="833"/>
      <c r="D66" s="834"/>
      <c r="E66" s="834"/>
      <c r="F66" s="835"/>
      <c r="G66" s="840"/>
      <c r="H66" s="841"/>
      <c r="I66" s="841"/>
      <c r="J66" s="841"/>
      <c r="K66" s="841"/>
      <c r="L66" s="841"/>
      <c r="M66" s="833"/>
      <c r="N66" s="835"/>
      <c r="O66" s="833"/>
      <c r="P66" s="834"/>
      <c r="Q66" s="835"/>
      <c r="R66" s="884"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884"/>
      <c r="T66" s="886" t="str">
        <f t="shared" ref="T66" si="78">IF(C66="Permanent Lamp Removal",0,"")</f>
        <v/>
      </c>
      <c r="U66" s="886"/>
      <c r="V66" s="887"/>
      <c r="W66" s="887"/>
      <c r="X66" s="865"/>
      <c r="Y66" s="865"/>
      <c r="Z66" s="917"/>
      <c r="AA66" s="918"/>
      <c r="AB66" s="919"/>
      <c r="AC66" s="906"/>
      <c r="AD66" s="833"/>
      <c r="AE66" s="889"/>
      <c r="AF66" s="890"/>
      <c r="AG66" s="890"/>
      <c r="AH66" s="891"/>
      <c r="AI66" s="896" t="str">
        <f>IFERROR(IF(G66="","",IF(C66&lt;&gt;INDEX(STDLIGHT[Eff Category 1],MATCH(G66,STDLIGHT[Measure Name],0)),0,INDEX(STDLIGHT[Current Incentive],MATCH('M03-S02'!G66,STDLIGHT[Measure Name],0)))),"")</f>
        <v/>
      </c>
      <c r="AJ66" s="897"/>
      <c r="AK66" s="900" t="str">
        <f t="shared" ref="AK66" si="79">IFERROR(IF(OR(C66="",G66="",M66="",O66="",R66="",T66="",V66="",X66="",Z66="",AC66="",AE66="",AG66=""),"",IF(BH66="Deemed",AV66,IF(BH66="Calculated",BA66,""))),"")</f>
        <v/>
      </c>
      <c r="AL66" s="900"/>
      <c r="AM66" s="900"/>
      <c r="AN66" s="897" t="str">
        <f t="shared" ref="AN66" si="80">IFERROR(IF(OR(C66="",G66="",M66="",O66="",R66="",T66="",V66="",X66="",Z66="",AC66="",AE66="",AG66=""),"",IF(BD66&lt;&gt;"",BD66,IF(BI66&gt;0,BI66,ROUND(IF(AK66&lt;=0,0,MIN(AT66,V66*AI66)),2)))),"")</f>
        <v/>
      </c>
      <c r="AO66" s="902"/>
      <c r="AP66" s="902"/>
      <c r="AQ66" s="902"/>
      <c r="AT66" s="852" t="str">
        <f t="shared" ref="AT66" si="81">IF(OR(C66="",G66="",M66="",O66="",R66="",T66="",V66="",X66="",Z66="",AC66="",AE66="",AG66=""),"",IF(AK66=0,"",ROUND(AE66+AG66,2)))</f>
        <v/>
      </c>
      <c r="AU66" s="854" t="str">
        <f>IFERROR(IF(OR(C66="",G66="",M66="",O66="",R66="",T66="",V66="",X66="",Z66="",AC66="",AE66="",AG66=""),"",INDEX(STDLIGHT[Current Unit],MATCH(G66,STDLIGHT[Measure Name],0))),"Err")</f>
        <v/>
      </c>
      <c r="AV66" s="850" t="str">
        <f>IF(OR(C66="",G66="",M66="",O66="",R66="",T66="",V66="",X66="",Z66="",AC66="",AE66="",AG66=""),"",IFERROR(IF(G66="","",IF(C66&lt;&gt;INDEX(STDLIGHT[Eff Category 1],MATCH(G66,STDLIGHT[Measure Name],0)),0,
IF(AX66&lt;=AY66,0,
ROUND(V66*INDEX(STDLIGHT[Electric Energy Savings (Annual kWh/unit)],MATCH('M03-S02'!G66,STDLIGHT[Measure Name],0)),4)))),""))</f>
        <v/>
      </c>
      <c r="AW66" s="850" t="str">
        <f>IF(OR(C66="",G66="",M66="",O66="",R66="",T66="",V66="",X66="",Z66="",AC66="",AE66="",AG66=""),"",IFERROR(IF(G66="","",IF(C66&lt;&gt;INDEX(STDLIGHT[Eff Category 1],MATCH(G66,STDLIGHT[Measure Name],0)),0,
IF(AX66&lt;=AY66,0,
ROUND(V66*INDEX(STDLIGHT[Coincident Peak Demand Savings (kW/unit)],MATCH('M03-S02'!G66,STDLIGHT[Measure Name],0)),4)))),""))</f>
        <v/>
      </c>
      <c r="AX66" s="848" t="str">
        <f>IF(OR(C66="",G66="",M66="",O66="",R66="",T66="",V66="",X66="",Z66="",AC66="",AE66="",AG66=""),"",
IF(OR(ISNUMBER(SEARCH("Exterior",C66)),ISNUMBER(SEARCH("Parking",C66))),ROUND(R66*V66*X66/1000,4),
ROUND(R66*V66*X66/1000*INDEX(BUILDINGTYPE[Waste Heat Factor (e)],MATCH(M02S04F19,BUILDINGTYPE[Building Type],0)),4)))</f>
        <v/>
      </c>
      <c r="AY66" s="848" t="str">
        <f>IF(OR(C66="",G66="",M66="",O66="",R66="",T66="",V66="",X66="",Z66="",AC66="",AE66="",AG66=""),"",
IF(OR(ISNUMBER(SEARCH("Exterior",C66)),ISNUMBER(SEARCH("Parking",C66))),ROUND(T66*V66*X66/1000,4),
ROUND(T66*V66*X66/1000*INDEX(BUILDINGTYPE[Waste Heat Factor (e)],MATCH(M02S04F19,BUILDINGTYPE[Building Type],0)),4)))</f>
        <v/>
      </c>
      <c r="AZ66" s="854" t="str">
        <f>IFERROR(IF(OR(C66="",G66="",M66="",O66="",R66="",T66="",V66="",X66="",Z66="",AC66="",AE66="",AG66=""),"",INDEX(STDLIGHT[End Use],MATCH(G66,STDLIGHT[Measure Name],0))),"Err")</f>
        <v/>
      </c>
      <c r="BA66" s="850" t="str">
        <f>IFERROR(IF(OR(C66="",G66="",M66="",O66="",R66="",T66="",V66="",X66="",Z66="",AC66="",AE66="",AG66=""),"",
IF(AX66&lt;=AY66,0,
IF(OR(ISNUMBER(SEARCH("Exterior",C66)),ISNUMBER(SEARCH("Parking",C66))),ROUND((R66-T66)*V66*X66/1000,4),
ROUND((R66-T66)*V66*X66/1000*INDEX(BUILDINGTYPE[Waste Heat Factor (e)],MATCH(M02S04F19,BUILDINGTYPE[Building Type],0)),4)))),"")</f>
        <v/>
      </c>
      <c r="BB66" s="846" t="str">
        <f>IFERROR(IF(OR(C66="",G66="",M66="",O66="",R66="",T66="",V66="",X66="",Z66="",AC66="",AE66="",AG66=""),"",
IF(AX66&lt;=AY66,0,
ROUND(BA66*INDEX(ENDUSEALL[Factor],MATCH(AZ66,ENDUSEALL[End Use to Coincident Peak Demand Factors],0)),4))),"")</f>
        <v/>
      </c>
      <c r="BC66" s="854" t="str">
        <f>IFERROR(IF(OR(C66="",G66="",M66="",O66="",R66="",T66="",V66="",X66="",Z66="",AC66="",AE66="",AG66="",ISNUMBER(AN66)=FALSE,AN66=0),"",INDEX(STDLIGHT[Measure Number],MATCH(G66,STDLIGHT[Measure Name],0))),"Err")</f>
        <v/>
      </c>
      <c r="BD66" s="854" t="str">
        <f>IFERROR(IF(OR(C66="",G66="",M66="",O66="",R66="",T66="",V66="",X66="",Z66="",AC66="",AE66="",AG66=""),"",
IF(BI66&gt;0,"",
IF(EXPIRATION&lt;&gt;"",PROJSTATEXP,
IF(M02S04F19="",MEASUREBLDG,
IF(AX66&lt;=AY66,MEASURESAVE,""))))),MEASURESUBMIT)</f>
        <v/>
      </c>
      <c r="BE66" s="928" t="str">
        <f>IFERROR(INDEX(STDLIGHT[Measure Life (Years)],MATCH(G66,STDLIGHT[Measure Name],0)),"")</f>
        <v/>
      </c>
      <c r="BF66" s="930" t="str">
        <f>IFERROR(IF(OR(C66="",G66="",M66="",O66="",R66="",T66="",V66="",X66="",Z66="",AC66="",AE66="",AG66=""),"",
ROUND(((1+ELOSS)*((BA66*INDEX(ELECCB[NPV AEC $/kWh],MATCH(BE66,ELECCB[Year Number],1)))+(BB66*INDEX(ELECCB[NPV ACC $/kW],MATCH(BE66,ELECCB[Year Number],1))))),2)),0)</f>
        <v/>
      </c>
      <c r="BG66" s="937"/>
      <c r="BH66" s="934" t="str">
        <f>IFERROR(IF(OR(C66="",G66="",M66="",O66="",R66="",T66="",V66="",X66="",Z66="",AC66="",AE66="",AG66=""),"",INDEX(STDLIGHT[Reporting Methodology],MATCH(G66,STDLIGHT[Measure Name],0))),"Err")</f>
        <v/>
      </c>
      <c r="BI66" s="939"/>
    </row>
    <row r="67" spans="2:61" ht="15.95" customHeight="1">
      <c r="B67" s="905"/>
      <c r="C67" s="827"/>
      <c r="D67" s="828"/>
      <c r="E67" s="828"/>
      <c r="F67" s="829"/>
      <c r="G67" s="838"/>
      <c r="H67" s="839"/>
      <c r="I67" s="839"/>
      <c r="J67" s="839"/>
      <c r="K67" s="839"/>
      <c r="L67" s="839"/>
      <c r="M67" s="827"/>
      <c r="N67" s="829"/>
      <c r="O67" s="827"/>
      <c r="P67" s="828"/>
      <c r="Q67" s="829"/>
      <c r="R67" s="885"/>
      <c r="S67" s="885"/>
      <c r="T67" s="886"/>
      <c r="U67" s="886"/>
      <c r="V67" s="888"/>
      <c r="W67" s="888"/>
      <c r="X67" s="866"/>
      <c r="Y67" s="866"/>
      <c r="Z67" s="833"/>
      <c r="AA67" s="834"/>
      <c r="AB67" s="835"/>
      <c r="AC67" s="904"/>
      <c r="AD67" s="827"/>
      <c r="AE67" s="867"/>
      <c r="AF67" s="868"/>
      <c r="AG67" s="868"/>
      <c r="AH67" s="869"/>
      <c r="AI67" s="898"/>
      <c r="AJ67" s="899"/>
      <c r="AK67" s="901"/>
      <c r="AL67" s="901"/>
      <c r="AM67" s="901"/>
      <c r="AN67" s="899"/>
      <c r="AO67" s="903"/>
      <c r="AP67" s="903"/>
      <c r="AQ67" s="903"/>
      <c r="AT67" s="853"/>
      <c r="AU67" s="855"/>
      <c r="AV67" s="851"/>
      <c r="AW67" s="851"/>
      <c r="AX67" s="849"/>
      <c r="AY67" s="849"/>
      <c r="AZ67" s="855"/>
      <c r="BA67" s="851"/>
      <c r="BB67" s="847"/>
      <c r="BC67" s="855"/>
      <c r="BD67" s="855"/>
      <c r="BE67" s="929"/>
      <c r="BF67" s="931"/>
      <c r="BG67" s="938"/>
      <c r="BH67" s="934"/>
      <c r="BI67" s="939"/>
    </row>
    <row r="68" spans="2:61" ht="15.95" customHeight="1">
      <c r="B68" s="905">
        <v>26</v>
      </c>
      <c r="C68" s="833"/>
      <c r="D68" s="834"/>
      <c r="E68" s="834"/>
      <c r="F68" s="835"/>
      <c r="G68" s="840"/>
      <c r="H68" s="841"/>
      <c r="I68" s="841"/>
      <c r="J68" s="841"/>
      <c r="K68" s="841"/>
      <c r="L68" s="841"/>
      <c r="M68" s="833"/>
      <c r="N68" s="835"/>
      <c r="O68" s="833"/>
      <c r="P68" s="834"/>
      <c r="Q68" s="835"/>
      <c r="R68" s="884"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884"/>
      <c r="T68" s="886" t="str">
        <f t="shared" ref="T68" si="82">IF(C68="Permanent Lamp Removal",0,"")</f>
        <v/>
      </c>
      <c r="U68" s="886"/>
      <c r="V68" s="887"/>
      <c r="W68" s="887"/>
      <c r="X68" s="865"/>
      <c r="Y68" s="865"/>
      <c r="Z68" s="917"/>
      <c r="AA68" s="918"/>
      <c r="AB68" s="919"/>
      <c r="AC68" s="906"/>
      <c r="AD68" s="833"/>
      <c r="AE68" s="889"/>
      <c r="AF68" s="890"/>
      <c r="AG68" s="890"/>
      <c r="AH68" s="891"/>
      <c r="AI68" s="896" t="str">
        <f>IFERROR(IF(G68="","",IF(C68&lt;&gt;INDEX(STDLIGHT[Eff Category 1],MATCH(G68,STDLIGHT[Measure Name],0)),0,INDEX(STDLIGHT[Current Incentive],MATCH('M03-S02'!G68,STDLIGHT[Measure Name],0)))),"")</f>
        <v/>
      </c>
      <c r="AJ68" s="897"/>
      <c r="AK68" s="900" t="str">
        <f t="shared" ref="AK68" si="83">IFERROR(IF(OR(C68="",G68="",M68="",O68="",R68="",T68="",V68="",X68="",Z68="",AC68="",AE68="",AG68=""),"",IF(BH68="Deemed",AV68,IF(BH68="Calculated",BA68,""))),"")</f>
        <v/>
      </c>
      <c r="AL68" s="900"/>
      <c r="AM68" s="900"/>
      <c r="AN68" s="897" t="str">
        <f t="shared" ref="AN68" si="84">IFERROR(IF(OR(C68="",G68="",M68="",O68="",R68="",T68="",V68="",X68="",Z68="",AC68="",AE68="",AG68=""),"",IF(BD68&lt;&gt;"",BD68,IF(BI68&gt;0,BI68,ROUND(IF(AK68&lt;=0,0,MIN(AT68,V68*AI68)),2)))),"")</f>
        <v/>
      </c>
      <c r="AO68" s="902"/>
      <c r="AP68" s="902"/>
      <c r="AQ68" s="902"/>
      <c r="AT68" s="852" t="str">
        <f t="shared" ref="AT68" si="85">IF(OR(C68="",G68="",M68="",O68="",R68="",T68="",V68="",X68="",Z68="",AC68="",AE68="",AG68=""),"",IF(AK68=0,"",ROUND(AE68+AG68,2)))</f>
        <v/>
      </c>
      <c r="AU68" s="854" t="str">
        <f>IFERROR(IF(OR(C68="",G68="",M68="",O68="",R68="",T68="",V68="",X68="",Z68="",AC68="",AE68="",AG68=""),"",INDEX(STDLIGHT[Current Unit],MATCH(G68,STDLIGHT[Measure Name],0))),"Err")</f>
        <v/>
      </c>
      <c r="AV68" s="850" t="str">
        <f>IF(OR(C68="",G68="",M68="",O68="",R68="",T68="",V68="",X68="",Z68="",AC68="",AE68="",AG68=""),"",IFERROR(IF(G68="","",IF(C68&lt;&gt;INDEX(STDLIGHT[Eff Category 1],MATCH(G68,STDLIGHT[Measure Name],0)),0,
IF(AX68&lt;=AY68,0,
ROUND(V68*INDEX(STDLIGHT[Electric Energy Savings (Annual kWh/unit)],MATCH('M03-S02'!G68,STDLIGHT[Measure Name],0)),4)))),""))</f>
        <v/>
      </c>
      <c r="AW68" s="850" t="str">
        <f>IF(OR(C68="",G68="",M68="",O68="",R68="",T68="",V68="",X68="",Z68="",AC68="",AE68="",AG68=""),"",IFERROR(IF(G68="","",IF(C68&lt;&gt;INDEX(STDLIGHT[Eff Category 1],MATCH(G68,STDLIGHT[Measure Name],0)),0,
IF(AX68&lt;=AY68,0,
ROUND(V68*INDEX(STDLIGHT[Coincident Peak Demand Savings (kW/unit)],MATCH('M03-S02'!G68,STDLIGHT[Measure Name],0)),4)))),""))</f>
        <v/>
      </c>
      <c r="AX68" s="848" t="str">
        <f>IF(OR(C68="",G68="",M68="",O68="",R68="",T68="",V68="",X68="",Z68="",AC68="",AE68="",AG68=""),"",
IF(OR(ISNUMBER(SEARCH("Exterior",C68)),ISNUMBER(SEARCH("Parking",C68))),ROUND(R68*V68*X68/1000,4),
ROUND(R68*V68*X68/1000*INDEX(BUILDINGTYPE[Waste Heat Factor (e)],MATCH(M02S04F19,BUILDINGTYPE[Building Type],0)),4)))</f>
        <v/>
      </c>
      <c r="AY68" s="848" t="str">
        <f>IF(OR(C68="",G68="",M68="",O68="",R68="",T68="",V68="",X68="",Z68="",AC68="",AE68="",AG68=""),"",
IF(OR(ISNUMBER(SEARCH("Exterior",C68)),ISNUMBER(SEARCH("Parking",C68))),ROUND(T68*V68*X68/1000,4),
ROUND(T68*V68*X68/1000*INDEX(BUILDINGTYPE[Waste Heat Factor (e)],MATCH(M02S04F19,BUILDINGTYPE[Building Type],0)),4)))</f>
        <v/>
      </c>
      <c r="AZ68" s="854" t="str">
        <f>IFERROR(IF(OR(C68="",G68="",M68="",O68="",R68="",T68="",V68="",X68="",Z68="",AC68="",AE68="",AG68=""),"",INDEX(STDLIGHT[End Use],MATCH(G68,STDLIGHT[Measure Name],0))),"Err")</f>
        <v/>
      </c>
      <c r="BA68" s="850" t="str">
        <f>IFERROR(IF(OR(C68="",G68="",M68="",O68="",R68="",T68="",V68="",X68="",Z68="",AC68="",AE68="",AG68=""),"",
IF(AX68&lt;=AY68,0,
IF(OR(ISNUMBER(SEARCH("Exterior",C68)),ISNUMBER(SEARCH("Parking",C68))),ROUND((R68-T68)*V68*X68/1000,4),
ROUND((R68-T68)*V68*X68/1000*INDEX(BUILDINGTYPE[Waste Heat Factor (e)],MATCH(M02S04F19,BUILDINGTYPE[Building Type],0)),4)))),"")</f>
        <v/>
      </c>
      <c r="BB68" s="846" t="str">
        <f>IFERROR(IF(OR(C68="",G68="",M68="",O68="",R68="",T68="",V68="",X68="",Z68="",AC68="",AE68="",AG68=""),"",
IF(AX68&lt;=AY68,0,
ROUND(BA68*INDEX(ENDUSEALL[Factor],MATCH(AZ68,ENDUSEALL[End Use to Coincident Peak Demand Factors],0)),4))),"")</f>
        <v/>
      </c>
      <c r="BC68" s="854" t="str">
        <f>IFERROR(IF(OR(C68="",G68="",M68="",O68="",R68="",T68="",V68="",X68="",Z68="",AC68="",AE68="",AG68="",ISNUMBER(AN68)=FALSE,AN68=0),"",INDEX(STDLIGHT[Measure Number],MATCH(G68,STDLIGHT[Measure Name],0))),"Err")</f>
        <v/>
      </c>
      <c r="BD68" s="854" t="str">
        <f>IFERROR(IF(OR(C68="",G68="",M68="",O68="",R68="",T68="",V68="",X68="",Z68="",AC68="",AE68="",AG68=""),"",
IF(BI68&gt;0,"",
IF(EXPIRATION&lt;&gt;"",PROJSTATEXP,
IF(M02S04F19="",MEASUREBLDG,
IF(AX68&lt;=AY68,MEASURESAVE,""))))),MEASURESUBMIT)</f>
        <v/>
      </c>
      <c r="BE68" s="928" t="str">
        <f>IFERROR(INDEX(STDLIGHT[Measure Life (Years)],MATCH(G68,STDLIGHT[Measure Name],0)),"")</f>
        <v/>
      </c>
      <c r="BF68" s="930" t="str">
        <f>IFERROR(IF(OR(C68="",G68="",M68="",O68="",R68="",T68="",V68="",X68="",Z68="",AC68="",AE68="",AG68=""),"",
ROUND(((1+ELOSS)*((BA68*INDEX(ELECCB[NPV AEC $/kWh],MATCH(BE68,ELECCB[Year Number],1)))+(BB68*INDEX(ELECCB[NPV ACC $/kW],MATCH(BE68,ELECCB[Year Number],1))))),2)),0)</f>
        <v/>
      </c>
      <c r="BG68" s="937"/>
      <c r="BH68" s="934" t="str">
        <f>IFERROR(IF(OR(C68="",G68="",M68="",O68="",R68="",T68="",V68="",X68="",Z68="",AC68="",AE68="",AG68=""),"",INDEX(STDLIGHT[Reporting Methodology],MATCH(G68,STDLIGHT[Measure Name],0))),"Err")</f>
        <v/>
      </c>
      <c r="BI68" s="939"/>
    </row>
    <row r="69" spans="2:61" ht="15.95" customHeight="1">
      <c r="B69" s="905"/>
      <c r="C69" s="827"/>
      <c r="D69" s="828"/>
      <c r="E69" s="828"/>
      <c r="F69" s="829"/>
      <c r="G69" s="838"/>
      <c r="H69" s="839"/>
      <c r="I69" s="839"/>
      <c r="J69" s="839"/>
      <c r="K69" s="839"/>
      <c r="L69" s="839"/>
      <c r="M69" s="827"/>
      <c r="N69" s="829"/>
      <c r="O69" s="827"/>
      <c r="P69" s="828"/>
      <c r="Q69" s="829"/>
      <c r="R69" s="885"/>
      <c r="S69" s="885"/>
      <c r="T69" s="886"/>
      <c r="U69" s="886"/>
      <c r="V69" s="888"/>
      <c r="W69" s="888"/>
      <c r="X69" s="866"/>
      <c r="Y69" s="866"/>
      <c r="Z69" s="833"/>
      <c r="AA69" s="834"/>
      <c r="AB69" s="835"/>
      <c r="AC69" s="904"/>
      <c r="AD69" s="827"/>
      <c r="AE69" s="867"/>
      <c r="AF69" s="868"/>
      <c r="AG69" s="868"/>
      <c r="AH69" s="869"/>
      <c r="AI69" s="898"/>
      <c r="AJ69" s="899"/>
      <c r="AK69" s="901"/>
      <c r="AL69" s="901"/>
      <c r="AM69" s="901"/>
      <c r="AN69" s="899"/>
      <c r="AO69" s="903"/>
      <c r="AP69" s="903"/>
      <c r="AQ69" s="903"/>
      <c r="AT69" s="853"/>
      <c r="AU69" s="855"/>
      <c r="AV69" s="851"/>
      <c r="AW69" s="851"/>
      <c r="AX69" s="849"/>
      <c r="AY69" s="849"/>
      <c r="AZ69" s="855"/>
      <c r="BA69" s="851"/>
      <c r="BB69" s="847"/>
      <c r="BC69" s="855"/>
      <c r="BD69" s="855"/>
      <c r="BE69" s="929"/>
      <c r="BF69" s="931"/>
      <c r="BG69" s="938"/>
      <c r="BH69" s="934"/>
      <c r="BI69" s="939"/>
    </row>
    <row r="70" spans="2:61" ht="15.95" customHeight="1">
      <c r="B70" s="905">
        <v>27</v>
      </c>
      <c r="C70" s="833"/>
      <c r="D70" s="834"/>
      <c r="E70" s="834"/>
      <c r="F70" s="835"/>
      <c r="G70" s="840"/>
      <c r="H70" s="841"/>
      <c r="I70" s="841"/>
      <c r="J70" s="841"/>
      <c r="K70" s="841"/>
      <c r="L70" s="841"/>
      <c r="M70" s="833"/>
      <c r="N70" s="835"/>
      <c r="O70" s="833"/>
      <c r="P70" s="834"/>
      <c r="Q70" s="835"/>
      <c r="R70" s="884"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884"/>
      <c r="T70" s="886" t="str">
        <f>IF(C70="Permanent Lamp Removal",0,"")</f>
        <v/>
      </c>
      <c r="U70" s="886"/>
      <c r="V70" s="887"/>
      <c r="W70" s="887"/>
      <c r="X70" s="865"/>
      <c r="Y70" s="865"/>
      <c r="Z70" s="917"/>
      <c r="AA70" s="918"/>
      <c r="AB70" s="919"/>
      <c r="AC70" s="906"/>
      <c r="AD70" s="833"/>
      <c r="AE70" s="889"/>
      <c r="AF70" s="890"/>
      <c r="AG70" s="890"/>
      <c r="AH70" s="891"/>
      <c r="AI70" s="896" t="str">
        <f>IFERROR(IF(G70="","",IF(C70&lt;&gt;INDEX(STDLIGHT[Eff Category 1],MATCH(G70,STDLIGHT[Measure Name],0)),0,INDEX(STDLIGHT[Current Incentive],MATCH('M03-S02'!G70,STDLIGHT[Measure Name],0)))),"")</f>
        <v/>
      </c>
      <c r="AJ70" s="897"/>
      <c r="AK70" s="900" t="str">
        <f t="shared" ref="AK70" si="86">IFERROR(IF(OR(C70="",G70="",M70="",O70="",R70="",T70="",V70="",X70="",Z70="",AC70="",AE70="",AG70=""),"",IF(BH70="Deemed",AV70,IF(BH70="Calculated",BA70,""))),"")</f>
        <v/>
      </c>
      <c r="AL70" s="900"/>
      <c r="AM70" s="900"/>
      <c r="AN70" s="897" t="str">
        <f t="shared" ref="AN70" si="87">IFERROR(IF(OR(C70="",G70="",M70="",O70="",R70="",T70="",V70="",X70="",Z70="",AC70="",AE70="",AG70=""),"",IF(BD70&lt;&gt;"",BD70,IF(BI70&gt;0,BI70,ROUND(IF(AK70&lt;=0,0,MIN(AT70,V70*AI70)),2)))),"")</f>
        <v/>
      </c>
      <c r="AO70" s="902"/>
      <c r="AP70" s="902"/>
      <c r="AQ70" s="902"/>
      <c r="AT70" s="852" t="str">
        <f t="shared" ref="AT70" si="88">IF(OR(C70="",G70="",M70="",O70="",R70="",T70="",V70="",X70="",Z70="",AC70="",AE70="",AG70=""),"",IF(AK70=0,"",ROUND(AE70+AG70,2)))</f>
        <v/>
      </c>
      <c r="AU70" s="854" t="str">
        <f>IFERROR(IF(OR(C70="",G70="",M70="",O70="",R70="",T70="",V70="",X70="",Z70="",AC70="",AE70="",AG70=""),"",INDEX(STDLIGHT[Current Unit],MATCH(G70,STDLIGHT[Measure Name],0))),"Err")</f>
        <v/>
      </c>
      <c r="AV70" s="850" t="str">
        <f>IF(OR(C70="",G70="",M70="",O70="",R70="",T70="",V70="",X70="",Z70="",AC70="",AE70="",AG70=""),"",IFERROR(IF(G70="","",IF(C70&lt;&gt;INDEX(STDLIGHT[Eff Category 1],MATCH(G70,STDLIGHT[Measure Name],0)),0,
IF(AX70&lt;=AY70,0,
ROUND(V70*INDEX(STDLIGHT[Electric Energy Savings (Annual kWh/unit)],MATCH('M03-S02'!G70,STDLIGHT[Measure Name],0)),4)))),""))</f>
        <v/>
      </c>
      <c r="AW70" s="850" t="str">
        <f>IF(OR(C70="",G70="",M70="",O70="",R70="",T70="",V70="",X70="",Z70="",AC70="",AE70="",AG70=""),"",IFERROR(IF(G70="","",IF(C70&lt;&gt;INDEX(STDLIGHT[Eff Category 1],MATCH(G70,STDLIGHT[Measure Name],0)),0,
IF(AX70&lt;=AY70,0,
ROUND(V70*INDEX(STDLIGHT[Coincident Peak Demand Savings (kW/unit)],MATCH('M03-S02'!G70,STDLIGHT[Measure Name],0)),4)))),""))</f>
        <v/>
      </c>
      <c r="AX70" s="848" t="str">
        <f>IF(OR(C70="",G70="",M70="",O70="",R70="",T70="",V70="",X70="",Z70="",AC70="",AE70="",AG70=""),"",
IF(OR(ISNUMBER(SEARCH("Exterior",C70)),ISNUMBER(SEARCH("Parking",C70))),ROUND(R70*V70*X70/1000,4),
ROUND(R70*V70*X70/1000*INDEX(BUILDINGTYPE[Waste Heat Factor (e)],MATCH(M02S04F19,BUILDINGTYPE[Building Type],0)),4)))</f>
        <v/>
      </c>
      <c r="AY70" s="848" t="str">
        <f>IF(OR(C70="",G70="",M70="",O70="",R70="",T70="",V70="",X70="",Z70="",AC70="",AE70="",AG70=""),"",
IF(OR(ISNUMBER(SEARCH("Exterior",C70)),ISNUMBER(SEARCH("Parking",C70))),ROUND(T70*V70*X70/1000,4),
ROUND(T70*V70*X70/1000*INDEX(BUILDINGTYPE[Waste Heat Factor (e)],MATCH(M02S04F19,BUILDINGTYPE[Building Type],0)),4)))</f>
        <v/>
      </c>
      <c r="AZ70" s="854" t="str">
        <f>IFERROR(IF(OR(C70="",G70="",M70="",O70="",R70="",T70="",V70="",X70="",Z70="",AC70="",AE70="",AG70=""),"",INDEX(STDLIGHT[End Use],MATCH(G70,STDLIGHT[Measure Name],0))),"Err")</f>
        <v/>
      </c>
      <c r="BA70" s="850" t="str">
        <f>IFERROR(IF(OR(C70="",G70="",M70="",O70="",R70="",T70="",V70="",X70="",Z70="",AC70="",AE70="",AG70=""),"",
IF(AX70&lt;=AY70,0,
IF(OR(ISNUMBER(SEARCH("Exterior",C70)),ISNUMBER(SEARCH("Parking",C70))),ROUND((R70-T70)*V70*X70/1000,4),
ROUND((R70-T70)*V70*X70/1000*INDEX(BUILDINGTYPE[Waste Heat Factor (e)],MATCH(M02S04F19,BUILDINGTYPE[Building Type],0)),4)))),"")</f>
        <v/>
      </c>
      <c r="BB70" s="846" t="str">
        <f>IFERROR(IF(OR(C70="",G70="",M70="",O70="",R70="",T70="",V70="",X70="",Z70="",AC70="",AE70="",AG70=""),"",
IF(AX70&lt;=AY70,0,
ROUND(BA70*INDEX(ENDUSEALL[Factor],MATCH(AZ70,ENDUSEALL[End Use to Coincident Peak Demand Factors],0)),4))),"")</f>
        <v/>
      </c>
      <c r="BC70" s="854" t="str">
        <f>IFERROR(IF(OR(C70="",G70="",M70="",O70="",R70="",T70="",V70="",X70="",Z70="",AC70="",AE70="",AG70="",ISNUMBER(AN70)=FALSE,AN70=0),"",INDEX(STDLIGHT[Measure Number],MATCH(G70,STDLIGHT[Measure Name],0))),"Err")</f>
        <v/>
      </c>
      <c r="BD70" s="854" t="str">
        <f>IFERROR(IF(OR(C70="",G70="",M70="",O70="",R70="",T70="",V70="",X70="",Z70="",AC70="",AE70="",AG70=""),"",
IF(BI70&gt;0,"",
IF(EXPIRATION&lt;&gt;"",PROJSTATEXP,
IF(M02S04F19="",MEASUREBLDG,
IF(AX70&lt;=AY70,MEASURESAVE,""))))),MEASURESUBMIT)</f>
        <v/>
      </c>
      <c r="BE70" s="928" t="str">
        <f>IFERROR(INDEX(STDLIGHT[Measure Life (Years)],MATCH(G70,STDLIGHT[Measure Name],0)),"")</f>
        <v/>
      </c>
      <c r="BF70" s="930" t="str">
        <f>IFERROR(IF(OR(C70="",G70="",M70="",O70="",R70="",T70="",V70="",X70="",Z70="",AC70="",AE70="",AG70=""),"",
ROUND(((1+ELOSS)*((BA70*INDEX(ELECCB[NPV AEC $/kWh],MATCH(BE70,ELECCB[Year Number],1)))+(BB70*INDEX(ELECCB[NPV ACC $/kW],MATCH(BE70,ELECCB[Year Number],1))))),2)),0)</f>
        <v/>
      </c>
      <c r="BG70" s="937"/>
      <c r="BH70" s="934" t="str">
        <f>IFERROR(IF(OR(C70="",G70="",M70="",O70="",R70="",T70="",V70="",X70="",Z70="",AC70="",AE70="",AG70=""),"",INDEX(STDLIGHT[Reporting Methodology],MATCH(G70,STDLIGHT[Measure Name],0))),"Err")</f>
        <v/>
      </c>
      <c r="BI70" s="939"/>
    </row>
    <row r="71" spans="2:61" ht="15.95" customHeight="1">
      <c r="B71" s="905"/>
      <c r="C71" s="827"/>
      <c r="D71" s="828"/>
      <c r="E71" s="828"/>
      <c r="F71" s="829"/>
      <c r="G71" s="838"/>
      <c r="H71" s="839"/>
      <c r="I71" s="839"/>
      <c r="J71" s="839"/>
      <c r="K71" s="839"/>
      <c r="L71" s="839"/>
      <c r="M71" s="827"/>
      <c r="N71" s="829"/>
      <c r="O71" s="827"/>
      <c r="P71" s="828"/>
      <c r="Q71" s="829"/>
      <c r="R71" s="885"/>
      <c r="S71" s="885"/>
      <c r="T71" s="886"/>
      <c r="U71" s="886"/>
      <c r="V71" s="888"/>
      <c r="W71" s="888"/>
      <c r="X71" s="866"/>
      <c r="Y71" s="866"/>
      <c r="Z71" s="833"/>
      <c r="AA71" s="834"/>
      <c r="AB71" s="835"/>
      <c r="AC71" s="904"/>
      <c r="AD71" s="827"/>
      <c r="AE71" s="867"/>
      <c r="AF71" s="868"/>
      <c r="AG71" s="868"/>
      <c r="AH71" s="869"/>
      <c r="AI71" s="898"/>
      <c r="AJ71" s="899"/>
      <c r="AK71" s="901"/>
      <c r="AL71" s="901"/>
      <c r="AM71" s="901"/>
      <c r="AN71" s="899"/>
      <c r="AO71" s="903"/>
      <c r="AP71" s="903"/>
      <c r="AQ71" s="903"/>
      <c r="AT71" s="853"/>
      <c r="AU71" s="855"/>
      <c r="AV71" s="851"/>
      <c r="AW71" s="851"/>
      <c r="AX71" s="849"/>
      <c r="AY71" s="849"/>
      <c r="AZ71" s="855"/>
      <c r="BA71" s="851"/>
      <c r="BB71" s="847"/>
      <c r="BC71" s="855"/>
      <c r="BD71" s="855"/>
      <c r="BE71" s="929"/>
      <c r="BF71" s="931"/>
      <c r="BG71" s="938"/>
      <c r="BH71" s="934"/>
      <c r="BI71" s="939"/>
    </row>
    <row r="72" spans="2:61" ht="15.95" customHeight="1">
      <c r="B72" s="905">
        <v>28</v>
      </c>
      <c r="C72" s="833"/>
      <c r="D72" s="834"/>
      <c r="E72" s="834"/>
      <c r="F72" s="835"/>
      <c r="G72" s="840"/>
      <c r="H72" s="841"/>
      <c r="I72" s="841"/>
      <c r="J72" s="841"/>
      <c r="K72" s="841"/>
      <c r="L72" s="841"/>
      <c r="M72" s="833"/>
      <c r="N72" s="835"/>
      <c r="O72" s="833"/>
      <c r="P72" s="834"/>
      <c r="Q72" s="835"/>
      <c r="R72" s="884"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884"/>
      <c r="T72" s="886" t="str">
        <f t="shared" ref="T72" si="89">IF(C72="Permanent Lamp Removal",0,"")</f>
        <v/>
      </c>
      <c r="U72" s="886"/>
      <c r="V72" s="887"/>
      <c r="W72" s="887"/>
      <c r="X72" s="865"/>
      <c r="Y72" s="865"/>
      <c r="Z72" s="917"/>
      <c r="AA72" s="918"/>
      <c r="AB72" s="919"/>
      <c r="AC72" s="906"/>
      <c r="AD72" s="833"/>
      <c r="AE72" s="889"/>
      <c r="AF72" s="890"/>
      <c r="AG72" s="890"/>
      <c r="AH72" s="891"/>
      <c r="AI72" s="896" t="str">
        <f>IFERROR(IF(G72="","",IF(C72&lt;&gt;INDEX(STDLIGHT[Eff Category 1],MATCH(G72,STDLIGHT[Measure Name],0)),0,INDEX(STDLIGHT[Current Incentive],MATCH('M03-S02'!G72,STDLIGHT[Measure Name],0)))),"")</f>
        <v/>
      </c>
      <c r="AJ72" s="897"/>
      <c r="AK72" s="900" t="str">
        <f t="shared" ref="AK72" si="90">IFERROR(IF(OR(C72="",G72="",M72="",O72="",R72="",T72="",V72="",X72="",Z72="",AC72="",AE72="",AG72=""),"",IF(BH72="Deemed",AV72,IF(BH72="Calculated",BA72,""))),"")</f>
        <v/>
      </c>
      <c r="AL72" s="900"/>
      <c r="AM72" s="900"/>
      <c r="AN72" s="897" t="str">
        <f t="shared" ref="AN72" si="91">IFERROR(IF(OR(C72="",G72="",M72="",O72="",R72="",T72="",V72="",X72="",Z72="",AC72="",AE72="",AG72=""),"",IF(BD72&lt;&gt;"",BD72,IF(BI72&gt;0,BI72,ROUND(IF(AK72&lt;=0,0,MIN(AT72,V72*AI72)),2)))),"")</f>
        <v/>
      </c>
      <c r="AO72" s="902"/>
      <c r="AP72" s="902"/>
      <c r="AQ72" s="902"/>
      <c r="AT72" s="852" t="str">
        <f t="shared" ref="AT72" si="92">IF(OR(C72="",G72="",M72="",O72="",R72="",T72="",V72="",X72="",Z72="",AC72="",AE72="",AG72=""),"",IF(AK72=0,"",ROUND(AE72+AG72,2)))</f>
        <v/>
      </c>
      <c r="AU72" s="854" t="str">
        <f>IFERROR(IF(OR(C72="",G72="",M72="",O72="",R72="",T72="",V72="",X72="",Z72="",AC72="",AE72="",AG72=""),"",INDEX(STDLIGHT[Current Unit],MATCH(G72,STDLIGHT[Measure Name],0))),"Err")</f>
        <v/>
      </c>
      <c r="AV72" s="850" t="str">
        <f>IF(OR(C72="",G72="",M72="",O72="",R72="",T72="",V72="",X72="",Z72="",AC72="",AE72="",AG72=""),"",IFERROR(IF(G72="","",IF(C72&lt;&gt;INDEX(STDLIGHT[Eff Category 1],MATCH(G72,STDLIGHT[Measure Name],0)),0,
IF(AX72&lt;=AY72,0,
ROUND(V72*INDEX(STDLIGHT[Electric Energy Savings (Annual kWh/unit)],MATCH('M03-S02'!G72,STDLIGHT[Measure Name],0)),4)))),""))</f>
        <v/>
      </c>
      <c r="AW72" s="850" t="str">
        <f>IF(OR(C72="",G72="",M72="",O72="",R72="",T72="",V72="",X72="",Z72="",AC72="",AE72="",AG72=""),"",IFERROR(IF(G72="","",IF(C72&lt;&gt;INDEX(STDLIGHT[Eff Category 1],MATCH(G72,STDLIGHT[Measure Name],0)),0,
IF(AX72&lt;=AY72,0,
ROUND(V72*INDEX(STDLIGHT[Coincident Peak Demand Savings (kW/unit)],MATCH('M03-S02'!G72,STDLIGHT[Measure Name],0)),4)))),""))</f>
        <v/>
      </c>
      <c r="AX72" s="848" t="str">
        <f>IF(OR(C72="",G72="",M72="",O72="",R72="",T72="",V72="",X72="",Z72="",AC72="",AE72="",AG72=""),"",
IF(OR(ISNUMBER(SEARCH("Exterior",C72)),ISNUMBER(SEARCH("Parking",C72))),ROUND(R72*V72*X72/1000,4),
ROUND(R72*V72*X72/1000*INDEX(BUILDINGTYPE[Waste Heat Factor (e)],MATCH(M02S04F19,BUILDINGTYPE[Building Type],0)),4)))</f>
        <v/>
      </c>
      <c r="AY72" s="848" t="str">
        <f>IF(OR(C72="",G72="",M72="",O72="",R72="",T72="",V72="",X72="",Z72="",AC72="",AE72="",AG72=""),"",
IF(OR(ISNUMBER(SEARCH("Exterior",C72)),ISNUMBER(SEARCH("Parking",C72))),ROUND(T72*V72*X72/1000,4),
ROUND(T72*V72*X72/1000*INDEX(BUILDINGTYPE[Waste Heat Factor (e)],MATCH(M02S04F19,BUILDINGTYPE[Building Type],0)),4)))</f>
        <v/>
      </c>
      <c r="AZ72" s="854" t="str">
        <f>IFERROR(IF(OR(C72="",G72="",M72="",O72="",R72="",T72="",V72="",X72="",Z72="",AC72="",AE72="",AG72=""),"",INDEX(STDLIGHT[End Use],MATCH(G72,STDLIGHT[Measure Name],0))),"Err")</f>
        <v/>
      </c>
      <c r="BA72" s="850" t="str">
        <f>IFERROR(IF(OR(C72="",G72="",M72="",O72="",R72="",T72="",V72="",X72="",Z72="",AC72="",AE72="",AG72=""),"",
IF(AX72&lt;=AY72,0,
IF(OR(ISNUMBER(SEARCH("Exterior",C72)),ISNUMBER(SEARCH("Parking",C72))),ROUND((R72-T72)*V72*X72/1000,4),
ROUND((R72-T72)*V72*X72/1000*INDEX(BUILDINGTYPE[Waste Heat Factor (e)],MATCH(M02S04F19,BUILDINGTYPE[Building Type],0)),4)))),"")</f>
        <v/>
      </c>
      <c r="BB72" s="846" t="str">
        <f>IFERROR(IF(OR(C72="",G72="",M72="",O72="",R72="",T72="",V72="",X72="",Z72="",AC72="",AE72="",AG72=""),"",
IF(AX72&lt;=AY72,0,
ROUND(BA72*INDEX(ENDUSEALL[Factor],MATCH(AZ72,ENDUSEALL[End Use to Coincident Peak Demand Factors],0)),4))),"")</f>
        <v/>
      </c>
      <c r="BC72" s="854" t="str">
        <f>IFERROR(IF(OR(C72="",G72="",M72="",O72="",R72="",T72="",V72="",X72="",Z72="",AC72="",AE72="",AG72="",ISNUMBER(AN72)=FALSE,AN72=0),"",INDEX(STDLIGHT[Measure Number],MATCH(G72,STDLIGHT[Measure Name],0))),"Err")</f>
        <v/>
      </c>
      <c r="BD72" s="854" t="str">
        <f>IFERROR(IF(OR(C72="",G72="",M72="",O72="",R72="",T72="",V72="",X72="",Z72="",AC72="",AE72="",AG72=""),"",
IF(BI72&gt;0,"",
IF(EXPIRATION&lt;&gt;"",PROJSTATEXP,
IF(M02S04F19="",MEASUREBLDG,
IF(AX72&lt;=AY72,MEASURESAVE,""))))),MEASURESUBMIT)</f>
        <v/>
      </c>
      <c r="BE72" s="928" t="str">
        <f>IFERROR(INDEX(STDLIGHT[Measure Life (Years)],MATCH(G72,STDLIGHT[Measure Name],0)),"")</f>
        <v/>
      </c>
      <c r="BF72" s="930" t="str">
        <f>IFERROR(IF(OR(C72="",G72="",M72="",O72="",R72="",T72="",V72="",X72="",Z72="",AC72="",AE72="",AG72=""),"",
ROUND(((1+ELOSS)*((BA72*INDEX(ELECCB[NPV AEC $/kWh],MATCH(BE72,ELECCB[Year Number],1)))+(BB72*INDEX(ELECCB[NPV ACC $/kW],MATCH(BE72,ELECCB[Year Number],1))))),2)),0)</f>
        <v/>
      </c>
      <c r="BG72" s="937"/>
      <c r="BH72" s="934" t="str">
        <f>IFERROR(IF(OR(C72="",G72="",M72="",O72="",R72="",T72="",V72="",X72="",Z72="",AC72="",AE72="",AG72=""),"",INDEX(STDLIGHT[Reporting Methodology],MATCH(G72,STDLIGHT[Measure Name],0))),"Err")</f>
        <v/>
      </c>
      <c r="BI72" s="939"/>
    </row>
    <row r="73" spans="2:61" ht="15.95" customHeight="1">
      <c r="B73" s="905"/>
      <c r="C73" s="827"/>
      <c r="D73" s="828"/>
      <c r="E73" s="828"/>
      <c r="F73" s="829"/>
      <c r="G73" s="838"/>
      <c r="H73" s="839"/>
      <c r="I73" s="839"/>
      <c r="J73" s="839"/>
      <c r="K73" s="839"/>
      <c r="L73" s="839"/>
      <c r="M73" s="827"/>
      <c r="N73" s="829"/>
      <c r="O73" s="827"/>
      <c r="P73" s="828"/>
      <c r="Q73" s="829"/>
      <c r="R73" s="885"/>
      <c r="S73" s="885"/>
      <c r="T73" s="886"/>
      <c r="U73" s="886"/>
      <c r="V73" s="888"/>
      <c r="W73" s="888"/>
      <c r="X73" s="866"/>
      <c r="Y73" s="866"/>
      <c r="Z73" s="833"/>
      <c r="AA73" s="834"/>
      <c r="AB73" s="835"/>
      <c r="AC73" s="904"/>
      <c r="AD73" s="827"/>
      <c r="AE73" s="867"/>
      <c r="AF73" s="868"/>
      <c r="AG73" s="868"/>
      <c r="AH73" s="869"/>
      <c r="AI73" s="898"/>
      <c r="AJ73" s="899"/>
      <c r="AK73" s="901"/>
      <c r="AL73" s="901"/>
      <c r="AM73" s="901"/>
      <c r="AN73" s="899"/>
      <c r="AO73" s="903"/>
      <c r="AP73" s="903"/>
      <c r="AQ73" s="903"/>
      <c r="AT73" s="853"/>
      <c r="AU73" s="855"/>
      <c r="AV73" s="851"/>
      <c r="AW73" s="851"/>
      <c r="AX73" s="849"/>
      <c r="AY73" s="849"/>
      <c r="AZ73" s="855"/>
      <c r="BA73" s="851"/>
      <c r="BB73" s="847"/>
      <c r="BC73" s="855"/>
      <c r="BD73" s="855"/>
      <c r="BE73" s="929"/>
      <c r="BF73" s="931"/>
      <c r="BG73" s="938"/>
      <c r="BH73" s="934"/>
      <c r="BI73" s="939"/>
    </row>
    <row r="74" spans="2:61" ht="15.95" customHeight="1">
      <c r="B74" s="905">
        <v>29</v>
      </c>
      <c r="C74" s="833"/>
      <c r="D74" s="834"/>
      <c r="E74" s="834"/>
      <c r="F74" s="835"/>
      <c r="G74" s="840"/>
      <c r="H74" s="841"/>
      <c r="I74" s="841"/>
      <c r="J74" s="841"/>
      <c r="K74" s="841"/>
      <c r="L74" s="841"/>
      <c r="M74" s="833"/>
      <c r="N74" s="835"/>
      <c r="O74" s="833"/>
      <c r="P74" s="834"/>
      <c r="Q74" s="835"/>
      <c r="R74" s="884"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884"/>
      <c r="T74" s="886" t="str">
        <f t="shared" ref="T74" si="93">IF(C74="Permanent Lamp Removal",0,"")</f>
        <v/>
      </c>
      <c r="U74" s="886"/>
      <c r="V74" s="887"/>
      <c r="W74" s="887"/>
      <c r="X74" s="865"/>
      <c r="Y74" s="865"/>
      <c r="Z74" s="917"/>
      <c r="AA74" s="918"/>
      <c r="AB74" s="919"/>
      <c r="AC74" s="906"/>
      <c r="AD74" s="833"/>
      <c r="AE74" s="889"/>
      <c r="AF74" s="890"/>
      <c r="AG74" s="890"/>
      <c r="AH74" s="891"/>
      <c r="AI74" s="896" t="str">
        <f>IFERROR(IF(G74="","",IF(C74&lt;&gt;INDEX(STDLIGHT[Eff Category 1],MATCH(G74,STDLIGHT[Measure Name],0)),0,INDEX(STDLIGHT[Current Incentive],MATCH('M03-S02'!G74,STDLIGHT[Measure Name],0)))),"")</f>
        <v/>
      </c>
      <c r="AJ74" s="897"/>
      <c r="AK74" s="900" t="str">
        <f t="shared" ref="AK74" si="94">IFERROR(IF(OR(C74="",G74="",M74="",O74="",R74="",T74="",V74="",X74="",Z74="",AC74="",AE74="",AG74=""),"",IF(BH74="Deemed",AV74,IF(BH74="Calculated",BA74,""))),"")</f>
        <v/>
      </c>
      <c r="AL74" s="900"/>
      <c r="AM74" s="900"/>
      <c r="AN74" s="897" t="str">
        <f t="shared" ref="AN74" si="95">IFERROR(IF(OR(C74="",G74="",M74="",O74="",R74="",T74="",V74="",X74="",Z74="",AC74="",AE74="",AG74=""),"",IF(BD74&lt;&gt;"",BD74,IF(BI74&gt;0,BI74,ROUND(IF(AK74&lt;=0,0,MIN(AT74,V74*AI74)),2)))),"")</f>
        <v/>
      </c>
      <c r="AO74" s="902"/>
      <c r="AP74" s="902"/>
      <c r="AQ74" s="902"/>
      <c r="AT74" s="852" t="str">
        <f t="shared" ref="AT74" si="96">IF(OR(C74="",G74="",M74="",O74="",R74="",T74="",V74="",X74="",Z74="",AC74="",AE74="",AG74=""),"",IF(AK74=0,"",ROUND(AE74+AG74,2)))</f>
        <v/>
      </c>
      <c r="AU74" s="854" t="str">
        <f>IFERROR(IF(OR(C74="",G74="",M74="",O74="",R74="",T74="",V74="",X74="",Z74="",AC74="",AE74="",AG74=""),"",INDEX(STDLIGHT[Current Unit],MATCH(G74,STDLIGHT[Measure Name],0))),"Err")</f>
        <v/>
      </c>
      <c r="AV74" s="850" t="str">
        <f>IF(OR(C74="",G74="",M74="",O74="",R74="",T74="",V74="",X74="",Z74="",AC74="",AE74="",AG74=""),"",IFERROR(IF(G74="","",IF(C74&lt;&gt;INDEX(STDLIGHT[Eff Category 1],MATCH(G74,STDLIGHT[Measure Name],0)),0,
IF(AX74&lt;=AY74,0,
ROUND(V74*INDEX(STDLIGHT[Electric Energy Savings (Annual kWh/unit)],MATCH('M03-S02'!G74,STDLIGHT[Measure Name],0)),4)))),""))</f>
        <v/>
      </c>
      <c r="AW74" s="850" t="str">
        <f>IF(OR(C74="",G74="",M74="",O74="",R74="",T74="",V74="",X74="",Z74="",AC74="",AE74="",AG74=""),"",IFERROR(IF(G74="","",IF(C74&lt;&gt;INDEX(STDLIGHT[Eff Category 1],MATCH(G74,STDLIGHT[Measure Name],0)),0,
IF(AX74&lt;=AY74,0,
ROUND(V74*INDEX(STDLIGHT[Coincident Peak Demand Savings (kW/unit)],MATCH('M03-S02'!G74,STDLIGHT[Measure Name],0)),4)))),""))</f>
        <v/>
      </c>
      <c r="AX74" s="848" t="str">
        <f>IF(OR(C74="",G74="",M74="",O74="",R74="",T74="",V74="",X74="",Z74="",AC74="",AE74="",AG74=""),"",
IF(OR(ISNUMBER(SEARCH("Exterior",C74)),ISNUMBER(SEARCH("Parking",C74))),ROUND(R74*V74*X74/1000,4),
ROUND(R74*V74*X74/1000*INDEX(BUILDINGTYPE[Waste Heat Factor (e)],MATCH(M02S04F19,BUILDINGTYPE[Building Type],0)),4)))</f>
        <v/>
      </c>
      <c r="AY74" s="848" t="str">
        <f>IF(OR(C74="",G74="",M74="",O74="",R74="",T74="",V74="",X74="",Z74="",AC74="",AE74="",AG74=""),"",
IF(OR(ISNUMBER(SEARCH("Exterior",C74)),ISNUMBER(SEARCH("Parking",C74))),ROUND(T74*V74*X74/1000,4),
ROUND(T74*V74*X74/1000*INDEX(BUILDINGTYPE[Waste Heat Factor (e)],MATCH(M02S04F19,BUILDINGTYPE[Building Type],0)),4)))</f>
        <v/>
      </c>
      <c r="AZ74" s="854" t="str">
        <f>IFERROR(IF(OR(C74="",G74="",M74="",O74="",R74="",T74="",V74="",X74="",Z74="",AC74="",AE74="",AG74=""),"",INDEX(STDLIGHT[End Use],MATCH(G74,STDLIGHT[Measure Name],0))),"Err")</f>
        <v/>
      </c>
      <c r="BA74" s="850" t="str">
        <f>IFERROR(IF(OR(C74="",G74="",M74="",O74="",R74="",T74="",V74="",X74="",Z74="",AC74="",AE74="",AG74=""),"",
IF(AX74&lt;=AY74,0,
IF(OR(ISNUMBER(SEARCH("Exterior",C74)),ISNUMBER(SEARCH("Parking",C74))),ROUND((R74-T74)*V74*X74/1000,4),
ROUND((R74-T74)*V74*X74/1000*INDEX(BUILDINGTYPE[Waste Heat Factor (e)],MATCH(M02S04F19,BUILDINGTYPE[Building Type],0)),4)))),"")</f>
        <v/>
      </c>
      <c r="BB74" s="846" t="str">
        <f>IFERROR(IF(OR(C74="",G74="",M74="",O74="",R74="",T74="",V74="",X74="",Z74="",AC74="",AE74="",AG74=""),"",
IF(AX74&lt;=AY74,0,
ROUND(BA74*INDEX(ENDUSEALL[Factor],MATCH(AZ74,ENDUSEALL[End Use to Coincident Peak Demand Factors],0)),4))),"")</f>
        <v/>
      </c>
      <c r="BC74" s="854" t="str">
        <f>IFERROR(IF(OR(C74="",G74="",M74="",O74="",R74="",T74="",V74="",X74="",Z74="",AC74="",AE74="",AG74="",ISNUMBER(AN74)=FALSE,AN74=0),"",INDEX(STDLIGHT[Measure Number],MATCH(G74,STDLIGHT[Measure Name],0))),"Err")</f>
        <v/>
      </c>
      <c r="BD74" s="854" t="str">
        <f>IFERROR(IF(OR(C74="",G74="",M74="",O74="",R74="",T74="",V74="",X74="",Z74="",AC74="",AE74="",AG74=""),"",
IF(BI74&gt;0,"",
IF(EXPIRATION&lt;&gt;"",PROJSTATEXP,
IF(M02S04F19="",MEASUREBLDG,
IF(AX74&lt;=AY74,MEASURESAVE,""))))),MEASURESUBMIT)</f>
        <v/>
      </c>
      <c r="BE74" s="928" t="str">
        <f>IFERROR(INDEX(STDLIGHT[Measure Life (Years)],MATCH(G74,STDLIGHT[Measure Name],0)),"")</f>
        <v/>
      </c>
      <c r="BF74" s="930" t="str">
        <f>IFERROR(IF(OR(C74="",G74="",M74="",O74="",R74="",T74="",V74="",X74="",Z74="",AC74="",AE74="",AG74=""),"",
ROUND(((1+ELOSS)*((BA74*INDEX(ELECCB[NPV AEC $/kWh],MATCH(BE74,ELECCB[Year Number],1)))+(BB74*INDEX(ELECCB[NPV ACC $/kW],MATCH(BE74,ELECCB[Year Number],1))))),2)),0)</f>
        <v/>
      </c>
      <c r="BG74" s="937"/>
      <c r="BH74" s="934" t="str">
        <f>IFERROR(IF(OR(C74="",G74="",M74="",O74="",R74="",T74="",V74="",X74="",Z74="",AC74="",AE74="",AG74=""),"",INDEX(STDLIGHT[Reporting Methodology],MATCH(G74,STDLIGHT[Measure Name],0))),"Err")</f>
        <v/>
      </c>
      <c r="BI74" s="939"/>
    </row>
    <row r="75" spans="2:61" ht="15.95" customHeight="1">
      <c r="B75" s="905"/>
      <c r="C75" s="827"/>
      <c r="D75" s="828"/>
      <c r="E75" s="828"/>
      <c r="F75" s="829"/>
      <c r="G75" s="838"/>
      <c r="H75" s="839"/>
      <c r="I75" s="839"/>
      <c r="J75" s="839"/>
      <c r="K75" s="839"/>
      <c r="L75" s="839"/>
      <c r="M75" s="827"/>
      <c r="N75" s="829"/>
      <c r="O75" s="827"/>
      <c r="P75" s="828"/>
      <c r="Q75" s="829"/>
      <c r="R75" s="885"/>
      <c r="S75" s="885"/>
      <c r="T75" s="886"/>
      <c r="U75" s="886"/>
      <c r="V75" s="888"/>
      <c r="W75" s="888"/>
      <c r="X75" s="866"/>
      <c r="Y75" s="866"/>
      <c r="Z75" s="833"/>
      <c r="AA75" s="834"/>
      <c r="AB75" s="835"/>
      <c r="AC75" s="904"/>
      <c r="AD75" s="827"/>
      <c r="AE75" s="867"/>
      <c r="AF75" s="868"/>
      <c r="AG75" s="868"/>
      <c r="AH75" s="869"/>
      <c r="AI75" s="898"/>
      <c r="AJ75" s="899"/>
      <c r="AK75" s="901"/>
      <c r="AL75" s="901"/>
      <c r="AM75" s="901"/>
      <c r="AN75" s="899"/>
      <c r="AO75" s="903"/>
      <c r="AP75" s="903"/>
      <c r="AQ75" s="903"/>
      <c r="AT75" s="853"/>
      <c r="AU75" s="855"/>
      <c r="AV75" s="851"/>
      <c r="AW75" s="851"/>
      <c r="AX75" s="849"/>
      <c r="AY75" s="849"/>
      <c r="AZ75" s="855"/>
      <c r="BA75" s="851"/>
      <c r="BB75" s="847"/>
      <c r="BC75" s="855"/>
      <c r="BD75" s="855"/>
      <c r="BE75" s="929"/>
      <c r="BF75" s="931"/>
      <c r="BG75" s="938"/>
      <c r="BH75" s="934"/>
      <c r="BI75" s="939"/>
    </row>
    <row r="76" spans="2:61" ht="15.95" customHeight="1">
      <c r="B76" s="905">
        <v>30</v>
      </c>
      <c r="C76" s="833"/>
      <c r="D76" s="834"/>
      <c r="E76" s="834"/>
      <c r="F76" s="835"/>
      <c r="G76" s="840"/>
      <c r="H76" s="841"/>
      <c r="I76" s="841"/>
      <c r="J76" s="841"/>
      <c r="K76" s="841"/>
      <c r="L76" s="841"/>
      <c r="M76" s="833"/>
      <c r="N76" s="835"/>
      <c r="O76" s="833"/>
      <c r="P76" s="834"/>
      <c r="Q76" s="835"/>
      <c r="R76" s="884"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884"/>
      <c r="T76" s="886" t="str">
        <f t="shared" ref="T76" si="97">IF(C76="Permanent Lamp Removal",0,"")</f>
        <v/>
      </c>
      <c r="U76" s="886"/>
      <c r="V76" s="887"/>
      <c r="W76" s="887"/>
      <c r="X76" s="865"/>
      <c r="Y76" s="865"/>
      <c r="Z76" s="917"/>
      <c r="AA76" s="918"/>
      <c r="AB76" s="919"/>
      <c r="AC76" s="906"/>
      <c r="AD76" s="833"/>
      <c r="AE76" s="889"/>
      <c r="AF76" s="890"/>
      <c r="AG76" s="890"/>
      <c r="AH76" s="891"/>
      <c r="AI76" s="896" t="str">
        <f>IFERROR(IF(G76="","",IF(C76&lt;&gt;INDEX(STDLIGHT[Eff Category 1],MATCH(G76,STDLIGHT[Measure Name],0)),0,INDEX(STDLIGHT[Current Incentive],MATCH('M03-S02'!G76,STDLIGHT[Measure Name],0)))),"")</f>
        <v/>
      </c>
      <c r="AJ76" s="897"/>
      <c r="AK76" s="900" t="str">
        <f t="shared" ref="AK76" si="98">IFERROR(IF(OR(C76="",G76="",M76="",O76="",R76="",T76="",V76="",X76="",Z76="",AC76="",AE76="",AG76=""),"",IF(BH76="Deemed",AV76,IF(BH76="Calculated",BA76,""))),"")</f>
        <v/>
      </c>
      <c r="AL76" s="900"/>
      <c r="AM76" s="900"/>
      <c r="AN76" s="897" t="str">
        <f t="shared" ref="AN76" si="99">IFERROR(IF(OR(C76="",G76="",M76="",O76="",R76="",T76="",V76="",X76="",Z76="",AC76="",AE76="",AG76=""),"",IF(BD76&lt;&gt;"",BD76,IF(BI76&gt;0,BI76,ROUND(IF(AK76&lt;=0,0,MIN(AT76,V76*AI76)),2)))),"")</f>
        <v/>
      </c>
      <c r="AO76" s="902"/>
      <c r="AP76" s="902"/>
      <c r="AQ76" s="902"/>
      <c r="AT76" s="852" t="str">
        <f t="shared" ref="AT76" si="100">IF(OR(C76="",G76="",M76="",O76="",R76="",T76="",V76="",X76="",Z76="",AC76="",AE76="",AG76=""),"",IF(AK76=0,"",ROUND(AE76+AG76,2)))</f>
        <v/>
      </c>
      <c r="AU76" s="854" t="str">
        <f>IFERROR(IF(OR(C76="",G76="",M76="",O76="",R76="",T76="",V76="",X76="",Z76="",AC76="",AE76="",AG76=""),"",INDEX(STDLIGHT[Current Unit],MATCH(G76,STDLIGHT[Measure Name],0))),"Err")</f>
        <v/>
      </c>
      <c r="AV76" s="850" t="str">
        <f>IF(OR(C76="",G76="",M76="",O76="",R76="",T76="",V76="",X76="",Z76="",AC76="",AE76="",AG76=""),"",IFERROR(IF(G76="","",IF(C76&lt;&gt;INDEX(STDLIGHT[Eff Category 1],MATCH(G76,STDLIGHT[Measure Name],0)),0,
IF(AX76&lt;=AY76,0,
ROUND(V76*INDEX(STDLIGHT[Electric Energy Savings (Annual kWh/unit)],MATCH('M03-S02'!G76,STDLIGHT[Measure Name],0)),4)))),""))</f>
        <v/>
      </c>
      <c r="AW76" s="850" t="str">
        <f>IF(OR(C76="",G76="",M76="",O76="",R76="",T76="",V76="",X76="",Z76="",AC76="",AE76="",AG76=""),"",IFERROR(IF(G76="","",IF(C76&lt;&gt;INDEX(STDLIGHT[Eff Category 1],MATCH(G76,STDLIGHT[Measure Name],0)),0,
IF(AX76&lt;=AY76,0,
ROUND(V76*INDEX(STDLIGHT[Coincident Peak Demand Savings (kW/unit)],MATCH('M03-S02'!G76,STDLIGHT[Measure Name],0)),4)))),""))</f>
        <v/>
      </c>
      <c r="AX76" s="848" t="str">
        <f>IF(OR(C76="",G76="",M76="",O76="",R76="",T76="",V76="",X76="",Z76="",AC76="",AE76="",AG76=""),"",
IF(OR(ISNUMBER(SEARCH("Exterior",C76)),ISNUMBER(SEARCH("Parking",C76))),ROUND(R76*V76*X76/1000,4),
ROUND(R76*V76*X76/1000*INDEX(BUILDINGTYPE[Waste Heat Factor (e)],MATCH(M02S04F19,BUILDINGTYPE[Building Type],0)),4)))</f>
        <v/>
      </c>
      <c r="AY76" s="848" t="str">
        <f>IF(OR(C76="",G76="",M76="",O76="",R76="",T76="",V76="",X76="",Z76="",AC76="",AE76="",AG76=""),"",
IF(OR(ISNUMBER(SEARCH("Exterior",C76)),ISNUMBER(SEARCH("Parking",C76))),ROUND(T76*V76*X76/1000,4),
ROUND(T76*V76*X76/1000*INDEX(BUILDINGTYPE[Waste Heat Factor (e)],MATCH(M02S04F19,BUILDINGTYPE[Building Type],0)),4)))</f>
        <v/>
      </c>
      <c r="AZ76" s="854" t="str">
        <f>IFERROR(IF(OR(C76="",G76="",M76="",O76="",R76="",T76="",V76="",X76="",Z76="",AC76="",AE76="",AG76=""),"",INDEX(STDLIGHT[End Use],MATCH(G76,STDLIGHT[Measure Name],0))),"Err")</f>
        <v/>
      </c>
      <c r="BA76" s="850" t="str">
        <f>IFERROR(IF(OR(C76="",G76="",M76="",O76="",R76="",T76="",V76="",X76="",Z76="",AC76="",AE76="",AG76=""),"",
IF(AX76&lt;=AY76,0,
IF(OR(ISNUMBER(SEARCH("Exterior",C76)),ISNUMBER(SEARCH("Parking",C76))),ROUND((R76-T76)*V76*X76/1000,4),
ROUND((R76-T76)*V76*X76/1000*INDEX(BUILDINGTYPE[Waste Heat Factor (e)],MATCH(M02S04F19,BUILDINGTYPE[Building Type],0)),4)))),"")</f>
        <v/>
      </c>
      <c r="BB76" s="846" t="str">
        <f>IFERROR(IF(OR(C76="",G76="",M76="",O76="",R76="",T76="",V76="",X76="",Z76="",AC76="",AE76="",AG76=""),"",
IF(AX76&lt;=AY76,0,
ROUND(BA76*INDEX(ENDUSEALL[Factor],MATCH(AZ76,ENDUSEALL[End Use to Coincident Peak Demand Factors],0)),4))),"")</f>
        <v/>
      </c>
      <c r="BC76" s="854" t="str">
        <f>IFERROR(IF(OR(C76="",G76="",M76="",O76="",R76="",T76="",V76="",X76="",Z76="",AC76="",AE76="",AG76="",ISNUMBER(AN76)=FALSE,AN76=0),"",INDEX(STDLIGHT[Measure Number],MATCH(G76,STDLIGHT[Measure Name],0))),"Err")</f>
        <v/>
      </c>
      <c r="BD76" s="854" t="str">
        <f>IFERROR(IF(OR(C76="",G76="",M76="",O76="",R76="",T76="",V76="",X76="",Z76="",AC76="",AE76="",AG76=""),"",
IF(BI76&gt;0,"",
IF(EXPIRATION&lt;&gt;"",PROJSTATEXP,
IF(M02S04F19="",MEASUREBLDG,
IF(AX76&lt;=AY76,MEASURESAVE,""))))),MEASURESUBMIT)</f>
        <v/>
      </c>
      <c r="BE76" s="928" t="str">
        <f>IFERROR(INDEX(STDLIGHT[Measure Life (Years)],MATCH(G76,STDLIGHT[Measure Name],0)),"")</f>
        <v/>
      </c>
      <c r="BF76" s="930" t="str">
        <f>IFERROR(IF(OR(C76="",G76="",M76="",O76="",R76="",T76="",V76="",X76="",Z76="",AC76="",AE76="",AG76=""),"",
ROUND(((1+ELOSS)*((BA76*INDEX(ELECCB[NPV AEC $/kWh],MATCH(BE76,ELECCB[Year Number],1)))+(BB76*INDEX(ELECCB[NPV ACC $/kW],MATCH(BE76,ELECCB[Year Number],1))))),2)),0)</f>
        <v/>
      </c>
      <c r="BG76" s="937"/>
      <c r="BH76" s="934" t="str">
        <f>IFERROR(IF(OR(C76="",G76="",M76="",O76="",R76="",T76="",V76="",X76="",Z76="",AC76="",AE76="",AG76=""),"",INDEX(STDLIGHT[Reporting Methodology],MATCH(G76,STDLIGHT[Measure Name],0))),"Err")</f>
        <v/>
      </c>
      <c r="BI76" s="939"/>
    </row>
    <row r="77" spans="2:61" ht="15.95" customHeight="1">
      <c r="B77" s="905"/>
      <c r="C77" s="827"/>
      <c r="D77" s="828"/>
      <c r="E77" s="828"/>
      <c r="F77" s="829"/>
      <c r="G77" s="838"/>
      <c r="H77" s="839"/>
      <c r="I77" s="839"/>
      <c r="J77" s="839"/>
      <c r="K77" s="839"/>
      <c r="L77" s="839"/>
      <c r="M77" s="827"/>
      <c r="N77" s="829"/>
      <c r="O77" s="827"/>
      <c r="P77" s="828"/>
      <c r="Q77" s="829"/>
      <c r="R77" s="885"/>
      <c r="S77" s="885"/>
      <c r="T77" s="886"/>
      <c r="U77" s="886"/>
      <c r="V77" s="888"/>
      <c r="W77" s="888"/>
      <c r="X77" s="866"/>
      <c r="Y77" s="866"/>
      <c r="Z77" s="833"/>
      <c r="AA77" s="834"/>
      <c r="AB77" s="835"/>
      <c r="AC77" s="904"/>
      <c r="AD77" s="827"/>
      <c r="AE77" s="867"/>
      <c r="AF77" s="868"/>
      <c r="AG77" s="868"/>
      <c r="AH77" s="869"/>
      <c r="AI77" s="898"/>
      <c r="AJ77" s="899"/>
      <c r="AK77" s="901"/>
      <c r="AL77" s="901"/>
      <c r="AM77" s="901"/>
      <c r="AN77" s="899"/>
      <c r="AO77" s="903"/>
      <c r="AP77" s="903"/>
      <c r="AQ77" s="903"/>
      <c r="AT77" s="853"/>
      <c r="AU77" s="855"/>
      <c r="AV77" s="851"/>
      <c r="AW77" s="851"/>
      <c r="AX77" s="849"/>
      <c r="AY77" s="849"/>
      <c r="AZ77" s="855"/>
      <c r="BA77" s="851"/>
      <c r="BB77" s="847"/>
      <c r="BC77" s="855"/>
      <c r="BD77" s="855"/>
      <c r="BE77" s="929"/>
      <c r="BF77" s="931"/>
      <c r="BG77" s="938"/>
      <c r="BH77" s="934"/>
      <c r="BI77" s="939"/>
    </row>
    <row r="78" spans="2:61" ht="15.95" customHeight="1">
      <c r="AT78"/>
      <c r="AU78"/>
      <c r="AV78" s="57"/>
      <c r="AW78" s="64"/>
      <c r="AX78" s="57"/>
      <c r="AY78" s="57"/>
      <c r="AZ78" s="57"/>
      <c r="BA78" s="57"/>
      <c r="BC78"/>
    </row>
    <row r="79" spans="2:61" ht="15.95" hidden="1" customHeight="1">
      <c r="AT79"/>
      <c r="AU79"/>
      <c r="AV79" s="57"/>
      <c r="AW79" s="64"/>
      <c r="AX79" s="57"/>
      <c r="AY79" s="57"/>
      <c r="AZ79" s="57"/>
      <c r="BA79" s="57"/>
      <c r="BC79"/>
    </row>
    <row r="80" spans="2:61" ht="15.95" hidden="1" customHeight="1">
      <c r="AT80"/>
      <c r="AU80"/>
      <c r="AV80" s="57"/>
      <c r="AW80" s="64"/>
      <c r="AX80" s="57"/>
      <c r="AY80" s="57"/>
      <c r="AZ80" s="57"/>
      <c r="BA80" s="57"/>
      <c r="BC80"/>
    </row>
    <row r="81" spans="48:53" customFormat="1" ht="15.95" hidden="1" customHeight="1">
      <c r="AV81" s="57"/>
      <c r="AW81" s="64"/>
      <c r="AX81" s="57"/>
      <c r="AY81" s="57"/>
      <c r="AZ81" s="57"/>
      <c r="BA81" s="57"/>
    </row>
    <row r="82" spans="48:53" customFormat="1" ht="15.95" hidden="1" customHeight="1">
      <c r="AV82" s="57"/>
      <c r="AW82" s="64"/>
      <c r="AX82" s="57"/>
      <c r="AY82" s="57"/>
      <c r="AZ82" s="57"/>
      <c r="BA82" s="57"/>
    </row>
    <row r="83" spans="48:53" customFormat="1" ht="15.95" hidden="1" customHeight="1">
      <c r="AV83" s="57"/>
      <c r="AW83" s="64"/>
      <c r="AX83" s="57"/>
      <c r="AY83" s="57"/>
      <c r="AZ83" s="57"/>
      <c r="BA83" s="57"/>
    </row>
    <row r="84" spans="48:53" customFormat="1" ht="15.95" hidden="1" customHeight="1">
      <c r="AV84" s="57"/>
      <c r="AW84" s="64"/>
      <c r="AX84" s="57"/>
      <c r="AY84" s="57"/>
      <c r="AZ84" s="57"/>
      <c r="BA84" s="57"/>
    </row>
    <row r="85" spans="48:53" customFormat="1" ht="15.95" hidden="1" customHeight="1">
      <c r="AV85" s="57"/>
      <c r="AW85" s="64"/>
      <c r="AX85" s="57"/>
      <c r="AY85" s="57"/>
      <c r="AZ85" s="57"/>
      <c r="BA85" s="57"/>
    </row>
    <row r="86" spans="48:53" customFormat="1" ht="15.95" hidden="1" customHeight="1">
      <c r="AV86" s="57"/>
      <c r="AW86" s="64"/>
      <c r="AX86" s="57"/>
      <c r="AY86" s="57"/>
      <c r="AZ86" s="57"/>
      <c r="BA86" s="57"/>
    </row>
    <row r="87" spans="48:53" customFormat="1" ht="15.95" hidden="1" customHeight="1">
      <c r="AV87" s="57"/>
      <c r="AW87" s="64"/>
      <c r="AX87" s="57"/>
      <c r="AY87" s="57"/>
      <c r="AZ87" s="57"/>
      <c r="BA87" s="57"/>
    </row>
    <row r="88" spans="48:53" customFormat="1" ht="15.95" hidden="1" customHeight="1">
      <c r="AV88" s="57"/>
      <c r="AW88" s="64"/>
      <c r="AX88" s="57"/>
      <c r="AY88" s="57"/>
      <c r="AZ88" s="57"/>
      <c r="BA88" s="57"/>
    </row>
    <row r="89" spans="48:53" customFormat="1" ht="15.95" hidden="1" customHeight="1">
      <c r="AV89" s="57"/>
      <c r="AW89" s="64"/>
      <c r="AX89" s="57"/>
      <c r="AY89" s="57"/>
      <c r="AZ89" s="57"/>
      <c r="BA89" s="57"/>
    </row>
    <row r="90" spans="48:53" customFormat="1" ht="15.95" hidden="1" customHeight="1">
      <c r="AV90" s="57"/>
      <c r="AW90" s="64"/>
      <c r="AX90" s="57"/>
      <c r="AY90" s="57"/>
      <c r="AZ90" s="57"/>
      <c r="BA90" s="57"/>
    </row>
    <row r="91" spans="48:53" customFormat="1" ht="15.95" hidden="1" customHeight="1">
      <c r="AV91" s="57"/>
      <c r="AW91" s="64"/>
      <c r="AX91" s="57"/>
      <c r="AY91" s="57"/>
      <c r="AZ91" s="57"/>
      <c r="BA91" s="57"/>
    </row>
    <row r="92" spans="48:53" customFormat="1" ht="15.95" hidden="1" customHeight="1">
      <c r="AV92" s="57"/>
      <c r="AW92" s="64"/>
      <c r="AX92" s="57"/>
      <c r="AY92" s="57"/>
      <c r="AZ92" s="57"/>
      <c r="BA92" s="57"/>
    </row>
    <row r="93" spans="48:53" customFormat="1" ht="15.95" hidden="1" customHeight="1">
      <c r="AV93" s="57"/>
      <c r="AW93" s="64"/>
      <c r="AX93" s="57"/>
      <c r="AY93" s="57"/>
      <c r="AZ93" s="57"/>
      <c r="BA93" s="57"/>
    </row>
    <row r="94" spans="48:53" customFormat="1" ht="15.95" hidden="1" customHeight="1">
      <c r="AV94" s="57"/>
      <c r="AW94" s="64"/>
      <c r="AX94" s="57"/>
      <c r="AY94" s="57"/>
      <c r="AZ94" s="57"/>
      <c r="BA94" s="57"/>
    </row>
    <row r="95" spans="48:53" customFormat="1" ht="15.95" hidden="1" customHeight="1">
      <c r="AV95" s="57"/>
      <c r="AW95" s="64"/>
      <c r="AX95" s="57"/>
      <c r="AY95" s="57"/>
      <c r="AZ95" s="57"/>
      <c r="BA95" s="57"/>
    </row>
    <row r="96" spans="48:53" customFormat="1" ht="15.95" hidden="1" customHeight="1">
      <c r="AV96" s="57"/>
      <c r="AW96" s="64"/>
      <c r="AX96" s="57"/>
      <c r="AY96" s="57"/>
      <c r="AZ96" s="57"/>
      <c r="BA96" s="57"/>
    </row>
    <row r="97" spans="48:53" customFormat="1" ht="15.95" hidden="1" customHeight="1">
      <c r="AV97" s="57"/>
      <c r="AW97" s="64"/>
      <c r="AX97" s="57"/>
      <c r="AY97" s="57"/>
      <c r="AZ97" s="57"/>
      <c r="BA97" s="57"/>
    </row>
    <row r="98" spans="48:53" customFormat="1" ht="15.95" hidden="1" customHeight="1">
      <c r="AV98" s="57"/>
      <c r="AW98" s="64"/>
      <c r="AX98" s="57"/>
      <c r="AY98" s="57"/>
      <c r="AZ98" s="57"/>
      <c r="BA98" s="57"/>
    </row>
    <row r="99" spans="48:53" customFormat="1" ht="15.95" hidden="1" customHeight="1">
      <c r="AV99" s="57"/>
      <c r="AW99" s="64"/>
      <c r="AX99" s="57"/>
      <c r="AY99" s="57"/>
      <c r="AZ99" s="57"/>
      <c r="BA99" s="57"/>
    </row>
    <row r="100" spans="48:53" customFormat="1" ht="15.95" hidden="1" customHeight="1">
      <c r="AV100" s="57"/>
      <c r="AW100" s="64"/>
      <c r="AX100" s="57"/>
      <c r="AY100" s="57"/>
      <c r="AZ100" s="57"/>
      <c r="BA100" s="57"/>
    </row>
    <row r="101" spans="48:53" customFormat="1" ht="15.95" hidden="1" customHeight="1">
      <c r="AV101" s="57"/>
      <c r="AW101" s="64"/>
      <c r="AX101" s="57"/>
      <c r="AY101" s="57"/>
      <c r="AZ101" s="57"/>
      <c r="BA101" s="57"/>
    </row>
    <row r="102" spans="48:53" customFormat="1" ht="15.95" hidden="1" customHeight="1">
      <c r="AV102" s="57"/>
      <c r="AW102" s="64"/>
      <c r="AX102" s="57"/>
      <c r="AY102" s="57"/>
      <c r="AZ102" s="57"/>
      <c r="BA102" s="57"/>
    </row>
    <row r="103" spans="48:53" customFormat="1" ht="15.95" hidden="1" customHeight="1">
      <c r="AV103" s="57"/>
      <c r="AW103" s="64"/>
      <c r="AX103" s="57"/>
      <c r="AY103" s="57"/>
      <c r="AZ103" s="57"/>
      <c r="BA103" s="57"/>
    </row>
    <row r="104" spans="48:53" customFormat="1" ht="15.95" hidden="1" customHeight="1">
      <c r="AV104" s="57"/>
      <c r="AW104" s="64"/>
      <c r="AX104" s="57"/>
      <c r="AY104" s="57"/>
      <c r="AZ104" s="57"/>
      <c r="BA104" s="57"/>
    </row>
    <row r="105" spans="48:53" customFormat="1" ht="15.95" hidden="1" customHeight="1">
      <c r="AV105" s="57"/>
      <c r="AW105" s="64"/>
      <c r="AX105" s="57"/>
      <c r="AY105" s="57"/>
      <c r="AZ105" s="57"/>
      <c r="BA105" s="57"/>
    </row>
    <row r="106" spans="48:53" customFormat="1" ht="15.95" hidden="1" customHeight="1">
      <c r="AV106" s="57"/>
      <c r="AW106" s="64"/>
      <c r="AX106" s="57"/>
      <c r="AY106" s="57"/>
      <c r="AZ106" s="57"/>
      <c r="BA106" s="57"/>
    </row>
    <row r="107" spans="48:53" customFormat="1" ht="15.95" hidden="1" customHeight="1">
      <c r="AV107" s="57"/>
      <c r="AW107" s="64"/>
      <c r="AX107" s="57"/>
      <c r="AY107" s="57"/>
      <c r="AZ107" s="57"/>
      <c r="BA107" s="57"/>
    </row>
    <row r="108" spans="48:53" customFormat="1" ht="15.95" hidden="1" customHeight="1">
      <c r="AV108" s="57"/>
      <c r="AW108" s="64"/>
      <c r="AX108" s="57"/>
      <c r="AY108" s="57"/>
      <c r="AZ108" s="57"/>
      <c r="BA108" s="57"/>
    </row>
    <row r="109" spans="48:53" customFormat="1" ht="15.95" hidden="1" customHeight="1">
      <c r="AV109" s="57"/>
      <c r="AW109" s="64"/>
      <c r="AX109" s="57"/>
      <c r="AY109" s="57"/>
      <c r="AZ109" s="57"/>
      <c r="BA109" s="57"/>
    </row>
    <row r="110" spans="48:53" customFormat="1" ht="15.95" hidden="1" customHeight="1">
      <c r="AV110" s="57"/>
      <c r="AW110" s="64"/>
      <c r="AX110" s="57"/>
      <c r="AY110" s="57"/>
      <c r="AZ110" s="57"/>
      <c r="BA110" s="57"/>
    </row>
    <row r="111" spans="48:53" customFormat="1" ht="15.95" hidden="1" customHeight="1">
      <c r="AV111" s="57"/>
      <c r="AW111" s="64"/>
      <c r="AX111" s="57"/>
      <c r="AY111" s="57"/>
      <c r="AZ111" s="57"/>
      <c r="BA111" s="57"/>
    </row>
    <row r="112" spans="48:53" customFormat="1" ht="15.95" hidden="1" customHeight="1">
      <c r="AV112" s="57"/>
      <c r="AW112" s="64"/>
      <c r="AX112" s="57"/>
      <c r="AY112" s="57"/>
      <c r="AZ112" s="57"/>
      <c r="BA112" s="57"/>
    </row>
    <row r="113" spans="48:53" customFormat="1" ht="15.95" hidden="1" customHeight="1">
      <c r="AV113" s="57"/>
      <c r="AW113" s="64"/>
      <c r="AX113" s="57"/>
      <c r="AY113" s="57"/>
      <c r="AZ113" s="57"/>
      <c r="BA113" s="57"/>
    </row>
    <row r="114" spans="48:53" customFormat="1" ht="15.95" hidden="1" customHeight="1">
      <c r="AV114" s="57"/>
      <c r="AW114" s="64"/>
      <c r="AX114" s="57"/>
      <c r="AY114" s="57"/>
      <c r="AZ114" s="57"/>
      <c r="BA114" s="57"/>
    </row>
    <row r="115" spans="48:53" customFormat="1" ht="15.95" hidden="1" customHeight="1">
      <c r="AV115" s="57"/>
      <c r="AW115" s="64"/>
      <c r="AX115" s="57"/>
      <c r="AY115" s="57"/>
      <c r="AZ115" s="57"/>
      <c r="BA115" s="57"/>
    </row>
    <row r="116" spans="48:53" customFormat="1" ht="15.95" hidden="1" customHeight="1">
      <c r="AV116" s="57"/>
      <c r="AW116" s="64"/>
      <c r="AX116" s="57"/>
      <c r="AY116" s="57"/>
      <c r="AZ116" s="57"/>
      <c r="BA116" s="57"/>
    </row>
    <row r="117" spans="48:53" customFormat="1" ht="15.95" hidden="1" customHeight="1">
      <c r="AV117" s="57"/>
      <c r="AW117" s="64"/>
      <c r="AX117" s="57"/>
      <c r="AY117" s="57"/>
      <c r="AZ117" s="57"/>
      <c r="BA117" s="57"/>
    </row>
    <row r="118" spans="48:53" customFormat="1" ht="15.95" hidden="1" customHeight="1">
      <c r="AV118" s="57"/>
      <c r="AW118" s="64"/>
      <c r="AX118" s="57"/>
      <c r="AY118" s="57"/>
      <c r="AZ118" s="57"/>
      <c r="BA118" s="57"/>
    </row>
    <row r="119" spans="48:53" customFormat="1" ht="15.95" hidden="1" customHeight="1">
      <c r="AV119" s="57"/>
      <c r="AW119" s="64"/>
      <c r="AX119" s="57"/>
      <c r="AY119" s="57"/>
      <c r="AZ119" s="57"/>
      <c r="BA119" s="57"/>
    </row>
    <row r="120" spans="48:53" customFormat="1" ht="15.95" hidden="1" customHeight="1">
      <c r="AV120" s="57"/>
      <c r="AW120" s="64"/>
      <c r="AX120" s="57"/>
      <c r="AY120" s="57"/>
      <c r="AZ120" s="57"/>
      <c r="BA120" s="57"/>
    </row>
    <row r="121" spans="48:53" customFormat="1" ht="15.95" hidden="1" customHeight="1">
      <c r="AV121" s="57"/>
      <c r="AW121" s="64"/>
      <c r="AX121" s="57"/>
      <c r="AY121" s="57"/>
      <c r="AZ121" s="57"/>
      <c r="BA121" s="57"/>
    </row>
    <row r="122" spans="48:53" customFormat="1" ht="15.95" hidden="1" customHeight="1">
      <c r="AV122" s="57"/>
      <c r="AW122" s="64"/>
      <c r="AX122" s="57"/>
      <c r="AY122" s="57"/>
      <c r="AZ122" s="57"/>
      <c r="BA122" s="57"/>
    </row>
    <row r="123" spans="48:53" customFormat="1" ht="15.95" hidden="1" customHeight="1">
      <c r="AV123" s="57"/>
      <c r="AW123" s="64"/>
      <c r="AX123" s="57"/>
      <c r="AY123" s="57"/>
      <c r="AZ123" s="57"/>
      <c r="BA123" s="57"/>
    </row>
    <row r="124" spans="48:53" customFormat="1" ht="15.95" hidden="1" customHeight="1">
      <c r="AV124" s="57"/>
      <c r="AW124" s="64"/>
      <c r="AX124" s="57"/>
      <c r="AY124" s="57"/>
      <c r="AZ124" s="57"/>
      <c r="BA124" s="57"/>
    </row>
    <row r="125" spans="48:53" customFormat="1" ht="15.95" hidden="1" customHeight="1">
      <c r="AV125" s="57"/>
      <c r="AW125" s="64"/>
      <c r="AX125" s="57"/>
      <c r="AY125" s="57"/>
      <c r="AZ125" s="57"/>
      <c r="BA125" s="57"/>
    </row>
    <row r="126" spans="48:53" customFormat="1" ht="15.95" hidden="1" customHeight="1">
      <c r="AV126" s="57"/>
      <c r="AW126" s="64"/>
      <c r="AX126" s="57"/>
      <c r="AY126" s="57"/>
      <c r="AZ126" s="57"/>
      <c r="BA126" s="57"/>
    </row>
    <row r="127" spans="48:53" customFormat="1" ht="15.95" hidden="1" customHeight="1">
      <c r="AV127" s="57"/>
      <c r="AW127" s="64"/>
      <c r="AX127" s="57"/>
      <c r="AY127" s="57"/>
      <c r="AZ127" s="57"/>
      <c r="BA127" s="57"/>
    </row>
    <row r="128" spans="48:53" customFormat="1" ht="15.95" hidden="1" customHeight="1">
      <c r="AV128" s="57"/>
      <c r="AW128" s="64"/>
      <c r="AX128" s="57"/>
      <c r="AY128" s="57"/>
      <c r="AZ128" s="57"/>
      <c r="BA128" s="57"/>
    </row>
    <row r="129" spans="48:53" customFormat="1" ht="15.95" hidden="1" customHeight="1">
      <c r="AV129" s="57"/>
      <c r="AW129" s="64"/>
      <c r="AX129" s="57"/>
      <c r="AY129" s="57"/>
      <c r="AZ129" s="57"/>
      <c r="BA129" s="57"/>
    </row>
    <row r="130" spans="48:53" customFormat="1" ht="15.95" hidden="1" customHeight="1">
      <c r="AV130" s="57"/>
      <c r="AW130" s="64"/>
      <c r="AX130" s="57"/>
      <c r="AY130" s="57"/>
      <c r="AZ130" s="57"/>
      <c r="BA130" s="57"/>
    </row>
    <row r="131" spans="48:53" customFormat="1" ht="15.95" hidden="1" customHeight="1">
      <c r="AV131" s="57"/>
      <c r="AW131" s="64"/>
      <c r="AX131" s="57"/>
      <c r="AY131" s="57"/>
      <c r="AZ131" s="57"/>
      <c r="BA131" s="57"/>
    </row>
    <row r="132" spans="48:53" customFormat="1" ht="15.95" hidden="1" customHeight="1">
      <c r="AV132" s="57"/>
      <c r="AW132" s="64"/>
      <c r="AX132" s="57"/>
      <c r="AY132" s="57"/>
      <c r="AZ132" s="57"/>
      <c r="BA132" s="57"/>
    </row>
    <row r="133" spans="48:53" customFormat="1" ht="15.95" hidden="1" customHeight="1">
      <c r="AV133" s="57"/>
      <c r="AW133" s="64"/>
      <c r="AX133" s="57"/>
      <c r="AY133" s="57"/>
      <c r="AZ133" s="57"/>
      <c r="BA133" s="57"/>
    </row>
    <row r="134" spans="48:53" customFormat="1" ht="15.95" hidden="1" customHeight="1">
      <c r="AV134" s="57"/>
      <c r="AW134" s="64"/>
      <c r="AX134" s="57"/>
      <c r="AY134" s="57"/>
      <c r="AZ134" s="57"/>
      <c r="BA134" s="57"/>
    </row>
    <row r="135" spans="48:53" customFormat="1" ht="15.95" hidden="1" customHeight="1">
      <c r="AV135" s="57"/>
      <c r="AW135" s="64"/>
      <c r="AX135" s="57"/>
      <c r="AY135" s="57"/>
      <c r="AZ135" s="57"/>
      <c r="BA135" s="57"/>
    </row>
    <row r="136" spans="48:53" customFormat="1" ht="15.95" hidden="1" customHeight="1">
      <c r="AV136" s="57"/>
      <c r="AW136" s="64"/>
      <c r="AX136" s="57"/>
      <c r="AY136" s="57"/>
      <c r="AZ136" s="57"/>
      <c r="BA136" s="57"/>
    </row>
    <row r="137" spans="48:53" customFormat="1" ht="15.95" hidden="1" customHeight="1">
      <c r="AV137" s="57"/>
      <c r="AW137" s="64"/>
      <c r="AX137" s="57"/>
      <c r="AY137" s="57"/>
      <c r="AZ137" s="57"/>
      <c r="BA137" s="57"/>
    </row>
    <row r="138" spans="48:53" customFormat="1" ht="15.95" hidden="1" customHeight="1">
      <c r="AV138" s="57"/>
      <c r="AW138" s="64"/>
      <c r="AX138" s="57"/>
      <c r="AY138" s="57"/>
      <c r="AZ138" s="57"/>
      <c r="BA138" s="57"/>
    </row>
    <row r="139" spans="48:53" customFormat="1" ht="15.95" hidden="1" customHeight="1">
      <c r="AV139" s="57"/>
      <c r="AW139" s="64"/>
      <c r="AX139" s="57"/>
      <c r="AY139" s="57"/>
      <c r="AZ139" s="57"/>
      <c r="BA139" s="57"/>
    </row>
    <row r="140" spans="48:53" customFormat="1" ht="15.95" hidden="1" customHeight="1">
      <c r="AV140" s="57"/>
      <c r="AW140" s="64"/>
      <c r="AX140" s="57"/>
      <c r="AY140" s="57"/>
      <c r="AZ140" s="57"/>
      <c r="BA140" s="57"/>
    </row>
    <row r="141" spans="48:53" customFormat="1" ht="15.95" hidden="1" customHeight="1">
      <c r="AV141" s="57"/>
      <c r="AW141" s="64"/>
      <c r="AX141" s="57"/>
      <c r="AY141" s="57"/>
      <c r="AZ141" s="57"/>
      <c r="BA141" s="57"/>
    </row>
    <row r="142" spans="48:53" customFormat="1" ht="15.95" hidden="1" customHeight="1">
      <c r="AV142" s="57"/>
      <c r="AW142" s="64"/>
      <c r="AX142" s="57"/>
      <c r="AY142" s="57"/>
      <c r="AZ142" s="57"/>
      <c r="BA142" s="57"/>
    </row>
    <row r="143" spans="48:53" customFormat="1" ht="15.95" hidden="1" customHeight="1">
      <c r="AV143" s="57"/>
      <c r="AW143" s="64"/>
      <c r="AX143" s="57"/>
      <c r="AY143" s="57"/>
      <c r="AZ143" s="57"/>
      <c r="BA143" s="57"/>
    </row>
    <row r="144" spans="48:53" customFormat="1" ht="15.95" hidden="1" customHeight="1">
      <c r="AV144" s="57"/>
      <c r="AW144" s="64"/>
      <c r="AX144" s="57"/>
      <c r="AY144" s="57"/>
      <c r="AZ144" s="57"/>
      <c r="BA144" s="57"/>
    </row>
    <row r="145" spans="48:53" customFormat="1" ht="15.95" hidden="1" customHeight="1">
      <c r="AV145" s="57"/>
      <c r="AW145" s="64"/>
      <c r="AX145" s="57"/>
      <c r="AY145" s="57"/>
      <c r="AZ145" s="57"/>
      <c r="BA145" s="57"/>
    </row>
    <row r="146" spans="48:53" customFormat="1" ht="15.95" hidden="1" customHeight="1">
      <c r="AV146" s="57"/>
      <c r="AW146" s="64"/>
      <c r="AX146" s="57"/>
      <c r="AY146" s="57"/>
      <c r="AZ146" s="57"/>
      <c r="BA146" s="57"/>
    </row>
    <row r="147" spans="48:53" customFormat="1" ht="15.95" hidden="1" customHeight="1">
      <c r="AV147" s="57"/>
      <c r="AW147" s="64"/>
      <c r="AX147" s="57"/>
      <c r="AY147" s="57"/>
      <c r="AZ147" s="57"/>
      <c r="BA147" s="57"/>
    </row>
    <row r="148" spans="48:53" customFormat="1" ht="15.95" hidden="1" customHeight="1">
      <c r="AV148" s="57"/>
      <c r="AW148" s="64"/>
      <c r="AX148" s="57"/>
      <c r="AY148" s="57"/>
      <c r="AZ148" s="57"/>
      <c r="BA148" s="57"/>
    </row>
    <row r="149" spans="48:53" customFormat="1" ht="15.95" hidden="1" customHeight="1">
      <c r="AV149" s="57"/>
      <c r="AW149" s="64"/>
      <c r="AX149" s="57"/>
      <c r="AY149" s="57"/>
      <c r="AZ149" s="57"/>
      <c r="BA149" s="57"/>
    </row>
    <row r="150" spans="48:53" customFormat="1" ht="15.95" hidden="1" customHeight="1">
      <c r="AV150" s="57"/>
      <c r="AW150" s="64"/>
      <c r="AX150" s="57"/>
      <c r="AY150" s="57"/>
      <c r="AZ150" s="57"/>
      <c r="BA150" s="57"/>
    </row>
    <row r="151" spans="48:53" customFormat="1" ht="15.95" hidden="1" customHeight="1">
      <c r="AV151" s="57"/>
      <c r="AW151" s="64"/>
      <c r="AX151" s="57"/>
      <c r="AY151" s="57"/>
      <c r="AZ151" s="57"/>
      <c r="BA151" s="57"/>
    </row>
    <row r="152" spans="48:53" customFormat="1" ht="15.95" hidden="1" customHeight="1">
      <c r="AV152" s="57"/>
      <c r="AW152" s="64"/>
      <c r="AX152" s="57"/>
      <c r="AY152" s="57"/>
      <c r="AZ152" s="57"/>
      <c r="BA152" s="57"/>
    </row>
    <row r="153" spans="48:53" customFormat="1" ht="15.95" hidden="1" customHeight="1">
      <c r="AV153" s="57"/>
      <c r="AW153" s="64"/>
      <c r="AX153" s="57"/>
      <c r="AY153" s="57"/>
      <c r="AZ153" s="57"/>
      <c r="BA153" s="57"/>
    </row>
    <row r="154" spans="48:53" customFormat="1" ht="15.95" hidden="1" customHeight="1">
      <c r="AV154" s="57"/>
      <c r="AW154" s="64"/>
      <c r="AX154" s="57"/>
      <c r="AY154" s="57"/>
      <c r="AZ154" s="57"/>
      <c r="BA154" s="57"/>
    </row>
    <row r="155" spans="48:53" customFormat="1" ht="15.95" hidden="1" customHeight="1">
      <c r="AV155" s="57"/>
      <c r="AW155" s="64"/>
      <c r="AX155" s="57"/>
      <c r="AY155" s="57"/>
      <c r="AZ155" s="57"/>
      <c r="BA155" s="57"/>
    </row>
    <row r="156" spans="48:53" customFormat="1" ht="15.95" hidden="1" customHeight="1">
      <c r="AV156" s="57"/>
      <c r="AW156" s="64"/>
      <c r="AX156" s="57"/>
      <c r="AY156" s="57"/>
      <c r="AZ156" s="57"/>
      <c r="BA156" s="57"/>
    </row>
    <row r="157" spans="48:53" customFormat="1" ht="15.95" hidden="1" customHeight="1">
      <c r="AV157" s="57"/>
      <c r="AW157" s="64"/>
      <c r="AX157" s="57"/>
      <c r="AY157" s="57"/>
      <c r="AZ157" s="57"/>
      <c r="BA157" s="57"/>
    </row>
    <row r="158" spans="48:53" customFormat="1" ht="15.95" hidden="1" customHeight="1">
      <c r="AV158" s="57"/>
      <c r="AW158" s="64"/>
      <c r="AX158" s="57"/>
      <c r="AY158" s="57"/>
      <c r="AZ158" s="57"/>
      <c r="BA158" s="57"/>
    </row>
    <row r="159" spans="48:53" customFormat="1" ht="15.95" hidden="1" customHeight="1">
      <c r="AV159" s="57"/>
      <c r="AW159" s="64"/>
      <c r="AX159" s="57"/>
      <c r="AY159" s="57"/>
      <c r="AZ159" s="57"/>
      <c r="BA159" s="57"/>
    </row>
    <row r="160" spans="48:53" customFormat="1" ht="15.95" hidden="1" customHeight="1">
      <c r="AV160" s="57"/>
      <c r="AW160" s="64"/>
      <c r="AX160" s="57"/>
      <c r="AY160" s="57"/>
      <c r="AZ160" s="57"/>
      <c r="BA160" s="57"/>
    </row>
    <row r="161" spans="48:53" customFormat="1" ht="15.95" hidden="1" customHeight="1">
      <c r="AV161" s="57"/>
      <c r="AW161" s="64"/>
      <c r="AX161" s="57"/>
      <c r="AY161" s="57"/>
      <c r="AZ161" s="57"/>
      <c r="BA161" s="57"/>
    </row>
    <row r="162" spans="48:53" customFormat="1" ht="15.95" hidden="1" customHeight="1">
      <c r="AV162" s="57"/>
      <c r="AW162" s="64"/>
      <c r="AX162" s="57"/>
      <c r="AY162" s="57"/>
      <c r="AZ162" s="57"/>
      <c r="BA162" s="57"/>
    </row>
    <row r="163" spans="48:53" customFormat="1" ht="15.95" hidden="1" customHeight="1">
      <c r="AV163" s="57"/>
      <c r="AW163" s="64"/>
      <c r="AX163" s="57"/>
      <c r="AY163" s="57"/>
      <c r="AZ163" s="57"/>
      <c r="BA163" s="57"/>
    </row>
    <row r="164" spans="48:53" customFormat="1" ht="15.95" hidden="1" customHeight="1">
      <c r="AV164" s="57"/>
      <c r="AW164" s="64"/>
      <c r="AX164" s="57"/>
      <c r="AY164" s="57"/>
      <c r="AZ164" s="57"/>
      <c r="BA164" s="57"/>
    </row>
    <row r="165" spans="48:53" customFormat="1" ht="15.95" hidden="1" customHeight="1">
      <c r="AV165" s="57"/>
      <c r="AW165" s="64"/>
      <c r="AX165" s="57"/>
      <c r="AY165" s="57"/>
      <c r="AZ165" s="57"/>
      <c r="BA165" s="57"/>
    </row>
    <row r="166" spans="48:53" customFormat="1" ht="15.95" hidden="1" customHeight="1">
      <c r="AV166" s="57"/>
      <c r="AW166" s="64"/>
      <c r="AX166" s="57"/>
      <c r="AY166" s="57"/>
      <c r="AZ166" s="57"/>
      <c r="BA166" s="57"/>
    </row>
    <row r="167" spans="48:53" customFormat="1" ht="15.95" hidden="1" customHeight="1">
      <c r="AV167" s="57"/>
      <c r="AW167" s="64"/>
      <c r="AX167" s="57"/>
      <c r="AY167" s="57"/>
      <c r="AZ167" s="57"/>
      <c r="BA167" s="57"/>
    </row>
    <row r="168" spans="48:53" customFormat="1" ht="15.95" hidden="1" customHeight="1">
      <c r="AV168" s="57"/>
      <c r="AW168" s="64"/>
      <c r="AX168" s="57"/>
      <c r="AY168" s="57"/>
      <c r="AZ168" s="57"/>
      <c r="BA168" s="57"/>
    </row>
    <row r="169" spans="48:53" customFormat="1" ht="15.95" hidden="1" customHeight="1">
      <c r="AV169" s="57"/>
      <c r="AW169" s="64"/>
      <c r="AX169" s="57"/>
      <c r="AY169" s="57"/>
      <c r="AZ169" s="57"/>
      <c r="BA169" s="57"/>
    </row>
    <row r="170" spans="48:53" customFormat="1" ht="15.95" hidden="1" customHeight="1">
      <c r="AV170" s="57"/>
      <c r="AW170" s="64"/>
      <c r="AX170" s="57"/>
      <c r="AY170" s="57"/>
      <c r="AZ170" s="57"/>
      <c r="BA170" s="57"/>
    </row>
    <row r="171" spans="48:53" customFormat="1" ht="15.95" hidden="1" customHeight="1">
      <c r="AV171" s="57"/>
      <c r="AW171" s="64"/>
      <c r="AX171" s="57"/>
      <c r="AY171" s="57"/>
      <c r="AZ171" s="57"/>
      <c r="BA171" s="57"/>
    </row>
    <row r="172" spans="48:53" customFormat="1" ht="15.95" hidden="1" customHeight="1">
      <c r="AV172" s="57"/>
      <c r="AW172" s="64"/>
      <c r="AX172" s="57"/>
      <c r="AY172" s="57"/>
      <c r="AZ172" s="57"/>
      <c r="BA172" s="57"/>
    </row>
    <row r="173" spans="48:53" customFormat="1" ht="15.95" hidden="1" customHeight="1">
      <c r="AV173" s="57"/>
      <c r="AW173" s="64"/>
      <c r="AX173" s="57"/>
      <c r="AY173" s="57"/>
      <c r="AZ173" s="57"/>
      <c r="BA173" s="57"/>
    </row>
    <row r="174" spans="48:53" customFormat="1" ht="15.95" hidden="1" customHeight="1">
      <c r="AV174" s="57"/>
      <c r="AW174" s="64"/>
      <c r="AX174" s="57"/>
      <c r="AY174" s="57"/>
      <c r="AZ174" s="57"/>
      <c r="BA174" s="57"/>
    </row>
    <row r="175" spans="48:53" customFormat="1" ht="15.95" hidden="1" customHeight="1">
      <c r="AV175" s="57"/>
      <c r="AW175" s="64"/>
      <c r="AX175" s="57"/>
      <c r="AY175" s="57"/>
      <c r="AZ175" s="57"/>
      <c r="BA175" s="57"/>
    </row>
    <row r="176" spans="48:53" customFormat="1" ht="15.95" hidden="1" customHeight="1">
      <c r="AV176" s="57"/>
      <c r="AW176" s="64"/>
      <c r="AX176" s="57"/>
      <c r="AY176" s="57"/>
      <c r="AZ176" s="57"/>
      <c r="BA176" s="57"/>
    </row>
    <row r="177" spans="48:53" customFormat="1" ht="15.95" hidden="1" customHeight="1">
      <c r="AV177" s="57"/>
      <c r="AW177" s="64"/>
      <c r="AX177" s="57"/>
      <c r="AY177" s="57"/>
      <c r="AZ177" s="57"/>
      <c r="BA177" s="57"/>
    </row>
    <row r="178" spans="48:53" customFormat="1" ht="15.95" hidden="1" customHeight="1">
      <c r="AV178" s="57"/>
      <c r="AW178" s="64"/>
      <c r="AX178" s="57"/>
      <c r="AY178" s="57"/>
      <c r="AZ178" s="57"/>
      <c r="BA178" s="57"/>
    </row>
    <row r="179" spans="48:53" customFormat="1" ht="15.95" hidden="1" customHeight="1">
      <c r="AV179" s="57"/>
      <c r="AW179" s="64"/>
      <c r="AX179" s="57"/>
      <c r="AY179" s="57"/>
      <c r="AZ179" s="57"/>
      <c r="BA179" s="57"/>
    </row>
    <row r="180" spans="48:53" customFormat="1" ht="15.95" hidden="1" customHeight="1">
      <c r="AV180" s="57"/>
      <c r="AW180" s="64"/>
      <c r="AX180" s="57"/>
      <c r="AY180" s="57"/>
      <c r="AZ180" s="57"/>
      <c r="BA180" s="57"/>
    </row>
    <row r="181" spans="48:53" customFormat="1" ht="15.95" hidden="1" customHeight="1">
      <c r="AV181" s="57"/>
      <c r="AW181" s="64"/>
      <c r="AX181" s="57"/>
      <c r="AY181" s="57"/>
      <c r="AZ181" s="57"/>
      <c r="BA181" s="57"/>
    </row>
    <row r="182" spans="48:53" customFormat="1" ht="15.95" hidden="1" customHeight="1">
      <c r="AV182" s="57"/>
      <c r="AW182" s="64"/>
      <c r="AX182" s="57"/>
      <c r="AY182" s="57"/>
      <c r="AZ182" s="57"/>
      <c r="BA182" s="57"/>
    </row>
    <row r="183" spans="48:53" customFormat="1" ht="15.95" hidden="1" customHeight="1">
      <c r="AV183" s="57"/>
      <c r="AW183" s="64"/>
      <c r="AX183" s="57"/>
      <c r="AY183" s="57"/>
      <c r="AZ183" s="57"/>
      <c r="BA183" s="57"/>
    </row>
    <row r="184" spans="48:53" customFormat="1" ht="15.95" hidden="1" customHeight="1">
      <c r="AV184" s="57"/>
      <c r="AW184" s="64"/>
      <c r="AX184" s="57"/>
      <c r="AY184" s="57"/>
      <c r="AZ184" s="57"/>
      <c r="BA184" s="57"/>
    </row>
    <row r="185" spans="48:53" customFormat="1" ht="15.95" hidden="1" customHeight="1">
      <c r="AV185" s="57"/>
      <c r="AW185" s="64"/>
      <c r="AX185" s="57"/>
      <c r="AY185" s="57"/>
      <c r="AZ185" s="57"/>
      <c r="BA185" s="57"/>
    </row>
    <row r="186" spans="48:53" customFormat="1" ht="15.95" hidden="1" customHeight="1">
      <c r="AV186" s="57"/>
      <c r="AW186" s="64"/>
      <c r="AX186" s="57"/>
      <c r="AY186" s="57"/>
      <c r="AZ186" s="57"/>
      <c r="BA186" s="57"/>
    </row>
    <row r="187" spans="48:53" customFormat="1" ht="15.95" hidden="1" customHeight="1">
      <c r="AV187" s="57"/>
      <c r="AW187" s="64"/>
      <c r="AX187" s="57"/>
      <c r="AY187" s="57"/>
      <c r="AZ187" s="57"/>
      <c r="BA187" s="57"/>
    </row>
    <row r="188" spans="48:53" customFormat="1" ht="15.95" hidden="1" customHeight="1">
      <c r="AV188" s="57"/>
      <c r="AW188" s="64"/>
      <c r="AX188" s="57"/>
      <c r="AY188" s="57"/>
      <c r="AZ188" s="57"/>
      <c r="BA188" s="57"/>
    </row>
    <row r="189" spans="48:53" customFormat="1" ht="15.95" hidden="1" customHeight="1">
      <c r="AV189" s="57"/>
      <c r="AW189" s="64"/>
      <c r="AX189" s="57"/>
      <c r="AY189" s="57"/>
      <c r="AZ189" s="57"/>
      <c r="BA189" s="57"/>
    </row>
    <row r="190" spans="48:53" customFormat="1" ht="15.95" hidden="1" customHeight="1">
      <c r="AV190" s="57"/>
      <c r="AW190" s="64"/>
      <c r="AX190" s="57"/>
      <c r="AY190" s="57"/>
      <c r="AZ190" s="57"/>
      <c r="BA190" s="57"/>
    </row>
    <row r="191" spans="48:53" customFormat="1" ht="15.95" hidden="1" customHeight="1">
      <c r="AV191" s="57"/>
      <c r="AW191" s="64"/>
      <c r="AX191" s="57"/>
      <c r="AY191" s="57"/>
      <c r="AZ191" s="57"/>
      <c r="BA191" s="57"/>
    </row>
    <row r="192" spans="48:53" customFormat="1" ht="15.95" hidden="1" customHeight="1">
      <c r="AV192" s="57"/>
      <c r="AW192" s="64"/>
      <c r="AX192" s="57"/>
      <c r="AY192" s="57"/>
      <c r="AZ192" s="57"/>
      <c r="BA192" s="57"/>
    </row>
    <row r="193" spans="1:54" customFormat="1" ht="15.95" hidden="1" customHeight="1">
      <c r="AT193" s="14"/>
      <c r="AU193" s="180"/>
      <c r="AV193" s="57"/>
      <c r="AW193" s="64"/>
      <c r="AX193" s="57"/>
      <c r="AY193" s="57"/>
      <c r="AZ193" s="57"/>
      <c r="BA193" s="57"/>
    </row>
    <row r="194" spans="1:54" customFormat="1" ht="15.95" hidden="1" customHeight="1">
      <c r="AT194" s="14"/>
      <c r="AU194" s="180"/>
      <c r="AV194" s="57"/>
      <c r="AW194" s="64"/>
      <c r="AX194" s="57"/>
      <c r="AY194" s="57"/>
      <c r="AZ194" s="57"/>
      <c r="BA194" s="57"/>
    </row>
    <row r="195" spans="1:54" customFormat="1" ht="15.95" hidden="1" customHeight="1">
      <c r="AT195" s="14"/>
      <c r="AU195" s="180"/>
      <c r="AV195" s="57"/>
      <c r="AW195" s="64"/>
      <c r="AX195" s="57"/>
      <c r="AY195" s="57"/>
      <c r="AZ195" s="57"/>
      <c r="BA195" s="57"/>
    </row>
    <row r="196" spans="1:54" customFormat="1" ht="15.95" hidden="1" customHeight="1">
      <c r="AT196" s="14"/>
      <c r="AU196" s="180"/>
      <c r="AV196" s="57"/>
      <c r="AW196" s="64"/>
      <c r="AX196" s="57"/>
      <c r="AY196" s="57"/>
      <c r="AZ196" s="57"/>
      <c r="BA196" s="57"/>
    </row>
    <row r="197" spans="1:54" customFormat="1" ht="15.95" hidden="1" customHeight="1">
      <c r="AT197" s="14"/>
      <c r="AU197" s="180"/>
      <c r="AV197" s="57"/>
      <c r="AW197" s="64"/>
      <c r="AX197" s="57"/>
      <c r="AY197" s="57"/>
      <c r="AZ197" s="57"/>
      <c r="BA197" s="57"/>
    </row>
    <row r="198" spans="1:54" customFormat="1" ht="15.95" hidden="1" customHeight="1">
      <c r="AT198" s="14"/>
      <c r="AU198" s="180"/>
      <c r="AV198" s="57"/>
      <c r="AW198" s="64"/>
      <c r="AX198" s="57"/>
      <c r="AY198" s="57"/>
      <c r="AZ198" s="57"/>
      <c r="BA198" s="57"/>
    </row>
    <row r="199" spans="1:54" customFormat="1" ht="15.95" hidden="1" customHeight="1">
      <c r="AT199" s="14"/>
      <c r="AU199" s="180"/>
      <c r="AV199" s="57"/>
      <c r="AW199" s="64"/>
      <c r="AX199" s="57"/>
      <c r="AY199" s="57"/>
      <c r="AZ199" s="57"/>
      <c r="BA199" s="57"/>
    </row>
    <row r="200" spans="1:54" customFormat="1"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T200" s="862">
        <f>SUM(AT18:AT199)</f>
        <v>0</v>
      </c>
      <c r="AV200" s="863">
        <f>SUM(AV18:AV199)</f>
        <v>0</v>
      </c>
      <c r="AW200" s="864">
        <f>SUM(AW18:AW199)</f>
        <v>0</v>
      </c>
      <c r="AX200" s="863">
        <f t="shared" ref="AX200:BA200" si="101">SUM(AX18:AX199)</f>
        <v>0</v>
      </c>
      <c r="AY200" s="863">
        <f t="shared" si="101"/>
        <v>0</v>
      </c>
      <c r="BA200" s="863">
        <f t="shared" si="101"/>
        <v>0</v>
      </c>
      <c r="BB200" s="863">
        <f t="shared" ref="BB200" si="102">SUM(BB18:BB199)</f>
        <v>0</v>
      </c>
    </row>
    <row r="201" spans="1:54" customFormat="1"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T201" s="862"/>
      <c r="AV201" s="863"/>
      <c r="AW201" s="864"/>
      <c r="AX201" s="863"/>
      <c r="AY201" s="863"/>
      <c r="BA201" s="863"/>
      <c r="BB201" s="863"/>
    </row>
    <row r="202" spans="1:54" customFormat="1"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c r="AT202" s="14"/>
      <c r="AU202" s="180"/>
      <c r="AZ202" s="180"/>
    </row>
    <row r="203" spans="1:54" customFormat="1" ht="15.95" hidden="1" customHeight="1">
      <c r="AT203" s="14"/>
      <c r="AU203" s="180"/>
      <c r="AZ203" s="180"/>
    </row>
    <row r="204" spans="1:54" customFormat="1" ht="15.95" hidden="1" customHeight="1">
      <c r="AT204" s="14"/>
      <c r="AU204" s="180"/>
      <c r="AZ204" s="180"/>
    </row>
  </sheetData>
  <sheetProtection algorithmName="SHA-512" hashValue="P7W4/BHigTCmvepPSRK4rbqW5ZsB2YgPexie5w5ZHjhsdYxWIiE89SLrkOR9eOUmd5Gl3lBvSi1ZTeRmBi7WCw==" saltValue="+g0NcRESmkOCdMiJqwsQcA==" spinCount="100000" sheet="1" objects="1" scenarios="1" selectLockedCells="1"/>
  <mergeCells count="1024">
    <mergeCell ref="AT72:AT73"/>
    <mergeCell ref="AU72:AU73"/>
    <mergeCell ref="BE76:BE77"/>
    <mergeCell ref="BF76:BF77"/>
    <mergeCell ref="BG76:BG77"/>
    <mergeCell ref="BH76:BH77"/>
    <mergeCell ref="BI76:BI77"/>
    <mergeCell ref="AV76:AV77"/>
    <mergeCell ref="AW76:AW77"/>
    <mergeCell ref="AX76:AX77"/>
    <mergeCell ref="AY76:AY77"/>
    <mergeCell ref="AZ76:AZ77"/>
    <mergeCell ref="BA76:BA77"/>
    <mergeCell ref="BB76:BB77"/>
    <mergeCell ref="BC76:BC77"/>
    <mergeCell ref="BD76:BD77"/>
    <mergeCell ref="BE72:BE73"/>
    <mergeCell ref="BF72:BF73"/>
    <mergeCell ref="BG72:BG73"/>
    <mergeCell ref="BH72:BH73"/>
    <mergeCell ref="BI72:BI73"/>
    <mergeCell ref="AV74:AV75"/>
    <mergeCell ref="AW74:AW75"/>
    <mergeCell ref="AX74:AX75"/>
    <mergeCell ref="AY74:AY75"/>
    <mergeCell ref="AZ74:AZ75"/>
    <mergeCell ref="BA74:BA75"/>
    <mergeCell ref="BB74:BB75"/>
    <mergeCell ref="BC74:BC75"/>
    <mergeCell ref="BD74:BD75"/>
    <mergeCell ref="BE74:BE75"/>
    <mergeCell ref="BF74:BF75"/>
    <mergeCell ref="BG74:BG75"/>
    <mergeCell ref="BH74:BH75"/>
    <mergeCell ref="BI74:BI75"/>
    <mergeCell ref="AV72:AV73"/>
    <mergeCell ref="AW72:AW73"/>
    <mergeCell ref="AX72:AX73"/>
    <mergeCell ref="AY72:AY73"/>
    <mergeCell ref="AZ72:AZ73"/>
    <mergeCell ref="BA72:BA73"/>
    <mergeCell ref="BB72:BB73"/>
    <mergeCell ref="BC72:BC73"/>
    <mergeCell ref="BD72:BD73"/>
    <mergeCell ref="BH68:BH69"/>
    <mergeCell ref="BI68:BI69"/>
    <mergeCell ref="AT70:AT71"/>
    <mergeCell ref="AU70:AU71"/>
    <mergeCell ref="AV70:AV71"/>
    <mergeCell ref="AW70:AW71"/>
    <mergeCell ref="AX70:AX71"/>
    <mergeCell ref="AY70:AY71"/>
    <mergeCell ref="AZ70:AZ71"/>
    <mergeCell ref="BA70:BA71"/>
    <mergeCell ref="BB70:BB71"/>
    <mergeCell ref="BC70:BC71"/>
    <mergeCell ref="BD70:BD71"/>
    <mergeCell ref="BE70:BE71"/>
    <mergeCell ref="BF70:BF71"/>
    <mergeCell ref="BG70:BG71"/>
    <mergeCell ref="BH70:BH71"/>
    <mergeCell ref="BI70:BI71"/>
    <mergeCell ref="AV68:AV69"/>
    <mergeCell ref="AW68:AW69"/>
    <mergeCell ref="AX68:AX69"/>
    <mergeCell ref="AY68:AY69"/>
    <mergeCell ref="AZ68:AZ69"/>
    <mergeCell ref="BA68:BA69"/>
    <mergeCell ref="BB68:BB69"/>
    <mergeCell ref="BC68:BC69"/>
    <mergeCell ref="BD68:BD69"/>
    <mergeCell ref="AT68:AT69"/>
    <mergeCell ref="AU68:AU69"/>
    <mergeCell ref="BH64:BH65"/>
    <mergeCell ref="BI64:BI65"/>
    <mergeCell ref="AT66:AT67"/>
    <mergeCell ref="AU66:AU67"/>
    <mergeCell ref="AV66:AV67"/>
    <mergeCell ref="AW66:AW67"/>
    <mergeCell ref="AX66:AX67"/>
    <mergeCell ref="AY66:AY67"/>
    <mergeCell ref="AZ66:AZ67"/>
    <mergeCell ref="BA66:BA67"/>
    <mergeCell ref="BB66:BB67"/>
    <mergeCell ref="BC66:BC67"/>
    <mergeCell ref="BD66:BD67"/>
    <mergeCell ref="BE66:BE67"/>
    <mergeCell ref="BF66:BF67"/>
    <mergeCell ref="BG66:BG67"/>
    <mergeCell ref="BH66:BH67"/>
    <mergeCell ref="BI66:BI67"/>
    <mergeCell ref="AV64:AV65"/>
    <mergeCell ref="AW64:AW65"/>
    <mergeCell ref="AX64:AX65"/>
    <mergeCell ref="AY64:AY65"/>
    <mergeCell ref="AZ64:AZ65"/>
    <mergeCell ref="BA64:BA65"/>
    <mergeCell ref="BB64:BB65"/>
    <mergeCell ref="BC64:BC65"/>
    <mergeCell ref="BD64:BD65"/>
    <mergeCell ref="AT64:AT65"/>
    <mergeCell ref="AU64:AU65"/>
    <mergeCell ref="BH60:BH61"/>
    <mergeCell ref="BI60:BI61"/>
    <mergeCell ref="AT62:AT63"/>
    <mergeCell ref="AU62:AU63"/>
    <mergeCell ref="AV62:AV63"/>
    <mergeCell ref="AW62:AW63"/>
    <mergeCell ref="AX62:AX63"/>
    <mergeCell ref="AY62:AY63"/>
    <mergeCell ref="AZ62:AZ63"/>
    <mergeCell ref="BA62:BA63"/>
    <mergeCell ref="BB62:BB63"/>
    <mergeCell ref="BC62:BC63"/>
    <mergeCell ref="BD62:BD63"/>
    <mergeCell ref="BE62:BE63"/>
    <mergeCell ref="BF62:BF63"/>
    <mergeCell ref="BG62:BG63"/>
    <mergeCell ref="BH62:BH63"/>
    <mergeCell ref="BI62:BI63"/>
    <mergeCell ref="AV60:AV61"/>
    <mergeCell ref="AW60:AW61"/>
    <mergeCell ref="AX60:AX61"/>
    <mergeCell ref="AY60:AY61"/>
    <mergeCell ref="AZ60:AZ61"/>
    <mergeCell ref="BA60:BA61"/>
    <mergeCell ref="BB60:BB61"/>
    <mergeCell ref="BC60:BC61"/>
    <mergeCell ref="BD60:BD61"/>
    <mergeCell ref="AT60:AT61"/>
    <mergeCell ref="AU60:AU61"/>
    <mergeCell ref="BH56:BH57"/>
    <mergeCell ref="BI56:BI57"/>
    <mergeCell ref="AT58:AT59"/>
    <mergeCell ref="AU58:AU59"/>
    <mergeCell ref="AV58:AV59"/>
    <mergeCell ref="AW58:AW59"/>
    <mergeCell ref="AX58:AX59"/>
    <mergeCell ref="AY58:AY59"/>
    <mergeCell ref="AZ58:AZ59"/>
    <mergeCell ref="BA58:BA59"/>
    <mergeCell ref="BB58:BB59"/>
    <mergeCell ref="BC58:BC59"/>
    <mergeCell ref="BD58:BD59"/>
    <mergeCell ref="BE58:BE59"/>
    <mergeCell ref="BF58:BF59"/>
    <mergeCell ref="BG58:BG59"/>
    <mergeCell ref="BH58:BH59"/>
    <mergeCell ref="BI58:BI59"/>
    <mergeCell ref="AV56:AV57"/>
    <mergeCell ref="AW56:AW57"/>
    <mergeCell ref="AX56:AX57"/>
    <mergeCell ref="AY56:AY57"/>
    <mergeCell ref="AZ56:AZ57"/>
    <mergeCell ref="BA56:BA57"/>
    <mergeCell ref="BB56:BB57"/>
    <mergeCell ref="BC56:BC57"/>
    <mergeCell ref="BD56:BD57"/>
    <mergeCell ref="AT56:AT57"/>
    <mergeCell ref="AU56:AU57"/>
    <mergeCell ref="BH52:BH53"/>
    <mergeCell ref="BI52:BI53"/>
    <mergeCell ref="AT54:AT55"/>
    <mergeCell ref="AU54:AU55"/>
    <mergeCell ref="AV54:AV55"/>
    <mergeCell ref="AW54:AW55"/>
    <mergeCell ref="AX54:AX55"/>
    <mergeCell ref="AY54:AY55"/>
    <mergeCell ref="AZ54:AZ55"/>
    <mergeCell ref="BA54:BA55"/>
    <mergeCell ref="BB54:BB55"/>
    <mergeCell ref="BC54:BC55"/>
    <mergeCell ref="BD54:BD55"/>
    <mergeCell ref="BE54:BE55"/>
    <mergeCell ref="BF54:BF55"/>
    <mergeCell ref="BG54:BG55"/>
    <mergeCell ref="BH54:BH55"/>
    <mergeCell ref="BI54:BI55"/>
    <mergeCell ref="AV52:AV53"/>
    <mergeCell ref="AW52:AW53"/>
    <mergeCell ref="AX52:AX53"/>
    <mergeCell ref="AY52:AY53"/>
    <mergeCell ref="AZ52:AZ53"/>
    <mergeCell ref="BA52:BA53"/>
    <mergeCell ref="BB52:BB53"/>
    <mergeCell ref="BC52:BC53"/>
    <mergeCell ref="BD52:BD53"/>
    <mergeCell ref="AT52:AT53"/>
    <mergeCell ref="AU52:AU53"/>
    <mergeCell ref="BH48:BH49"/>
    <mergeCell ref="BI48:BI49"/>
    <mergeCell ref="AT50:AT51"/>
    <mergeCell ref="AU50:AU51"/>
    <mergeCell ref="AV50:AV51"/>
    <mergeCell ref="AW50:AW51"/>
    <mergeCell ref="AX50:AX51"/>
    <mergeCell ref="AY50:AY51"/>
    <mergeCell ref="AZ50:AZ51"/>
    <mergeCell ref="BA50:BA51"/>
    <mergeCell ref="BB50:BB51"/>
    <mergeCell ref="BC50:BC51"/>
    <mergeCell ref="BD50:BD51"/>
    <mergeCell ref="BE50:BE51"/>
    <mergeCell ref="BF50:BF51"/>
    <mergeCell ref="BG50:BG51"/>
    <mergeCell ref="BH50:BH51"/>
    <mergeCell ref="BI50:BI51"/>
    <mergeCell ref="AX48:AX49"/>
    <mergeCell ref="AY48:AY49"/>
    <mergeCell ref="AZ48:AZ49"/>
    <mergeCell ref="BA48:BA49"/>
    <mergeCell ref="BB48:BB49"/>
    <mergeCell ref="BC48:BC49"/>
    <mergeCell ref="BD48:BD49"/>
    <mergeCell ref="BE48:BE49"/>
    <mergeCell ref="BF48:BF49"/>
    <mergeCell ref="AT48:AT49"/>
    <mergeCell ref="AU48:AU49"/>
    <mergeCell ref="Z76:AB77"/>
    <mergeCell ref="AC76:AD77"/>
    <mergeCell ref="AE76:AF77"/>
    <mergeCell ref="AG76:AH77"/>
    <mergeCell ref="AI76:AJ77"/>
    <mergeCell ref="AK76:AM77"/>
    <mergeCell ref="AN76:AQ77"/>
    <mergeCell ref="B76:B77"/>
    <mergeCell ref="C76:F77"/>
    <mergeCell ref="G76:L77"/>
    <mergeCell ref="M76:N77"/>
    <mergeCell ref="O76:Q77"/>
    <mergeCell ref="R76:S77"/>
    <mergeCell ref="T76:U77"/>
    <mergeCell ref="V76:W77"/>
    <mergeCell ref="X76:Y77"/>
    <mergeCell ref="BG48:BG49"/>
    <mergeCell ref="BE52:BE53"/>
    <mergeCell ref="BF52:BF53"/>
    <mergeCell ref="BG52:BG53"/>
    <mergeCell ref="BE56:BE57"/>
    <mergeCell ref="BF56:BF57"/>
    <mergeCell ref="BG56:BG57"/>
    <mergeCell ref="BE60:BE61"/>
    <mergeCell ref="BF60:BF61"/>
    <mergeCell ref="BG60:BG61"/>
    <mergeCell ref="BE64:BE65"/>
    <mergeCell ref="BF64:BF65"/>
    <mergeCell ref="BG64:BG65"/>
    <mergeCell ref="BE68:BE69"/>
    <mergeCell ref="BF68:BF69"/>
    <mergeCell ref="BG68:BG69"/>
    <mergeCell ref="Z72:AB73"/>
    <mergeCell ref="AC72:AD73"/>
    <mergeCell ref="AE72:AF73"/>
    <mergeCell ref="AG72:AH73"/>
    <mergeCell ref="AI72:AJ73"/>
    <mergeCell ref="AK72:AM73"/>
    <mergeCell ref="AN72:AQ73"/>
    <mergeCell ref="B74:B75"/>
    <mergeCell ref="C74:F75"/>
    <mergeCell ref="G74:L75"/>
    <mergeCell ref="M74:N75"/>
    <mergeCell ref="O74:Q75"/>
    <mergeCell ref="R74:S75"/>
    <mergeCell ref="T74:U75"/>
    <mergeCell ref="V74:W75"/>
    <mergeCell ref="X74:Y75"/>
    <mergeCell ref="Z74:AB75"/>
    <mergeCell ref="AC74:AD75"/>
    <mergeCell ref="AE74:AF75"/>
    <mergeCell ref="AG74:AH75"/>
    <mergeCell ref="AI74:AJ75"/>
    <mergeCell ref="AK74:AM75"/>
    <mergeCell ref="AN74:AQ75"/>
    <mergeCell ref="B72:B73"/>
    <mergeCell ref="C72:F73"/>
    <mergeCell ref="G72:L73"/>
    <mergeCell ref="M72:N73"/>
    <mergeCell ref="O72:Q73"/>
    <mergeCell ref="R72:S73"/>
    <mergeCell ref="T72:U73"/>
    <mergeCell ref="V72:W73"/>
    <mergeCell ref="X72:Y73"/>
    <mergeCell ref="Z68:AB69"/>
    <mergeCell ref="AC68:AD69"/>
    <mergeCell ref="AE68:AF69"/>
    <mergeCell ref="AG68:AH69"/>
    <mergeCell ref="AI68:AJ69"/>
    <mergeCell ref="AK68:AM69"/>
    <mergeCell ref="AN68:AQ69"/>
    <mergeCell ref="B70:B71"/>
    <mergeCell ref="C70:F71"/>
    <mergeCell ref="G70:L71"/>
    <mergeCell ref="M70:N71"/>
    <mergeCell ref="O70:Q71"/>
    <mergeCell ref="R70:S71"/>
    <mergeCell ref="T70:U71"/>
    <mergeCell ref="V70:W71"/>
    <mergeCell ref="X70:Y71"/>
    <mergeCell ref="Z70:AB71"/>
    <mergeCell ref="AC70:AD71"/>
    <mergeCell ref="AE70:AF71"/>
    <mergeCell ref="AG70:AH71"/>
    <mergeCell ref="AI70:AJ71"/>
    <mergeCell ref="AK70:AM71"/>
    <mergeCell ref="AN70:AQ71"/>
    <mergeCell ref="B68:B69"/>
    <mergeCell ref="C68:F69"/>
    <mergeCell ref="G68:L69"/>
    <mergeCell ref="M68:N69"/>
    <mergeCell ref="O68:Q69"/>
    <mergeCell ref="R68:S69"/>
    <mergeCell ref="T68:U69"/>
    <mergeCell ref="V68:W69"/>
    <mergeCell ref="X68:Y69"/>
    <mergeCell ref="Z64:AB65"/>
    <mergeCell ref="AC64:AD65"/>
    <mergeCell ref="AE64:AF65"/>
    <mergeCell ref="AG64:AH65"/>
    <mergeCell ref="AI64:AJ65"/>
    <mergeCell ref="AK64:AM65"/>
    <mergeCell ref="AN64:AQ65"/>
    <mergeCell ref="B66:B67"/>
    <mergeCell ref="C66:F67"/>
    <mergeCell ref="G66:L67"/>
    <mergeCell ref="M66:N67"/>
    <mergeCell ref="O66:Q67"/>
    <mergeCell ref="R66:S67"/>
    <mergeCell ref="T66:U67"/>
    <mergeCell ref="V66:W67"/>
    <mergeCell ref="X66:Y67"/>
    <mergeCell ref="Z66:AB67"/>
    <mergeCell ref="AC66:AD67"/>
    <mergeCell ref="AE66:AF67"/>
    <mergeCell ref="AG66:AH67"/>
    <mergeCell ref="AI66:AJ67"/>
    <mergeCell ref="AK66:AM67"/>
    <mergeCell ref="AN66:AQ67"/>
    <mergeCell ref="B64:B65"/>
    <mergeCell ref="C64:F65"/>
    <mergeCell ref="G64:L65"/>
    <mergeCell ref="M64:N65"/>
    <mergeCell ref="O64:Q65"/>
    <mergeCell ref="R64:S65"/>
    <mergeCell ref="T64:U65"/>
    <mergeCell ref="V64:W65"/>
    <mergeCell ref="X64:Y65"/>
    <mergeCell ref="Z60:AB61"/>
    <mergeCell ref="AC60:AD61"/>
    <mergeCell ref="AE60:AF61"/>
    <mergeCell ref="AG60:AH61"/>
    <mergeCell ref="AI60:AJ61"/>
    <mergeCell ref="AK60:AM61"/>
    <mergeCell ref="AN60:AQ61"/>
    <mergeCell ref="B62:B63"/>
    <mergeCell ref="C62:F63"/>
    <mergeCell ref="G62:L63"/>
    <mergeCell ref="M62:N63"/>
    <mergeCell ref="O62:Q63"/>
    <mergeCell ref="R62:S63"/>
    <mergeCell ref="T62:U63"/>
    <mergeCell ref="V62:W63"/>
    <mergeCell ref="X62:Y63"/>
    <mergeCell ref="Z62:AB63"/>
    <mergeCell ref="AC62:AD63"/>
    <mergeCell ref="AE62:AF63"/>
    <mergeCell ref="AG62:AH63"/>
    <mergeCell ref="AI62:AJ63"/>
    <mergeCell ref="AK62:AM63"/>
    <mergeCell ref="AN62:AQ63"/>
    <mergeCell ref="B60:B61"/>
    <mergeCell ref="C60:F61"/>
    <mergeCell ref="G60:L61"/>
    <mergeCell ref="M60:N61"/>
    <mergeCell ref="O60:Q61"/>
    <mergeCell ref="R60:S61"/>
    <mergeCell ref="T60:U61"/>
    <mergeCell ref="V60:W61"/>
    <mergeCell ref="X60:Y61"/>
    <mergeCell ref="Z56:AB57"/>
    <mergeCell ref="AC56:AD57"/>
    <mergeCell ref="AE56:AF57"/>
    <mergeCell ref="AG56:AH57"/>
    <mergeCell ref="AI56:AJ57"/>
    <mergeCell ref="AK56:AM57"/>
    <mergeCell ref="AN56:AQ57"/>
    <mergeCell ref="B58:B59"/>
    <mergeCell ref="C58:F59"/>
    <mergeCell ref="G58:L59"/>
    <mergeCell ref="M58:N59"/>
    <mergeCell ref="O58:Q59"/>
    <mergeCell ref="R58:S59"/>
    <mergeCell ref="T58:U59"/>
    <mergeCell ref="V58:W59"/>
    <mergeCell ref="X58:Y59"/>
    <mergeCell ref="Z58:AB59"/>
    <mergeCell ref="AC58:AD59"/>
    <mergeCell ref="AE58:AF59"/>
    <mergeCell ref="AG58:AH59"/>
    <mergeCell ref="AI58:AJ59"/>
    <mergeCell ref="AK58:AM59"/>
    <mergeCell ref="AN58:AQ59"/>
    <mergeCell ref="B56:B57"/>
    <mergeCell ref="C56:F57"/>
    <mergeCell ref="G56:L57"/>
    <mergeCell ref="M56:N57"/>
    <mergeCell ref="O56:Q57"/>
    <mergeCell ref="R56:S57"/>
    <mergeCell ref="T56:U57"/>
    <mergeCell ref="V56:W57"/>
    <mergeCell ref="X56:Y57"/>
    <mergeCell ref="Z52:AB53"/>
    <mergeCell ref="AC52:AD53"/>
    <mergeCell ref="AE52:AF53"/>
    <mergeCell ref="AG52:AH53"/>
    <mergeCell ref="AI52:AJ53"/>
    <mergeCell ref="AK52:AM53"/>
    <mergeCell ref="AN52:AQ53"/>
    <mergeCell ref="B54:B55"/>
    <mergeCell ref="C54:F55"/>
    <mergeCell ref="G54:L55"/>
    <mergeCell ref="M54:N55"/>
    <mergeCell ref="O54:Q55"/>
    <mergeCell ref="R54:S55"/>
    <mergeCell ref="T54:U55"/>
    <mergeCell ref="V54:W55"/>
    <mergeCell ref="X54:Y55"/>
    <mergeCell ref="Z54:AB55"/>
    <mergeCell ref="AC54:AD55"/>
    <mergeCell ref="AE54:AF55"/>
    <mergeCell ref="AG54:AH55"/>
    <mergeCell ref="AI54:AJ55"/>
    <mergeCell ref="AK54:AM55"/>
    <mergeCell ref="AN54:AQ55"/>
    <mergeCell ref="B52:B53"/>
    <mergeCell ref="C52:F53"/>
    <mergeCell ref="G52:L53"/>
    <mergeCell ref="M52:N53"/>
    <mergeCell ref="O52:Q53"/>
    <mergeCell ref="R52:S53"/>
    <mergeCell ref="T52:U53"/>
    <mergeCell ref="V52:W53"/>
    <mergeCell ref="X52:Y53"/>
    <mergeCell ref="Z48:AB49"/>
    <mergeCell ref="AC48:AD49"/>
    <mergeCell ref="AE48:AF49"/>
    <mergeCell ref="AG48:AH49"/>
    <mergeCell ref="AI48:AJ49"/>
    <mergeCell ref="AK48:AM49"/>
    <mergeCell ref="AN48:AQ49"/>
    <mergeCell ref="B50:B51"/>
    <mergeCell ref="C50:F51"/>
    <mergeCell ref="G50:L51"/>
    <mergeCell ref="M50:N51"/>
    <mergeCell ref="O50:Q51"/>
    <mergeCell ref="R50:S51"/>
    <mergeCell ref="T50:U51"/>
    <mergeCell ref="V50:W51"/>
    <mergeCell ref="X50:Y51"/>
    <mergeCell ref="Z50:AB51"/>
    <mergeCell ref="AC50:AD51"/>
    <mergeCell ref="AE50:AF51"/>
    <mergeCell ref="AG50:AH51"/>
    <mergeCell ref="AI50:AJ51"/>
    <mergeCell ref="AK50:AM51"/>
    <mergeCell ref="AN50:AQ51"/>
    <mergeCell ref="B48:B49"/>
    <mergeCell ref="C48:F49"/>
    <mergeCell ref="G48:L49"/>
    <mergeCell ref="M48:N49"/>
    <mergeCell ref="O48:Q49"/>
    <mergeCell ref="R48:S49"/>
    <mergeCell ref="T48:U49"/>
    <mergeCell ref="V48:W49"/>
    <mergeCell ref="X48:Y49"/>
    <mergeCell ref="BG46:BG47"/>
    <mergeCell ref="BH16:BH17"/>
    <mergeCell ref="BH18:BH19"/>
    <mergeCell ref="BH20:BH21"/>
    <mergeCell ref="BH22:BH23"/>
    <mergeCell ref="BH24:BH25"/>
    <mergeCell ref="BH26:BH27"/>
    <mergeCell ref="BH28:BH29"/>
    <mergeCell ref="BH30:BH31"/>
    <mergeCell ref="BH32:BH33"/>
    <mergeCell ref="BI34:BI35"/>
    <mergeCell ref="BI36:BI37"/>
    <mergeCell ref="BI38:BI39"/>
    <mergeCell ref="BI40:BI41"/>
    <mergeCell ref="BI42:BI43"/>
    <mergeCell ref="BI44:BI45"/>
    <mergeCell ref="BI46:BI47"/>
    <mergeCell ref="BI16:BI17"/>
    <mergeCell ref="BI18:BI19"/>
    <mergeCell ref="BI20:BI21"/>
    <mergeCell ref="BI22:BI23"/>
    <mergeCell ref="BI24:BI25"/>
    <mergeCell ref="BI26:BI27"/>
    <mergeCell ref="BI28:BI29"/>
    <mergeCell ref="BI30:BI31"/>
    <mergeCell ref="BI32:BI33"/>
    <mergeCell ref="BH46:BH47"/>
    <mergeCell ref="BH34:BH35"/>
    <mergeCell ref="BH36:BH37"/>
    <mergeCell ref="BH38:BH39"/>
    <mergeCell ref="BH40:BH41"/>
    <mergeCell ref="BH42:BH43"/>
    <mergeCell ref="BH44:BH45"/>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E46:BE47"/>
    <mergeCell ref="BF46:BF47"/>
    <mergeCell ref="BE34:BE35"/>
    <mergeCell ref="BF34:BF35"/>
    <mergeCell ref="BE36:BE37"/>
    <mergeCell ref="BF36:BF37"/>
    <mergeCell ref="BE38:BE39"/>
    <mergeCell ref="BF38:BF39"/>
    <mergeCell ref="BE40:BE41"/>
    <mergeCell ref="BF40:BF41"/>
    <mergeCell ref="BE42:BE43"/>
    <mergeCell ref="BF42:BF43"/>
    <mergeCell ref="BF16:BF17"/>
    <mergeCell ref="BF18:BF19"/>
    <mergeCell ref="BE16:BE17"/>
    <mergeCell ref="BE18:BE19"/>
    <mergeCell ref="BE20:BE21"/>
    <mergeCell ref="BF20:BF21"/>
    <mergeCell ref="BE22:BE23"/>
    <mergeCell ref="BF22:BF23"/>
    <mergeCell ref="BE44:BE45"/>
    <mergeCell ref="BF44:BF45"/>
    <mergeCell ref="BE24:BE25"/>
    <mergeCell ref="BF24:BF25"/>
    <mergeCell ref="BE26:BE27"/>
    <mergeCell ref="BF26:BF27"/>
    <mergeCell ref="BE28:BE29"/>
    <mergeCell ref="BF28:BF29"/>
    <mergeCell ref="BE30:BE31"/>
    <mergeCell ref="BF30:BF31"/>
    <mergeCell ref="BE32:BE33"/>
    <mergeCell ref="BF32:BF33"/>
    <mergeCell ref="Z44:AB45"/>
    <mergeCell ref="AI24:AJ25"/>
    <mergeCell ref="AK24:AM25"/>
    <mergeCell ref="AN24:AQ25"/>
    <mergeCell ref="AC20:AD21"/>
    <mergeCell ref="AI20:AJ21"/>
    <mergeCell ref="AK20:AM21"/>
    <mergeCell ref="AN20:AQ21"/>
    <mergeCell ref="AI18:AJ19"/>
    <mergeCell ref="AK18:AM19"/>
    <mergeCell ref="AN18:AQ19"/>
    <mergeCell ref="AE18:AF19"/>
    <mergeCell ref="AG18:AH19"/>
    <mergeCell ref="AE20:AF21"/>
    <mergeCell ref="AG20:AH21"/>
    <mergeCell ref="AK30:AM31"/>
    <mergeCell ref="Z46:AB47"/>
    <mergeCell ref="AI44:AJ45"/>
    <mergeCell ref="AK44:AM45"/>
    <mergeCell ref="AN44:AQ45"/>
    <mergeCell ref="AK42:AM43"/>
    <mergeCell ref="AN42:AQ43"/>
    <mergeCell ref="AC46:AD47"/>
    <mergeCell ref="AE26:AF27"/>
    <mergeCell ref="AC24:AD25"/>
    <mergeCell ref="AI32:AJ33"/>
    <mergeCell ref="AK32:AM33"/>
    <mergeCell ref="AN32:AQ33"/>
    <mergeCell ref="AC30:AD31"/>
    <mergeCell ref="AI30:AJ31"/>
    <mergeCell ref="O18:Q19"/>
    <mergeCell ref="Z18:AB19"/>
    <mergeCell ref="Z16:AB17"/>
    <mergeCell ref="Z20:AB21"/>
    <mergeCell ref="Z22:AB23"/>
    <mergeCell ref="Z24:AB25"/>
    <mergeCell ref="Z26:AB27"/>
    <mergeCell ref="Z28:AB29"/>
    <mergeCell ref="Z30:AB31"/>
    <mergeCell ref="Z32:AB33"/>
    <mergeCell ref="X20:Y21"/>
    <mergeCell ref="R22:S23"/>
    <mergeCell ref="T22:U23"/>
    <mergeCell ref="V22:W23"/>
    <mergeCell ref="X22:Y23"/>
    <mergeCell ref="R30:S31"/>
    <mergeCell ref="T30:U31"/>
    <mergeCell ref="V30:W31"/>
    <mergeCell ref="X30:Y31"/>
    <mergeCell ref="R28:S29"/>
    <mergeCell ref="T28:U29"/>
    <mergeCell ref="R20:S21"/>
    <mergeCell ref="T26:U27"/>
    <mergeCell ref="V26:W27"/>
    <mergeCell ref="X26:Y27"/>
    <mergeCell ref="R24:S25"/>
    <mergeCell ref="T24:U25"/>
    <mergeCell ref="V24:W25"/>
    <mergeCell ref="O20:Q21"/>
    <mergeCell ref="O22:Q23"/>
    <mergeCell ref="O24:Q25"/>
    <mergeCell ref="AP1:AS3"/>
    <mergeCell ref="X9:AA11"/>
    <mergeCell ref="AK16:AM17"/>
    <mergeCell ref="AJ9:AM11"/>
    <mergeCell ref="Z12:AC13"/>
    <mergeCell ref="V12:Y13"/>
    <mergeCell ref="Z14:AC14"/>
    <mergeCell ref="X16:Y17"/>
    <mergeCell ref="AC16:AD17"/>
    <mergeCell ref="AO5:AS6"/>
    <mergeCell ref="AO7:AS7"/>
    <mergeCell ref="AO8:AS8"/>
    <mergeCell ref="O1:AE3"/>
    <mergeCell ref="O16:Q17"/>
    <mergeCell ref="M200:AG201"/>
    <mergeCell ref="V14:Y14"/>
    <mergeCell ref="R12:U13"/>
    <mergeCell ref="R14:U14"/>
    <mergeCell ref="R16:S17"/>
    <mergeCell ref="T16:U17"/>
    <mergeCell ref="V16:W17"/>
    <mergeCell ref="P9:S11"/>
    <mergeCell ref="AK40:AM41"/>
    <mergeCell ref="AN40:AQ41"/>
    <mergeCell ref="AK38:AM39"/>
    <mergeCell ref="AN38:AQ39"/>
    <mergeCell ref="AK36:AM37"/>
    <mergeCell ref="AN36:AQ37"/>
    <mergeCell ref="AI46:AJ47"/>
    <mergeCell ref="AK46:AM47"/>
    <mergeCell ref="AN46:AQ47"/>
    <mergeCell ref="AC44:AD45"/>
    <mergeCell ref="B32:B33"/>
    <mergeCell ref="B34:B35"/>
    <mergeCell ref="B36:B37"/>
    <mergeCell ref="B38:B39"/>
    <mergeCell ref="T9:W11"/>
    <mergeCell ref="AB9:AE11"/>
    <mergeCell ref="B40:B41"/>
    <mergeCell ref="B42:B43"/>
    <mergeCell ref="H9:K11"/>
    <mergeCell ref="L9:O11"/>
    <mergeCell ref="B18:B19"/>
    <mergeCell ref="B20:B21"/>
    <mergeCell ref="B22:B23"/>
    <mergeCell ref="B30:B31"/>
    <mergeCell ref="AF9:AI11"/>
    <mergeCell ref="AI16:AJ17"/>
    <mergeCell ref="B24:B25"/>
    <mergeCell ref="B26:B27"/>
    <mergeCell ref="AC38:AD39"/>
    <mergeCell ref="AI38:AJ39"/>
    <mergeCell ref="AC36:AD37"/>
    <mergeCell ref="AI36:AJ37"/>
    <mergeCell ref="AE38:AF39"/>
    <mergeCell ref="AG38:AH39"/>
    <mergeCell ref="AC42:AD43"/>
    <mergeCell ref="AI42:AJ43"/>
    <mergeCell ref="T20:U21"/>
    <mergeCell ref="V20:W21"/>
    <mergeCell ref="AC22:AD23"/>
    <mergeCell ref="X24:Y25"/>
    <mergeCell ref="AE24:AF25"/>
    <mergeCell ref="R26:S27"/>
    <mergeCell ref="B44:B45"/>
    <mergeCell ref="B46:B47"/>
    <mergeCell ref="B28:B29"/>
    <mergeCell ref="F1:I3"/>
    <mergeCell ref="J1:M3"/>
    <mergeCell ref="AH1:AK3"/>
    <mergeCell ref="A7:E8"/>
    <mergeCell ref="R18:S19"/>
    <mergeCell ref="T18:U19"/>
    <mergeCell ref="V18:W19"/>
    <mergeCell ref="X18:Y19"/>
    <mergeCell ref="AC18:AD19"/>
    <mergeCell ref="AE17:AF17"/>
    <mergeCell ref="AG17:AH17"/>
    <mergeCell ref="AE16:AH16"/>
    <mergeCell ref="A4:E6"/>
    <mergeCell ref="AI22:AJ23"/>
    <mergeCell ref="AK22:AM23"/>
    <mergeCell ref="AI28:AJ29"/>
    <mergeCell ref="AL1:AO3"/>
    <mergeCell ref="AN16:AQ17"/>
    <mergeCell ref="AN22:AQ23"/>
    <mergeCell ref="AN30:AQ31"/>
    <mergeCell ref="AE30:AF31"/>
    <mergeCell ref="AG30:AH31"/>
    <mergeCell ref="AK28:AM29"/>
    <mergeCell ref="AN28:AQ29"/>
    <mergeCell ref="AC26:AD27"/>
    <mergeCell ref="AI26:AJ27"/>
    <mergeCell ref="AK26:AM27"/>
    <mergeCell ref="AN26:AQ27"/>
    <mergeCell ref="AI40:AJ41"/>
    <mergeCell ref="R34:S35"/>
    <mergeCell ref="T34:U35"/>
    <mergeCell ref="V34:W35"/>
    <mergeCell ref="X34:Y35"/>
    <mergeCell ref="AE34:AF35"/>
    <mergeCell ref="AG34:AH35"/>
    <mergeCell ref="R32:S33"/>
    <mergeCell ref="T32:U33"/>
    <mergeCell ref="V32:W33"/>
    <mergeCell ref="AC34:AD35"/>
    <mergeCell ref="Z34:AB35"/>
    <mergeCell ref="AC32:AD33"/>
    <mergeCell ref="R36:S37"/>
    <mergeCell ref="T36:U37"/>
    <mergeCell ref="R42:S43"/>
    <mergeCell ref="T42:U43"/>
    <mergeCell ref="V42:W43"/>
    <mergeCell ref="X42:Y43"/>
    <mergeCell ref="AE42:AF43"/>
    <mergeCell ref="R40:S41"/>
    <mergeCell ref="T40:U41"/>
    <mergeCell ref="V40:W41"/>
    <mergeCell ref="AC40:AD41"/>
    <mergeCell ref="Z36:AB37"/>
    <mergeCell ref="Z38:AB39"/>
    <mergeCell ref="Z40:AB41"/>
    <mergeCell ref="Z42:AB43"/>
    <mergeCell ref="R46:S47"/>
    <mergeCell ref="T46:U47"/>
    <mergeCell ref="V46:W47"/>
    <mergeCell ref="X46:Y47"/>
    <mergeCell ref="AE46:AF47"/>
    <mergeCell ref="AG46:AH47"/>
    <mergeCell ref="AW20:AW21"/>
    <mergeCell ref="AW24:AW25"/>
    <mergeCell ref="AW28:AW29"/>
    <mergeCell ref="AW32:AW33"/>
    <mergeCell ref="AW36:AW37"/>
    <mergeCell ref="AW40:AW41"/>
    <mergeCell ref="AW44:AW45"/>
    <mergeCell ref="AV30:AV31"/>
    <mergeCell ref="AV36:AV37"/>
    <mergeCell ref="AV38:AV39"/>
    <mergeCell ref="AV20:AV21"/>
    <mergeCell ref="AV22:AV23"/>
    <mergeCell ref="AV24:AV25"/>
    <mergeCell ref="R44:S45"/>
    <mergeCell ref="T44:U45"/>
    <mergeCell ref="V44:W45"/>
    <mergeCell ref="R38:S39"/>
    <mergeCell ref="AW30:AW31"/>
    <mergeCell ref="V36:W37"/>
    <mergeCell ref="T38:U39"/>
    <mergeCell ref="V38:W39"/>
    <mergeCell ref="V28:W29"/>
    <mergeCell ref="AG22:AH23"/>
    <mergeCell ref="AI34:AJ35"/>
    <mergeCell ref="AK34:AM35"/>
    <mergeCell ref="AN34:AQ35"/>
    <mergeCell ref="AZ16:AZ17"/>
    <mergeCell ref="AZ18:AZ19"/>
    <mergeCell ref="AZ20:AZ21"/>
    <mergeCell ref="AZ22:AZ23"/>
    <mergeCell ref="AZ24:AZ25"/>
    <mergeCell ref="X44:Y45"/>
    <mergeCell ref="AE44:AF45"/>
    <mergeCell ref="AG44:AH45"/>
    <mergeCell ref="AG40:AH41"/>
    <mergeCell ref="AG42:AH43"/>
    <mergeCell ref="X36:Y37"/>
    <mergeCell ref="AE36:AF37"/>
    <mergeCell ref="AG36:AH37"/>
    <mergeCell ref="X40:Y41"/>
    <mergeCell ref="AE40:AF41"/>
    <mergeCell ref="X28:Y29"/>
    <mergeCell ref="AE28:AF29"/>
    <mergeCell ref="AG28:AH29"/>
    <mergeCell ref="AG24:AH25"/>
    <mergeCell ref="AV18:AV19"/>
    <mergeCell ref="AX18:AX19"/>
    <mergeCell ref="AY18:AY19"/>
    <mergeCell ref="AV16:AW16"/>
    <mergeCell ref="AC28:AD29"/>
    <mergeCell ref="AX30:AX31"/>
    <mergeCell ref="AY30:AY31"/>
    <mergeCell ref="AG26:AH27"/>
    <mergeCell ref="X38:Y39"/>
    <mergeCell ref="X32:Y33"/>
    <mergeCell ref="AE32:AF33"/>
    <mergeCell ref="AG32:AH33"/>
    <mergeCell ref="AE22:AF23"/>
    <mergeCell ref="BA20:BA21"/>
    <mergeCell ref="AW22:AW23"/>
    <mergeCell ref="AX22:AX23"/>
    <mergeCell ref="AY22:AY23"/>
    <mergeCell ref="BA22:BA23"/>
    <mergeCell ref="AW18:AW19"/>
    <mergeCell ref="AV26:AV27"/>
    <mergeCell ref="AV28:AV29"/>
    <mergeCell ref="AX20:AX21"/>
    <mergeCell ref="AY20:AY21"/>
    <mergeCell ref="AW26:AW27"/>
    <mergeCell ref="AX26:AX27"/>
    <mergeCell ref="AY26:AY27"/>
    <mergeCell ref="AX28:AX29"/>
    <mergeCell ref="AY28:AY29"/>
    <mergeCell ref="AX24:AX25"/>
    <mergeCell ref="AY24:AY25"/>
    <mergeCell ref="BA24:BA25"/>
    <mergeCell ref="AX40:AX41"/>
    <mergeCell ref="AY40:AY41"/>
    <mergeCell ref="BA40:BA41"/>
    <mergeCell ref="AW42:AW43"/>
    <mergeCell ref="AX42:AX43"/>
    <mergeCell ref="AY42:AY43"/>
    <mergeCell ref="BA42:BA43"/>
    <mergeCell ref="AY38:AY39"/>
    <mergeCell ref="BA38:BA39"/>
    <mergeCell ref="AW38:AW39"/>
    <mergeCell ref="AX38:AX39"/>
    <mergeCell ref="AT38:AT39"/>
    <mergeCell ref="AU42:AU43"/>
    <mergeCell ref="AZ38:AZ39"/>
    <mergeCell ref="AZ40:AZ41"/>
    <mergeCell ref="AZ42:AZ43"/>
    <mergeCell ref="AV42:AV43"/>
    <mergeCell ref="BD46:BD47"/>
    <mergeCell ref="AT200:AT201"/>
    <mergeCell ref="AV200:AV201"/>
    <mergeCell ref="AW200:AW201"/>
    <mergeCell ref="AX200:AX201"/>
    <mergeCell ref="AY200:AY201"/>
    <mergeCell ref="BA200:BA201"/>
    <mergeCell ref="BB44:BB45"/>
    <mergeCell ref="BB46:BB47"/>
    <mergeCell ref="AT44:AT45"/>
    <mergeCell ref="AT46:AT47"/>
    <mergeCell ref="AV46:AV47"/>
    <mergeCell ref="AW46:AW47"/>
    <mergeCell ref="AX46:AX47"/>
    <mergeCell ref="AY46:AY47"/>
    <mergeCell ref="BA46:BA47"/>
    <mergeCell ref="BC46:BC47"/>
    <mergeCell ref="AZ46:AZ47"/>
    <mergeCell ref="BD44:BD45"/>
    <mergeCell ref="AU44:AU45"/>
    <mergeCell ref="AU46:AU47"/>
    <mergeCell ref="BB200:BB201"/>
    <mergeCell ref="AV48:AV49"/>
    <mergeCell ref="AW48:AW49"/>
    <mergeCell ref="AV44:AV45"/>
    <mergeCell ref="AX44:AX45"/>
    <mergeCell ref="AY44:AY45"/>
    <mergeCell ref="BA44:BA45"/>
    <mergeCell ref="AT76:AT77"/>
    <mergeCell ref="AU76:AU77"/>
    <mergeCell ref="AT74:AT75"/>
    <mergeCell ref="AU74:AU75"/>
    <mergeCell ref="BC40:BC41"/>
    <mergeCell ref="BC42:BC43"/>
    <mergeCell ref="BC44:BC45"/>
    <mergeCell ref="AZ44:AZ45"/>
    <mergeCell ref="C13:P13"/>
    <mergeCell ref="BD38:BD39"/>
    <mergeCell ref="BD40:BD41"/>
    <mergeCell ref="BD42:BD43"/>
    <mergeCell ref="BD24:BD25"/>
    <mergeCell ref="BD26:BD27"/>
    <mergeCell ref="BD28:BD29"/>
    <mergeCell ref="BD30:BD31"/>
    <mergeCell ref="BD32:BD33"/>
    <mergeCell ref="BD22:BD23"/>
    <mergeCell ref="AT16:AT17"/>
    <mergeCell ref="BD16:BD17"/>
    <mergeCell ref="BD18:BD19"/>
    <mergeCell ref="BD20:BD21"/>
    <mergeCell ref="BB18:BB19"/>
    <mergeCell ref="BB20:BB21"/>
    <mergeCell ref="BA16:BB16"/>
    <mergeCell ref="BD34:BD35"/>
    <mergeCell ref="BD36:BD37"/>
    <mergeCell ref="AT28:AT29"/>
    <mergeCell ref="BB22:BB23"/>
    <mergeCell ref="BB24:BB25"/>
    <mergeCell ref="BB26:BB27"/>
    <mergeCell ref="BB28:BB29"/>
    <mergeCell ref="BC32:BC33"/>
    <mergeCell ref="BB38:BB39"/>
    <mergeCell ref="BB30:BB31"/>
    <mergeCell ref="BB32:BB33"/>
    <mergeCell ref="BC34:BC35"/>
    <mergeCell ref="BC36:BC37"/>
    <mergeCell ref="BC38:BC39"/>
    <mergeCell ref="BC16:BC17"/>
    <mergeCell ref="AU16:AU17"/>
    <mergeCell ref="AU18:AU19"/>
    <mergeCell ref="AU20:AU21"/>
    <mergeCell ref="AU22:AU23"/>
    <mergeCell ref="AU24:AU25"/>
    <mergeCell ref="AU26:AU27"/>
    <mergeCell ref="AU28:AU29"/>
    <mergeCell ref="AU30:AU31"/>
    <mergeCell ref="AZ26:AZ27"/>
    <mergeCell ref="AZ28:AZ29"/>
    <mergeCell ref="AZ30:AZ31"/>
    <mergeCell ref="BC18:BC19"/>
    <mergeCell ref="BC20:BC21"/>
    <mergeCell ref="BC22:BC23"/>
    <mergeCell ref="BC24:BC25"/>
    <mergeCell ref="BC26:BC27"/>
    <mergeCell ref="BC28:BC29"/>
    <mergeCell ref="BC30:BC31"/>
    <mergeCell ref="BA26:BA27"/>
    <mergeCell ref="BA28:BA29"/>
    <mergeCell ref="AX16:AX17"/>
    <mergeCell ref="AY16:AY17"/>
    <mergeCell ref="BA18:BA19"/>
    <mergeCell ref="AZ32:AZ33"/>
    <mergeCell ref="AZ34:AZ35"/>
    <mergeCell ref="AZ36:AZ37"/>
    <mergeCell ref="BA30:BA31"/>
    <mergeCell ref="AV34:AV35"/>
    <mergeCell ref="BB40:BB41"/>
    <mergeCell ref="BB42:BB43"/>
    <mergeCell ref="AX32:AX33"/>
    <mergeCell ref="AY32:AY33"/>
    <mergeCell ref="BA32:BA33"/>
    <mergeCell ref="AW34:AW35"/>
    <mergeCell ref="AX34:AX35"/>
    <mergeCell ref="AY34:AY35"/>
    <mergeCell ref="BA34:BA35"/>
    <mergeCell ref="AX36:AX37"/>
    <mergeCell ref="AY36:AY37"/>
    <mergeCell ref="BA36:BA37"/>
    <mergeCell ref="AT18:AT19"/>
    <mergeCell ref="AT20:AT21"/>
    <mergeCell ref="AT22:AT23"/>
    <mergeCell ref="AT24:AT25"/>
    <mergeCell ref="AT26:AT27"/>
    <mergeCell ref="AU32:AU33"/>
    <mergeCell ref="AU34:AU35"/>
    <mergeCell ref="AU36:AU37"/>
    <mergeCell ref="AU38:AU39"/>
    <mergeCell ref="AU40:AU41"/>
    <mergeCell ref="AT30:AT31"/>
    <mergeCell ref="AT32:AT33"/>
    <mergeCell ref="AT34:AT35"/>
    <mergeCell ref="AT36:AT37"/>
    <mergeCell ref="BB34:BB35"/>
    <mergeCell ref="BB36:BB37"/>
    <mergeCell ref="AV32:AV33"/>
    <mergeCell ref="AT40:AT41"/>
    <mergeCell ref="AT42:AT43"/>
    <mergeCell ref="AV40:AV41"/>
    <mergeCell ref="C44:F45"/>
    <mergeCell ref="C46:F47"/>
    <mergeCell ref="C30:F31"/>
    <mergeCell ref="C32:F33"/>
    <mergeCell ref="C34:F35"/>
    <mergeCell ref="C36:F37"/>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O26:Q27"/>
    <mergeCell ref="O28:Q29"/>
    <mergeCell ref="O30:Q31"/>
    <mergeCell ref="O32:Q33"/>
    <mergeCell ref="O34:Q35"/>
    <mergeCell ref="O36:Q37"/>
    <mergeCell ref="O38:Q39"/>
    <mergeCell ref="O40:Q41"/>
    <mergeCell ref="O42:Q43"/>
    <mergeCell ref="O44:Q45"/>
    <mergeCell ref="O46:Q47"/>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s>
  <conditionalFormatting sqref="AO8:AS8">
    <cfRule type="expression" dxfId="118" priority="8">
      <formula>IF($AO$8=PROJSTATMEASURE,FALSE,TRUE)</formula>
    </cfRule>
  </conditionalFormatting>
  <conditionalFormatting sqref="AN18:AQ77">
    <cfRule type="expression" dxfId="117" priority="7">
      <formula>ISNUMBER($AN18)=FALSE</formula>
    </cfRule>
  </conditionalFormatting>
  <conditionalFormatting sqref="G28:AH45 G26 M26:AH27 G18:AH25 R46:U77">
    <cfRule type="expression" dxfId="116" priority="6">
      <formula>AND(ISBLANK($C18)=FALSE,OR(ISBLANK(G18)=TRUE,G18=""))</formula>
    </cfRule>
  </conditionalFormatting>
  <conditionalFormatting sqref="R18:S77">
    <cfRule type="expression" dxfId="115" priority="3">
      <formula>IF($R18="",FALSE,IF($R18&lt;&gt;INDEX(STDLIGHTINEFCAT2W,MATCH($M18&amp;"_"&amp;INDEX(STDLIGHTINEFCAT2DROP,MATCH($G18,STDLIGHTMEASURES,0))&amp;"_"&amp;O18,STDLIGHTINEFCAT2NAME,0)),TRUE,FALSE))</formula>
    </cfRule>
  </conditionalFormatting>
  <conditionalFormatting sqref="G46:Q77 V46:AH77">
    <cfRule type="expression" dxfId="114" priority="2">
      <formula>AND(ISBLANK($C46)=FALSE,OR(ISBLANK(G46)=TRUE,G46=""))</formula>
    </cfRule>
  </conditionalFormatting>
  <dataValidations xWindow="113" yWindow="551" count="11">
    <dataValidation type="whole" allowBlank="1" showInputMessage="1" showErrorMessage="1" prompt="Enter the total number of lamps/fixtures." sqref="V18:W77" xr:uid="{CBB42DFF-C970-409E-A99A-15C2814BB9F6}">
      <formula1>0</formula1>
      <formula2>9999</formula2>
    </dataValidation>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4A9D09BD-F9E7-446C-A23C-A8CE8F2A6E7E}">
      <formula1>0</formula1>
      <formula2>IF(ISNUMBER(SEARCH("Exterior",C18)),4380,8760)</formula2>
    </dataValidation>
    <dataValidation type="decimal" allowBlank="1" showInputMessage="1" showErrorMessage="1" prompt="This is the TOTAL Material Cost of the measure, NOT a per unit basis." sqref="AE18:AF77" xr:uid="{0B6462FB-AB0F-4B43-90D1-7E681293516A}">
      <formula1>0</formula1>
      <formula2>999999</formula2>
    </dataValidation>
    <dataValidation type="whole" allowBlank="1" showInputMessage="1" showErrorMessage="1" prompt="Enter efficient lamp/fixture wattage." sqref="T18:U77" xr:uid="{B5486D45-7AC8-49A2-B683-3DD681ED6BAC}">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G18:AH77" xr:uid="{E264EA8D-B0E0-4B1F-A063-D24EAC9860F2}">
      <formula1>0</formula1>
      <formula2>999999</formula2>
    </dataValidation>
    <dataValidation type="whole" showInputMessage="1" showErrorMessage="1" error="Please enter a numerical value within the designated range" prompt="Enter inefficient lamp/fixture wattage." sqref="R18:S77" xr:uid="{2CE5B061-93C2-4563-89EC-4A0B5F58F8B7}">
      <formula1>INDEX(STDLIGHTBASEMIN,MATCH($G18,STDLIGHTMEASURES,0))</formula1>
      <formula2>INDEX(STDLIGHTBASEMAX,MATCH($G18,STDLIGHTMEASURES,0))</formula2>
    </dataValidation>
    <dataValidation type="list" allowBlank="1" showInputMessage="1" showErrorMessage="1" prompt="Select Inefficient Details." sqref="O18:Q77" xr:uid="{2128D348-9B6C-4D42-B878-A86D03635289}">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FDF7B90A-8E65-4AB0-A92C-CDE7B49A0DEF}">
      <formula1>IF(ISBLANK($O18),STDLIGHTINEFCAT1_LIST,"")</formula1>
    </dataValidation>
    <dataValidation allowBlank="1" showInputMessage="1" showErrorMessage="1" prompt="Install Location should describe the area where the lighting was installed. (Ex: Room 2b)" sqref="AC18:AD77" xr:uid="{D08390E7-8058-49A8-9B24-96679A164EEC}"/>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31ADF461-B03B-472D-99B4-50039E8978C2}">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8A76CE8-39A5-4ECB-9E4B-AFD831A8C159}">
      <formula1>IF(ISBLANK(G18),STDLIGHTCATLIST,"")</formula1>
    </dataValidation>
  </dataValidations>
  <hyperlinks>
    <hyperlink ref="H9:K11" location="'M03-S02'!C18" tooltip="Lighting" display="'M03-S02'!C18" xr:uid="{EF6106D1-C18E-46B3-A538-6F50FD67A92E}"/>
    <hyperlink ref="L9:O11" location="'M03-S03'!C18" tooltip="Lighting Controls" display="'M03-S03'!C18" xr:uid="{98251C9B-9A13-40F2-AD97-95EFD39F5BA9}"/>
    <hyperlink ref="P9:S11" location="'M03-S04'!C18" tooltip="Refrigeration" display="'M03-S04'!C18" xr:uid="{50D0564D-B050-4E71-AE12-DD513CA66A42}"/>
    <hyperlink ref="T9:W11" location="'M03-S05'!C18" tooltip="HVAC" display="'M03-S05'!C18" xr:uid="{D0137F4B-37CE-4AC1-A3B9-A0C3A3466E41}"/>
    <hyperlink ref="AB9:AE11" location="'M03-S06'!C18" tooltip="Compressed Air / Process" display="'M03-S06'!C18" xr:uid="{99AE900B-90B9-4A50-9612-7B32D80719D7}"/>
    <hyperlink ref="AF9:AI11" location="'M03-S07'!C18" tooltip="Water Heating / Cooking" display="'M03-S07'!C18" xr:uid="{3D8006D6-47E6-4377-84FA-2620634F6D88}"/>
    <hyperlink ref="X9:AA11" location="'M03-S08'!C18" tooltip="Motors and Drives" display="'M03-S08'!C18" xr:uid="{571FF2A6-C246-4F70-96E3-A875E186D535}"/>
    <hyperlink ref="AJ9:AM11" location="'M04-S09'!C18" tooltip="Miscellaneous" display="'M04-S09'!C18" xr:uid="{A7A995D4-B449-46FA-9C59-BEF5BFB2597F}"/>
    <hyperlink ref="J1:M3" location="'M01-S02'!J1" tooltip="Instructions" display="'M01-S02'!J1" xr:uid="{6BEFA785-AB0B-4200-B05A-66BEADB1B0D3}"/>
    <hyperlink ref="AL1:AO3" location="'M05-S05'!AL1" tooltip=" " display="'M05-S05'!AL1" xr:uid="{1D862D4B-7E47-4983-9CB4-A67947CDCB63}"/>
    <hyperlink ref="AH1:AK3" location="'M05-S04'!AH1" tooltip=" " display="'M05-S04'!AH1" xr:uid="{5421403F-6B48-4FB4-86E5-5C62586BD546}"/>
    <hyperlink ref="AP1:AS3" location="'M01-S03'!AP1" tooltip="Contact" display="'M01-S03'!AP1" xr:uid="{A312E564-E2D0-4D68-B637-79F0206E5AE0}"/>
    <hyperlink ref="B202" r:id="rId1" xr:uid="{41520282-35DF-425E-81BE-0D92F183C780}"/>
  </hyperlinks>
  <printOptions horizontalCentered="1"/>
  <pageMargins left="0.25" right="0.25" top="0.25" bottom="0.25" header="0.25" footer="0.25"/>
  <pageSetup scale="62"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pageSetUpPr fitToPage="1"/>
  </sheetPr>
  <dimension ref="A1:BS216"/>
  <sheetViews>
    <sheetView showGridLines="0" showRowColHeaders="0" zoomScale="85" zoomScaleNormal="85" workbookViewId="0">
      <selection activeCell="C18" sqref="C18:L19"/>
    </sheetView>
  </sheetViews>
  <sheetFormatPr defaultColWidth="0" defaultRowHeight="15" zeroHeight="1"/>
  <cols>
    <col min="1" max="45" width="4.7109375" style="14" customWidth="1"/>
    <col min="46" max="46" width="9.5703125" style="14" hidden="1" customWidth="1"/>
    <col min="47" max="47" width="15.7109375" style="180" hidden="1" customWidth="1"/>
    <col min="48" max="51" width="9.5703125" style="14" hidden="1" customWidth="1"/>
    <col min="52" max="52" width="9.5703125" style="180" hidden="1" customWidth="1"/>
    <col min="53" max="54" width="9.5703125" style="14" hidden="1" customWidth="1"/>
    <col min="55" max="55" width="9.5703125" style="180" hidden="1" customWidth="1"/>
    <col min="56" max="59" width="9.5703125" style="14" hidden="1" customWidth="1"/>
    <col min="60" max="60" width="13.42578125" style="14" hidden="1" customWidth="1"/>
    <col min="61" max="61" width="9.5703125" style="14" hidden="1" customWidth="1"/>
    <col min="62" max="71" width="0" style="14" hidden="1" customWidth="1"/>
    <col min="72" max="16384" width="4.7109375" style="14" hidden="1"/>
  </cols>
  <sheetData>
    <row r="1" spans="1:61" customFormat="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61" customFormat="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61" customFormat="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61" ht="15.95" customHeight="1">
      <c r="A4" s="773">
        <f>INCENTOTAL</f>
        <v>0</v>
      </c>
      <c r="B4" s="773"/>
      <c r="C4" s="773"/>
      <c r="D4" s="773"/>
      <c r="E4" s="773"/>
      <c r="U4" s="180"/>
      <c r="V4" s="180"/>
      <c r="W4" s="180"/>
      <c r="X4" s="180"/>
      <c r="Y4" s="180"/>
      <c r="AO4" s="180"/>
      <c r="AP4" s="180"/>
      <c r="AQ4" s="180"/>
      <c r="AR4" s="180"/>
      <c r="AS4" s="180"/>
      <c r="AT4"/>
    </row>
    <row r="5" spans="1:61"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c r="AU5" s="290"/>
      <c r="AV5" s="194" t="s">
        <v>1438</v>
      </c>
      <c r="AW5" s="194" t="s">
        <v>336</v>
      </c>
    </row>
    <row r="6" spans="1:61"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c r="AU6" s="193" t="s">
        <v>1443</v>
      </c>
      <c r="AV6" s="192" t="str">
        <f>CBPRESE</f>
        <v>NA</v>
      </c>
      <c r="AW6" s="192" t="str">
        <f>PAYPRESE</f>
        <v>NA</v>
      </c>
    </row>
    <row r="7" spans="1:61"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c r="AU7" s="193" t="s">
        <v>144</v>
      </c>
      <c r="AV7" s="192" t="str">
        <f>CBCUSE</f>
        <v>NA</v>
      </c>
      <c r="AW7" s="192" t="str">
        <f>PAYCUSE</f>
        <v>NA</v>
      </c>
    </row>
    <row r="8" spans="1:61"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c r="AU8" s="193" t="s">
        <v>651</v>
      </c>
      <c r="AV8" s="192" t="str">
        <f>CBALL</f>
        <v>NA</v>
      </c>
      <c r="AW8" s="192" t="str">
        <f>PAYALL</f>
        <v>NA</v>
      </c>
    </row>
    <row r="9" spans="1:61" s="148" customFormat="1" ht="15.95" customHeight="1">
      <c r="B9" s="152"/>
      <c r="C9" s="152"/>
      <c r="D9" s="152"/>
      <c r="E9" s="182"/>
      <c r="F9" s="181"/>
      <c r="G9" s="181"/>
      <c r="H9" s="910" t="str">
        <f>M3S2</f>
        <v>Lighting</v>
      </c>
      <c r="I9" s="911"/>
      <c r="J9" s="911"/>
      <c r="K9" s="911"/>
      <c r="L9" s="913" t="str">
        <f>M3S3</f>
        <v>Lighting Controls</v>
      </c>
      <c r="M9" s="913"/>
      <c r="N9" s="913"/>
      <c r="O9" s="913"/>
      <c r="P9" s="910" t="str">
        <f>M3S4</f>
        <v>Refrigeration</v>
      </c>
      <c r="Q9" s="911"/>
      <c r="R9" s="911"/>
      <c r="S9" s="911"/>
      <c r="T9" s="910" t="str">
        <f>M3S5</f>
        <v>HVAC</v>
      </c>
      <c r="U9" s="911"/>
      <c r="V9" s="911"/>
      <c r="W9" s="911"/>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2"/>
      <c r="AP9" s="235"/>
      <c r="AQ9" s="352"/>
      <c r="AR9" s="352"/>
      <c r="AS9" s="336"/>
      <c r="AY9" s="14"/>
      <c r="AZ9" s="180"/>
    </row>
    <row r="10" spans="1:61" s="148" customFormat="1" ht="15.95" customHeight="1">
      <c r="B10" s="152"/>
      <c r="C10" s="152"/>
      <c r="D10" s="152"/>
      <c r="E10" s="13"/>
      <c r="F10" s="183"/>
      <c r="G10" s="183"/>
      <c r="H10" s="912"/>
      <c r="I10" s="912"/>
      <c r="J10" s="912"/>
      <c r="K10" s="912"/>
      <c r="L10" s="914"/>
      <c r="M10" s="914"/>
      <c r="N10" s="914"/>
      <c r="O10" s="914"/>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152"/>
      <c r="AO10" s="344"/>
      <c r="AP10" s="235"/>
      <c r="AQ10" s="344"/>
      <c r="AR10" s="344"/>
      <c r="AS10" s="336"/>
      <c r="AY10" s="14"/>
      <c r="AZ10" s="180"/>
    </row>
    <row r="11" spans="1:61" ht="15.95" customHeight="1">
      <c r="A11" s="180"/>
      <c r="B11" s="171"/>
      <c r="C11" s="171"/>
      <c r="D11" s="171"/>
      <c r="E11" s="13"/>
      <c r="F11" s="13"/>
      <c r="G11" s="13"/>
      <c r="H11" s="912"/>
      <c r="I11" s="912"/>
      <c r="J11" s="912"/>
      <c r="K11" s="912"/>
      <c r="L11" s="914"/>
      <c r="M11" s="914"/>
      <c r="N11" s="914"/>
      <c r="O11" s="914"/>
      <c r="P11" s="912"/>
      <c r="Q11" s="912"/>
      <c r="R11" s="912"/>
      <c r="S11" s="912"/>
      <c r="T11" s="912"/>
      <c r="U11" s="912"/>
      <c r="V11" s="912"/>
      <c r="W11" s="912"/>
      <c r="X11" s="912"/>
      <c r="Y11" s="912"/>
      <c r="Z11" s="912"/>
      <c r="AA11" s="912"/>
      <c r="AB11" s="912"/>
      <c r="AC11" s="912"/>
      <c r="AD11" s="912"/>
      <c r="AE11" s="912"/>
      <c r="AF11" s="912"/>
      <c r="AG11" s="912"/>
      <c r="AH11" s="912"/>
      <c r="AI11" s="912"/>
      <c r="AJ11" s="912"/>
      <c r="AK11" s="912"/>
      <c r="AL11" s="912"/>
      <c r="AM11" s="912"/>
      <c r="AN11" s="394"/>
      <c r="AO11" s="337"/>
      <c r="AP11" s="235"/>
      <c r="AQ11" s="337"/>
      <c r="AR11" s="337"/>
      <c r="AS11" s="235"/>
    </row>
    <row r="12" spans="1:61" ht="15.95" customHeight="1">
      <c r="A12" s="172"/>
      <c r="B12" s="172"/>
      <c r="C12" s="172"/>
      <c r="D12" s="172"/>
      <c r="E12" s="172"/>
      <c r="M12"/>
      <c r="N12"/>
      <c r="R12" s="916">
        <f>SUM(AN18:AQ199)</f>
        <v>0</v>
      </c>
      <c r="S12" s="916"/>
      <c r="T12" s="916"/>
      <c r="U12" s="916"/>
      <c r="V12" s="916">
        <f>SUM(AT18:AT199)</f>
        <v>0</v>
      </c>
      <c r="W12" s="916"/>
      <c r="X12" s="916"/>
      <c r="Y12" s="916"/>
      <c r="Z12" s="915">
        <f ca="1">SUMIF(AN18:AQ199,"&gt;0",AK18:AM199)</f>
        <v>0</v>
      </c>
      <c r="AA12" s="915"/>
      <c r="AB12" s="915"/>
      <c r="AC12" s="915"/>
      <c r="AD12"/>
      <c r="AE12"/>
      <c r="AF12"/>
      <c r="AG12"/>
      <c r="AH12"/>
      <c r="AI12"/>
      <c r="AJ12"/>
      <c r="AK12"/>
      <c r="AL12"/>
      <c r="AM12"/>
      <c r="AN12"/>
      <c r="AO12" s="235"/>
      <c r="AP12" s="235"/>
      <c r="AQ12" s="235"/>
      <c r="AR12" s="235"/>
      <c r="AS12" s="235"/>
      <c r="AY12" s="148"/>
      <c r="AZ12" s="148"/>
    </row>
    <row r="13" spans="1:61" ht="15.95" customHeight="1">
      <c r="A13" s="172"/>
      <c r="B13" s="172"/>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D13"/>
      <c r="AE13"/>
      <c r="AF13"/>
      <c r="AG13"/>
      <c r="AH13"/>
      <c r="AO13" s="235"/>
      <c r="AP13" s="235"/>
      <c r="AQ13" s="235"/>
      <c r="AR13" s="235"/>
      <c r="AS13" s="235"/>
    </row>
    <row r="14" spans="1:61" ht="15.95" customHeight="1">
      <c r="C14" s="180"/>
      <c r="D14" s="180"/>
      <c r="E14" s="180"/>
      <c r="F14" s="180"/>
      <c r="G14" s="180"/>
      <c r="H14" s="180"/>
      <c r="I14" s="180"/>
      <c r="J14" s="180"/>
      <c r="K14" s="180"/>
      <c r="L14" s="180"/>
      <c r="M14" s="180"/>
      <c r="N14" s="180"/>
      <c r="O14" s="180"/>
      <c r="P14" s="180"/>
      <c r="R14" s="860" t="s">
        <v>1979</v>
      </c>
      <c r="S14" s="860"/>
      <c r="T14" s="860"/>
      <c r="U14" s="860"/>
      <c r="V14" s="860" t="s">
        <v>67</v>
      </c>
      <c r="W14" s="860"/>
      <c r="X14" s="860"/>
      <c r="Y14" s="860"/>
      <c r="Z14" s="860" t="s">
        <v>1248</v>
      </c>
      <c r="AA14" s="860"/>
      <c r="AB14" s="860"/>
      <c r="AC14" s="860"/>
      <c r="AD14"/>
      <c r="AE14"/>
      <c r="AF14"/>
      <c r="AG14"/>
      <c r="AH14"/>
      <c r="AO14" s="235"/>
      <c r="AP14" s="235"/>
      <c r="AR14" s="235"/>
      <c r="AS14" s="235"/>
    </row>
    <row r="15" spans="1:61" ht="15.95" customHeight="1">
      <c r="C15" s="180"/>
      <c r="D15" s="180"/>
      <c r="E15" s="180"/>
      <c r="F15" s="180"/>
      <c r="G15" s="180"/>
      <c r="H15" s="180"/>
      <c r="I15" s="180"/>
      <c r="J15" s="180"/>
      <c r="K15" s="180"/>
      <c r="L15" s="180"/>
      <c r="M15" s="180"/>
      <c r="N15" s="180"/>
      <c r="O15" s="180"/>
      <c r="P15" s="180"/>
      <c r="AO15" s="235"/>
      <c r="AP15" s="235"/>
      <c r="AQ15" s="235"/>
      <c r="AR15" s="235"/>
      <c r="AS15" s="235"/>
    </row>
    <row r="16" spans="1:61" ht="15.95" customHeight="1">
      <c r="C16" s="836" t="s">
        <v>1370</v>
      </c>
      <c r="D16" s="836"/>
      <c r="E16" s="836"/>
      <c r="F16" s="836"/>
      <c r="G16" s="836"/>
      <c r="H16" s="836"/>
      <c r="I16" s="836"/>
      <c r="J16" s="836"/>
      <c r="K16" s="836"/>
      <c r="L16" s="836"/>
      <c r="M16" s="836" t="s">
        <v>1381</v>
      </c>
      <c r="N16" s="836"/>
      <c r="O16" s="836" t="s">
        <v>74</v>
      </c>
      <c r="P16" s="836"/>
      <c r="Q16" s="836" t="s">
        <v>1931</v>
      </c>
      <c r="R16" s="836"/>
      <c r="S16" s="836"/>
      <c r="T16" s="836" t="s">
        <v>1379</v>
      </c>
      <c r="U16" s="836"/>
      <c r="V16" s="836"/>
      <c r="W16" s="836"/>
      <c r="X16" s="836" t="s">
        <v>2215</v>
      </c>
      <c r="Y16" s="836"/>
      <c r="Z16" s="836"/>
      <c r="AA16" s="836"/>
      <c r="AB16" s="836" t="s">
        <v>1369</v>
      </c>
      <c r="AC16" s="836"/>
      <c r="AD16" s="836"/>
      <c r="AE16" s="907" t="s">
        <v>1355</v>
      </c>
      <c r="AF16" s="907"/>
      <c r="AG16" s="907"/>
      <c r="AH16" s="907"/>
      <c r="AI16" s="836" t="s">
        <v>1980</v>
      </c>
      <c r="AJ16" s="836"/>
      <c r="AK16" s="836" t="s">
        <v>1187</v>
      </c>
      <c r="AL16" s="836"/>
      <c r="AM16" s="836"/>
      <c r="AN16" s="836" t="s">
        <v>83</v>
      </c>
      <c r="AO16" s="908"/>
      <c r="AP16" s="908"/>
      <c r="AQ16" s="908"/>
      <c r="AR16" s="235"/>
      <c r="AS16" s="235"/>
      <c r="AT16" s="856" t="s">
        <v>1377</v>
      </c>
      <c r="AU16" s="856" t="s">
        <v>1195</v>
      </c>
      <c r="AV16" s="861" t="s">
        <v>1373</v>
      </c>
      <c r="AW16" s="861"/>
      <c r="AX16" s="856" t="s">
        <v>1375</v>
      </c>
      <c r="AY16" s="856" t="s">
        <v>1376</v>
      </c>
      <c r="AZ16" s="856" t="s">
        <v>1426</v>
      </c>
      <c r="BA16" s="861" t="s">
        <v>1374</v>
      </c>
      <c r="BB16" s="861"/>
      <c r="BC16" s="856" t="s">
        <v>85</v>
      </c>
      <c r="BD16" s="856" t="s">
        <v>319</v>
      </c>
      <c r="BE16" s="932" t="s">
        <v>88</v>
      </c>
      <c r="BF16" s="932" t="s">
        <v>2500</v>
      </c>
      <c r="BG16" s="935" t="s">
        <v>2222</v>
      </c>
      <c r="BH16" s="932" t="s">
        <v>2715</v>
      </c>
      <c r="BI16" s="932" t="s">
        <v>2893</v>
      </c>
    </row>
    <row r="17" spans="1:61" ht="15.95" customHeight="1" thickBot="1">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t="s">
        <v>1353</v>
      </c>
      <c r="AF17" s="837"/>
      <c r="AG17" s="837" t="s">
        <v>1354</v>
      </c>
      <c r="AH17" s="837"/>
      <c r="AI17" s="837"/>
      <c r="AJ17" s="837"/>
      <c r="AK17" s="837"/>
      <c r="AL17" s="837"/>
      <c r="AM17" s="837"/>
      <c r="AN17" s="837"/>
      <c r="AO17" s="909"/>
      <c r="AP17" s="909"/>
      <c r="AQ17" s="909"/>
      <c r="AR17" s="235"/>
      <c r="AS17" s="235"/>
      <c r="AT17" s="857"/>
      <c r="AU17" s="857"/>
      <c r="AV17" s="174" t="s">
        <v>1371</v>
      </c>
      <c r="AW17" s="174" t="s">
        <v>1372</v>
      </c>
      <c r="AX17" s="857"/>
      <c r="AY17" s="857" t="s">
        <v>1376</v>
      </c>
      <c r="AZ17" s="857"/>
      <c r="BA17" s="174" t="s">
        <v>1371</v>
      </c>
      <c r="BB17" s="174" t="s">
        <v>1644</v>
      </c>
      <c r="BC17" s="857"/>
      <c r="BD17" s="857"/>
      <c r="BE17" s="933"/>
      <c r="BF17" s="933"/>
      <c r="BG17" s="936"/>
      <c r="BH17" s="933"/>
      <c r="BI17" s="933"/>
    </row>
    <row r="18" spans="1:61" ht="15.95" customHeight="1">
      <c r="B18" s="905">
        <v>1</v>
      </c>
      <c r="C18" s="917"/>
      <c r="D18" s="918"/>
      <c r="E18" s="918"/>
      <c r="F18" s="918"/>
      <c r="G18" s="918"/>
      <c r="H18" s="918"/>
      <c r="I18" s="918"/>
      <c r="J18" s="918"/>
      <c r="K18" s="918"/>
      <c r="L18" s="919"/>
      <c r="M18" s="967" t="str">
        <f>IFERROR(IF(C18="","",INDEX(STDLIGHTCONT[Current Unit],MATCH(C18,STDLIGHTCONT[Measure Name],0))),0)</f>
        <v/>
      </c>
      <c r="N18" s="968"/>
      <c r="O18" s="964"/>
      <c r="P18" s="964"/>
      <c r="Q18" s="966"/>
      <c r="R18" s="966"/>
      <c r="S18" s="966"/>
      <c r="T18" s="906"/>
      <c r="U18" s="906"/>
      <c r="V18" s="906"/>
      <c r="W18" s="906"/>
      <c r="X18" s="906"/>
      <c r="Y18" s="906"/>
      <c r="Z18" s="906"/>
      <c r="AA18" s="906"/>
      <c r="AB18" s="906"/>
      <c r="AC18" s="906"/>
      <c r="AD18" s="833"/>
      <c r="AE18" s="889"/>
      <c r="AF18" s="890"/>
      <c r="AG18" s="890"/>
      <c r="AH18" s="891"/>
      <c r="AI18" s="896" t="str">
        <f>IFERROR(IF(C18="","",INDEX(STDLIGHTCONT[Current Incentive],MATCH(C18,STDLIGHTCONT[Measure Name],0))),"")</f>
        <v/>
      </c>
      <c r="AJ18" s="897"/>
      <c r="AK18" s="900" t="str">
        <f>IFERROR(IF(OR(C18="",O18="",T18="",Q18="",X18="",AB18="",AE18="",AG18=""),"",IF(BH18="Deemed",AV18,IF(BH18="Calculated",BA18,""))),"")</f>
        <v/>
      </c>
      <c r="AL18" s="900"/>
      <c r="AM18" s="900"/>
      <c r="AN18" s="897" t="str">
        <f>IFERROR(IF(OR(C18="",O18="",T18="",Q18="",X18="",AB18="",AE18="",AG18=""),"",IF(BD18&lt;&gt;"",BD18,IF(BI18&gt;0,BI18,ROUND(IF(AK18&lt;=0,0,MIN(AT18,O18*AI18)),2)))),"")</f>
        <v/>
      </c>
      <c r="AO18" s="902"/>
      <c r="AP18" s="902"/>
      <c r="AQ18" s="902"/>
      <c r="AR18" s="235"/>
      <c r="AS18" s="235"/>
      <c r="AT18" s="963" t="str">
        <f>IF(OR(C18="",O18="",T18="",Q18="",X18="",AB18="",AE18="",AG18=""),"",IF(AK18=0,"",ROUND(AE18+AG18,2)))</f>
        <v/>
      </c>
      <c r="AU18" s="953" t="str">
        <f>IFERROR(IF(OR(C18="",O18="",T18="",Q18="",X18="",AB18="",AE18="",AG18=""),"",INDEX(STDLIGHTCONT[Current Unit],MATCH(C18,STDLIGHTCONT[Measure Name],0))),"Err")</f>
        <v/>
      </c>
      <c r="AV18" s="944" t="str">
        <f>IF(OR(C18="",O18="",T18="",Q18="",X18="",AB18="",AE18="",AG18=""),"",ROUND(O18*INDEX(STDLIGHTCONT[Electric Energy Savings (Annual kWh/unit)],MATCH(C18,STDLIGHTCONT[Measure Name],0)),4))</f>
        <v/>
      </c>
      <c r="AW18" s="944" t="str">
        <f>IF(OR(C18="",O18="",T18="",Q18="",X18="",AB18="",AE18="",AG18=""),"",ROUND(O18*INDEX(STDLIGHTCONT[Coincident Peak Demand Savings (kW/unit)],MATCH(C18,STDLIGHTCONT[Measure Name],0)),4))</f>
        <v/>
      </c>
      <c r="AX18" s="965"/>
      <c r="AY18" s="965"/>
      <c r="AZ18" s="953" t="str">
        <f>IFERROR(IF(OR(C18="",O18="",T18="",Q18="",X18="",AB18="",AE18="",AG18=""),"",INDEX(STDLIGHTCONT[End Use],MATCH(C18,STDLIGHTCONT[Measure Name],0))),"Err")</f>
        <v/>
      </c>
      <c r="BA18" s="955" t="str">
        <f>IFERROR(IF(ISNUMBER(SEARCH("Network",C18))=TRUE,
ROUND(((((Q18/O18)/1000)*0.47)*T18*O18),4),
ROUND((Q18/1000)*T18*INDEX(STDLIGHTCONT[ESF],MATCH(C18,STDLIGHTCONT[Measure Name],0))*INDEX(BUILDINGTYPE[Waste Heat Factor (e)],MATCH(M02S04F19,BUILDINGTYPE[Building Type],0)),4)),"")</f>
        <v/>
      </c>
      <c r="BB18" s="941" t="str">
        <f>IFERROR(IF(OR(C18="",Q18="",T18="",O18="",X18="",AB18="",AE18="",AG18=""),"",ROUND(BA18*INDEX(ENDUSEALL[Factor],MATCH(AZ18,ENDUSEALL[End Use to Coincident Peak Demand Factors],0)),4)),"")</f>
        <v/>
      </c>
      <c r="BC18" s="953" t="str">
        <f>IFERROR(IF(OR(C18="",O18="",T18="",Q18="",X18="",AB18="",AE18="",AG18="",ISNUMBER(AN18)=FALSE,AN18=0),"",INDEX(STDLIGHTCONT[Measure Number],MATCH(C18,STDLIGHTCONT[Measure Name],0))),"Err")</f>
        <v/>
      </c>
      <c r="BD18" s="960" t="str">
        <f>IFERROR(IF(OR(C18="",O18="",Q18="",T18="",X18="",AB18="",AE18="",AG18=""),"",
IF(BI18&gt;0,"",
IF(EXPIRATION&lt;&gt;"",PROJSTATEXP,
IF(M02S04F19="",MEASUREBLDG,"")))),"")</f>
        <v/>
      </c>
      <c r="BE18" s="928" t="str">
        <f>IFERROR(INDEX(STDLIGHTCONT[Measure Life (Years)],MATCH(C18,STDLIGHTCONT[Measure Name],0)),"")</f>
        <v/>
      </c>
      <c r="BF18" s="930" t="str">
        <f>IFERROR(IF(OR(C18="",O18="",T18="",Q18="",X18="",AB18="",AE18="",AG18=""),"",
ROUND(((1+ELOSS)*((BA18*INDEX(ELECCB[NPV AEC $/kWh],MATCH(BE18,ELECCB[Year Number],1)))+(BB18*INDEX(ELECCB[NPV ACC $/kW],MATCH(BE18,ELECCB[Year Number],1))))),2)),0)</f>
        <v/>
      </c>
      <c r="BG18" s="937" t="str">
        <f>IFERROR(O18*INDEX(STDLIGHTCONT[Min Watts Controlled],MATCH(C18,STDLIGHTCONT[Measure Name],0)),"")</f>
        <v/>
      </c>
      <c r="BH18" s="934" t="str">
        <f>IFERROR(IF(OR(C18="",O18="",T18="",Q18="",X18="",AB18="",AE18="",AG18=""),"",INDEX(STDLIGHTCONT[Reporting Methodology],MATCH(C18,STDLIGHTCONT[Measure Name],0))),"Err")</f>
        <v/>
      </c>
      <c r="BI18" s="939"/>
    </row>
    <row r="19" spans="1:61" ht="15.95" customHeight="1">
      <c r="B19" s="905"/>
      <c r="C19" s="833"/>
      <c r="D19" s="834"/>
      <c r="E19" s="834"/>
      <c r="F19" s="834"/>
      <c r="G19" s="834"/>
      <c r="H19" s="834"/>
      <c r="I19" s="834"/>
      <c r="J19" s="834"/>
      <c r="K19" s="834"/>
      <c r="L19" s="835"/>
      <c r="M19" s="958"/>
      <c r="N19" s="959"/>
      <c r="O19" s="962"/>
      <c r="P19" s="962"/>
      <c r="Q19" s="957"/>
      <c r="R19" s="957"/>
      <c r="S19" s="957"/>
      <c r="T19" s="904"/>
      <c r="U19" s="904"/>
      <c r="V19" s="904"/>
      <c r="W19" s="904"/>
      <c r="X19" s="904"/>
      <c r="Y19" s="904"/>
      <c r="Z19" s="904"/>
      <c r="AA19" s="904"/>
      <c r="AB19" s="904"/>
      <c r="AC19" s="904"/>
      <c r="AD19" s="827"/>
      <c r="AE19" s="867"/>
      <c r="AF19" s="868"/>
      <c r="AG19" s="868"/>
      <c r="AH19" s="869"/>
      <c r="AI19" s="898"/>
      <c r="AJ19" s="899"/>
      <c r="AK19" s="901"/>
      <c r="AL19" s="901"/>
      <c r="AM19" s="901"/>
      <c r="AN19" s="899"/>
      <c r="AO19" s="903"/>
      <c r="AP19" s="903"/>
      <c r="AQ19" s="903"/>
      <c r="AR19" s="235"/>
      <c r="AS19" s="235"/>
      <c r="AT19" s="943"/>
      <c r="AU19" s="954"/>
      <c r="AV19" s="945"/>
      <c r="AW19" s="945"/>
      <c r="AX19" s="940"/>
      <c r="AY19" s="940"/>
      <c r="AZ19" s="954"/>
      <c r="BA19" s="956"/>
      <c r="BB19" s="942"/>
      <c r="BC19" s="954"/>
      <c r="BD19" s="961"/>
      <c r="BE19" s="929"/>
      <c r="BF19" s="931"/>
      <c r="BG19" s="938"/>
      <c r="BH19" s="934"/>
      <c r="BI19" s="939"/>
    </row>
    <row r="20" spans="1:61" ht="15.95" customHeight="1">
      <c r="A20" s="145"/>
      <c r="B20" s="905">
        <v>2</v>
      </c>
      <c r="C20" s="830"/>
      <c r="D20" s="831"/>
      <c r="E20" s="831"/>
      <c r="F20" s="831"/>
      <c r="G20" s="831"/>
      <c r="H20" s="831"/>
      <c r="I20" s="831"/>
      <c r="J20" s="831"/>
      <c r="K20" s="831"/>
      <c r="L20" s="832"/>
      <c r="M20" s="958" t="str">
        <f>IFERROR(IF(C20="","",INDEX(STDLIGHTCONT[Current Unit],MATCH(C20,STDLIGHTCONT[Measure Name],0))),0)</f>
        <v/>
      </c>
      <c r="N20" s="959"/>
      <c r="O20" s="962"/>
      <c r="P20" s="962"/>
      <c r="Q20" s="957"/>
      <c r="R20" s="957"/>
      <c r="S20" s="957"/>
      <c r="T20" s="904"/>
      <c r="U20" s="904"/>
      <c r="V20" s="904"/>
      <c r="W20" s="904"/>
      <c r="X20" s="906"/>
      <c r="Y20" s="906"/>
      <c r="Z20" s="906"/>
      <c r="AA20" s="906"/>
      <c r="AB20" s="904"/>
      <c r="AC20" s="904"/>
      <c r="AD20" s="827"/>
      <c r="AE20" s="889"/>
      <c r="AF20" s="890"/>
      <c r="AG20" s="890"/>
      <c r="AH20" s="891"/>
      <c r="AI20" s="946" t="str">
        <f>IFERROR(IF(C20="","",INDEX(STDLIGHTCONT[Current Incentive],MATCH(C20,STDLIGHTCONT[Measure Name],0))),"")</f>
        <v/>
      </c>
      <c r="AJ20" s="899"/>
      <c r="AK20" s="900" t="str">
        <f t="shared" ref="AK20" si="0">IFERROR(IF(OR(C20="",O20="",T20="",Q20="",X20="",AB20="",AE20="",AG20=""),"",IF(BH20="Deemed",AV20,IF(BH20="Calculated",BA20,""))),"")</f>
        <v/>
      </c>
      <c r="AL20" s="900"/>
      <c r="AM20" s="900"/>
      <c r="AN20" s="897" t="str">
        <f t="shared" ref="AN20" si="1">IFERROR(IF(OR(C20="",O20="",T20="",Q20="",X20="",AB20="",AE20="",AG20=""),"",IF(BD20&lt;&gt;"",BD20,IF(BI20&gt;0,BI20,ROUND(IF(AK20&lt;=0,0,MIN(AT20,O20*AI20)),2)))),"")</f>
        <v/>
      </c>
      <c r="AO20" s="902"/>
      <c r="AP20" s="902"/>
      <c r="AQ20" s="902"/>
      <c r="AR20" s="235"/>
      <c r="AS20" s="235"/>
      <c r="AT20" s="943" t="str">
        <f t="shared" ref="AT20" si="2">IF(OR(C20="",O20="",T20="",Q20="",X20="",AB20="",AE20="",AG20=""),"",IF(AK20=0,"",ROUND(AE20+AG20,2)))</f>
        <v/>
      </c>
      <c r="AU20" s="954" t="str">
        <f>IFERROR(IF(OR(C20="",O20="",T20="",Q20="",X20="",AB20="",AE20="",AG20=""),"",INDEX(STDLIGHTCONT[Current Unit],MATCH(C20,STDLIGHTCONT[Measure Name],0))),"Err")</f>
        <v/>
      </c>
      <c r="AV20" s="944" t="str">
        <f>IF(OR(C20="",O20="",T20="",Q20="",X20="",AB20="",AE20="",AG20=""),"",ROUND(O20*INDEX(STDLIGHTCONT[Electric Energy Savings (Annual kWh/unit)],MATCH(C20,STDLIGHTCONT[Measure Name],0)),4))</f>
        <v/>
      </c>
      <c r="AW20" s="945" t="str">
        <f>IF(OR(C20="",O20="",T20="",Q20="",X20="",AB20="",AE20="",AG20=""),"",ROUND(O20*INDEX(STDLIGHTCONT[Coincident Peak Demand Savings (kW/unit)],MATCH(C20,STDLIGHTCONT[Measure Name],0)),4))</f>
        <v/>
      </c>
      <c r="AX20" s="940"/>
      <c r="AY20" s="940"/>
      <c r="AZ20" s="954" t="str">
        <f>IFERROR(IF(OR(C20="",O20="",T20="",Q20="",X20="",AB20="",AE20="",AG20=""),"",INDEX(STDLIGHTCONT[End Use],MATCH(C20,STDLIGHTCONT[Measure Name],0))),"Err")</f>
        <v/>
      </c>
      <c r="BA20" s="955" t="str">
        <f>IFERROR(IF(ISNUMBER(SEARCH("Network",C20))=TRUE,
ROUND(((((Q20/O20)/1000)*0.47)*T20*O20),4),
ROUND((Q20/1000)*T20*INDEX(STDLIGHTCONT[ESF],MATCH(C20,STDLIGHTCONT[Measure Name],0))*INDEX(BUILDINGTYPE[Waste Heat Factor (e)],MATCH(M02S04F19,BUILDINGTYPE[Building Type],0)),4)),"")</f>
        <v/>
      </c>
      <c r="BB20" s="941" t="str">
        <f>IFERROR(IF(OR(C20="",Q20="",T20="",O20="",X20="",AB20="",AE20="",AG20=""),"",ROUND(BA20*INDEX(ENDUSEALL[Factor],MATCH(AZ20,ENDUSEALL[End Use to Coincident Peak Demand Factors],0)),4)),"")</f>
        <v/>
      </c>
      <c r="BC20" s="954" t="str">
        <f>IFERROR(IF(OR(C20="",O20="",T20="",Q20="",X20="",AB20="",AE20="",AG20="",ISNUMBER(AN20)=FALSE,AN20=0),"",INDEX(STDLIGHTCONT[Measure Number],MATCH(C20,STDLIGHTCONT[Measure Name],0))),"Err")</f>
        <v/>
      </c>
      <c r="BD20" s="960" t="str">
        <f>IFERROR(IF(OR(C20="",O20="",Q20="",T20="",X20="",AB20="",AE20="",AG20=""),"",
IF(BI20&gt;0,"",
IF(EXPIRATION&lt;&gt;"",PROJSTATEXP,
IF(M02S04F19="",MEASUREBLDG,"")))),"")</f>
        <v/>
      </c>
      <c r="BE20" s="928" t="str">
        <f>IFERROR(INDEX(STDLIGHTCONT[Measure Life (Years)],MATCH(C20,STDLIGHTCONT[Measure Name],0)),"")</f>
        <v/>
      </c>
      <c r="BF20" s="930" t="str">
        <f>IFERROR(IF(OR(C20="",O20="",T20="",Q20="",X20="",AB20="",AE20="",AG20=""),"",
ROUND(((1+ELOSS)*((BA20*INDEX(ELECCB[NPV AEC $/kWh],MATCH(BE20,ELECCB[Year Number],1)))+(BB20*INDEX(ELECCB[NPV ACC $/kW],MATCH(BE20,ELECCB[Year Number],1))))),2)),0)</f>
        <v/>
      </c>
      <c r="BG20" s="937" t="str">
        <f>IFERROR(O20*INDEX(STDLIGHTCONT[Min Watts Controlled],MATCH(C20,STDLIGHTCONT[Measure Name],0)),"")</f>
        <v/>
      </c>
      <c r="BH20" s="934" t="str">
        <f>IFERROR(IF(OR(C20="",O20="",T20="",Q20="",X20="",AB20="",AE20="",AG20=""),"",INDEX(STDLIGHTCONT[Reporting Methodology],MATCH(C20,STDLIGHTCONT[Measure Name],0))),"Err")</f>
        <v/>
      </c>
      <c r="BI20" s="939"/>
    </row>
    <row r="21" spans="1:61" ht="15.95" customHeight="1">
      <c r="B21" s="905"/>
      <c r="C21" s="833"/>
      <c r="D21" s="834"/>
      <c r="E21" s="834"/>
      <c r="F21" s="834"/>
      <c r="G21" s="834"/>
      <c r="H21" s="834"/>
      <c r="I21" s="834"/>
      <c r="J21" s="834"/>
      <c r="K21" s="834"/>
      <c r="L21" s="835"/>
      <c r="M21" s="958"/>
      <c r="N21" s="959"/>
      <c r="O21" s="962"/>
      <c r="P21" s="962"/>
      <c r="Q21" s="957"/>
      <c r="R21" s="957"/>
      <c r="S21" s="957"/>
      <c r="T21" s="904"/>
      <c r="U21" s="904"/>
      <c r="V21" s="904"/>
      <c r="W21" s="904"/>
      <c r="X21" s="904"/>
      <c r="Y21" s="904"/>
      <c r="Z21" s="904"/>
      <c r="AA21" s="904"/>
      <c r="AB21" s="904"/>
      <c r="AC21" s="904"/>
      <c r="AD21" s="827"/>
      <c r="AE21" s="867"/>
      <c r="AF21" s="868"/>
      <c r="AG21" s="868"/>
      <c r="AH21" s="869"/>
      <c r="AI21" s="946"/>
      <c r="AJ21" s="899"/>
      <c r="AK21" s="901"/>
      <c r="AL21" s="901"/>
      <c r="AM21" s="901"/>
      <c r="AN21" s="899"/>
      <c r="AO21" s="903"/>
      <c r="AP21" s="903"/>
      <c r="AQ21" s="903"/>
      <c r="AR21" s="37"/>
      <c r="AS21" s="235"/>
      <c r="AT21" s="943"/>
      <c r="AU21" s="954"/>
      <c r="AV21" s="945"/>
      <c r="AW21" s="945"/>
      <c r="AX21" s="940"/>
      <c r="AY21" s="940"/>
      <c r="AZ21" s="954"/>
      <c r="BA21" s="956"/>
      <c r="BB21" s="942"/>
      <c r="BC21" s="954"/>
      <c r="BD21" s="961"/>
      <c r="BE21" s="929"/>
      <c r="BF21" s="931"/>
      <c r="BG21" s="938"/>
      <c r="BH21" s="934"/>
      <c r="BI21" s="939"/>
    </row>
    <row r="22" spans="1:61" s="180" customFormat="1" ht="15.95" customHeight="1">
      <c r="A22" s="145"/>
      <c r="B22" s="905">
        <v>3</v>
      </c>
      <c r="C22" s="830"/>
      <c r="D22" s="831"/>
      <c r="E22" s="831"/>
      <c r="F22" s="831"/>
      <c r="G22" s="831"/>
      <c r="H22" s="831"/>
      <c r="I22" s="831"/>
      <c r="J22" s="831"/>
      <c r="K22" s="831"/>
      <c r="L22" s="832"/>
      <c r="M22" s="958" t="str">
        <f>IFERROR(IF(C22="","",INDEX(STDLIGHTCONT[Current Unit],MATCH(C22,STDLIGHTCONT[Measure Name],0))),0)</f>
        <v/>
      </c>
      <c r="N22" s="959"/>
      <c r="O22" s="962"/>
      <c r="P22" s="962"/>
      <c r="Q22" s="957"/>
      <c r="R22" s="957"/>
      <c r="S22" s="957"/>
      <c r="T22" s="904"/>
      <c r="U22" s="904"/>
      <c r="V22" s="904"/>
      <c r="W22" s="904"/>
      <c r="X22" s="904"/>
      <c r="Y22" s="904"/>
      <c r="Z22" s="904"/>
      <c r="AA22" s="904"/>
      <c r="AB22" s="904"/>
      <c r="AC22" s="904"/>
      <c r="AD22" s="827"/>
      <c r="AE22" s="889"/>
      <c r="AF22" s="890"/>
      <c r="AG22" s="890"/>
      <c r="AH22" s="891"/>
      <c r="AI22" s="946" t="str">
        <f>IFERROR(IF(C22="","",INDEX(STDLIGHTCONT[Current Incentive],MATCH(C22,STDLIGHTCONT[Measure Name],0))),"")</f>
        <v/>
      </c>
      <c r="AJ22" s="899"/>
      <c r="AK22" s="900" t="str">
        <f t="shared" ref="AK22" si="3">IFERROR(IF(OR(C22="",O22="",T22="",Q22="",X22="",AB22="",AE22="",AG22=""),"",IF(BH22="Deemed",AV22,IF(BH22="Calculated",BA22,""))),"")</f>
        <v/>
      </c>
      <c r="AL22" s="900"/>
      <c r="AM22" s="900"/>
      <c r="AN22" s="897" t="str">
        <f t="shared" ref="AN22" si="4">IFERROR(IF(OR(C22="",O22="",T22="",Q22="",X22="",AB22="",AE22="",AG22=""),"",IF(BD22&lt;&gt;"",BD22,IF(BI22&gt;0,BI22,ROUND(IF(AK22&lt;=0,0,MIN(AT22,O22*AI22)),2)))),"")</f>
        <v/>
      </c>
      <c r="AO22" s="902"/>
      <c r="AP22" s="902"/>
      <c r="AQ22" s="902"/>
      <c r="AR22" s="37"/>
      <c r="AS22" s="235"/>
      <c r="AT22" s="943" t="str">
        <f t="shared" ref="AT22" si="5">IF(OR(C22="",O22="",T22="",Q22="",X22="",AB22="",AE22="",AG22=""),"",IF(AK22=0,"",ROUND(AE22+AG22,2)))</f>
        <v/>
      </c>
      <c r="AU22" s="954" t="str">
        <f>IFERROR(IF(OR(C22="",O22="",T22="",Q22="",X22="",AB22="",AE22="",AG22=""),"",INDEX(STDLIGHTCONT[Current Unit],MATCH(C22,STDLIGHTCONT[Measure Name],0))),"Err")</f>
        <v/>
      </c>
      <c r="AV22" s="944" t="str">
        <f>IF(OR(C22="",O22="",T22="",Q22="",X22="",AB22="",AE22="",AG22=""),"",ROUND(O22*INDEX(STDLIGHTCONT[Electric Energy Savings (Annual kWh/unit)],MATCH(C22,STDLIGHTCONT[Measure Name],0)),4))</f>
        <v/>
      </c>
      <c r="AW22" s="945" t="str">
        <f>IF(OR(C22="",O22="",T22="",Q22="",X22="",AB22="",AE22="",AG22=""),"",ROUND(O22*INDEX(STDLIGHTCONT[Coincident Peak Demand Savings (kW/unit)],MATCH(C22,STDLIGHTCONT[Measure Name],0)),4))</f>
        <v/>
      </c>
      <c r="AX22" s="940"/>
      <c r="AY22" s="940"/>
      <c r="AZ22" s="954" t="str">
        <f>IFERROR(IF(OR(C22="",O22="",T22="",Q22="",X22="",AB22="",AE22="",AG22=""),"",INDEX(STDLIGHTCONT[End Use],MATCH(C22,STDLIGHTCONT[Measure Name],0))),"Err")</f>
        <v/>
      </c>
      <c r="BA22" s="955" t="str">
        <f>IFERROR(IF(ISNUMBER(SEARCH("Network",C22))=TRUE,
ROUND(((((Q22/O22)/1000)*0.47)*T22*O22),4),
ROUND((Q22/1000)*T22*INDEX(STDLIGHTCONT[ESF],MATCH(C22,STDLIGHTCONT[Measure Name],0))*INDEX(BUILDINGTYPE[Waste Heat Factor (e)],MATCH(M02S04F19,BUILDINGTYPE[Building Type],0)),4)),"")</f>
        <v/>
      </c>
      <c r="BB22" s="941" t="str">
        <f>IFERROR(IF(OR(C22="",Q22="",T22="",O22="",X22="",AB22="",AE22="",AG22=""),"",ROUND(BA22*INDEX(ENDUSEALL[Factor],MATCH(AZ22,ENDUSEALL[End Use to Coincident Peak Demand Factors],0)),4)),"")</f>
        <v/>
      </c>
      <c r="BC22" s="954" t="str">
        <f>IFERROR(IF(OR(C22="",O22="",T22="",Q22="",X22="",AB22="",AE22="",AG22="",ISNUMBER(AN22)=FALSE,AN22=0),"",INDEX(STDLIGHTCONT[Measure Number],MATCH(C22,STDLIGHTCONT[Measure Name],0))),"Err")</f>
        <v/>
      </c>
      <c r="BD22" s="960" t="str">
        <f>IFERROR(IF(OR(C22="",O22="",Q22="",T22="",X22="",AB22="",AE22="",AG22=""),"",
IF(BI22&gt;0,"",
IF(EXPIRATION&lt;&gt;"",PROJSTATEXP,
IF(M02S04F19="",MEASUREBLDG,"")))),"")</f>
        <v/>
      </c>
      <c r="BE22" s="928" t="str">
        <f>IFERROR(INDEX(STDLIGHTCONT[Measure Life (Years)],MATCH(C22,STDLIGHTCONT[Measure Name],0)),"")</f>
        <v/>
      </c>
      <c r="BF22" s="930" t="str">
        <f>IFERROR(IF(OR(C22="",O22="",T22="",Q22="",X22="",AB22="",AE22="",AG22=""),"",
ROUND(((1+ELOSS)*((BA22*INDEX(ELECCB[NPV AEC $/kWh],MATCH(BE22,ELECCB[Year Number],1)))+(BB22*INDEX(ELECCB[NPV ACC $/kW],MATCH(BE22,ELECCB[Year Number],1))))),2)),0)</f>
        <v/>
      </c>
      <c r="BG22" s="937" t="str">
        <f>IFERROR(O22*INDEX(STDLIGHTCONT[Min Watts Controlled],MATCH(C22,STDLIGHTCONT[Measure Name],0)),"")</f>
        <v/>
      </c>
      <c r="BH22" s="934" t="str">
        <f>IFERROR(IF(OR(C22="",O22="",T22="",Q22="",X22="",AB22="",AE22="",AG22=""),"",INDEX(STDLIGHTCONT[Reporting Methodology],MATCH(C22,STDLIGHTCONT[Measure Name],0))),"Err")</f>
        <v/>
      </c>
      <c r="BI22" s="939"/>
    </row>
    <row r="23" spans="1:61" s="180" customFormat="1" ht="15.95" customHeight="1">
      <c r="B23" s="905"/>
      <c r="C23" s="833"/>
      <c r="D23" s="834"/>
      <c r="E23" s="834"/>
      <c r="F23" s="834"/>
      <c r="G23" s="834"/>
      <c r="H23" s="834"/>
      <c r="I23" s="834"/>
      <c r="J23" s="834"/>
      <c r="K23" s="834"/>
      <c r="L23" s="835"/>
      <c r="M23" s="958"/>
      <c r="N23" s="959"/>
      <c r="O23" s="962"/>
      <c r="P23" s="962"/>
      <c r="Q23" s="957"/>
      <c r="R23" s="957"/>
      <c r="S23" s="957"/>
      <c r="T23" s="904"/>
      <c r="U23" s="904"/>
      <c r="V23" s="904"/>
      <c r="W23" s="904"/>
      <c r="X23" s="904"/>
      <c r="Y23" s="904"/>
      <c r="Z23" s="904"/>
      <c r="AA23" s="904"/>
      <c r="AB23" s="904"/>
      <c r="AC23" s="904"/>
      <c r="AD23" s="827"/>
      <c r="AE23" s="867"/>
      <c r="AF23" s="868"/>
      <c r="AG23" s="868"/>
      <c r="AH23" s="869"/>
      <c r="AI23" s="946"/>
      <c r="AJ23" s="899"/>
      <c r="AK23" s="901"/>
      <c r="AL23" s="901"/>
      <c r="AM23" s="901"/>
      <c r="AN23" s="899"/>
      <c r="AO23" s="903"/>
      <c r="AP23" s="903"/>
      <c r="AQ23" s="903"/>
      <c r="AR23" s="37"/>
      <c r="AS23" s="235"/>
      <c r="AT23" s="943"/>
      <c r="AU23" s="954"/>
      <c r="AV23" s="945"/>
      <c r="AW23" s="945"/>
      <c r="AX23" s="940"/>
      <c r="AY23" s="940"/>
      <c r="AZ23" s="954"/>
      <c r="BA23" s="956"/>
      <c r="BB23" s="942"/>
      <c r="BC23" s="954"/>
      <c r="BD23" s="961"/>
      <c r="BE23" s="929"/>
      <c r="BF23" s="931"/>
      <c r="BG23" s="938"/>
      <c r="BH23" s="934"/>
      <c r="BI23" s="939"/>
    </row>
    <row r="24" spans="1:61" ht="15.95" customHeight="1">
      <c r="B24" s="905">
        <v>4</v>
      </c>
      <c r="C24" s="830"/>
      <c r="D24" s="831"/>
      <c r="E24" s="831"/>
      <c r="F24" s="831"/>
      <c r="G24" s="831"/>
      <c r="H24" s="831"/>
      <c r="I24" s="831"/>
      <c r="J24" s="831"/>
      <c r="K24" s="831"/>
      <c r="L24" s="832"/>
      <c r="M24" s="958" t="str">
        <f>IFERROR(IF(C24="","",INDEX(STDLIGHTCONT[Current Unit],MATCH(C24,STDLIGHTCONT[Measure Name],0))),0)</f>
        <v/>
      </c>
      <c r="N24" s="959"/>
      <c r="O24" s="962"/>
      <c r="P24" s="962"/>
      <c r="Q24" s="957"/>
      <c r="R24" s="957"/>
      <c r="S24" s="957"/>
      <c r="T24" s="904"/>
      <c r="U24" s="904"/>
      <c r="V24" s="904"/>
      <c r="W24" s="904"/>
      <c r="X24" s="904"/>
      <c r="Y24" s="904"/>
      <c r="Z24" s="904"/>
      <c r="AA24" s="904"/>
      <c r="AB24" s="904"/>
      <c r="AC24" s="904"/>
      <c r="AD24" s="827"/>
      <c r="AE24" s="867"/>
      <c r="AF24" s="868"/>
      <c r="AG24" s="868"/>
      <c r="AH24" s="869"/>
      <c r="AI24" s="946" t="str">
        <f>IFERROR(IF(C24="","",INDEX(STDLIGHTCONT[Current Incentive],MATCH(C24,STDLIGHTCONT[Measure Name],0))),"")</f>
        <v/>
      </c>
      <c r="AJ24" s="899"/>
      <c r="AK24" s="900" t="str">
        <f t="shared" ref="AK24" si="6">IFERROR(IF(OR(C24="",O24="",T24="",Q24="",X24="",AB24="",AE24="",AG24=""),"",IF(BH24="Deemed",AV24,IF(BH24="Calculated",BA24,""))),"")</f>
        <v/>
      </c>
      <c r="AL24" s="900"/>
      <c r="AM24" s="900"/>
      <c r="AN24" s="897" t="str">
        <f t="shared" ref="AN24" si="7">IFERROR(IF(OR(C24="",O24="",T24="",Q24="",X24="",AB24="",AE24="",AG24=""),"",IF(BD24&lt;&gt;"",BD24,IF(BI24&gt;0,BI24,ROUND(IF(AK24&lt;=0,0,MIN(AT24,O24*AI24)),2)))),"")</f>
        <v/>
      </c>
      <c r="AO24" s="902"/>
      <c r="AP24" s="902"/>
      <c r="AQ24" s="902"/>
      <c r="AR24" s="37"/>
      <c r="AS24" s="235"/>
      <c r="AT24" s="943" t="str">
        <f t="shared" ref="AT24" si="8">IF(OR(C24="",O24="",T24="",Q24="",X24="",AB24="",AE24="",AG24=""),"",IF(AK24=0,"",ROUND(AE24+AG24,2)))</f>
        <v/>
      </c>
      <c r="AU24" s="954" t="str">
        <f>IFERROR(IF(OR(C24="",O24="",T24="",Q24="",X24="",AB24="",AE24="",AG24=""),"",INDEX(STDLIGHTCONT[Current Unit],MATCH(C24,STDLIGHTCONT[Measure Name],0))),"Err")</f>
        <v/>
      </c>
      <c r="AV24" s="944" t="str">
        <f>IF(OR(C24="",O24="",T24="",Q24="",X24="",AB24="",AE24="",AG24=""),"",ROUND(O24*INDEX(STDLIGHTCONT[Electric Energy Savings (Annual kWh/unit)],MATCH(C24,STDLIGHTCONT[Measure Name],0)),4))</f>
        <v/>
      </c>
      <c r="AW24" s="945" t="str">
        <f>IF(OR(C24="",O24="",T24="",Q24="",X24="",AB24="",AE24="",AG24=""),"",ROUND(O24*INDEX(STDLIGHTCONT[Coincident Peak Demand Savings (kW/unit)],MATCH(C24,STDLIGHTCONT[Measure Name],0)),4))</f>
        <v/>
      </c>
      <c r="AX24" s="940"/>
      <c r="AY24" s="940"/>
      <c r="AZ24" s="954" t="str">
        <f>IFERROR(IF(OR(C24="",O24="",T24="",Q24="",X24="",AB24="",AE24="",AG24=""),"",INDEX(STDLIGHTCONT[End Use],MATCH(C24,STDLIGHTCONT[Measure Name],0))),"Err")</f>
        <v/>
      </c>
      <c r="BA24" s="955" t="str">
        <f>IFERROR(IF(ISNUMBER(SEARCH("Network",C24))=TRUE,
ROUND(((((Q24/O24)/1000)*0.47)*T24*O24),4),
ROUND((Q24/1000)*T24*INDEX(STDLIGHTCONT[ESF],MATCH(C24,STDLIGHTCONT[Measure Name],0))*INDEX(BUILDINGTYPE[Waste Heat Factor (e)],MATCH(M02S04F19,BUILDINGTYPE[Building Type],0)),4)),"")</f>
        <v/>
      </c>
      <c r="BB24" s="941" t="str">
        <f>IFERROR(IF(OR(C24="",Q24="",T24="",O24="",X24="",AB24="",AE24="",AG24=""),"",ROUND(BA24*INDEX(ENDUSEALL[Factor],MATCH(AZ24,ENDUSEALL[End Use to Coincident Peak Demand Factors],0)),4)),"")</f>
        <v/>
      </c>
      <c r="BC24" s="954" t="str">
        <f>IFERROR(IF(OR(C24="",O24="",T24="",Q24="",X24="",AB24="",AE24="",AG24="",ISNUMBER(AN24)=FALSE,AN24=0),"",INDEX(STDLIGHTCONT[Measure Number],MATCH(C24,STDLIGHTCONT[Measure Name],0))),"Err")</f>
        <v/>
      </c>
      <c r="BD24" s="960" t="str">
        <f>IFERROR(IF(OR(C24="",O24="",Q24="",T24="",X24="",AB24="",AE24="",AG24=""),"",
IF(BI24&gt;0,"",
IF(EXPIRATION&lt;&gt;"",PROJSTATEXP,
IF(M02S04F19="",MEASUREBLDG,"")))),"")</f>
        <v/>
      </c>
      <c r="BE24" s="928" t="str">
        <f>IFERROR(INDEX(STDLIGHTCONT[Measure Life (Years)],MATCH(C24,STDLIGHTCONT[Measure Name],0)),"")</f>
        <v/>
      </c>
      <c r="BF24" s="930" t="str">
        <f>IFERROR(IF(OR(C24="",O24="",T24="",Q24="",X24="",AB24="",AE24="",AG24=""),"",
ROUND(((1+ELOSS)*((BA24*INDEX(ELECCB[NPV AEC $/kWh],MATCH(BE24,ELECCB[Year Number],1)))+(BB24*INDEX(ELECCB[NPV ACC $/kW],MATCH(BE24,ELECCB[Year Number],1))))),2)),0)</f>
        <v/>
      </c>
      <c r="BG24" s="937" t="str">
        <f>IFERROR(O24*INDEX(STDLIGHTCONT[Min Watts Controlled],MATCH(C24,STDLIGHTCONT[Measure Name],0)),"")</f>
        <v/>
      </c>
      <c r="BH24" s="934" t="str">
        <f>IFERROR(IF(OR(C24="",O24="",T24="",Q24="",X24="",AB24="",AE24="",AG24=""),"",INDEX(STDLIGHTCONT[Reporting Methodology],MATCH(C24,STDLIGHTCONT[Measure Name],0))),"Err")</f>
        <v/>
      </c>
      <c r="BI24" s="939"/>
    </row>
    <row r="25" spans="1:61" ht="15.95" customHeight="1">
      <c r="A25" s="145"/>
      <c r="B25" s="905"/>
      <c r="C25" s="833"/>
      <c r="D25" s="834"/>
      <c r="E25" s="834"/>
      <c r="F25" s="834"/>
      <c r="G25" s="834"/>
      <c r="H25" s="834"/>
      <c r="I25" s="834"/>
      <c r="J25" s="834"/>
      <c r="K25" s="834"/>
      <c r="L25" s="835"/>
      <c r="M25" s="958"/>
      <c r="N25" s="959"/>
      <c r="O25" s="962"/>
      <c r="P25" s="962"/>
      <c r="Q25" s="957"/>
      <c r="R25" s="957"/>
      <c r="S25" s="957"/>
      <c r="T25" s="904"/>
      <c r="U25" s="904"/>
      <c r="V25" s="904"/>
      <c r="W25" s="904"/>
      <c r="X25" s="904"/>
      <c r="Y25" s="904"/>
      <c r="Z25" s="904"/>
      <c r="AA25" s="904"/>
      <c r="AB25" s="904"/>
      <c r="AC25" s="904"/>
      <c r="AD25" s="827"/>
      <c r="AE25" s="867"/>
      <c r="AF25" s="868"/>
      <c r="AG25" s="868"/>
      <c r="AH25" s="869"/>
      <c r="AI25" s="946"/>
      <c r="AJ25" s="899"/>
      <c r="AK25" s="901"/>
      <c r="AL25" s="901"/>
      <c r="AM25" s="901"/>
      <c r="AN25" s="899"/>
      <c r="AO25" s="903"/>
      <c r="AP25" s="903"/>
      <c r="AQ25" s="903"/>
      <c r="AR25" s="37"/>
      <c r="AS25" s="235"/>
      <c r="AT25" s="943"/>
      <c r="AU25" s="954"/>
      <c r="AV25" s="945"/>
      <c r="AW25" s="945"/>
      <c r="AX25" s="940"/>
      <c r="AY25" s="940"/>
      <c r="AZ25" s="954"/>
      <c r="BA25" s="956"/>
      <c r="BB25" s="942"/>
      <c r="BC25" s="954"/>
      <c r="BD25" s="961"/>
      <c r="BE25" s="929"/>
      <c r="BF25" s="931"/>
      <c r="BG25" s="938"/>
      <c r="BH25" s="934"/>
      <c r="BI25" s="939"/>
    </row>
    <row r="26" spans="1:61" ht="15.95" customHeight="1">
      <c r="B26" s="905">
        <v>5</v>
      </c>
      <c r="C26" s="830"/>
      <c r="D26" s="831"/>
      <c r="E26" s="831"/>
      <c r="F26" s="831"/>
      <c r="G26" s="831"/>
      <c r="H26" s="831"/>
      <c r="I26" s="831"/>
      <c r="J26" s="831"/>
      <c r="K26" s="831"/>
      <c r="L26" s="832"/>
      <c r="M26" s="958" t="str">
        <f>IFERROR(IF(C26="","",INDEX(STDLIGHTCONT[Current Unit],MATCH(C26,STDLIGHTCONT[Measure Name],0))),0)</f>
        <v/>
      </c>
      <c r="N26" s="959"/>
      <c r="O26" s="962"/>
      <c r="P26" s="962"/>
      <c r="Q26" s="957"/>
      <c r="R26" s="957"/>
      <c r="S26" s="957"/>
      <c r="T26" s="904"/>
      <c r="U26" s="904"/>
      <c r="V26" s="904"/>
      <c r="W26" s="904"/>
      <c r="X26" s="904"/>
      <c r="Y26" s="904"/>
      <c r="Z26" s="904"/>
      <c r="AA26" s="904"/>
      <c r="AB26" s="904"/>
      <c r="AC26" s="904"/>
      <c r="AD26" s="827"/>
      <c r="AE26" s="867"/>
      <c r="AF26" s="868"/>
      <c r="AG26" s="868"/>
      <c r="AH26" s="869"/>
      <c r="AI26" s="946" t="str">
        <f>IFERROR(IF(C26="","",INDEX(STDLIGHTCONT[Current Incentive],MATCH(C26,STDLIGHTCONT[Measure Name],0))),"")</f>
        <v/>
      </c>
      <c r="AJ26" s="899"/>
      <c r="AK26" s="900" t="str">
        <f t="shared" ref="AK26" si="9">IFERROR(IF(OR(C26="",O26="",T26="",Q26="",X26="",AB26="",AE26="",AG26=""),"",IF(BH26="Deemed",AV26,IF(BH26="Calculated",BA26,""))),"")</f>
        <v/>
      </c>
      <c r="AL26" s="900"/>
      <c r="AM26" s="900"/>
      <c r="AN26" s="897" t="str">
        <f t="shared" ref="AN26" si="10">IFERROR(IF(OR(C26="",O26="",T26="",Q26="",X26="",AB26="",AE26="",AG26=""),"",IF(BD26&lt;&gt;"",BD26,IF(BI26&gt;0,BI26,ROUND(IF(AK26&lt;=0,0,MIN(AT26,O26*AI26)),2)))),"")</f>
        <v/>
      </c>
      <c r="AO26" s="902"/>
      <c r="AP26" s="902"/>
      <c r="AQ26" s="902"/>
      <c r="AR26" s="37"/>
      <c r="AS26" s="235"/>
      <c r="AT26" s="943" t="str">
        <f t="shared" ref="AT26" si="11">IF(OR(C26="",O26="",T26="",Q26="",X26="",AB26="",AE26="",AG26=""),"",IF(AK26=0,"",ROUND(AE26+AG26,2)))</f>
        <v/>
      </c>
      <c r="AU26" s="954" t="str">
        <f>IFERROR(IF(OR(C26="",O26="",T26="",Q26="",X26="",AB26="",AE26="",AG26=""),"",INDEX(STDLIGHTCONT[Current Unit],MATCH(C26,STDLIGHTCONT[Measure Name],0))),"Err")</f>
        <v/>
      </c>
      <c r="AV26" s="944" t="str">
        <f>IF(OR(C26="",O26="",T26="",Q26="",X26="",AB26="",AE26="",AG26=""),"",ROUND(O26*INDEX(STDLIGHTCONT[Electric Energy Savings (Annual kWh/unit)],MATCH(C26,STDLIGHTCONT[Measure Name],0)),4))</f>
        <v/>
      </c>
      <c r="AW26" s="945" t="str">
        <f>IF(OR(C26="",O26="",T26="",Q26="",X26="",AB26="",AE26="",AG26=""),"",ROUND(O26*INDEX(STDLIGHTCONT[Coincident Peak Demand Savings (kW/unit)],MATCH(C26,STDLIGHTCONT[Measure Name],0)),4))</f>
        <v/>
      </c>
      <c r="AX26" s="940"/>
      <c r="AY26" s="940"/>
      <c r="AZ26" s="954" t="str">
        <f>IFERROR(IF(OR(C26="",O26="",T26="",Q26="",X26="",AB26="",AE26="",AG26=""),"",INDEX(STDLIGHTCONT[End Use],MATCH(C26,STDLIGHTCONT[Measure Name],0))),"Err")</f>
        <v/>
      </c>
      <c r="BA26" s="955" t="str">
        <f>IFERROR(IF(ISNUMBER(SEARCH("Network",C26))=TRUE,
ROUND(((((Q26/O26)/1000)*0.47)*T26*O26),4),
ROUND((Q26/1000)*T26*INDEX(STDLIGHTCONT[ESF],MATCH(C26,STDLIGHTCONT[Measure Name],0))*INDEX(BUILDINGTYPE[Waste Heat Factor (e)],MATCH(M02S04F19,BUILDINGTYPE[Building Type],0)),4)),"")</f>
        <v/>
      </c>
      <c r="BB26" s="941" t="str">
        <f>IFERROR(IF(OR(C26="",Q26="",T26="",O26="",X26="",AB26="",AE26="",AG26=""),"",ROUND(BA26*INDEX(ENDUSEALL[Factor],MATCH(AZ26,ENDUSEALL[End Use to Coincident Peak Demand Factors],0)),4)),"")</f>
        <v/>
      </c>
      <c r="BC26" s="954" t="str">
        <f>IFERROR(IF(OR(C26="",O26="",T26="",Q26="",X26="",AB26="",AE26="",AG26="",ISNUMBER(AN26)=FALSE,AN26=0),"",INDEX(STDLIGHTCONT[Measure Number],MATCH(C26,STDLIGHTCONT[Measure Name],0))),"Err")</f>
        <v/>
      </c>
      <c r="BD26" s="960" t="str">
        <f>IFERROR(IF(OR(C26="",O26="",Q26="",T26="",X26="",AB26="",AE26="",AG26=""),"",
IF(BI26&gt;0,"",
IF(EXPIRATION&lt;&gt;"",PROJSTATEXP,
IF(M02S04F19="",MEASUREBLDG,"")))),"")</f>
        <v/>
      </c>
      <c r="BE26" s="928" t="str">
        <f>IFERROR(INDEX(STDLIGHTCONT[Measure Life (Years)],MATCH(C26,STDLIGHTCONT[Measure Name],0)),"")</f>
        <v/>
      </c>
      <c r="BF26" s="930" t="str">
        <f>IFERROR(IF(OR(C26="",O26="",T26="",Q26="",X26="",AB26="",AE26="",AG26=""),"",
ROUND(((1+ELOSS)*((BA26*INDEX(ELECCB[NPV AEC $/kWh],MATCH(BE26,ELECCB[Year Number],1)))+(BB26*INDEX(ELECCB[NPV ACC $/kW],MATCH(BE26,ELECCB[Year Number],1))))),2)),0)</f>
        <v/>
      </c>
      <c r="BG26" s="937" t="str">
        <f>IFERROR(O26*INDEX(STDLIGHTCONT[Min Watts Controlled],MATCH(C26,STDLIGHTCONT[Measure Name],0)),"")</f>
        <v/>
      </c>
      <c r="BH26" s="934" t="str">
        <f>IFERROR(IF(OR(C26="",O26="",T26="",Q26="",X26="",AB26="",AE26="",AG26=""),"",INDEX(STDLIGHTCONT[Reporting Methodology],MATCH(C26,STDLIGHTCONT[Measure Name],0))),"Err")</f>
        <v/>
      </c>
      <c r="BI26" s="939"/>
    </row>
    <row r="27" spans="1:61" ht="15.95" customHeight="1">
      <c r="B27" s="905"/>
      <c r="C27" s="833"/>
      <c r="D27" s="834"/>
      <c r="E27" s="834"/>
      <c r="F27" s="834"/>
      <c r="G27" s="834"/>
      <c r="H27" s="834"/>
      <c r="I27" s="834"/>
      <c r="J27" s="834"/>
      <c r="K27" s="834"/>
      <c r="L27" s="835"/>
      <c r="M27" s="958"/>
      <c r="N27" s="959"/>
      <c r="O27" s="962"/>
      <c r="P27" s="962"/>
      <c r="Q27" s="957"/>
      <c r="R27" s="957"/>
      <c r="S27" s="957"/>
      <c r="T27" s="904"/>
      <c r="U27" s="904"/>
      <c r="V27" s="904"/>
      <c r="W27" s="904"/>
      <c r="X27" s="904"/>
      <c r="Y27" s="904"/>
      <c r="Z27" s="904"/>
      <c r="AA27" s="904"/>
      <c r="AB27" s="904"/>
      <c r="AC27" s="904"/>
      <c r="AD27" s="827"/>
      <c r="AE27" s="867"/>
      <c r="AF27" s="868"/>
      <c r="AG27" s="868"/>
      <c r="AH27" s="869"/>
      <c r="AI27" s="946"/>
      <c r="AJ27" s="899"/>
      <c r="AK27" s="901"/>
      <c r="AL27" s="901"/>
      <c r="AM27" s="901"/>
      <c r="AN27" s="899"/>
      <c r="AO27" s="903"/>
      <c r="AP27" s="903"/>
      <c r="AQ27" s="903"/>
      <c r="AR27" s="37"/>
      <c r="AS27" s="235"/>
      <c r="AT27" s="943"/>
      <c r="AU27" s="954"/>
      <c r="AV27" s="945"/>
      <c r="AW27" s="945"/>
      <c r="AX27" s="940"/>
      <c r="AY27" s="940"/>
      <c r="AZ27" s="954"/>
      <c r="BA27" s="956"/>
      <c r="BB27" s="942"/>
      <c r="BC27" s="954"/>
      <c r="BD27" s="961"/>
      <c r="BE27" s="929"/>
      <c r="BF27" s="931"/>
      <c r="BG27" s="938"/>
      <c r="BH27" s="934"/>
      <c r="BI27" s="939"/>
    </row>
    <row r="28" spans="1:61" ht="15.95" customHeight="1">
      <c r="B28" s="905">
        <v>6</v>
      </c>
      <c r="C28" s="830"/>
      <c r="D28" s="831"/>
      <c r="E28" s="831"/>
      <c r="F28" s="831"/>
      <c r="G28" s="831"/>
      <c r="H28" s="831"/>
      <c r="I28" s="831"/>
      <c r="J28" s="831"/>
      <c r="K28" s="831"/>
      <c r="L28" s="832"/>
      <c r="M28" s="958" t="str">
        <f>IFERROR(IF(C28="","",INDEX(STDLIGHTCONT[Current Unit],MATCH(C28,STDLIGHTCONT[Measure Name],0))),0)</f>
        <v/>
      </c>
      <c r="N28" s="959"/>
      <c r="O28" s="962"/>
      <c r="P28" s="962"/>
      <c r="Q28" s="947"/>
      <c r="R28" s="948"/>
      <c r="S28" s="949"/>
      <c r="T28" s="904"/>
      <c r="U28" s="904"/>
      <c r="V28" s="904"/>
      <c r="W28" s="904"/>
      <c r="X28" s="904"/>
      <c r="Y28" s="904"/>
      <c r="Z28" s="904"/>
      <c r="AA28" s="904"/>
      <c r="AB28" s="904"/>
      <c r="AC28" s="904"/>
      <c r="AD28" s="827"/>
      <c r="AE28" s="867"/>
      <c r="AF28" s="868"/>
      <c r="AG28" s="868"/>
      <c r="AH28" s="869"/>
      <c r="AI28" s="946" t="str">
        <f>IFERROR(IF(C28="","",INDEX(STDLIGHTCONT[Current Incentive],MATCH(C28,STDLIGHTCONT[Measure Name],0))),"")</f>
        <v/>
      </c>
      <c r="AJ28" s="899"/>
      <c r="AK28" s="900" t="str">
        <f t="shared" ref="AK28" si="12">IFERROR(IF(OR(C28="",O28="",T28="",Q28="",X28="",AB28="",AE28="",AG28=""),"",IF(BH28="Deemed",AV28,IF(BH28="Calculated",BA28,""))),"")</f>
        <v/>
      </c>
      <c r="AL28" s="900"/>
      <c r="AM28" s="900"/>
      <c r="AN28" s="897" t="str">
        <f t="shared" ref="AN28" si="13">IFERROR(IF(OR(C28="",O28="",T28="",Q28="",X28="",AB28="",AE28="",AG28=""),"",IF(BD28&lt;&gt;"",BD28,IF(BI28&gt;0,BI28,ROUND(IF(AK28&lt;=0,0,MIN(AT28,O28*AI28)),2)))),"")</f>
        <v/>
      </c>
      <c r="AO28" s="902"/>
      <c r="AP28" s="902"/>
      <c r="AQ28" s="902"/>
      <c r="AR28" s="37"/>
      <c r="AS28" s="235"/>
      <c r="AT28" s="943" t="str">
        <f t="shared" ref="AT28" si="14">IF(OR(C28="",O28="",T28="",Q28="",X28="",AB28="",AE28="",AG28=""),"",IF(AK28=0,"",ROUND(AE28+AG28,2)))</f>
        <v/>
      </c>
      <c r="AU28" s="954" t="str">
        <f>IFERROR(IF(OR(C28="",O28="",T28="",Q28="",X28="",AB28="",AE28="",AG28=""),"",INDEX(STDLIGHTCONT[Current Unit],MATCH(C28,STDLIGHTCONT[Measure Name],0))),"Err")</f>
        <v/>
      </c>
      <c r="AV28" s="944" t="str">
        <f>IF(OR(C28="",O28="",T28="",Q28="",X28="",AB28="",AE28="",AG28=""),"",ROUND(O28*INDEX(STDLIGHTCONT[Electric Energy Savings (Annual kWh/unit)],MATCH(C28,STDLIGHTCONT[Measure Name],0)),4))</f>
        <v/>
      </c>
      <c r="AW28" s="945" t="str">
        <f>IF(OR(C28="",O28="",T28="",Q28="",X28="",AB28="",AE28="",AG28=""),"",ROUND(O28*INDEX(STDLIGHTCONT[Coincident Peak Demand Savings (kW/unit)],MATCH(C28,STDLIGHTCONT[Measure Name],0)),4))</f>
        <v/>
      </c>
      <c r="AX28" s="940"/>
      <c r="AY28" s="940"/>
      <c r="AZ28" s="954" t="str">
        <f>IFERROR(IF(OR(C28="",O28="",T28="",Q28="",X28="",AB28="",AE28="",AG28=""),"",INDEX(STDLIGHTCONT[End Use],MATCH(C28,STDLIGHTCONT[Measure Name],0))),"Err")</f>
        <v/>
      </c>
      <c r="BA28" s="955" t="str">
        <f>IFERROR(IF(ISNUMBER(SEARCH("Network",C28))=TRUE,
ROUND(((((Q28/O28)/1000)*0.47)*T28*O28),4),
ROUND((Q28/1000)*T28*INDEX(STDLIGHTCONT[ESF],MATCH(C28,STDLIGHTCONT[Measure Name],0))*INDEX(BUILDINGTYPE[Waste Heat Factor (e)],MATCH(M02S04F19,BUILDINGTYPE[Building Type],0)),4)),"")</f>
        <v/>
      </c>
      <c r="BB28" s="941" t="str">
        <f>IFERROR(IF(OR(C28="",Q28="",T28="",O28="",X28="",AB28="",AE28="",AG28=""),"",ROUND(BA28*INDEX(ENDUSEALL[Factor],MATCH(AZ28,ENDUSEALL[End Use to Coincident Peak Demand Factors],0)),4)),"")</f>
        <v/>
      </c>
      <c r="BC28" s="954" t="str">
        <f>IFERROR(IF(OR(C28="",O28="",T28="",Q28="",X28="",AB28="",AE28="",AG28="",ISNUMBER(AN28)=FALSE,AN28=0),"",INDEX(STDLIGHTCONT[Measure Number],MATCH(C28,STDLIGHTCONT[Measure Name],0))),"Err")</f>
        <v/>
      </c>
      <c r="BD28" s="960" t="str">
        <f>IFERROR(IF(OR(C28="",O28="",Q28="",T28="",X28="",AB28="",AE28="",AG28=""),"",
IF(BI28&gt;0,"",
IF(EXPIRATION&lt;&gt;"",PROJSTATEXP,
IF(M02S04F19="",MEASUREBLDG,"")))),"")</f>
        <v/>
      </c>
      <c r="BE28" s="928" t="str">
        <f>IFERROR(INDEX(STDLIGHTCONT[Measure Life (Years)],MATCH(C28,STDLIGHTCONT[Measure Name],0)),"")</f>
        <v/>
      </c>
      <c r="BF28" s="930" t="str">
        <f>IFERROR(IF(OR(C28="",O28="",T28="",Q28="",X28="",AB28="",AE28="",AG28=""),"",
ROUND(((1+ELOSS)*((BA28*INDEX(ELECCB[NPV AEC $/kWh],MATCH(BE28,ELECCB[Year Number],1)))+(BB28*INDEX(ELECCB[NPV ACC $/kW],MATCH(BE28,ELECCB[Year Number],1))))),2)),0)</f>
        <v/>
      </c>
      <c r="BG28" s="937" t="str">
        <f>IFERROR(O28*INDEX(STDLIGHTCONT[Min Watts Controlled],MATCH(C28,STDLIGHTCONT[Measure Name],0)),"")</f>
        <v/>
      </c>
      <c r="BH28" s="934" t="str">
        <f>IFERROR(IF(OR(C28="",O28="",T28="",Q28="",X28="",AB28="",AE28="",AG28=""),"",INDEX(STDLIGHTCONT[Reporting Methodology],MATCH(C28,STDLIGHTCONT[Measure Name],0))),"Err")</f>
        <v/>
      </c>
      <c r="BI28" s="939"/>
    </row>
    <row r="29" spans="1:61" ht="15.95" customHeight="1">
      <c r="B29" s="905"/>
      <c r="C29" s="833"/>
      <c r="D29" s="834"/>
      <c r="E29" s="834"/>
      <c r="F29" s="834"/>
      <c r="G29" s="834"/>
      <c r="H29" s="834"/>
      <c r="I29" s="834"/>
      <c r="J29" s="834"/>
      <c r="K29" s="834"/>
      <c r="L29" s="835"/>
      <c r="M29" s="958"/>
      <c r="N29" s="959"/>
      <c r="O29" s="962"/>
      <c r="P29" s="962"/>
      <c r="Q29" s="950"/>
      <c r="R29" s="951"/>
      <c r="S29" s="952"/>
      <c r="T29" s="904"/>
      <c r="U29" s="904"/>
      <c r="V29" s="904"/>
      <c r="W29" s="904"/>
      <c r="X29" s="904"/>
      <c r="Y29" s="904"/>
      <c r="Z29" s="904"/>
      <c r="AA29" s="904"/>
      <c r="AB29" s="904"/>
      <c r="AC29" s="904"/>
      <c r="AD29" s="827"/>
      <c r="AE29" s="867"/>
      <c r="AF29" s="868"/>
      <c r="AG29" s="868"/>
      <c r="AH29" s="869"/>
      <c r="AI29" s="946"/>
      <c r="AJ29" s="899"/>
      <c r="AK29" s="901"/>
      <c r="AL29" s="901"/>
      <c r="AM29" s="901"/>
      <c r="AN29" s="899"/>
      <c r="AO29" s="903"/>
      <c r="AP29" s="903"/>
      <c r="AQ29" s="903"/>
      <c r="AR29" s="37"/>
      <c r="AS29" s="235"/>
      <c r="AT29" s="943"/>
      <c r="AU29" s="954"/>
      <c r="AV29" s="945"/>
      <c r="AW29" s="945"/>
      <c r="AX29" s="940"/>
      <c r="AY29" s="940"/>
      <c r="AZ29" s="954"/>
      <c r="BA29" s="956"/>
      <c r="BB29" s="942"/>
      <c r="BC29" s="954"/>
      <c r="BD29" s="961"/>
      <c r="BE29" s="929"/>
      <c r="BF29" s="931"/>
      <c r="BG29" s="938"/>
      <c r="BH29" s="934"/>
      <c r="BI29" s="939"/>
    </row>
    <row r="30" spans="1:61" ht="15.95" customHeight="1">
      <c r="B30" s="905">
        <v>7</v>
      </c>
      <c r="C30" s="830"/>
      <c r="D30" s="831"/>
      <c r="E30" s="831"/>
      <c r="F30" s="831"/>
      <c r="G30" s="831"/>
      <c r="H30" s="831"/>
      <c r="I30" s="831"/>
      <c r="J30" s="831"/>
      <c r="K30" s="831"/>
      <c r="L30" s="832"/>
      <c r="M30" s="958" t="str">
        <f>IFERROR(IF(C30="","",INDEX(STDLIGHTCONT[Current Unit],MATCH(C30,STDLIGHTCONT[Measure Name],0))),0)</f>
        <v/>
      </c>
      <c r="N30" s="959"/>
      <c r="O30" s="962"/>
      <c r="P30" s="962"/>
      <c r="Q30" s="957"/>
      <c r="R30" s="957"/>
      <c r="S30" s="957"/>
      <c r="T30" s="904"/>
      <c r="U30" s="904"/>
      <c r="V30" s="904"/>
      <c r="W30" s="904"/>
      <c r="X30" s="904"/>
      <c r="Y30" s="904"/>
      <c r="Z30" s="904"/>
      <c r="AA30" s="904"/>
      <c r="AB30" s="904"/>
      <c r="AC30" s="904"/>
      <c r="AD30" s="827"/>
      <c r="AE30" s="867"/>
      <c r="AF30" s="868"/>
      <c r="AG30" s="868"/>
      <c r="AH30" s="869"/>
      <c r="AI30" s="946" t="str">
        <f>IFERROR(IF(C30="","",INDEX(STDLIGHTCONT[Current Incentive],MATCH(C30,STDLIGHTCONT[Measure Name],0))),"")</f>
        <v/>
      </c>
      <c r="AJ30" s="899"/>
      <c r="AK30" s="900" t="str">
        <f t="shared" ref="AK30" si="15">IFERROR(IF(OR(C30="",O30="",T30="",Q30="",X30="",AB30="",AE30="",AG30=""),"",IF(BH30="Deemed",AV30,IF(BH30="Calculated",BA30,""))),"")</f>
        <v/>
      </c>
      <c r="AL30" s="900"/>
      <c r="AM30" s="900"/>
      <c r="AN30" s="897" t="str">
        <f t="shared" ref="AN30" si="16">IFERROR(IF(OR(C30="",O30="",T30="",Q30="",X30="",AB30="",AE30="",AG30=""),"",IF(BD30&lt;&gt;"",BD30,IF(BI30&gt;0,BI30,ROUND(IF(AK30&lt;=0,0,MIN(AT30,O30*AI30)),2)))),"")</f>
        <v/>
      </c>
      <c r="AO30" s="902"/>
      <c r="AP30" s="902"/>
      <c r="AQ30" s="902"/>
      <c r="AR30" s="37"/>
      <c r="AS30" s="235"/>
      <c r="AT30" s="943" t="str">
        <f t="shared" ref="AT30" si="17">IF(OR(C30="",O30="",T30="",Q30="",X30="",AB30="",AE30="",AG30=""),"",IF(AK30=0,"",ROUND(AE30+AG30,2)))</f>
        <v/>
      </c>
      <c r="AU30" s="954" t="str">
        <f>IFERROR(IF(OR(C30="",O30="",T30="",Q30="",X30="",AB30="",AE30="",AG30=""),"",INDEX(STDLIGHTCONT[Current Unit],MATCH(C30,STDLIGHTCONT[Measure Name],0))),"Err")</f>
        <v/>
      </c>
      <c r="AV30" s="944" t="str">
        <f>IF(OR(C30="",O30="",T30="",Q30="",X30="",AB30="",AE30="",AG30=""),"",ROUND(O30*INDEX(STDLIGHTCONT[Electric Energy Savings (Annual kWh/unit)],MATCH(C30,STDLIGHTCONT[Measure Name],0)),4))</f>
        <v/>
      </c>
      <c r="AW30" s="945" t="str">
        <f>IF(OR(C30="",O30="",T30="",Q30="",X30="",AB30="",AE30="",AG30=""),"",ROUND(O30*INDEX(STDLIGHTCONT[Coincident Peak Demand Savings (kW/unit)],MATCH(C30,STDLIGHTCONT[Measure Name],0)),4))</f>
        <v/>
      </c>
      <c r="AX30" s="940"/>
      <c r="AY30" s="940"/>
      <c r="AZ30" s="954" t="str">
        <f>IFERROR(IF(OR(C30="",O30="",T30="",Q30="",X30="",AB30="",AE30="",AG30=""),"",INDEX(STDLIGHTCONT[End Use],MATCH(C30,STDLIGHTCONT[Measure Name],0))),"Err")</f>
        <v/>
      </c>
      <c r="BA30" s="955" t="str">
        <f>IFERROR(IF(ISNUMBER(SEARCH("Network",C30))=TRUE,
ROUND(((((Q30/O30)/1000)*0.47)*T30*O30),4),
ROUND((Q30/1000)*T30*INDEX(STDLIGHTCONT[ESF],MATCH(C30,STDLIGHTCONT[Measure Name],0))*INDEX(BUILDINGTYPE[Waste Heat Factor (e)],MATCH(M02S04F19,BUILDINGTYPE[Building Type],0)),4)),"")</f>
        <v/>
      </c>
      <c r="BB30" s="941" t="str">
        <f>IFERROR(IF(OR(C30="",Q30="",T30="",O30="",X30="",AB30="",AE30="",AG30=""),"",ROUND(BA30*INDEX(ENDUSEALL[Factor],MATCH(AZ30,ENDUSEALL[End Use to Coincident Peak Demand Factors],0)),4)),"")</f>
        <v/>
      </c>
      <c r="BC30" s="954" t="str">
        <f>IFERROR(IF(OR(C30="",O30="",T30="",Q30="",X30="",AB30="",AE30="",AG30="",ISNUMBER(AN30)=FALSE,AN30=0),"",INDEX(STDLIGHTCONT[Measure Number],MATCH(C30,STDLIGHTCONT[Measure Name],0))),"Err")</f>
        <v/>
      </c>
      <c r="BD30" s="960" t="str">
        <f>IFERROR(IF(OR(C30="",O30="",Q30="",T30="",X30="",AB30="",AE30="",AG30=""),"",
IF(BI30&gt;0,"",
IF(EXPIRATION&lt;&gt;"",PROJSTATEXP,
IF(M02S04F19="",MEASUREBLDG,"")))),"")</f>
        <v/>
      </c>
      <c r="BE30" s="928" t="str">
        <f>IFERROR(INDEX(STDLIGHTCONT[Measure Life (Years)],MATCH(C30,STDLIGHTCONT[Measure Name],0)),"")</f>
        <v/>
      </c>
      <c r="BF30" s="930" t="str">
        <f>IFERROR(IF(OR(C30="",O30="",T30="",Q30="",X30="",AB30="",AE30="",AG30=""),"",
ROUND(((1+ELOSS)*((BA30*INDEX(ELECCB[NPV AEC $/kWh],MATCH(BE30,ELECCB[Year Number],1)))+(BB30*INDEX(ELECCB[NPV ACC $/kW],MATCH(BE30,ELECCB[Year Number],1))))),2)),0)</f>
        <v/>
      </c>
      <c r="BG30" s="937" t="str">
        <f>IFERROR(O30*INDEX(STDLIGHTCONT[Min Watts Controlled],MATCH(C30,STDLIGHTCONT[Measure Name],0)),"")</f>
        <v/>
      </c>
      <c r="BH30" s="934" t="str">
        <f>IFERROR(IF(OR(C30="",O30="",T30="",Q30="",X30="",AB30="",AE30="",AG30=""),"",INDEX(STDLIGHTCONT[Reporting Methodology],MATCH(C30,STDLIGHTCONT[Measure Name],0))),"Err")</f>
        <v/>
      </c>
      <c r="BI30" s="939"/>
    </row>
    <row r="31" spans="1:61" ht="15.95" customHeight="1">
      <c r="B31" s="905"/>
      <c r="C31" s="833"/>
      <c r="D31" s="834"/>
      <c r="E31" s="834"/>
      <c r="F31" s="834"/>
      <c r="G31" s="834"/>
      <c r="H31" s="834"/>
      <c r="I31" s="834"/>
      <c r="J31" s="834"/>
      <c r="K31" s="834"/>
      <c r="L31" s="835"/>
      <c r="M31" s="958"/>
      <c r="N31" s="959"/>
      <c r="O31" s="962"/>
      <c r="P31" s="962"/>
      <c r="Q31" s="957"/>
      <c r="R31" s="957"/>
      <c r="S31" s="957"/>
      <c r="T31" s="904"/>
      <c r="U31" s="904"/>
      <c r="V31" s="904"/>
      <c r="W31" s="904"/>
      <c r="X31" s="904"/>
      <c r="Y31" s="904"/>
      <c r="Z31" s="904"/>
      <c r="AA31" s="904"/>
      <c r="AB31" s="904"/>
      <c r="AC31" s="904"/>
      <c r="AD31" s="827"/>
      <c r="AE31" s="867"/>
      <c r="AF31" s="868"/>
      <c r="AG31" s="868"/>
      <c r="AH31" s="869"/>
      <c r="AI31" s="946"/>
      <c r="AJ31" s="899"/>
      <c r="AK31" s="901"/>
      <c r="AL31" s="901"/>
      <c r="AM31" s="901"/>
      <c r="AN31" s="899"/>
      <c r="AO31" s="903"/>
      <c r="AP31" s="903"/>
      <c r="AQ31" s="903"/>
      <c r="AR31" s="37"/>
      <c r="AS31" s="235"/>
      <c r="AT31" s="943"/>
      <c r="AU31" s="954"/>
      <c r="AV31" s="945"/>
      <c r="AW31" s="945"/>
      <c r="AX31" s="940"/>
      <c r="AY31" s="940"/>
      <c r="AZ31" s="954"/>
      <c r="BA31" s="956"/>
      <c r="BB31" s="942"/>
      <c r="BC31" s="954"/>
      <c r="BD31" s="961"/>
      <c r="BE31" s="929"/>
      <c r="BF31" s="931"/>
      <c r="BG31" s="938"/>
      <c r="BH31" s="934"/>
      <c r="BI31" s="939"/>
    </row>
    <row r="32" spans="1:61" ht="15.95" customHeight="1">
      <c r="B32" s="905">
        <v>8</v>
      </c>
      <c r="C32" s="830"/>
      <c r="D32" s="831"/>
      <c r="E32" s="831"/>
      <c r="F32" s="831"/>
      <c r="G32" s="831"/>
      <c r="H32" s="831"/>
      <c r="I32" s="831"/>
      <c r="J32" s="831"/>
      <c r="K32" s="831"/>
      <c r="L32" s="832"/>
      <c r="M32" s="958" t="str">
        <f>IFERROR(IF(C32="","",INDEX(STDLIGHTCONT[Current Unit],MATCH(C32,STDLIGHTCONT[Measure Name],0))),0)</f>
        <v/>
      </c>
      <c r="N32" s="959"/>
      <c r="O32" s="962"/>
      <c r="P32" s="962"/>
      <c r="Q32" s="957"/>
      <c r="R32" s="957"/>
      <c r="S32" s="957"/>
      <c r="T32" s="904"/>
      <c r="U32" s="904"/>
      <c r="V32" s="904"/>
      <c r="W32" s="904"/>
      <c r="X32" s="904"/>
      <c r="Y32" s="904"/>
      <c r="Z32" s="904"/>
      <c r="AA32" s="904"/>
      <c r="AB32" s="904"/>
      <c r="AC32" s="904"/>
      <c r="AD32" s="827"/>
      <c r="AE32" s="867"/>
      <c r="AF32" s="868"/>
      <c r="AG32" s="868"/>
      <c r="AH32" s="869"/>
      <c r="AI32" s="946" t="str">
        <f>IFERROR(IF(C32="","",INDEX(STDLIGHTCONT[Current Incentive],MATCH(C32,STDLIGHTCONT[Measure Name],0))),"")</f>
        <v/>
      </c>
      <c r="AJ32" s="899"/>
      <c r="AK32" s="900" t="str">
        <f t="shared" ref="AK32" si="18">IFERROR(IF(OR(C32="",O32="",T32="",Q32="",X32="",AB32="",AE32="",AG32=""),"",IF(BH32="Deemed",AV32,IF(BH32="Calculated",BA32,""))),"")</f>
        <v/>
      </c>
      <c r="AL32" s="900"/>
      <c r="AM32" s="900"/>
      <c r="AN32" s="897" t="str">
        <f t="shared" ref="AN32" si="19">IFERROR(IF(OR(C32="",O32="",T32="",Q32="",X32="",AB32="",AE32="",AG32=""),"",IF(BD32&lt;&gt;"",BD32,IF(BI32&gt;0,BI32,ROUND(IF(AK32&lt;=0,0,MIN(AT32,O32*AI32)),2)))),"")</f>
        <v/>
      </c>
      <c r="AO32" s="902"/>
      <c r="AP32" s="902"/>
      <c r="AQ32" s="902"/>
      <c r="AR32" s="37"/>
      <c r="AS32" s="235"/>
      <c r="AT32" s="943" t="str">
        <f t="shared" ref="AT32" si="20">IF(OR(C32="",O32="",T32="",Q32="",X32="",AB32="",AE32="",AG32=""),"",IF(AK32=0,"",ROUND(AE32+AG32,2)))</f>
        <v/>
      </c>
      <c r="AU32" s="954" t="str">
        <f>IFERROR(IF(OR(C32="",O32="",T32="",Q32="",X32="",AB32="",AE32="",AG32=""),"",INDEX(STDLIGHTCONT[Current Unit],MATCH(C32,STDLIGHTCONT[Measure Name],0))),"Err")</f>
        <v/>
      </c>
      <c r="AV32" s="944" t="str">
        <f>IF(OR(C32="",O32="",T32="",Q32="",X32="",AB32="",AE32="",AG32=""),"",ROUND(O32*INDEX(STDLIGHTCONT[Electric Energy Savings (Annual kWh/unit)],MATCH(C32,STDLIGHTCONT[Measure Name],0)),4))</f>
        <v/>
      </c>
      <c r="AW32" s="945" t="str">
        <f>IF(OR(C32="",O32="",T32="",Q32="",X32="",AB32="",AE32="",AG32=""),"",ROUND(O32*INDEX(STDLIGHTCONT[Coincident Peak Demand Savings (kW/unit)],MATCH(C32,STDLIGHTCONT[Measure Name],0)),4))</f>
        <v/>
      </c>
      <c r="AX32" s="940"/>
      <c r="AY32" s="940"/>
      <c r="AZ32" s="954" t="str">
        <f>IFERROR(IF(OR(C32="",O32="",T32="",Q32="",X32="",AB32="",AE32="",AG32=""),"",INDEX(STDLIGHTCONT[End Use],MATCH(C32,STDLIGHTCONT[Measure Name],0))),"Err")</f>
        <v/>
      </c>
      <c r="BA32" s="955" t="str">
        <f>IFERROR(IF(ISNUMBER(SEARCH("Network",C32))=TRUE,
ROUND(((((Q32/O32)/1000)*0.47)*T32*O32),4),
ROUND((Q32/1000)*T32*INDEX(STDLIGHTCONT[ESF],MATCH(C32,STDLIGHTCONT[Measure Name],0))*INDEX(BUILDINGTYPE[Waste Heat Factor (e)],MATCH(M02S04F19,BUILDINGTYPE[Building Type],0)),4)),"")</f>
        <v/>
      </c>
      <c r="BB32" s="941" t="str">
        <f>IFERROR(IF(OR(C32="",Q32="",T32="",O32="",X32="",AB32="",AE32="",AG32=""),"",ROUND(BA32*INDEX(ENDUSEALL[Factor],MATCH(AZ32,ENDUSEALL[End Use to Coincident Peak Demand Factors],0)),4)),"")</f>
        <v/>
      </c>
      <c r="BC32" s="954" t="str">
        <f>IFERROR(IF(OR(C32="",O32="",T32="",Q32="",X32="",AB32="",AE32="",AG32="",ISNUMBER(AN32)=FALSE,AN32=0),"",INDEX(STDLIGHTCONT[Measure Number],MATCH(C32,STDLIGHTCONT[Measure Name],0))),"Err")</f>
        <v/>
      </c>
      <c r="BD32" s="960" t="str">
        <f>IFERROR(IF(OR(C32="",O32="",Q32="",T32="",X32="",AB32="",AE32="",AG32=""),"",
IF(BI32&gt;0,"",
IF(EXPIRATION&lt;&gt;"",PROJSTATEXP,
IF(M02S04F19="",MEASUREBLDG,"")))),"")</f>
        <v/>
      </c>
      <c r="BE32" s="928" t="str">
        <f>IFERROR(INDEX(STDLIGHTCONT[Measure Life (Years)],MATCH(C32,STDLIGHTCONT[Measure Name],0)),"")</f>
        <v/>
      </c>
      <c r="BF32" s="930" t="str">
        <f>IFERROR(IF(OR(C32="",O32="",T32="",Q32="",X32="",AB32="",AE32="",AG32=""),"",
ROUND(((1+ELOSS)*((BA32*INDEX(ELECCB[NPV AEC $/kWh],MATCH(BE32,ELECCB[Year Number],1)))+(BB32*INDEX(ELECCB[NPV ACC $/kW],MATCH(BE32,ELECCB[Year Number],1))))),2)),0)</f>
        <v/>
      </c>
      <c r="BG32" s="937" t="str">
        <f>IFERROR(O32*INDEX(STDLIGHTCONT[Min Watts Controlled],MATCH(C32,STDLIGHTCONT[Measure Name],0)),"")</f>
        <v/>
      </c>
      <c r="BH32" s="934" t="str">
        <f>IFERROR(IF(OR(C32="",O32="",T32="",Q32="",X32="",AB32="",AE32="",AG32=""),"",INDEX(STDLIGHTCONT[Reporting Methodology],MATCH(C32,STDLIGHTCONT[Measure Name],0))),"Err")</f>
        <v/>
      </c>
      <c r="BI32" s="939"/>
    </row>
    <row r="33" spans="2:61" ht="15.95" customHeight="1">
      <c r="B33" s="905"/>
      <c r="C33" s="833"/>
      <c r="D33" s="834"/>
      <c r="E33" s="834"/>
      <c r="F33" s="834"/>
      <c r="G33" s="834"/>
      <c r="H33" s="834"/>
      <c r="I33" s="834"/>
      <c r="J33" s="834"/>
      <c r="K33" s="834"/>
      <c r="L33" s="835"/>
      <c r="M33" s="958"/>
      <c r="N33" s="959"/>
      <c r="O33" s="962"/>
      <c r="P33" s="962"/>
      <c r="Q33" s="957"/>
      <c r="R33" s="957"/>
      <c r="S33" s="957"/>
      <c r="T33" s="904"/>
      <c r="U33" s="904"/>
      <c r="V33" s="904"/>
      <c r="W33" s="904"/>
      <c r="X33" s="904"/>
      <c r="Y33" s="904"/>
      <c r="Z33" s="904"/>
      <c r="AA33" s="904"/>
      <c r="AB33" s="904"/>
      <c r="AC33" s="904"/>
      <c r="AD33" s="827"/>
      <c r="AE33" s="867"/>
      <c r="AF33" s="868"/>
      <c r="AG33" s="868"/>
      <c r="AH33" s="869"/>
      <c r="AI33" s="946"/>
      <c r="AJ33" s="899"/>
      <c r="AK33" s="901"/>
      <c r="AL33" s="901"/>
      <c r="AM33" s="901"/>
      <c r="AN33" s="899"/>
      <c r="AO33" s="903"/>
      <c r="AP33" s="903"/>
      <c r="AQ33" s="903"/>
      <c r="AR33" s="37"/>
      <c r="AS33" s="235"/>
      <c r="AT33" s="943"/>
      <c r="AU33" s="954"/>
      <c r="AV33" s="945"/>
      <c r="AW33" s="945"/>
      <c r="AX33" s="940"/>
      <c r="AY33" s="940"/>
      <c r="AZ33" s="954"/>
      <c r="BA33" s="956"/>
      <c r="BB33" s="942"/>
      <c r="BC33" s="954"/>
      <c r="BD33" s="961"/>
      <c r="BE33" s="929"/>
      <c r="BF33" s="931"/>
      <c r="BG33" s="938"/>
      <c r="BH33" s="934"/>
      <c r="BI33" s="939"/>
    </row>
    <row r="34" spans="2:61" ht="15.95" customHeight="1">
      <c r="B34" s="905">
        <v>9</v>
      </c>
      <c r="C34" s="830"/>
      <c r="D34" s="831"/>
      <c r="E34" s="831"/>
      <c r="F34" s="831"/>
      <c r="G34" s="831"/>
      <c r="H34" s="831"/>
      <c r="I34" s="831"/>
      <c r="J34" s="831"/>
      <c r="K34" s="831"/>
      <c r="L34" s="832"/>
      <c r="M34" s="958" t="str">
        <f>IFERROR(IF(C34="","",INDEX(STDLIGHTCONT[Current Unit],MATCH(C34,STDLIGHTCONT[Measure Name],0))),0)</f>
        <v/>
      </c>
      <c r="N34" s="959"/>
      <c r="O34" s="962"/>
      <c r="P34" s="962"/>
      <c r="Q34" s="957"/>
      <c r="R34" s="957"/>
      <c r="S34" s="957"/>
      <c r="T34" s="904"/>
      <c r="U34" s="904"/>
      <c r="V34" s="904"/>
      <c r="W34" s="904"/>
      <c r="X34" s="904"/>
      <c r="Y34" s="904"/>
      <c r="Z34" s="904"/>
      <c r="AA34" s="904"/>
      <c r="AB34" s="904"/>
      <c r="AC34" s="904"/>
      <c r="AD34" s="827"/>
      <c r="AE34" s="867"/>
      <c r="AF34" s="868"/>
      <c r="AG34" s="868"/>
      <c r="AH34" s="869"/>
      <c r="AI34" s="946" t="str">
        <f>IFERROR(IF(C34="","",INDEX(STDLIGHTCONT[Current Incentive],MATCH(C34,STDLIGHTCONT[Measure Name],0))),"")</f>
        <v/>
      </c>
      <c r="AJ34" s="899"/>
      <c r="AK34" s="900" t="str">
        <f t="shared" ref="AK34" si="21">IFERROR(IF(OR(C34="",O34="",T34="",Q34="",X34="",AB34="",AE34="",AG34=""),"",IF(BH34="Deemed",AV34,IF(BH34="Calculated",BA34,""))),"")</f>
        <v/>
      </c>
      <c r="AL34" s="900"/>
      <c r="AM34" s="900"/>
      <c r="AN34" s="897" t="str">
        <f t="shared" ref="AN34" si="22">IFERROR(IF(OR(C34="",O34="",T34="",Q34="",X34="",AB34="",AE34="",AG34=""),"",IF(BD34&lt;&gt;"",BD34,IF(BI34&gt;0,BI34,ROUND(IF(AK34&lt;=0,0,MIN(AT34,O34*AI34)),2)))),"")</f>
        <v/>
      </c>
      <c r="AO34" s="902"/>
      <c r="AP34" s="902"/>
      <c r="AQ34" s="902"/>
      <c r="AR34" s="37"/>
      <c r="AS34" s="235"/>
      <c r="AT34" s="943" t="str">
        <f t="shared" ref="AT34" si="23">IF(OR(C34="",O34="",T34="",Q34="",X34="",AB34="",AE34="",AG34=""),"",IF(AK34=0,"",ROUND(AE34+AG34,2)))</f>
        <v/>
      </c>
      <c r="AU34" s="954" t="str">
        <f>IFERROR(IF(OR(C34="",O34="",T34="",Q34="",X34="",AB34="",AE34="",AG34=""),"",INDEX(STDLIGHTCONT[Current Unit],MATCH(C34,STDLIGHTCONT[Measure Name],0))),"Err")</f>
        <v/>
      </c>
      <c r="AV34" s="944" t="str">
        <f>IF(OR(C34="",O34="",T34="",Q34="",X34="",AB34="",AE34="",AG34=""),"",ROUND(O34*INDEX(STDLIGHTCONT[Electric Energy Savings (Annual kWh/unit)],MATCH(C34,STDLIGHTCONT[Measure Name],0)),4))</f>
        <v/>
      </c>
      <c r="AW34" s="945" t="str">
        <f>IF(OR(C34="",O34="",T34="",Q34="",X34="",AB34="",AE34="",AG34=""),"",ROUND(O34*INDEX(STDLIGHTCONT[Coincident Peak Demand Savings (kW/unit)],MATCH(C34,STDLIGHTCONT[Measure Name],0)),4))</f>
        <v/>
      </c>
      <c r="AX34" s="940"/>
      <c r="AY34" s="940"/>
      <c r="AZ34" s="954" t="str">
        <f>IFERROR(IF(OR(C34="",O34="",T34="",Q34="",X34="",AB34="",AE34="",AG34=""),"",INDEX(STDLIGHTCONT[End Use],MATCH(C34,STDLIGHTCONT[Measure Name],0))),"Err")</f>
        <v/>
      </c>
      <c r="BA34" s="955" t="str">
        <f>IFERROR(IF(ISNUMBER(SEARCH("Network",C34))=TRUE,
ROUND(((((Q34/O34)/1000)*0.47)*T34*O34),4),
ROUND((Q34/1000)*T34*INDEX(STDLIGHTCONT[ESF],MATCH(C34,STDLIGHTCONT[Measure Name],0))*INDEX(BUILDINGTYPE[Waste Heat Factor (e)],MATCH(M02S04F19,BUILDINGTYPE[Building Type],0)),4)),"")</f>
        <v/>
      </c>
      <c r="BB34" s="941" t="str">
        <f>IFERROR(IF(OR(C34="",Q34="",T34="",O34="",X34="",AB34="",AE34="",AG34=""),"",ROUND(BA34*INDEX(ENDUSEALL[Factor],MATCH(AZ34,ENDUSEALL[End Use to Coincident Peak Demand Factors],0)),4)),"")</f>
        <v/>
      </c>
      <c r="BC34" s="954" t="str">
        <f>IFERROR(IF(OR(C34="",O34="",T34="",Q34="",X34="",AB34="",AE34="",AG34="",ISNUMBER(AN34)=FALSE,AN34=0),"",INDEX(STDLIGHTCONT[Measure Number],MATCH(C34,STDLIGHTCONT[Measure Name],0))),"Err")</f>
        <v/>
      </c>
      <c r="BD34" s="960" t="str">
        <f>IFERROR(IF(OR(C34="",O34="",Q34="",T34="",X34="",AB34="",AE34="",AG34=""),"",
IF(BI34&gt;0,"",
IF(EXPIRATION&lt;&gt;"",PROJSTATEXP,
IF(M02S04F19="",MEASUREBLDG,"")))),"")</f>
        <v/>
      </c>
      <c r="BE34" s="928" t="str">
        <f>IFERROR(INDEX(STDLIGHTCONT[Measure Life (Years)],MATCH(C34,STDLIGHTCONT[Measure Name],0)),"")</f>
        <v/>
      </c>
      <c r="BF34" s="930" t="str">
        <f>IFERROR(IF(OR(C34="",O34="",T34="",Q34="",X34="",AB34="",AE34="",AG34=""),"",
ROUND(((1+ELOSS)*((BA34*INDEX(ELECCB[NPV AEC $/kWh],MATCH(BE34,ELECCB[Year Number],1)))+(BB34*INDEX(ELECCB[NPV ACC $/kW],MATCH(BE34,ELECCB[Year Number],1))))),2)),0)</f>
        <v/>
      </c>
      <c r="BG34" s="937" t="str">
        <f>IFERROR(O34*INDEX(STDLIGHTCONT[Min Watts Controlled],MATCH(C34,STDLIGHTCONT[Measure Name],0)),"")</f>
        <v/>
      </c>
      <c r="BH34" s="934" t="str">
        <f>IFERROR(IF(OR(C34="",O34="",T34="",Q34="",X34="",AB34="",AE34="",AG34=""),"",INDEX(STDLIGHTCONT[Reporting Methodology],MATCH(C34,STDLIGHTCONT[Measure Name],0))),"Err")</f>
        <v/>
      </c>
      <c r="BI34" s="939"/>
    </row>
    <row r="35" spans="2:61" ht="15.95" customHeight="1">
      <c r="B35" s="905"/>
      <c r="C35" s="833"/>
      <c r="D35" s="834"/>
      <c r="E35" s="834"/>
      <c r="F35" s="834"/>
      <c r="G35" s="834"/>
      <c r="H35" s="834"/>
      <c r="I35" s="834"/>
      <c r="J35" s="834"/>
      <c r="K35" s="834"/>
      <c r="L35" s="835"/>
      <c r="M35" s="958"/>
      <c r="N35" s="959"/>
      <c r="O35" s="962"/>
      <c r="P35" s="962"/>
      <c r="Q35" s="957"/>
      <c r="R35" s="957"/>
      <c r="S35" s="957"/>
      <c r="T35" s="904"/>
      <c r="U35" s="904"/>
      <c r="V35" s="904"/>
      <c r="W35" s="904"/>
      <c r="X35" s="904"/>
      <c r="Y35" s="904"/>
      <c r="Z35" s="904"/>
      <c r="AA35" s="904"/>
      <c r="AB35" s="904"/>
      <c r="AC35" s="904"/>
      <c r="AD35" s="827"/>
      <c r="AE35" s="867"/>
      <c r="AF35" s="868"/>
      <c r="AG35" s="868"/>
      <c r="AH35" s="869"/>
      <c r="AI35" s="946"/>
      <c r="AJ35" s="899"/>
      <c r="AK35" s="901"/>
      <c r="AL35" s="901"/>
      <c r="AM35" s="901"/>
      <c r="AN35" s="899"/>
      <c r="AO35" s="903"/>
      <c r="AP35" s="903"/>
      <c r="AQ35" s="903"/>
      <c r="AR35" s="37"/>
      <c r="AS35" s="235"/>
      <c r="AT35" s="943"/>
      <c r="AU35" s="954"/>
      <c r="AV35" s="945"/>
      <c r="AW35" s="945"/>
      <c r="AX35" s="940"/>
      <c r="AY35" s="940"/>
      <c r="AZ35" s="954"/>
      <c r="BA35" s="956"/>
      <c r="BB35" s="942"/>
      <c r="BC35" s="954"/>
      <c r="BD35" s="961"/>
      <c r="BE35" s="929"/>
      <c r="BF35" s="931"/>
      <c r="BG35" s="938"/>
      <c r="BH35" s="934"/>
      <c r="BI35" s="939"/>
    </row>
    <row r="36" spans="2:61" ht="15.95" customHeight="1">
      <c r="B36" s="905">
        <v>10</v>
      </c>
      <c r="C36" s="830"/>
      <c r="D36" s="831"/>
      <c r="E36" s="831"/>
      <c r="F36" s="831"/>
      <c r="G36" s="831"/>
      <c r="H36" s="831"/>
      <c r="I36" s="831"/>
      <c r="J36" s="831"/>
      <c r="K36" s="831"/>
      <c r="L36" s="832"/>
      <c r="M36" s="958" t="str">
        <f>IFERROR(IF(C36="","",INDEX(STDLIGHTCONT[Current Unit],MATCH(C36,STDLIGHTCONT[Measure Name],0))),0)</f>
        <v/>
      </c>
      <c r="N36" s="959"/>
      <c r="O36" s="962"/>
      <c r="P36" s="962"/>
      <c r="Q36" s="957"/>
      <c r="R36" s="957"/>
      <c r="S36" s="957"/>
      <c r="T36" s="904"/>
      <c r="U36" s="904"/>
      <c r="V36" s="904"/>
      <c r="W36" s="904"/>
      <c r="X36" s="904"/>
      <c r="Y36" s="904"/>
      <c r="Z36" s="904"/>
      <c r="AA36" s="904"/>
      <c r="AB36" s="904"/>
      <c r="AC36" s="904"/>
      <c r="AD36" s="827"/>
      <c r="AE36" s="867"/>
      <c r="AF36" s="868"/>
      <c r="AG36" s="868"/>
      <c r="AH36" s="869"/>
      <c r="AI36" s="946" t="str">
        <f>IFERROR(IF(C36="","",INDEX(STDLIGHTCONT[Current Incentive],MATCH(C36,STDLIGHTCONT[Measure Name],0))),"")</f>
        <v/>
      </c>
      <c r="AJ36" s="899"/>
      <c r="AK36" s="900" t="str">
        <f t="shared" ref="AK36" si="24">IFERROR(IF(OR(C36="",O36="",T36="",Q36="",X36="",AB36="",AE36="",AG36=""),"",IF(BH36="Deemed",AV36,IF(BH36="Calculated",BA36,""))),"")</f>
        <v/>
      </c>
      <c r="AL36" s="900"/>
      <c r="AM36" s="900"/>
      <c r="AN36" s="897" t="str">
        <f t="shared" ref="AN36" si="25">IFERROR(IF(OR(C36="",O36="",T36="",Q36="",X36="",AB36="",AE36="",AG36=""),"",IF(BD36&lt;&gt;"",BD36,IF(BI36&gt;0,BI36,ROUND(IF(AK36&lt;=0,0,MIN(AT36,O36*AI36)),2)))),"")</f>
        <v/>
      </c>
      <c r="AO36" s="902"/>
      <c r="AP36" s="902"/>
      <c r="AQ36" s="902"/>
      <c r="AR36" s="37"/>
      <c r="AS36" s="235"/>
      <c r="AT36" s="943" t="str">
        <f t="shared" ref="AT36" si="26">IF(OR(C36="",O36="",T36="",Q36="",X36="",AB36="",AE36="",AG36=""),"",IF(AK36=0,"",ROUND(AE36+AG36,2)))</f>
        <v/>
      </c>
      <c r="AU36" s="954" t="str">
        <f>IFERROR(IF(OR(C36="",O36="",T36="",Q36="",X36="",AB36="",AE36="",AG36=""),"",INDEX(STDLIGHTCONT[Current Unit],MATCH(C36,STDLIGHTCONT[Measure Name],0))),"Err")</f>
        <v/>
      </c>
      <c r="AV36" s="944" t="str">
        <f>IF(OR(C36="",O36="",T36="",Q36="",X36="",AB36="",AE36="",AG36=""),"",ROUND(O36*INDEX(STDLIGHTCONT[Electric Energy Savings (Annual kWh/unit)],MATCH(C36,STDLIGHTCONT[Measure Name],0)),4))</f>
        <v/>
      </c>
      <c r="AW36" s="945" t="str">
        <f>IF(OR(C36="",O36="",T36="",Q36="",X36="",AB36="",AE36="",AG36=""),"",ROUND(O36*INDEX(STDLIGHTCONT[Coincident Peak Demand Savings (kW/unit)],MATCH(C36,STDLIGHTCONT[Measure Name],0)),4))</f>
        <v/>
      </c>
      <c r="AX36" s="940"/>
      <c r="AY36" s="940"/>
      <c r="AZ36" s="954" t="str">
        <f>IFERROR(IF(OR(C36="",O36="",T36="",Q36="",X36="",AB36="",AE36="",AG36=""),"",INDEX(STDLIGHTCONT[End Use],MATCH(C36,STDLIGHTCONT[Measure Name],0))),"Err")</f>
        <v/>
      </c>
      <c r="BA36" s="955" t="str">
        <f>IFERROR(IF(ISNUMBER(SEARCH("Network",C36))=TRUE,
ROUND(((((Q36/O36)/1000)*0.47)*T36*O36),4),
ROUND((Q36/1000)*T36*INDEX(STDLIGHTCONT[ESF],MATCH(C36,STDLIGHTCONT[Measure Name],0))*INDEX(BUILDINGTYPE[Waste Heat Factor (e)],MATCH(M02S04F19,BUILDINGTYPE[Building Type],0)),4)),"")</f>
        <v/>
      </c>
      <c r="BB36" s="941" t="str">
        <f>IFERROR(IF(OR(C36="",Q36="",T36="",O36="",X36="",AB36="",AE36="",AG36=""),"",ROUND(BA36*INDEX(ENDUSEALL[Factor],MATCH(AZ36,ENDUSEALL[End Use to Coincident Peak Demand Factors],0)),4)),"")</f>
        <v/>
      </c>
      <c r="BC36" s="954" t="str">
        <f>IFERROR(IF(OR(C36="",O36="",T36="",Q36="",X36="",AB36="",AE36="",AG36="",ISNUMBER(AN36)=FALSE,AN36=0),"",INDEX(STDLIGHTCONT[Measure Number],MATCH(C36,STDLIGHTCONT[Measure Name],0))),"Err")</f>
        <v/>
      </c>
      <c r="BD36" s="960" t="str">
        <f>IFERROR(IF(OR(C36="",O36="",Q36="",T36="",X36="",AB36="",AE36="",AG36=""),"",
IF(BI36&gt;0,"",
IF(EXPIRATION&lt;&gt;"",PROJSTATEXP,
IF(M02S04F19="",MEASUREBLDG,"")))),"")</f>
        <v/>
      </c>
      <c r="BE36" s="928" t="str">
        <f>IFERROR(INDEX(STDLIGHTCONT[Measure Life (Years)],MATCH(C36,STDLIGHTCONT[Measure Name],0)),"")</f>
        <v/>
      </c>
      <c r="BF36" s="930" t="str">
        <f>IFERROR(IF(OR(C36="",O36="",T36="",Q36="",X36="",AB36="",AE36="",AG36=""),"",
ROUND(((1+ELOSS)*((BA36*INDEX(ELECCB[NPV AEC $/kWh],MATCH(BE36,ELECCB[Year Number],1)))+(BB36*INDEX(ELECCB[NPV ACC $/kW],MATCH(BE36,ELECCB[Year Number],1))))),2)),0)</f>
        <v/>
      </c>
      <c r="BG36" s="937" t="str">
        <f>IFERROR(O36*INDEX(STDLIGHTCONT[Min Watts Controlled],MATCH(C36,STDLIGHTCONT[Measure Name],0)),"")</f>
        <v/>
      </c>
      <c r="BH36" s="934" t="str">
        <f>IFERROR(IF(OR(C36="",O36="",T36="",Q36="",X36="",AB36="",AE36="",AG36=""),"",INDEX(STDLIGHTCONT[Reporting Methodology],MATCH(C36,STDLIGHTCONT[Measure Name],0))),"Err")</f>
        <v/>
      </c>
      <c r="BI36" s="939"/>
    </row>
    <row r="37" spans="2:61" ht="15.95" customHeight="1">
      <c r="B37" s="905"/>
      <c r="C37" s="833"/>
      <c r="D37" s="834"/>
      <c r="E37" s="834"/>
      <c r="F37" s="834"/>
      <c r="G37" s="834"/>
      <c r="H37" s="834"/>
      <c r="I37" s="834"/>
      <c r="J37" s="834"/>
      <c r="K37" s="834"/>
      <c r="L37" s="835"/>
      <c r="M37" s="958"/>
      <c r="N37" s="959"/>
      <c r="O37" s="962"/>
      <c r="P37" s="962"/>
      <c r="Q37" s="957"/>
      <c r="R37" s="957"/>
      <c r="S37" s="957"/>
      <c r="T37" s="904"/>
      <c r="U37" s="904"/>
      <c r="V37" s="904"/>
      <c r="W37" s="904"/>
      <c r="X37" s="904"/>
      <c r="Y37" s="904"/>
      <c r="Z37" s="904"/>
      <c r="AA37" s="904"/>
      <c r="AB37" s="904"/>
      <c r="AC37" s="904"/>
      <c r="AD37" s="827"/>
      <c r="AE37" s="867"/>
      <c r="AF37" s="868"/>
      <c r="AG37" s="868"/>
      <c r="AH37" s="869"/>
      <c r="AI37" s="946"/>
      <c r="AJ37" s="899"/>
      <c r="AK37" s="901"/>
      <c r="AL37" s="901"/>
      <c r="AM37" s="901"/>
      <c r="AN37" s="899"/>
      <c r="AO37" s="903"/>
      <c r="AP37" s="903"/>
      <c r="AQ37" s="903"/>
      <c r="AR37" s="37"/>
      <c r="AS37" s="235"/>
      <c r="AT37" s="943"/>
      <c r="AU37" s="954"/>
      <c r="AV37" s="945"/>
      <c r="AW37" s="945"/>
      <c r="AX37" s="940"/>
      <c r="AY37" s="940"/>
      <c r="AZ37" s="954"/>
      <c r="BA37" s="956"/>
      <c r="BB37" s="942"/>
      <c r="BC37" s="954"/>
      <c r="BD37" s="961"/>
      <c r="BE37" s="929"/>
      <c r="BF37" s="931"/>
      <c r="BG37" s="938"/>
      <c r="BH37" s="934"/>
      <c r="BI37" s="939"/>
    </row>
    <row r="38" spans="2:61" customFormat="1" ht="15.95" customHeight="1">
      <c r="AT38" s="426"/>
    </row>
    <row r="39" spans="2:61" customFormat="1" ht="15.95" hidden="1" customHeight="1">
      <c r="AT39" s="426"/>
    </row>
    <row r="40" spans="2:61" customFormat="1" ht="15.95" hidden="1" customHeight="1">
      <c r="AT40" s="426"/>
    </row>
    <row r="41" spans="2:61" customFormat="1" ht="15.95" hidden="1" customHeight="1">
      <c r="AT41" s="426"/>
    </row>
    <row r="42" spans="2:61" customFormat="1" ht="15.95" hidden="1" customHeight="1">
      <c r="AT42" s="426"/>
    </row>
    <row r="43" spans="2:61" customFormat="1" ht="15.95" hidden="1" customHeight="1">
      <c r="AT43" s="426"/>
    </row>
    <row r="44" spans="2:61" customFormat="1" ht="15.95" hidden="1" customHeight="1">
      <c r="AT44" s="426"/>
    </row>
    <row r="45" spans="2:61" customFormat="1" ht="15.95" hidden="1" customHeight="1">
      <c r="AT45" s="426"/>
    </row>
    <row r="46" spans="2:61" customFormat="1" ht="15.95" hidden="1" customHeight="1">
      <c r="AT46" s="426"/>
    </row>
    <row r="47" spans="2:61" customFormat="1" ht="15.95" hidden="1" customHeight="1">
      <c r="AT47" s="426"/>
    </row>
    <row r="48" spans="2:61" ht="15.95" hidden="1" customHeight="1">
      <c r="AO48" s="235"/>
      <c r="AP48" s="235"/>
      <c r="AQ48" s="235"/>
      <c r="AR48" s="235"/>
      <c r="AS48" s="235"/>
      <c r="AV48" s="57"/>
      <c r="AW48" s="64"/>
      <c r="AX48"/>
      <c r="AY48"/>
      <c r="BA48" s="57"/>
    </row>
    <row r="49" spans="41:53" ht="15.95" hidden="1" customHeight="1">
      <c r="AO49" s="235"/>
      <c r="AP49" s="235"/>
      <c r="AQ49" s="235"/>
      <c r="AR49" s="235"/>
      <c r="AS49" s="235"/>
      <c r="AV49" s="57"/>
      <c r="AW49" s="64"/>
      <c r="AX49"/>
      <c r="AY49"/>
      <c r="BA49" s="57"/>
    </row>
    <row r="50" spans="41:53" ht="15.95" hidden="1" customHeight="1">
      <c r="AO50" s="235"/>
      <c r="AP50" s="235"/>
      <c r="AQ50" s="235"/>
      <c r="AR50" s="235"/>
      <c r="AS50" s="235"/>
      <c r="AV50" s="57"/>
      <c r="AW50" s="64"/>
      <c r="AX50"/>
      <c r="AY50"/>
      <c r="BA50" s="57"/>
    </row>
    <row r="51" spans="41:53" ht="15.95" hidden="1" customHeight="1">
      <c r="AO51" s="235"/>
      <c r="AP51" s="235"/>
      <c r="AQ51" s="235"/>
      <c r="AR51" s="235"/>
      <c r="AS51" s="235"/>
      <c r="AV51" s="57"/>
      <c r="AW51" s="64"/>
      <c r="AX51"/>
      <c r="AY51"/>
      <c r="BA51" s="57"/>
    </row>
    <row r="52" spans="41:53" ht="15.95" hidden="1" customHeight="1">
      <c r="AO52" s="235"/>
      <c r="AP52" s="235"/>
      <c r="AQ52" s="235"/>
      <c r="AR52" s="235"/>
      <c r="AS52" s="235"/>
      <c r="AV52" s="57"/>
      <c r="AW52" s="64"/>
      <c r="AX52"/>
      <c r="AY52"/>
      <c r="BA52" s="57"/>
    </row>
    <row r="53" spans="41:53" ht="15.95" hidden="1" customHeight="1">
      <c r="AO53" s="235"/>
      <c r="AP53" s="235"/>
      <c r="AQ53" s="235"/>
      <c r="AR53" s="235"/>
      <c r="AS53" s="235"/>
      <c r="AV53" s="57"/>
      <c r="AW53" s="64"/>
      <c r="AX53"/>
      <c r="AY53"/>
      <c r="BA53" s="57"/>
    </row>
    <row r="54" spans="41:53" ht="15.95" hidden="1" customHeight="1">
      <c r="AO54" s="235"/>
      <c r="AP54" s="235"/>
      <c r="AQ54" s="235"/>
      <c r="AR54" s="235"/>
      <c r="AS54" s="235"/>
      <c r="AV54" s="57"/>
      <c r="AW54" s="64"/>
      <c r="AX54"/>
      <c r="AY54"/>
      <c r="BA54" s="57"/>
    </row>
    <row r="55" spans="41:53" ht="15.95" hidden="1" customHeight="1">
      <c r="AO55" s="235"/>
      <c r="AP55" s="235"/>
      <c r="AQ55" s="235"/>
      <c r="AR55" s="235"/>
      <c r="AS55" s="235"/>
      <c r="AV55" s="57"/>
      <c r="AW55" s="64"/>
      <c r="AX55"/>
      <c r="AY55"/>
      <c r="BA55" s="57"/>
    </row>
    <row r="56" spans="41:53" ht="15.95" hidden="1" customHeight="1">
      <c r="AO56" s="235"/>
      <c r="AP56" s="235"/>
      <c r="AQ56" s="235"/>
      <c r="AR56" s="235"/>
      <c r="AS56" s="235"/>
      <c r="AV56" s="57"/>
      <c r="AW56" s="64"/>
      <c r="AX56"/>
      <c r="AY56"/>
      <c r="BA56" s="57"/>
    </row>
    <row r="57" spans="41:53" ht="15.95" hidden="1" customHeight="1">
      <c r="AO57" s="235"/>
      <c r="AP57" s="235"/>
      <c r="AQ57" s="235"/>
      <c r="AR57" s="235"/>
      <c r="AS57" s="235"/>
      <c r="AV57" s="57"/>
      <c r="AW57" s="64"/>
      <c r="AX57"/>
      <c r="AY57"/>
      <c r="BA57" s="57"/>
    </row>
    <row r="58" spans="41:53" ht="15.95" hidden="1" customHeight="1">
      <c r="AO58" s="235"/>
      <c r="AP58" s="235"/>
      <c r="AQ58" s="235"/>
      <c r="AR58" s="235"/>
      <c r="AS58" s="235"/>
      <c r="AV58" s="57"/>
      <c r="AW58" s="64"/>
      <c r="AX58"/>
      <c r="AY58"/>
      <c r="BA58" s="57"/>
    </row>
    <row r="59" spans="41:53" ht="15.95" hidden="1" customHeight="1">
      <c r="AO59" s="235"/>
      <c r="AP59" s="235"/>
      <c r="AQ59" s="235"/>
      <c r="AR59" s="235"/>
      <c r="AS59" s="235"/>
      <c r="AV59" s="57"/>
      <c r="AW59" s="64"/>
      <c r="AX59"/>
      <c r="AY59"/>
      <c r="BA59" s="57"/>
    </row>
    <row r="60" spans="41:53" ht="15.95" hidden="1" customHeight="1">
      <c r="AO60" s="235"/>
      <c r="AP60" s="235"/>
      <c r="AQ60" s="235"/>
      <c r="AR60" s="235"/>
      <c r="AS60" s="235"/>
      <c r="AV60" s="57"/>
      <c r="AW60" s="64"/>
      <c r="AX60"/>
      <c r="AY60"/>
      <c r="BA60" s="57"/>
    </row>
    <row r="61" spans="41:53" ht="15.95" hidden="1" customHeight="1">
      <c r="AO61" s="235"/>
      <c r="AP61" s="235"/>
      <c r="AQ61" s="235"/>
      <c r="AR61" s="235"/>
      <c r="AS61" s="235"/>
      <c r="AV61" s="57"/>
      <c r="AW61" s="64"/>
      <c r="AX61"/>
      <c r="AY61"/>
      <c r="BA61" s="57"/>
    </row>
    <row r="62" spans="41:53" ht="15.95" hidden="1" customHeight="1">
      <c r="AV62" s="57"/>
      <c r="AW62" s="64"/>
      <c r="AX62"/>
      <c r="AY62"/>
      <c r="BA62" s="57"/>
    </row>
    <row r="63" spans="41:53" ht="15.95" hidden="1" customHeight="1">
      <c r="AV63" s="57"/>
      <c r="AW63" s="64"/>
      <c r="AX63"/>
      <c r="AY63"/>
      <c r="BA63" s="57"/>
    </row>
    <row r="64" spans="41:53" ht="15.95" hidden="1" customHeight="1">
      <c r="AV64" s="57"/>
      <c r="AW64" s="64"/>
      <c r="AX64"/>
      <c r="AY64"/>
      <c r="BA64" s="57"/>
    </row>
    <row r="65" spans="48:53" ht="15.95" hidden="1" customHeight="1">
      <c r="AV65" s="57"/>
      <c r="AW65" s="64"/>
      <c r="AX65"/>
      <c r="AY65"/>
      <c r="BA65" s="57"/>
    </row>
    <row r="66" spans="48:53" ht="15.95" hidden="1" customHeight="1">
      <c r="AV66" s="57"/>
      <c r="AW66" s="64"/>
      <c r="AX66"/>
      <c r="AY66"/>
      <c r="BA66" s="57"/>
    </row>
    <row r="67" spans="48:53" ht="15.95" hidden="1" customHeight="1">
      <c r="AV67" s="57"/>
      <c r="AW67" s="64"/>
      <c r="AX67"/>
      <c r="AY67"/>
      <c r="BA67" s="57"/>
    </row>
    <row r="68" spans="48:53" ht="15.95" hidden="1" customHeight="1">
      <c r="AV68" s="57"/>
      <c r="AW68" s="64"/>
      <c r="AX68"/>
      <c r="AY68"/>
      <c r="BA68" s="57"/>
    </row>
    <row r="69" spans="48:53" ht="15.95" hidden="1" customHeight="1">
      <c r="AV69" s="57"/>
      <c r="AW69" s="64"/>
      <c r="AX69"/>
      <c r="AY69"/>
      <c r="BA69" s="57"/>
    </row>
    <row r="70" spans="48:53" ht="15.95" hidden="1" customHeight="1">
      <c r="AV70" s="57"/>
      <c r="AW70" s="64"/>
      <c r="AX70"/>
      <c r="AY70"/>
      <c r="BA70" s="57"/>
    </row>
    <row r="71" spans="48:53" ht="15.95" hidden="1" customHeight="1">
      <c r="AV71" s="57"/>
      <c r="AW71" s="64"/>
      <c r="AX71"/>
      <c r="AY71"/>
      <c r="BA71" s="57"/>
    </row>
    <row r="72" spans="48:53" ht="15.95" hidden="1" customHeight="1">
      <c r="AV72" s="57"/>
      <c r="AW72" s="64"/>
      <c r="AX72"/>
      <c r="AY72"/>
      <c r="BA72" s="57"/>
    </row>
    <row r="73" spans="48:53" ht="15.95" hidden="1" customHeight="1">
      <c r="AV73" s="57"/>
      <c r="AW73" s="64"/>
      <c r="AX73"/>
      <c r="AY73"/>
      <c r="BA73" s="57"/>
    </row>
    <row r="74" spans="48:53" ht="15.95" hidden="1" customHeight="1">
      <c r="AV74" s="57"/>
      <c r="AW74" s="64"/>
      <c r="AX74"/>
      <c r="AY74"/>
      <c r="BA74" s="57"/>
    </row>
    <row r="75" spans="48:53" ht="15.95" hidden="1" customHeight="1">
      <c r="AV75" s="57"/>
      <c r="AW75" s="64"/>
      <c r="AX75"/>
      <c r="AY75"/>
      <c r="BA75" s="57"/>
    </row>
    <row r="76" spans="48:53" ht="15.95" hidden="1" customHeight="1">
      <c r="AV76" s="57"/>
      <c r="AW76" s="64"/>
      <c r="AX76"/>
      <c r="AY76"/>
      <c r="BA76" s="57"/>
    </row>
    <row r="77" spans="48:53" ht="15.95" hidden="1" customHeight="1">
      <c r="AV77" s="57"/>
      <c r="AW77" s="64"/>
      <c r="AX77"/>
      <c r="AY77"/>
      <c r="BA77" s="57"/>
    </row>
    <row r="78" spans="48:53" ht="15.95" hidden="1" customHeight="1">
      <c r="AV78" s="57"/>
      <c r="AW78" s="64"/>
      <c r="AX78"/>
      <c r="AY78"/>
      <c r="BA78" s="57"/>
    </row>
    <row r="79" spans="48:53" ht="15.95" hidden="1" customHeight="1">
      <c r="AV79" s="57"/>
      <c r="AW79" s="64"/>
      <c r="AX79"/>
      <c r="AY79"/>
      <c r="BA79" s="57"/>
    </row>
    <row r="80" spans="48:53" ht="15.95" hidden="1" customHeight="1">
      <c r="AV80" s="57"/>
      <c r="AW80" s="64"/>
      <c r="AX80"/>
      <c r="AY80"/>
      <c r="BA80" s="57"/>
    </row>
    <row r="81" spans="48:53" ht="15.95" hidden="1" customHeight="1">
      <c r="AV81" s="57"/>
      <c r="AW81" s="64"/>
      <c r="AX81"/>
      <c r="AY81"/>
      <c r="BA81" s="57"/>
    </row>
    <row r="82" spans="48:53" ht="15.95" hidden="1" customHeight="1">
      <c r="AV82" s="57"/>
      <c r="AW82" s="64"/>
      <c r="AX82"/>
      <c r="AY82"/>
      <c r="BA82" s="57"/>
    </row>
    <row r="83" spans="48:53" ht="15.95" hidden="1" customHeight="1">
      <c r="AV83" s="57"/>
      <c r="AW83" s="64"/>
      <c r="AX83"/>
      <c r="AY83"/>
      <c r="BA83" s="57"/>
    </row>
    <row r="84" spans="48:53" ht="15.95" hidden="1" customHeight="1">
      <c r="AV84" s="57"/>
      <c r="AW84" s="64"/>
      <c r="AX84"/>
      <c r="AY84"/>
      <c r="BA84" s="57"/>
    </row>
    <row r="85" spans="48:53" ht="15.95" hidden="1" customHeight="1">
      <c r="AV85" s="57"/>
      <c r="AW85" s="64"/>
      <c r="AX85"/>
      <c r="AY85"/>
      <c r="BA85" s="57"/>
    </row>
    <row r="86" spans="48:53" ht="15.95" hidden="1" customHeight="1">
      <c r="AV86" s="57"/>
      <c r="AW86" s="64"/>
      <c r="AX86"/>
      <c r="AY86"/>
      <c r="BA86" s="57"/>
    </row>
    <row r="87" spans="48:53" ht="15.95" hidden="1" customHeight="1">
      <c r="AV87" s="57"/>
      <c r="AW87" s="64"/>
      <c r="AX87"/>
      <c r="AY87"/>
      <c r="BA87" s="57"/>
    </row>
    <row r="88" spans="48:53" ht="15.95" hidden="1" customHeight="1">
      <c r="AV88" s="57"/>
      <c r="AW88" s="64"/>
      <c r="AX88"/>
      <c r="AY88"/>
      <c r="BA88" s="57"/>
    </row>
    <row r="89" spans="48:53" ht="15.95" hidden="1" customHeight="1">
      <c r="AV89" s="57"/>
      <c r="AW89" s="64"/>
      <c r="AX89"/>
      <c r="AY89"/>
      <c r="BA89" s="57"/>
    </row>
    <row r="90" spans="48:53" ht="15.95" hidden="1" customHeight="1">
      <c r="AV90" s="57"/>
      <c r="AW90" s="64"/>
      <c r="AX90"/>
      <c r="AY90"/>
      <c r="BA90" s="57"/>
    </row>
    <row r="91" spans="48:53" ht="15.95" hidden="1" customHeight="1">
      <c r="AV91" s="57"/>
      <c r="AW91" s="64"/>
      <c r="AX91"/>
      <c r="AY91"/>
      <c r="BA91" s="57"/>
    </row>
    <row r="92" spans="48:53" ht="15.95" hidden="1" customHeight="1">
      <c r="AV92" s="57"/>
      <c r="AW92" s="64"/>
      <c r="AX92"/>
      <c r="AY92"/>
      <c r="BA92" s="57"/>
    </row>
    <row r="93" spans="48:53" ht="15.95" hidden="1" customHeight="1">
      <c r="AV93" s="57"/>
      <c r="AW93" s="64"/>
      <c r="AX93"/>
      <c r="AY93"/>
      <c r="BA93" s="57"/>
    </row>
    <row r="94" spans="48:53" ht="15.95" hidden="1" customHeight="1">
      <c r="AV94" s="57"/>
      <c r="AW94" s="64"/>
      <c r="AX94"/>
      <c r="AY94"/>
      <c r="BA94" s="57"/>
    </row>
    <row r="95" spans="48:53" ht="15.95" hidden="1" customHeight="1">
      <c r="AV95" s="57"/>
      <c r="AW95" s="64"/>
      <c r="AX95"/>
      <c r="AY95"/>
      <c r="BA95" s="57"/>
    </row>
    <row r="96" spans="48:53" ht="15.95" hidden="1" customHeight="1">
      <c r="AV96" s="57"/>
      <c r="AW96" s="64"/>
      <c r="AX96"/>
      <c r="AY96"/>
      <c r="BA96" s="57"/>
    </row>
    <row r="97" spans="48:53" ht="15.95" hidden="1" customHeight="1">
      <c r="AV97" s="57"/>
      <c r="AW97" s="64"/>
      <c r="AX97"/>
      <c r="AY97"/>
      <c r="BA97" s="57"/>
    </row>
    <row r="98" spans="48:53" ht="15.95" hidden="1" customHeight="1">
      <c r="AV98" s="57"/>
      <c r="AW98" s="64"/>
      <c r="AX98"/>
      <c r="AY98"/>
      <c r="BA98" s="57"/>
    </row>
    <row r="99" spans="48:53" ht="15.95" hidden="1" customHeight="1">
      <c r="AV99" s="57"/>
      <c r="AW99" s="64"/>
      <c r="AX99"/>
      <c r="AY99"/>
      <c r="BA99" s="57"/>
    </row>
    <row r="100" spans="48:53" ht="15.95" hidden="1" customHeight="1">
      <c r="AV100" s="57"/>
      <c r="AW100" s="64"/>
      <c r="AX100"/>
      <c r="AY100"/>
      <c r="BA100" s="57"/>
    </row>
    <row r="101" spans="48:53" ht="15.95" hidden="1" customHeight="1">
      <c r="AV101" s="57"/>
      <c r="AW101" s="64"/>
      <c r="AX101"/>
      <c r="AY101"/>
      <c r="BA101" s="57"/>
    </row>
    <row r="102" spans="48:53" ht="15.95" hidden="1" customHeight="1">
      <c r="AV102" s="57"/>
      <c r="AW102" s="64"/>
      <c r="AX102"/>
      <c r="AY102"/>
      <c r="BA102" s="57"/>
    </row>
    <row r="103" spans="48:53" ht="15.95" hidden="1" customHeight="1">
      <c r="AV103" s="57"/>
      <c r="AW103" s="64"/>
      <c r="AX103"/>
      <c r="AY103"/>
      <c r="BA103" s="57"/>
    </row>
    <row r="104" spans="48:53" ht="15.95" hidden="1" customHeight="1">
      <c r="AV104" s="57"/>
      <c r="AW104" s="64"/>
      <c r="AX104"/>
      <c r="AY104"/>
      <c r="BA104" s="57"/>
    </row>
    <row r="105" spans="48:53" ht="15.95" hidden="1" customHeight="1">
      <c r="AV105" s="57"/>
      <c r="AW105" s="64"/>
      <c r="AX105"/>
      <c r="AY105"/>
      <c r="BA105" s="57"/>
    </row>
    <row r="106" spans="48:53" ht="15.95" hidden="1" customHeight="1">
      <c r="AV106" s="57"/>
      <c r="AW106" s="64"/>
      <c r="AX106"/>
      <c r="AY106"/>
      <c r="BA106" s="57"/>
    </row>
    <row r="107" spans="48:53" ht="15.95" hidden="1" customHeight="1">
      <c r="AV107" s="57"/>
      <c r="AW107" s="64"/>
      <c r="AX107"/>
      <c r="AY107"/>
      <c r="BA107" s="57"/>
    </row>
    <row r="108" spans="48:53" ht="15.95" hidden="1" customHeight="1">
      <c r="AV108" s="57"/>
      <c r="AW108" s="64"/>
      <c r="AX108"/>
      <c r="AY108"/>
      <c r="BA108" s="57"/>
    </row>
    <row r="109" spans="48:53" ht="15.95" hidden="1" customHeight="1">
      <c r="AV109" s="57"/>
      <c r="AW109" s="64"/>
      <c r="AX109"/>
      <c r="AY109"/>
      <c r="BA109" s="57"/>
    </row>
    <row r="110" spans="48:53" ht="15.95" hidden="1" customHeight="1">
      <c r="AV110" s="57"/>
      <c r="AW110" s="64"/>
      <c r="AX110"/>
      <c r="AY110"/>
      <c r="BA110" s="57"/>
    </row>
    <row r="111" spans="48:53" ht="15.95" hidden="1" customHeight="1">
      <c r="AV111" s="57"/>
      <c r="AW111" s="64"/>
      <c r="AX111"/>
      <c r="AY111"/>
      <c r="BA111" s="57"/>
    </row>
    <row r="112" spans="48:53" ht="15.95" hidden="1" customHeight="1">
      <c r="AV112" s="57"/>
      <c r="AW112" s="64"/>
      <c r="AX112"/>
      <c r="AY112"/>
      <c r="BA112" s="57"/>
    </row>
    <row r="113" spans="48:53" ht="15.95" hidden="1" customHeight="1">
      <c r="AV113" s="57"/>
      <c r="AW113" s="64"/>
      <c r="AX113"/>
      <c r="AY113"/>
      <c r="BA113" s="57"/>
    </row>
    <row r="114" spans="48:53" ht="15.95" hidden="1" customHeight="1">
      <c r="AV114" s="57"/>
      <c r="AW114" s="64"/>
      <c r="AX114"/>
      <c r="AY114"/>
      <c r="BA114" s="57"/>
    </row>
    <row r="115" spans="48:53" ht="15.95" hidden="1" customHeight="1">
      <c r="AV115" s="57"/>
      <c r="AW115" s="64"/>
      <c r="AX115"/>
      <c r="AY115"/>
      <c r="BA115" s="57"/>
    </row>
    <row r="116" spans="48:53" ht="15.95" hidden="1" customHeight="1">
      <c r="AV116" s="57"/>
      <c r="AW116" s="64"/>
      <c r="AX116"/>
      <c r="AY116"/>
      <c r="BA116" s="57"/>
    </row>
    <row r="117" spans="48:53" ht="15.95" hidden="1" customHeight="1">
      <c r="AV117" s="57"/>
      <c r="AW117" s="64"/>
      <c r="AX117"/>
      <c r="AY117"/>
      <c r="BA117" s="57"/>
    </row>
    <row r="118" spans="48:53" ht="15.95" hidden="1" customHeight="1">
      <c r="AV118" s="57"/>
      <c r="AW118" s="64"/>
      <c r="AX118"/>
      <c r="AY118"/>
      <c r="BA118" s="57"/>
    </row>
    <row r="119" spans="48:53" ht="15.95" hidden="1" customHeight="1">
      <c r="AV119" s="57"/>
      <c r="AW119" s="64"/>
      <c r="AX119"/>
      <c r="AY119"/>
      <c r="BA119" s="57"/>
    </row>
    <row r="120" spans="48:53" ht="15.95" hidden="1" customHeight="1">
      <c r="AV120" s="57"/>
      <c r="AW120" s="64"/>
      <c r="AX120"/>
      <c r="AY120"/>
      <c r="BA120" s="57"/>
    </row>
    <row r="121" spans="48:53" ht="15.95" hidden="1" customHeight="1">
      <c r="AV121" s="57"/>
      <c r="AW121" s="64"/>
      <c r="AX121"/>
      <c r="AY121"/>
      <c r="BA121" s="57"/>
    </row>
    <row r="122" spans="48:53" ht="15.95" hidden="1" customHeight="1">
      <c r="AV122" s="57"/>
      <c r="AW122" s="64"/>
      <c r="AX122"/>
      <c r="AY122"/>
      <c r="BA122" s="57"/>
    </row>
    <row r="123" spans="48:53" ht="15.95" hidden="1" customHeight="1">
      <c r="AV123" s="57"/>
      <c r="AW123" s="64"/>
      <c r="AX123"/>
      <c r="AY123"/>
      <c r="BA123" s="57"/>
    </row>
    <row r="124" spans="48:53" ht="15.95" hidden="1" customHeight="1">
      <c r="AV124" s="57"/>
      <c r="AW124" s="64"/>
      <c r="AX124"/>
      <c r="AY124"/>
      <c r="BA124" s="57"/>
    </row>
    <row r="125" spans="48:53" ht="15.95" hidden="1" customHeight="1">
      <c r="AV125" s="57"/>
      <c r="AW125" s="64"/>
      <c r="AX125"/>
      <c r="AY125"/>
      <c r="BA125" s="57"/>
    </row>
    <row r="126" spans="48:53" ht="15.95" hidden="1" customHeight="1">
      <c r="AV126" s="57"/>
      <c r="AW126" s="64"/>
      <c r="AX126"/>
      <c r="AY126"/>
      <c r="BA126" s="57"/>
    </row>
    <row r="127" spans="48:53" ht="15.95" hidden="1" customHeight="1">
      <c r="AV127" s="57"/>
      <c r="AW127" s="64"/>
      <c r="AX127"/>
      <c r="AY127"/>
      <c r="BA127" s="57"/>
    </row>
    <row r="128" spans="48:53" ht="15.95" hidden="1" customHeight="1">
      <c r="AV128" s="57"/>
      <c r="AW128" s="64"/>
      <c r="AX128"/>
      <c r="AY128"/>
      <c r="BA128" s="57"/>
    </row>
    <row r="129" spans="48:53" ht="15.95" hidden="1" customHeight="1">
      <c r="AV129" s="57"/>
      <c r="AW129" s="64"/>
      <c r="AX129"/>
      <c r="AY129"/>
      <c r="BA129" s="57"/>
    </row>
    <row r="130" spans="48:53" ht="15.95" hidden="1" customHeight="1">
      <c r="AV130" s="57"/>
      <c r="AW130" s="64"/>
      <c r="AX130"/>
      <c r="AY130"/>
      <c r="BA130" s="57"/>
    </row>
    <row r="131" spans="48:53" ht="15.95" hidden="1" customHeight="1">
      <c r="AV131" s="57"/>
      <c r="AW131" s="64"/>
      <c r="AX131"/>
      <c r="AY131"/>
      <c r="BA131" s="57"/>
    </row>
    <row r="132" spans="48:53" ht="15.95" hidden="1" customHeight="1">
      <c r="AV132" s="57"/>
      <c r="AW132" s="64"/>
      <c r="AX132"/>
      <c r="AY132"/>
      <c r="BA132" s="57"/>
    </row>
    <row r="133" spans="48:53" ht="15.95" hidden="1" customHeight="1">
      <c r="AV133" s="57"/>
      <c r="AW133" s="64"/>
      <c r="AX133"/>
      <c r="AY133"/>
      <c r="BA133" s="57"/>
    </row>
    <row r="134" spans="48:53" ht="15.95" hidden="1" customHeight="1">
      <c r="AV134" s="57"/>
      <c r="AW134" s="64"/>
      <c r="AX134"/>
      <c r="AY134"/>
      <c r="BA134" s="57"/>
    </row>
    <row r="135" spans="48:53" ht="15.95" hidden="1" customHeight="1">
      <c r="AV135" s="57"/>
      <c r="AW135" s="64"/>
      <c r="AX135"/>
      <c r="AY135"/>
      <c r="BA135" s="57"/>
    </row>
    <row r="136" spans="48:53" ht="15.95" hidden="1" customHeight="1">
      <c r="AV136" s="57"/>
      <c r="AW136" s="64"/>
      <c r="AX136"/>
      <c r="AY136"/>
      <c r="BA136" s="57"/>
    </row>
    <row r="137" spans="48:53" ht="15.95" hidden="1" customHeight="1">
      <c r="AV137" s="57"/>
      <c r="AW137" s="64"/>
      <c r="AX137"/>
      <c r="AY137"/>
      <c r="BA137" s="57"/>
    </row>
    <row r="138" spans="48:53" ht="15.95" hidden="1" customHeight="1">
      <c r="AV138" s="57"/>
      <c r="AW138" s="64"/>
      <c r="AX138"/>
      <c r="AY138"/>
      <c r="BA138" s="57"/>
    </row>
    <row r="139" spans="48:53" ht="15.95" hidden="1" customHeight="1">
      <c r="AV139" s="57"/>
      <c r="AW139" s="64"/>
      <c r="AX139"/>
      <c r="AY139"/>
      <c r="BA139" s="57"/>
    </row>
    <row r="140" spans="48:53" ht="15.95" hidden="1" customHeight="1">
      <c r="AV140" s="57"/>
      <c r="AW140" s="64"/>
      <c r="AX140"/>
      <c r="AY140"/>
      <c r="BA140" s="57"/>
    </row>
    <row r="141" spans="48:53" ht="15.95" hidden="1" customHeight="1">
      <c r="AV141" s="57"/>
      <c r="AW141" s="64"/>
      <c r="AX141"/>
      <c r="AY141"/>
      <c r="BA141" s="57"/>
    </row>
    <row r="142" spans="48:53" ht="15.95" hidden="1" customHeight="1">
      <c r="AV142" s="57"/>
      <c r="AW142" s="64"/>
      <c r="AX142"/>
      <c r="AY142"/>
      <c r="BA142" s="57"/>
    </row>
    <row r="143" spans="48:53" ht="15.95" hidden="1" customHeight="1">
      <c r="AV143" s="57"/>
      <c r="AW143" s="64"/>
      <c r="AX143"/>
      <c r="AY143"/>
      <c r="BA143" s="57"/>
    </row>
    <row r="144" spans="48:53" ht="15.95" hidden="1" customHeight="1">
      <c r="AV144" s="57"/>
      <c r="AW144" s="64"/>
      <c r="AX144"/>
      <c r="AY144"/>
      <c r="BA144" s="57"/>
    </row>
    <row r="145" spans="48:53" ht="15.95" hidden="1" customHeight="1">
      <c r="AV145" s="57"/>
      <c r="AW145" s="64"/>
      <c r="AX145"/>
      <c r="AY145"/>
      <c r="BA145" s="57"/>
    </row>
    <row r="146" spans="48:53" ht="15.95" hidden="1" customHeight="1">
      <c r="AV146" s="57"/>
      <c r="AW146" s="64"/>
      <c r="AX146"/>
      <c r="AY146"/>
      <c r="BA146" s="57"/>
    </row>
    <row r="147" spans="48:53" ht="15.95" hidden="1" customHeight="1">
      <c r="AV147" s="57"/>
      <c r="AW147" s="64"/>
      <c r="AX147"/>
      <c r="AY147"/>
      <c r="BA147" s="57"/>
    </row>
    <row r="148" spans="48:53" ht="15.95" hidden="1" customHeight="1">
      <c r="AV148" s="57"/>
      <c r="AW148" s="64"/>
      <c r="AX148"/>
      <c r="AY148"/>
      <c r="BA148" s="57"/>
    </row>
    <row r="149" spans="48:53" ht="15.95" hidden="1" customHeight="1">
      <c r="AV149" s="57"/>
      <c r="AW149" s="64"/>
      <c r="AX149"/>
      <c r="AY149"/>
      <c r="BA149" s="57"/>
    </row>
    <row r="150" spans="48:53" ht="15.95" hidden="1" customHeight="1">
      <c r="AV150" s="57"/>
      <c r="AW150" s="64"/>
      <c r="AX150"/>
      <c r="AY150"/>
      <c r="BA150" s="57"/>
    </row>
    <row r="151" spans="48:53" ht="15.95" hidden="1" customHeight="1">
      <c r="AV151" s="57"/>
      <c r="AW151" s="64"/>
      <c r="AX151"/>
      <c r="AY151"/>
      <c r="BA151" s="57"/>
    </row>
    <row r="152" spans="48:53" ht="15.95" hidden="1" customHeight="1">
      <c r="AV152" s="57"/>
      <c r="AW152" s="64"/>
      <c r="AX152"/>
      <c r="AY152"/>
      <c r="BA152" s="57"/>
    </row>
    <row r="153" spans="48:53" ht="15.95" hidden="1" customHeight="1">
      <c r="AV153" s="57"/>
      <c r="AW153" s="64"/>
      <c r="AX153"/>
      <c r="AY153"/>
      <c r="BA153" s="57"/>
    </row>
    <row r="154" spans="48:53" ht="15.95" hidden="1" customHeight="1">
      <c r="AV154" s="57"/>
      <c r="AW154" s="64"/>
      <c r="AX154"/>
      <c r="AY154"/>
      <c r="BA154" s="57"/>
    </row>
    <row r="155" spans="48:53" ht="15.95" hidden="1" customHeight="1">
      <c r="AV155" s="57"/>
      <c r="AW155" s="64"/>
      <c r="AX155"/>
      <c r="AY155"/>
      <c r="BA155" s="57"/>
    </row>
    <row r="156" spans="48:53" ht="15.95" hidden="1" customHeight="1">
      <c r="AV156" s="57"/>
      <c r="AW156" s="64"/>
      <c r="AX156"/>
      <c r="AY156"/>
      <c r="BA156" s="57"/>
    </row>
    <row r="157" spans="48:53" ht="15.95" hidden="1" customHeight="1">
      <c r="AV157" s="57"/>
      <c r="AW157" s="64"/>
      <c r="AX157"/>
      <c r="AY157"/>
      <c r="BA157" s="57"/>
    </row>
    <row r="158" spans="48:53" ht="15.95" hidden="1" customHeight="1">
      <c r="AV158" s="57"/>
      <c r="AW158" s="64"/>
      <c r="AX158"/>
      <c r="AY158"/>
      <c r="BA158" s="57"/>
    </row>
    <row r="159" spans="48:53" ht="15.95" hidden="1" customHeight="1">
      <c r="AV159" s="57"/>
      <c r="AW159" s="64"/>
      <c r="AX159"/>
      <c r="AY159"/>
      <c r="BA159" s="57"/>
    </row>
    <row r="160" spans="48:53" ht="15.95" hidden="1" customHeight="1">
      <c r="AV160" s="57"/>
      <c r="AW160" s="64"/>
      <c r="AX160"/>
      <c r="AY160"/>
      <c r="BA160" s="57"/>
    </row>
    <row r="161" spans="48:53" ht="15.95" hidden="1" customHeight="1">
      <c r="AV161" s="57"/>
      <c r="AW161" s="64"/>
      <c r="AX161"/>
      <c r="AY161"/>
      <c r="BA161" s="57"/>
    </row>
    <row r="162" spans="48:53" ht="15.95" hidden="1" customHeight="1">
      <c r="AV162" s="57"/>
      <c r="AW162" s="64"/>
      <c r="AX162"/>
      <c r="AY162"/>
      <c r="BA162" s="57"/>
    </row>
    <row r="163" spans="48:53" ht="15.95" hidden="1" customHeight="1">
      <c r="AV163" s="57"/>
      <c r="AW163" s="64"/>
      <c r="AX163"/>
      <c r="AY163"/>
      <c r="BA163" s="57"/>
    </row>
    <row r="164" spans="48:53" ht="15.95" hidden="1" customHeight="1">
      <c r="AV164" s="57"/>
      <c r="AW164" s="64"/>
      <c r="AX164"/>
      <c r="AY164"/>
      <c r="BA164" s="57"/>
    </row>
    <row r="165" spans="48:53" ht="15.95" hidden="1" customHeight="1">
      <c r="AV165" s="57"/>
      <c r="AW165" s="64"/>
      <c r="AX165"/>
      <c r="AY165"/>
      <c r="BA165" s="57"/>
    </row>
    <row r="166" spans="48:53" ht="15.95" hidden="1" customHeight="1">
      <c r="AV166" s="57"/>
      <c r="AW166" s="64"/>
      <c r="AX166"/>
      <c r="AY166"/>
      <c r="BA166" s="57"/>
    </row>
    <row r="167" spans="48:53" ht="15.95" hidden="1" customHeight="1">
      <c r="AV167" s="57"/>
      <c r="AW167" s="64"/>
      <c r="AX167"/>
      <c r="AY167"/>
      <c r="BA167" s="57"/>
    </row>
    <row r="168" spans="48:53" ht="15.95" hidden="1" customHeight="1">
      <c r="AV168" s="57"/>
      <c r="AW168" s="64"/>
      <c r="AX168"/>
      <c r="AY168"/>
      <c r="BA168" s="57"/>
    </row>
    <row r="169" spans="48:53" ht="15.95" hidden="1" customHeight="1">
      <c r="AV169" s="57"/>
      <c r="AW169" s="64"/>
      <c r="AX169"/>
      <c r="AY169"/>
      <c r="BA169" s="57"/>
    </row>
    <row r="170" spans="48:53" ht="15.95" hidden="1" customHeight="1">
      <c r="AV170" s="57"/>
      <c r="AW170" s="64"/>
      <c r="AX170"/>
      <c r="AY170"/>
      <c r="BA170" s="57"/>
    </row>
    <row r="171" spans="48:53" ht="15.95" hidden="1" customHeight="1">
      <c r="AV171" s="57"/>
      <c r="AW171" s="64"/>
      <c r="AX171"/>
      <c r="AY171"/>
      <c r="BA171" s="57"/>
    </row>
    <row r="172" spans="48:53" ht="15.95" hidden="1" customHeight="1">
      <c r="AV172" s="57"/>
      <c r="AW172" s="64"/>
      <c r="AX172"/>
      <c r="AY172"/>
      <c r="BA172" s="57"/>
    </row>
    <row r="173" spans="48:53" ht="15.95" hidden="1" customHeight="1">
      <c r="AV173" s="57"/>
      <c r="AW173" s="64"/>
      <c r="AX173"/>
      <c r="AY173"/>
      <c r="BA173" s="57"/>
    </row>
    <row r="174" spans="48:53" ht="15.95" hidden="1" customHeight="1">
      <c r="AV174" s="57"/>
      <c r="AW174" s="64"/>
      <c r="AX174"/>
      <c r="AY174"/>
      <c r="BA174" s="57"/>
    </row>
    <row r="175" spans="48:53" ht="15.95" hidden="1" customHeight="1">
      <c r="AV175" s="57"/>
      <c r="AW175" s="64"/>
      <c r="AX175"/>
      <c r="AY175"/>
      <c r="BA175" s="57"/>
    </row>
    <row r="176" spans="48:53" ht="15.95" hidden="1" customHeight="1">
      <c r="AV176" s="57"/>
      <c r="AW176" s="64"/>
      <c r="AX176"/>
      <c r="AY176"/>
      <c r="BA176" s="57"/>
    </row>
    <row r="177" spans="48:53" ht="15.95" hidden="1" customHeight="1">
      <c r="AV177" s="57"/>
      <c r="AW177" s="64"/>
      <c r="AX177"/>
      <c r="AY177"/>
      <c r="BA177" s="57"/>
    </row>
    <row r="178" spans="48:53" ht="15.95" hidden="1" customHeight="1">
      <c r="AV178" s="57"/>
      <c r="AW178" s="64"/>
      <c r="AX178"/>
      <c r="AY178"/>
      <c r="BA178" s="57"/>
    </row>
    <row r="179" spans="48:53" ht="15.95" hidden="1" customHeight="1">
      <c r="AV179" s="57"/>
      <c r="AW179" s="64"/>
      <c r="AX179"/>
      <c r="AY179"/>
      <c r="BA179" s="57"/>
    </row>
    <row r="180" spans="48:53" ht="15.95" hidden="1" customHeight="1">
      <c r="AV180" s="57"/>
      <c r="AW180" s="64"/>
      <c r="AX180"/>
      <c r="AY180"/>
      <c r="BA180" s="57"/>
    </row>
    <row r="181" spans="48:53" ht="15.95" hidden="1" customHeight="1">
      <c r="AV181" s="57"/>
      <c r="AW181" s="64"/>
      <c r="AX181"/>
      <c r="AY181"/>
      <c r="BA181" s="57"/>
    </row>
    <row r="182" spans="48:53" ht="15.95" hidden="1" customHeight="1">
      <c r="AV182" s="57"/>
      <c r="AW182" s="64"/>
      <c r="AX182"/>
      <c r="AY182"/>
      <c r="BA182" s="57"/>
    </row>
    <row r="183" spans="48:53" ht="15.95" hidden="1" customHeight="1">
      <c r="AV183" s="57"/>
      <c r="AW183" s="64"/>
      <c r="AX183"/>
      <c r="AY183"/>
      <c r="BA183" s="57"/>
    </row>
    <row r="184" spans="48:53" ht="15.95" hidden="1" customHeight="1">
      <c r="AV184" s="57"/>
      <c r="AW184" s="64"/>
      <c r="AX184"/>
      <c r="AY184"/>
      <c r="BA184" s="57"/>
    </row>
    <row r="185" spans="48:53" ht="15.95" hidden="1" customHeight="1">
      <c r="AV185" s="57"/>
      <c r="AW185" s="64"/>
      <c r="AX185"/>
      <c r="AY185"/>
      <c r="BA185" s="57"/>
    </row>
    <row r="186" spans="48:53" ht="15.95" hidden="1" customHeight="1">
      <c r="AV186" s="57"/>
      <c r="AW186" s="64"/>
      <c r="AX186"/>
      <c r="AY186"/>
      <c r="BA186" s="57"/>
    </row>
    <row r="187" spans="48:53" ht="15.95" hidden="1" customHeight="1">
      <c r="AV187" s="57"/>
      <c r="AW187" s="64"/>
      <c r="AX187"/>
      <c r="AY187"/>
      <c r="BA187" s="57"/>
    </row>
    <row r="188" spans="48:53" ht="15.95" hidden="1" customHeight="1">
      <c r="AV188" s="57"/>
      <c r="AW188" s="64"/>
      <c r="AX188"/>
      <c r="AY188"/>
      <c r="BA188" s="57"/>
    </row>
    <row r="189" spans="48:53" ht="15.95" hidden="1" customHeight="1">
      <c r="AV189" s="57"/>
      <c r="AW189" s="64"/>
      <c r="AX189"/>
      <c r="AY189"/>
      <c r="BA189" s="57"/>
    </row>
    <row r="190" spans="48:53" ht="15.95" hidden="1" customHeight="1">
      <c r="AV190" s="57"/>
      <c r="AW190" s="64"/>
      <c r="AX190"/>
      <c r="AY190"/>
      <c r="BA190" s="57"/>
    </row>
    <row r="191" spans="48:53" ht="15.95" hidden="1" customHeight="1">
      <c r="AV191" s="57"/>
      <c r="AW191" s="64"/>
      <c r="AX191"/>
      <c r="AY191"/>
      <c r="BA191" s="57"/>
    </row>
    <row r="192" spans="48:53" ht="15.95" hidden="1" customHeight="1">
      <c r="AV192" s="57"/>
      <c r="AW192" s="64"/>
      <c r="AX192"/>
      <c r="AY192"/>
      <c r="BA192" s="57"/>
    </row>
    <row r="193" spans="1:54" ht="15.95" hidden="1" customHeight="1">
      <c r="AV193" s="57"/>
      <c r="AW193" s="64"/>
      <c r="AX193"/>
      <c r="AY193"/>
      <c r="BA193" s="57"/>
    </row>
    <row r="194" spans="1:54" ht="15.95" hidden="1" customHeight="1">
      <c r="AV194" s="57"/>
      <c r="AW194" s="64"/>
      <c r="AX194"/>
      <c r="AY194"/>
      <c r="BA194" s="57"/>
    </row>
    <row r="195" spans="1:54" ht="15.95" hidden="1" customHeight="1">
      <c r="AV195" s="57"/>
      <c r="AW195" s="64"/>
      <c r="AX195"/>
      <c r="AY195"/>
      <c r="BA195" s="57"/>
    </row>
    <row r="196" spans="1:54" ht="15.95" hidden="1" customHeight="1">
      <c r="AV196" s="57"/>
      <c r="AW196" s="64"/>
      <c r="AX196"/>
      <c r="AY196"/>
      <c r="BA196" s="57"/>
    </row>
    <row r="197" spans="1:54" ht="15.95" hidden="1" customHeight="1">
      <c r="AV197" s="57"/>
      <c r="AW197" s="64"/>
      <c r="AX197"/>
      <c r="AY197"/>
      <c r="BA197" s="57"/>
    </row>
    <row r="198" spans="1:54" ht="15.95" hidden="1" customHeight="1">
      <c r="AV198" s="57"/>
      <c r="AW198" s="64"/>
      <c r="AX198"/>
      <c r="AY198"/>
      <c r="BA198" s="57"/>
    </row>
    <row r="199" spans="1:54" ht="15.95" hidden="1" customHeight="1">
      <c r="AV199" s="57"/>
      <c r="AW199" s="64"/>
      <c r="AX199"/>
      <c r="AY199"/>
      <c r="BA199" s="57"/>
    </row>
    <row r="200" spans="1:54"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T200" s="862">
        <f>SUM(AT18:AT199)</f>
        <v>0</v>
      </c>
      <c r="AU200"/>
      <c r="AV200" s="863">
        <f>SUM(AV18:AV199)</f>
        <v>0</v>
      </c>
      <c r="AW200" s="864">
        <f>SUM(AW18:AW199)</f>
        <v>0</v>
      </c>
      <c r="AX200"/>
      <c r="AY200"/>
      <c r="AZ200"/>
      <c r="BA200"/>
      <c r="BB200"/>
    </row>
    <row r="201" spans="1:54"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T201" s="862"/>
      <c r="AU201"/>
      <c r="AV201" s="863"/>
      <c r="AW201" s="864"/>
      <c r="AX201"/>
      <c r="AY201"/>
      <c r="AZ201"/>
      <c r="BA201"/>
      <c r="BB201"/>
    </row>
    <row r="202" spans="1:54"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4" ht="15.95" hidden="1" customHeight="1"/>
    <row r="204" spans="1:54" ht="15.95" hidden="1" customHeight="1"/>
    <row r="205" spans="1:54" hidden="1"/>
    <row r="206" spans="1:54" hidden="1"/>
    <row r="207" spans="1:54" hidden="1"/>
    <row r="208" spans="1:54" hidden="1"/>
    <row r="209" hidden="1"/>
    <row r="210" hidden="1"/>
    <row r="211" hidden="1"/>
    <row r="212" hidden="1"/>
    <row r="213" hidden="1"/>
    <row r="214" hidden="1"/>
    <row r="215" hidden="1"/>
    <row r="216" hidden="1"/>
  </sheetData>
  <sheetProtection algorithmName="SHA-512" hashValue="BZvfU9Quc7Ghm0VSO1Py5Cd51/NI1DTxAOvutgqUSEqap/x/Z8FP82a3/nXgWhRGfuQEA8V4tXQ1xosCQnynmQ==" saltValue="2p55jV8tdUUAVOfq1Nr3cA==" spinCount="100000" sheet="1" objects="1" scenarios="1" selectLockedCells="1"/>
  <mergeCells count="347">
    <mergeCell ref="BI34:BI35"/>
    <mergeCell ref="BI36:BI37"/>
    <mergeCell ref="BI16:BI17"/>
    <mergeCell ref="BI18:BI19"/>
    <mergeCell ref="BI20:BI21"/>
    <mergeCell ref="BI22:BI23"/>
    <mergeCell ref="BI24:BI25"/>
    <mergeCell ref="BI26:BI27"/>
    <mergeCell ref="BI28:BI29"/>
    <mergeCell ref="BI30:BI31"/>
    <mergeCell ref="BI32:BI33"/>
    <mergeCell ref="BH34:BH35"/>
    <mergeCell ref="BH36:BH37"/>
    <mergeCell ref="BH16:BH17"/>
    <mergeCell ref="BH18:BH19"/>
    <mergeCell ref="BH20:BH21"/>
    <mergeCell ref="BH22:BH23"/>
    <mergeCell ref="BH24:BH25"/>
    <mergeCell ref="BH26:BH27"/>
    <mergeCell ref="BH28:BH29"/>
    <mergeCell ref="BH30:BH31"/>
    <mergeCell ref="BH32:BH33"/>
    <mergeCell ref="BE36:BE37"/>
    <mergeCell ref="BF20:BF21"/>
    <mergeCell ref="BF22:BF23"/>
    <mergeCell ref="BF24:BF25"/>
    <mergeCell ref="BF26:BF27"/>
    <mergeCell ref="BF28:BF29"/>
    <mergeCell ref="BF30:BF31"/>
    <mergeCell ref="BF32:BF33"/>
    <mergeCell ref="BF34:BF35"/>
    <mergeCell ref="BF36:BF37"/>
    <mergeCell ref="BE16:BE17"/>
    <mergeCell ref="BF16:BF17"/>
    <mergeCell ref="BE18:BE19"/>
    <mergeCell ref="BF18:BF19"/>
    <mergeCell ref="BE20:BE21"/>
    <mergeCell ref="BE22:BE23"/>
    <mergeCell ref="BE24:BE25"/>
    <mergeCell ref="BE26:BE27"/>
    <mergeCell ref="BE28:BE29"/>
    <mergeCell ref="M16:N17"/>
    <mergeCell ref="M18:N19"/>
    <mergeCell ref="M20:N21"/>
    <mergeCell ref="M22:N23"/>
    <mergeCell ref="M24:N25"/>
    <mergeCell ref="M26:N27"/>
    <mergeCell ref="M28:N29"/>
    <mergeCell ref="M30:N31"/>
    <mergeCell ref="M32:N33"/>
    <mergeCell ref="C26:L27"/>
    <mergeCell ref="C28:L29"/>
    <mergeCell ref="C30:L31"/>
    <mergeCell ref="C32:L33"/>
    <mergeCell ref="BG28:BG29"/>
    <mergeCell ref="BG30:BG31"/>
    <mergeCell ref="BG32:BG33"/>
    <mergeCell ref="BG34:BG35"/>
    <mergeCell ref="M34:N35"/>
    <mergeCell ref="BA26:BA27"/>
    <mergeCell ref="BA30:BA31"/>
    <mergeCell ref="AZ34:AZ35"/>
    <mergeCell ref="BA34:BA35"/>
    <mergeCell ref="AB32:AD33"/>
    <mergeCell ref="AT28:AT29"/>
    <mergeCell ref="AV28:AV29"/>
    <mergeCell ref="BE30:BE31"/>
    <mergeCell ref="BE32:BE33"/>
    <mergeCell ref="BE34:BE35"/>
    <mergeCell ref="AK28:AM29"/>
    <mergeCell ref="AN28:AQ29"/>
    <mergeCell ref="BD30:BD31"/>
    <mergeCell ref="BA32:BA33"/>
    <mergeCell ref="BD32:BD33"/>
    <mergeCell ref="AO5:AS6"/>
    <mergeCell ref="AF9:AI11"/>
    <mergeCell ref="AJ9:AM11"/>
    <mergeCell ref="C34:L35"/>
    <mergeCell ref="C36:L37"/>
    <mergeCell ref="AY34:AY35"/>
    <mergeCell ref="AY36:AY37"/>
    <mergeCell ref="AY24:AY25"/>
    <mergeCell ref="AX36:AX37"/>
    <mergeCell ref="AO7:AS7"/>
    <mergeCell ref="AO8:AS8"/>
    <mergeCell ref="AX22:AX23"/>
    <mergeCell ref="AX24:AX25"/>
    <mergeCell ref="AX26:AX27"/>
    <mergeCell ref="AX28:AX29"/>
    <mergeCell ref="AX30:AX31"/>
    <mergeCell ref="AX32:AX33"/>
    <mergeCell ref="AU34:AU35"/>
    <mergeCell ref="AU24:AU25"/>
    <mergeCell ref="AU26:AU27"/>
    <mergeCell ref="AU28:AU29"/>
    <mergeCell ref="AU30:AU31"/>
    <mergeCell ref="AU32:AU33"/>
    <mergeCell ref="AV32:AV33"/>
    <mergeCell ref="A7:E8"/>
    <mergeCell ref="AV16:AW16"/>
    <mergeCell ref="B22:B23"/>
    <mergeCell ref="O22:P23"/>
    <mergeCell ref="AK20:AM21"/>
    <mergeCell ref="AN20:AQ21"/>
    <mergeCell ref="AT20:AT21"/>
    <mergeCell ref="AV20:AV21"/>
    <mergeCell ref="AW20:AW21"/>
    <mergeCell ref="X20:AA21"/>
    <mergeCell ref="AE20:AF21"/>
    <mergeCell ref="AG20:AH21"/>
    <mergeCell ref="AI20:AJ21"/>
    <mergeCell ref="AB20:AD21"/>
    <mergeCell ref="Q18:S19"/>
    <mergeCell ref="Q20:S21"/>
    <mergeCell ref="T22:W23"/>
    <mergeCell ref="AU18:AU19"/>
    <mergeCell ref="AU20:AU21"/>
    <mergeCell ref="AU22:AU23"/>
    <mergeCell ref="C18:L19"/>
    <mergeCell ref="C16:L17"/>
    <mergeCell ref="C20:L21"/>
    <mergeCell ref="C22:L23"/>
    <mergeCell ref="F1:I3"/>
    <mergeCell ref="J1:M3"/>
    <mergeCell ref="AH1:AK3"/>
    <mergeCell ref="AL1:AO3"/>
    <mergeCell ref="AP1:AS3"/>
    <mergeCell ref="AB16:AD17"/>
    <mergeCell ref="R14:U14"/>
    <mergeCell ref="V14:Y14"/>
    <mergeCell ref="Z14:AC14"/>
    <mergeCell ref="O16:P17"/>
    <mergeCell ref="X16:AA17"/>
    <mergeCell ref="R12:U13"/>
    <mergeCell ref="V12:Y13"/>
    <mergeCell ref="Z12:AC13"/>
    <mergeCell ref="T16:W17"/>
    <mergeCell ref="H9:K11"/>
    <mergeCell ref="L9:O11"/>
    <mergeCell ref="P9:S11"/>
    <mergeCell ref="T9:W11"/>
    <mergeCell ref="X9:AA11"/>
    <mergeCell ref="Q16:S17"/>
    <mergeCell ref="C13:P13"/>
    <mergeCell ref="AB9:AE11"/>
    <mergeCell ref="A4:E6"/>
    <mergeCell ref="BD16:BD17"/>
    <mergeCell ref="AE17:AF17"/>
    <mergeCell ref="AG17:AH17"/>
    <mergeCell ref="AE16:AH16"/>
    <mergeCell ref="AI16:AJ17"/>
    <mergeCell ref="AK16:AM17"/>
    <mergeCell ref="AN16:AQ17"/>
    <mergeCell ref="AT16:AT17"/>
    <mergeCell ref="AX16:AX17"/>
    <mergeCell ref="AY16:AY17"/>
    <mergeCell ref="BA16:BB16"/>
    <mergeCell ref="AU16:AU17"/>
    <mergeCell ref="BC16:BC17"/>
    <mergeCell ref="BG16:BG17"/>
    <mergeCell ref="AZ16:AZ17"/>
    <mergeCell ref="BD18:BD19"/>
    <mergeCell ref="B20:B21"/>
    <mergeCell ref="O20:P21"/>
    <mergeCell ref="AK18:AM19"/>
    <mergeCell ref="AN18:AQ19"/>
    <mergeCell ref="AT18:AT19"/>
    <mergeCell ref="AV18:AV19"/>
    <mergeCell ref="AW18:AW19"/>
    <mergeCell ref="X18:AA19"/>
    <mergeCell ref="AE18:AF19"/>
    <mergeCell ref="AG18:AH19"/>
    <mergeCell ref="AI18:AJ19"/>
    <mergeCell ref="AB18:AD19"/>
    <mergeCell ref="B18:B19"/>
    <mergeCell ref="O18:P19"/>
    <mergeCell ref="BA20:BA21"/>
    <mergeCell ref="BD20:BD21"/>
    <mergeCell ref="T18:W19"/>
    <mergeCell ref="AX18:AX19"/>
    <mergeCell ref="AX20:AX21"/>
    <mergeCell ref="T20:W21"/>
    <mergeCell ref="AY18:AY19"/>
    <mergeCell ref="BD22:BD23"/>
    <mergeCell ref="B24:B25"/>
    <mergeCell ref="O24:P25"/>
    <mergeCell ref="AK22:AM23"/>
    <mergeCell ref="AN22:AQ23"/>
    <mergeCell ref="AT22:AT23"/>
    <mergeCell ref="AV22:AV23"/>
    <mergeCell ref="AW22:AW23"/>
    <mergeCell ref="X22:AA23"/>
    <mergeCell ref="AE22:AF23"/>
    <mergeCell ref="AG22:AH23"/>
    <mergeCell ref="AI22:AJ23"/>
    <mergeCell ref="AB22:AD23"/>
    <mergeCell ref="BA24:BA25"/>
    <mergeCell ref="BD24:BD25"/>
    <mergeCell ref="AG24:AH25"/>
    <mergeCell ref="AI24:AJ25"/>
    <mergeCell ref="AB24:AD25"/>
    <mergeCell ref="Q24:S25"/>
    <mergeCell ref="T24:W25"/>
    <mergeCell ref="Q22:S23"/>
    <mergeCell ref="AY22:AY23"/>
    <mergeCell ref="C24:L25"/>
    <mergeCell ref="BG22:BG23"/>
    <mergeCell ref="BG24:BG25"/>
    <mergeCell ref="BD26:BD27"/>
    <mergeCell ref="B28:B29"/>
    <mergeCell ref="O28:P29"/>
    <mergeCell ref="AK26:AM27"/>
    <mergeCell ref="AN26:AQ27"/>
    <mergeCell ref="AT26:AT27"/>
    <mergeCell ref="AV26:AV27"/>
    <mergeCell ref="AW26:AW27"/>
    <mergeCell ref="X26:AA27"/>
    <mergeCell ref="AE26:AF27"/>
    <mergeCell ref="AG26:AH27"/>
    <mergeCell ref="AI26:AJ27"/>
    <mergeCell ref="AB26:AD27"/>
    <mergeCell ref="BA28:BA29"/>
    <mergeCell ref="BD28:BD29"/>
    <mergeCell ref="Q26:S27"/>
    <mergeCell ref="T26:W27"/>
    <mergeCell ref="B26:B27"/>
    <mergeCell ref="O26:P27"/>
    <mergeCell ref="BC28:BC29"/>
    <mergeCell ref="AZ28:AZ29"/>
    <mergeCell ref="BB28:BB29"/>
    <mergeCell ref="T30:W31"/>
    <mergeCell ref="B30:B31"/>
    <mergeCell ref="O30:P31"/>
    <mergeCell ref="BC30:BC31"/>
    <mergeCell ref="BC32:BC33"/>
    <mergeCell ref="AZ30:AZ31"/>
    <mergeCell ref="AZ32:AZ33"/>
    <mergeCell ref="T32:W33"/>
    <mergeCell ref="AY30:AY31"/>
    <mergeCell ref="B32:B33"/>
    <mergeCell ref="O32:P33"/>
    <mergeCell ref="AK30:AM31"/>
    <mergeCell ref="AN30:AQ31"/>
    <mergeCell ref="AT30:AT31"/>
    <mergeCell ref="AV30:AV31"/>
    <mergeCell ref="AW30:AW31"/>
    <mergeCell ref="X30:AA31"/>
    <mergeCell ref="AE30:AF31"/>
    <mergeCell ref="AG30:AH31"/>
    <mergeCell ref="AI30:AJ31"/>
    <mergeCell ref="Q30:S31"/>
    <mergeCell ref="AB30:AD31"/>
    <mergeCell ref="BD34:BD35"/>
    <mergeCell ref="B36:B37"/>
    <mergeCell ref="O36:P37"/>
    <mergeCell ref="AK34:AM35"/>
    <mergeCell ref="AN34:AQ35"/>
    <mergeCell ref="AT34:AT35"/>
    <mergeCell ref="AV34:AV35"/>
    <mergeCell ref="AW34:AW35"/>
    <mergeCell ref="X34:AA35"/>
    <mergeCell ref="AE34:AF35"/>
    <mergeCell ref="AG34:AH35"/>
    <mergeCell ref="AI34:AJ35"/>
    <mergeCell ref="T34:W35"/>
    <mergeCell ref="Q34:S35"/>
    <mergeCell ref="AB34:AD35"/>
    <mergeCell ref="BD36:BD37"/>
    <mergeCell ref="BA36:BA37"/>
    <mergeCell ref="B34:B35"/>
    <mergeCell ref="O34:P35"/>
    <mergeCell ref="BB36:BB37"/>
    <mergeCell ref="BC34:BC35"/>
    <mergeCell ref="BB34:BB35"/>
    <mergeCell ref="AX34:AX35"/>
    <mergeCell ref="BC36:BC37"/>
    <mergeCell ref="BG20:BG21"/>
    <mergeCell ref="M200:AG201"/>
    <mergeCell ref="AT200:AT201"/>
    <mergeCell ref="AV200:AV201"/>
    <mergeCell ref="AW200:AW201"/>
    <mergeCell ref="AK36:AM37"/>
    <mergeCell ref="AN36:AQ37"/>
    <mergeCell ref="AT36:AT37"/>
    <mergeCell ref="AV36:AV37"/>
    <mergeCell ref="AW36:AW37"/>
    <mergeCell ref="X36:AA37"/>
    <mergeCell ref="AE36:AF37"/>
    <mergeCell ref="AG36:AH37"/>
    <mergeCell ref="AI36:AJ37"/>
    <mergeCell ref="T36:W37"/>
    <mergeCell ref="Q36:S37"/>
    <mergeCell ref="AB36:AD37"/>
    <mergeCell ref="AU36:AU37"/>
    <mergeCell ref="AW32:AW33"/>
    <mergeCell ref="T28:W29"/>
    <mergeCell ref="Q32:S33"/>
    <mergeCell ref="BG36:BG37"/>
    <mergeCell ref="M36:N37"/>
    <mergeCell ref="AZ36:AZ37"/>
    <mergeCell ref="AW28:AW29"/>
    <mergeCell ref="X28:AA29"/>
    <mergeCell ref="AE28:AF29"/>
    <mergeCell ref="AG28:AH29"/>
    <mergeCell ref="AI28:AJ29"/>
    <mergeCell ref="BC18:BC19"/>
    <mergeCell ref="BC20:BC21"/>
    <mergeCell ref="BC22:BC23"/>
    <mergeCell ref="BC24:BC25"/>
    <mergeCell ref="BC26:BC27"/>
    <mergeCell ref="AZ18:AZ19"/>
    <mergeCell ref="AZ20:AZ21"/>
    <mergeCell ref="AZ22:AZ23"/>
    <mergeCell ref="AZ24:AZ25"/>
    <mergeCell ref="AZ26:AZ27"/>
    <mergeCell ref="BA18:BA19"/>
    <mergeCell ref="BB20:BB21"/>
    <mergeCell ref="BB22:BB23"/>
    <mergeCell ref="BB24:BB25"/>
    <mergeCell ref="BB26:BB27"/>
    <mergeCell ref="BA22:BA23"/>
    <mergeCell ref="BB18:BB19"/>
    <mergeCell ref="AY28:AY29"/>
    <mergeCell ref="BG18:BG19"/>
    <mergeCell ref="AY32:AY33"/>
    <mergeCell ref="BG26:BG27"/>
    <mergeCell ref="O1:AE3"/>
    <mergeCell ref="BB30:BB31"/>
    <mergeCell ref="BB32:BB33"/>
    <mergeCell ref="AK24:AM25"/>
    <mergeCell ref="AN24:AQ25"/>
    <mergeCell ref="AT24:AT25"/>
    <mergeCell ref="AV24:AV25"/>
    <mergeCell ref="AW24:AW25"/>
    <mergeCell ref="X24:AA25"/>
    <mergeCell ref="AE24:AF25"/>
    <mergeCell ref="X32:AA33"/>
    <mergeCell ref="AE32:AF33"/>
    <mergeCell ref="AG32:AH33"/>
    <mergeCell ref="AI32:AJ33"/>
    <mergeCell ref="AK32:AM33"/>
    <mergeCell ref="AN32:AQ33"/>
    <mergeCell ref="AT32:AT33"/>
    <mergeCell ref="Q28:S29"/>
    <mergeCell ref="AB28:AD29"/>
    <mergeCell ref="AY20:AY21"/>
    <mergeCell ref="AY26:AY27"/>
  </mergeCells>
  <conditionalFormatting sqref="AO8:AS8">
    <cfRule type="expression" dxfId="113" priority="7">
      <formula>IF($AO$8=PROJSTATMEASURE,FALSE,TRUE)</formula>
    </cfRule>
  </conditionalFormatting>
  <conditionalFormatting sqref="O24:AH27 O18:S21 X18:AH19 X20:AD21 AE20:AH23 O30:AH37 O28:Q28 O29:P29 T28:AH29">
    <cfRule type="expression" dxfId="112" priority="6">
      <formula>AND(ISBLANK($C18)=FALSE,OR(ISBLANK(O18)=TRUE,O18=""))</formula>
    </cfRule>
  </conditionalFormatting>
  <conditionalFormatting sqref="O22:AD23">
    <cfRule type="expression" dxfId="111" priority="5">
      <formula>AND(ISBLANK($C22)=FALSE,OR(ISBLANK(O22)=TRUE,O22=""))</formula>
    </cfRule>
  </conditionalFormatting>
  <conditionalFormatting sqref="AN18:AQ37">
    <cfRule type="expression" dxfId="110" priority="4">
      <formula>ISNUMBER($AN18)=FALSE</formula>
    </cfRule>
  </conditionalFormatting>
  <conditionalFormatting sqref="M18:N37">
    <cfRule type="expression" dxfId="109" priority="3">
      <formula>AND(ISBLANK($BK18)=FALSE,OR(ISBLANK(M18)=TRUE,M18=""))</formula>
    </cfRule>
  </conditionalFormatting>
  <conditionalFormatting sqref="T18:W19">
    <cfRule type="expression" dxfId="108" priority="2">
      <formula>AND(ISBLANK($C18)=FALSE,OR(ISBLANK(T18)=TRUE,T18=""))</formula>
    </cfRule>
  </conditionalFormatting>
  <conditionalFormatting sqref="T20:W21">
    <cfRule type="expression" dxfId="107" priority="1">
      <formula>AND(ISBLANK($C20)=FALSE,OR(ISBLANK(T20)=TRUE,T20=""))</formula>
    </cfRule>
  </conditionalFormatting>
  <dataValidations xWindow="513" yWindow="517" count="7">
    <dataValidation type="decimal" allowBlank="1" showInputMessage="1" showErrorMessage="1" prompt="This is the TOTAL Labor Cost of the measure, NOT a per unit basis." sqref="AG18:AH37" xr:uid="{758015B9-981D-4979-866F-B20963ABEA26}">
      <formula1>0</formula1>
      <formula2>999999</formula2>
    </dataValidation>
    <dataValidation type="whole" allowBlank="1" showInputMessage="1" showErrorMessage="1" prompt="Enter the total number of controls/sensors_x000a_" sqref="O18:P37" xr:uid="{417829CC-1939-4E91-9215-296496DB4C99}">
      <formula1>0</formula1>
      <formula2>1000000</formula2>
    </dataValidation>
    <dataValidation type="list" allowBlank="1" showInputMessage="1" showErrorMessage="1" prompt="Select Efficient Measure. If you do not see your equipment listed, it may qualify as a Custom Measure." sqref="C34 C18 C36 C22 C24 C26 C28 C30 C32 C20" xr:uid="{A06BD726-2125-431D-A870-3C9C46300508}">
      <formula1>STDLIGHTCONTLIST</formula1>
    </dataValidation>
    <dataValidation type="whole" allowBlank="1" showInputMessage="1" showErrorMessage="1" error="Enter valid operating hours. " prompt="Enter the annual operating hours of the lighting before the controls were installed. " sqref="T18:W37" xr:uid="{2C703505-9DA3-4155-A3C6-0478A4ECFF1F}">
      <formula1>0</formula1>
      <formula2>8760</formula2>
    </dataValidation>
    <dataValidation type="decimal" allowBlank="1" showInputMessage="1" showErrorMessage="1" prompt="This is the TOTAL Material Cost of the measure, NOT a per unit basis." sqref="AE18:AF37" xr:uid="{912F11BE-9F76-4D59-9793-59F14EF9E70E}">
      <formula1>0</formula1>
      <formula2>999999</formula2>
    </dataValidation>
    <dataValidation allowBlank="1" showInputMessage="1" showErrorMessage="1" prompt="Install Location should describe the area where the lighting was installed. (Ex: Room 2b)" sqref="AB18:AD37" xr:uid="{4468939E-C92F-4517-9F04-F3726EB25C2A}"/>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Q18:S37" xr:uid="{37BA8063-4088-4F7E-B59C-2300BB8EAF8C}">
      <formula1>BG18</formula1>
    </dataValidation>
  </dataValidations>
  <hyperlinks>
    <hyperlink ref="H9:K11" location="'M03-S02'!C18" tooltip="Lighting" display="'M03-S02'!C18" xr:uid="{BEC0E414-0551-4C88-AB07-2CD4DE716A6E}"/>
    <hyperlink ref="L9:O11" location="'M03-S03'!C18" tooltip="Lighting Controls" display="'M03-S03'!C18" xr:uid="{EC096BE8-96AF-4B60-BD98-D9B542DABADE}"/>
    <hyperlink ref="P9:S11" location="'M03-S04'!C18" tooltip="Refrigeration" display="'M03-S04'!C18" xr:uid="{7EE5843E-0562-41C8-9EB2-39A33F973782}"/>
    <hyperlink ref="T9:W11" location="'M03-S05'!C18" tooltip="HVAC" display="'M03-S05'!C18" xr:uid="{11CA1493-7689-442E-AB09-30A16BFF0D6A}"/>
    <hyperlink ref="AB9:AE11" location="'M03-S06'!C18" tooltip="Compressed Air / Process" display="'M03-S06'!C18" xr:uid="{7EB5260D-1A07-42DA-A78C-F5B6918F0FD5}"/>
    <hyperlink ref="AF9:AI11" location="'M03-S07'!C18" tooltip="Water Heating / Cooking" display="'M03-S07'!C18" xr:uid="{A1D65689-6A72-48F0-A4C6-DF40610940BD}"/>
    <hyperlink ref="X9:AA11" location="'M03-S08'!C18" tooltip="Motors and Drives" display="'M03-S08'!C18" xr:uid="{060F38E7-49A9-4565-B9E1-019FD76FC85F}"/>
    <hyperlink ref="AJ9:AM11" location="'M04-S09'!C18" tooltip="Miscellaneous" display="'M04-S09'!C18" xr:uid="{E2AB6E63-177E-413F-8FED-CF02E9E648DB}"/>
    <hyperlink ref="J1:M3" location="'M01-S02'!J1" tooltip="Instructions" display="'M01-S02'!J1" xr:uid="{226A4F5C-6EFE-48B6-8029-E5FB747A3950}"/>
    <hyperlink ref="AL1:AO3" location="'M05-S05'!AL1" tooltip=" " display="'M05-S05'!AL1" xr:uid="{9FF3D9C8-DD4D-440B-9C04-CCADD4766863}"/>
    <hyperlink ref="AH1:AK3" location="'M05-S04'!AH1" tooltip=" " display="'M05-S04'!AH1" xr:uid="{6923D8E2-1E4D-494F-9727-21200ADB5087}"/>
    <hyperlink ref="AP1:AS3" location="'M01-S03'!AP1" tooltip="Contact" display="'M01-S03'!AP1" xr:uid="{221CBF0D-A219-40DF-B2F3-73C2EC6D1D9D}"/>
    <hyperlink ref="B202" r:id="rId1" xr:uid="{548A7AE0-7093-4FE2-A690-6D6CB8661683}"/>
  </hyperlinks>
  <printOptions horizontalCentered="1"/>
  <pageMargins left="0.25" right="0.25" top="0.25" bottom="0.25" header="0.25" footer="0.25"/>
  <pageSetup scale="62"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theme="9"/>
  </sheetPr>
  <dimension ref="A1:AW136"/>
  <sheetViews>
    <sheetView zoomScale="85" zoomScaleNormal="85" workbookViewId="0">
      <selection activeCell="G26" sqref="G26"/>
    </sheetView>
  </sheetViews>
  <sheetFormatPr defaultColWidth="0" defaultRowHeight="15"/>
  <cols>
    <col min="1" max="1" width="39.140625" bestFit="1" customWidth="1"/>
    <col min="2" max="2" width="4.7109375" style="14" customWidth="1"/>
    <col min="3" max="3" width="36.85546875" style="14" customWidth="1"/>
    <col min="4" max="4" width="53.5703125" style="14" customWidth="1"/>
    <col min="5" max="5" width="4.7109375" customWidth="1"/>
    <col min="6" max="6" width="28.7109375" style="14" bestFit="1" customWidth="1"/>
    <col min="7" max="7" width="38.28515625" style="14" bestFit="1" customWidth="1"/>
    <col min="8" max="8" width="28" style="180" bestFit="1" customWidth="1"/>
    <col min="9" max="9" width="4.7109375" style="14" customWidth="1"/>
    <col min="10" max="10" width="29.7109375" style="14" bestFit="1" customWidth="1"/>
    <col min="11" max="11" width="11.5703125" style="14" bestFit="1" customWidth="1"/>
    <col min="12" max="12" width="20" style="14" bestFit="1" customWidth="1"/>
    <col min="13" max="13" width="7" style="14" bestFit="1" customWidth="1"/>
    <col min="14" max="14" width="8.140625" style="14" bestFit="1" customWidth="1"/>
    <col min="15" max="15" width="6.42578125" style="14" bestFit="1" customWidth="1"/>
    <col min="16" max="16" width="7.5703125" bestFit="1" customWidth="1"/>
    <col min="17" max="17" width="7.140625" bestFit="1" customWidth="1"/>
    <col min="18" max="19" width="9" bestFit="1" customWidth="1"/>
    <col min="20" max="20" width="255.7109375" bestFit="1" customWidth="1"/>
    <col min="21" max="21" width="21.7109375" bestFit="1" customWidth="1"/>
    <col min="22" max="23" width="4.7109375" customWidth="1"/>
    <col min="24" max="24" width="43" bestFit="1" customWidth="1"/>
    <col min="25" max="25" width="26.42578125" bestFit="1" customWidth="1"/>
    <col min="26" max="26" width="12.7109375" bestFit="1" customWidth="1"/>
    <col min="27" max="27" width="15.28515625" style="180" bestFit="1" customWidth="1"/>
    <col min="28" max="28" width="21.28515625" bestFit="1" customWidth="1"/>
    <col min="29" max="29" width="27.5703125" bestFit="1" customWidth="1"/>
    <col min="30" max="45" width="4.7109375" customWidth="1"/>
    <col min="46" max="49" width="0" hidden="1" customWidth="1"/>
    <col min="50" max="16384" width="4.7109375" hidden="1"/>
  </cols>
  <sheetData>
    <row r="1" spans="1:49" s="180" customFormat="1">
      <c r="C1" s="627" t="s">
        <v>2841</v>
      </c>
      <c r="D1" s="15" t="s">
        <v>2079</v>
      </c>
      <c r="F1"/>
      <c r="G1" s="13"/>
    </row>
    <row r="2" spans="1:49" s="180" customFormat="1">
      <c r="C2" s="627" t="s">
        <v>2842</v>
      </c>
      <c r="D2" s="15" t="s">
        <v>1910</v>
      </c>
      <c r="F2"/>
      <c r="G2" s="13"/>
    </row>
    <row r="3" spans="1:49" s="180" customFormat="1">
      <c r="C3" s="627" t="s">
        <v>2843</v>
      </c>
      <c r="D3" s="15" t="s">
        <v>2068</v>
      </c>
      <c r="F3"/>
      <c r="G3" s="13"/>
    </row>
    <row r="4" spans="1:49" s="180" customFormat="1">
      <c r="C4" s="627" t="s">
        <v>2844</v>
      </c>
      <c r="D4" s="15" t="str">
        <f>""</f>
        <v/>
      </c>
      <c r="F4"/>
      <c r="G4" s="13"/>
    </row>
    <row r="5" spans="1:49" s="180" customFormat="1">
      <c r="C5" s="627" t="s">
        <v>2845</v>
      </c>
      <c r="D5" s="15" t="str">
        <f>""</f>
        <v/>
      </c>
      <c r="F5"/>
      <c r="G5" s="13"/>
    </row>
    <row r="6" spans="1:49" s="180" customFormat="1">
      <c r="C6" s="627" t="s">
        <v>2846</v>
      </c>
      <c r="D6" s="15" t="s">
        <v>2631</v>
      </c>
      <c r="F6"/>
      <c r="G6" s="13"/>
    </row>
    <row r="7" spans="1:49" s="180" customFormat="1">
      <c r="C7" s="627" t="s">
        <v>2848</v>
      </c>
      <c r="D7" s="15" t="str">
        <f>IF(AND(PROJID=0,M02S04F07=""),"",IF(AND(PROJID=0,M02S04F07&lt;&gt;""),M02S04F07,IF(AND(PROJID&lt;&gt;0,M02S04F07&lt;&gt;""),CONCATENATE("Project ",PROJID," - ",M02S04F07),"")))</f>
        <v/>
      </c>
      <c r="G7" s="13"/>
    </row>
    <row r="8" spans="1:49" s="180" customFormat="1">
      <c r="C8" s="627" t="s">
        <v>2847</v>
      </c>
      <c r="D8" s="15" t="e">
        <f>IF(AND(PROJID_N=0,N02S03F15=""),"",IF(AND(PROJID_N=0,N02S03F15&lt;&gt;""),N02S03F15,IF(AND(PROJID_N&lt;&gt;0,N02S03F15&lt;&gt;""),CONCATENATE("Project ",PROJID_N," - ",N02S03F15),"")))</f>
        <v>#REF!</v>
      </c>
      <c r="G8" s="13"/>
    </row>
    <row r="9" spans="1:49" s="180" customFormat="1">
      <c r="C9" s="627" t="s">
        <v>2858</v>
      </c>
      <c r="D9" s="15" t="e">
        <f>IF(AND(PROJID_X=0,X02S03F24=""),"",IF(AND(PROJID_X=0,X02S03F24&lt;&gt;""),X02S03F24,IF(AND(PROJID_X&lt;&gt;0,X02S03F24&lt;&gt;""),CONCATENATE("Project ",PROJID_X," - ",X02S03F24),"")))</f>
        <v>#REF!</v>
      </c>
      <c r="G9" s="13"/>
    </row>
    <row r="10" spans="1:49" s="180" customFormat="1">
      <c r="A10" s="13"/>
      <c r="C10"/>
      <c r="D10"/>
      <c r="E10"/>
      <c r="F10"/>
      <c r="G10"/>
    </row>
    <row r="11" spans="1:49" ht="15.75">
      <c r="A11" s="14" t="s">
        <v>1293</v>
      </c>
      <c r="C11" t="s">
        <v>302</v>
      </c>
      <c r="D11" t="s">
        <v>642</v>
      </c>
      <c r="F11" t="s">
        <v>186</v>
      </c>
      <c r="G11" s="180" t="s">
        <v>2739</v>
      </c>
      <c r="H11" s="180" t="s">
        <v>1464</v>
      </c>
      <c r="J11" t="s">
        <v>301</v>
      </c>
      <c r="K11" t="s">
        <v>82</v>
      </c>
      <c r="L11" t="s">
        <v>76</v>
      </c>
      <c r="M11" t="s">
        <v>71</v>
      </c>
      <c r="N11" t="s">
        <v>72</v>
      </c>
      <c r="O11" t="s">
        <v>80</v>
      </c>
      <c r="P11" t="s">
        <v>297</v>
      </c>
      <c r="Q11" t="s">
        <v>298</v>
      </c>
      <c r="R11" t="s">
        <v>296</v>
      </c>
      <c r="S11" t="s">
        <v>147</v>
      </c>
      <c r="T11" t="s">
        <v>300</v>
      </c>
      <c r="U11" t="s">
        <v>652</v>
      </c>
      <c r="X11" t="s">
        <v>332</v>
      </c>
      <c r="Y11" s="14" t="s">
        <v>1230</v>
      </c>
      <c r="Z11" t="s">
        <v>333</v>
      </c>
      <c r="AA11" t="s">
        <v>2494</v>
      </c>
      <c r="AB11" s="180" t="s">
        <v>2047</v>
      </c>
      <c r="AC11" s="180" t="s">
        <v>1905</v>
      </c>
      <c r="AW11" s="136"/>
    </row>
    <row r="12" spans="1:49">
      <c r="A12" s="14" t="s">
        <v>783</v>
      </c>
      <c r="C12" t="s">
        <v>303</v>
      </c>
      <c r="D12" t="s">
        <v>643</v>
      </c>
      <c r="F12" s="180" t="s">
        <v>1466</v>
      </c>
      <c r="G12" s="17">
        <v>1.1399999999999999</v>
      </c>
      <c r="H12" s="17">
        <v>0.66</v>
      </c>
      <c r="J12" s="14" t="s">
        <v>2086</v>
      </c>
      <c r="K12">
        <f>M02S02F02</f>
        <v>0</v>
      </c>
      <c r="L12" s="14">
        <f>M02S02F03</f>
        <v>0</v>
      </c>
      <c r="M12" s="14">
        <f>M02S02F04</f>
        <v>0</v>
      </c>
      <c r="N12" s="14">
        <f>M02S02F05</f>
        <v>0</v>
      </c>
      <c r="O12" s="14">
        <f>M02S02F06</f>
        <v>0</v>
      </c>
      <c r="P12" s="14">
        <f>M02S02F07</f>
        <v>0</v>
      </c>
      <c r="Q12" s="14">
        <f>M02S02F08</f>
        <v>0</v>
      </c>
      <c r="R12" s="14">
        <f>M02S02F10</f>
        <v>0</v>
      </c>
      <c r="S12" s="14">
        <f>M02S02F11</f>
        <v>0</v>
      </c>
      <c r="T12" s="180" t="s">
        <v>2071</v>
      </c>
      <c r="U12" t="s">
        <v>1927</v>
      </c>
      <c r="X12" s="134" t="s">
        <v>2138</v>
      </c>
      <c r="Y12" s="134" t="s">
        <v>2200</v>
      </c>
      <c r="Z12" s="524">
        <v>1.5382271928911052E-4</v>
      </c>
      <c r="AA12" s="559">
        <v>0.08</v>
      </c>
      <c r="AB12" s="435"/>
      <c r="AC12" s="421" t="s">
        <v>1864</v>
      </c>
    </row>
    <row r="13" spans="1:49">
      <c r="A13" s="14" t="s">
        <v>1292</v>
      </c>
      <c r="C13" t="s">
        <v>305</v>
      </c>
      <c r="D13" t="s">
        <v>305</v>
      </c>
      <c r="F13" s="180" t="s">
        <v>2894</v>
      </c>
      <c r="G13" s="17">
        <v>1.1599999999999999</v>
      </c>
      <c r="H13" s="17">
        <v>0.97</v>
      </c>
      <c r="J13" t="s">
        <v>2085</v>
      </c>
      <c r="K13">
        <f>M02S03F01</f>
        <v>0</v>
      </c>
      <c r="L13" s="14">
        <f>M02S03F02</f>
        <v>0</v>
      </c>
      <c r="M13" s="14">
        <f>M02S03F03</f>
        <v>0</v>
      </c>
      <c r="N13" s="14">
        <f>M02S03F04</f>
        <v>0</v>
      </c>
      <c r="O13" s="14">
        <f>M02S03F05</f>
        <v>0</v>
      </c>
      <c r="P13" s="14">
        <f>M02S03F06</f>
        <v>0</v>
      </c>
      <c r="Q13" s="14">
        <f>M02S03F07</f>
        <v>0</v>
      </c>
      <c r="R13" s="14">
        <f>M02S03F09</f>
        <v>0</v>
      </c>
      <c r="S13" s="14">
        <f>M02S03F10</f>
        <v>0</v>
      </c>
      <c r="T13" s="180" t="s">
        <v>2072</v>
      </c>
      <c r="U13" t="s">
        <v>299</v>
      </c>
      <c r="X13" s="134" t="s">
        <v>329</v>
      </c>
      <c r="Y13" s="134" t="s">
        <v>2200</v>
      </c>
      <c r="Z13" s="524">
        <v>4.4398300000000001E-4</v>
      </c>
      <c r="AA13" s="559">
        <v>0.2</v>
      </c>
      <c r="AB13" s="435"/>
      <c r="AC13" s="421" t="s">
        <v>1865</v>
      </c>
    </row>
    <row r="14" spans="1:49">
      <c r="C14" t="s">
        <v>306</v>
      </c>
      <c r="D14" t="s">
        <v>644</v>
      </c>
      <c r="F14" s="180" t="s">
        <v>1468</v>
      </c>
      <c r="G14" s="17">
        <v>1.0900000000000001</v>
      </c>
      <c r="H14" s="17">
        <v>0.76</v>
      </c>
      <c r="J14" t="s">
        <v>2084</v>
      </c>
      <c r="K14">
        <f>M02S04F07</f>
        <v>0</v>
      </c>
      <c r="L14" s="14">
        <f>M02S04F08</f>
        <v>0</v>
      </c>
      <c r="M14" s="14">
        <f>M02S04F09</f>
        <v>0</v>
      </c>
      <c r="N14" s="14" t="str">
        <f>M02S04F10</f>
        <v>MO</v>
      </c>
      <c r="O14" s="14">
        <f>M02S04F11</f>
        <v>0</v>
      </c>
      <c r="P14" s="14" t="str">
        <f>M02S04F12</f>
        <v/>
      </c>
      <c r="Q14" s="14" t="str">
        <f>M02S04F13</f>
        <v/>
      </c>
      <c r="R14" s="14" t="str">
        <f>M02S04F15</f>
        <v/>
      </c>
      <c r="S14" s="14" t="str">
        <f>M02S04F16</f>
        <v/>
      </c>
      <c r="T14" s="180" t="s">
        <v>2073</v>
      </c>
      <c r="U14" t="s">
        <v>299</v>
      </c>
      <c r="X14" s="134" t="s">
        <v>2128</v>
      </c>
      <c r="Y14" s="134" t="s">
        <v>2200</v>
      </c>
      <c r="Z14" s="524">
        <v>1.998949E-4</v>
      </c>
      <c r="AA14" s="559">
        <v>0.09</v>
      </c>
      <c r="AB14" s="435"/>
      <c r="AC14" s="421" t="s">
        <v>1866</v>
      </c>
    </row>
    <row r="15" spans="1:49">
      <c r="A15" t="s">
        <v>295</v>
      </c>
      <c r="C15" t="s">
        <v>307</v>
      </c>
      <c r="D15" t="s">
        <v>645</v>
      </c>
      <c r="E15" s="14"/>
      <c r="F15" s="180" t="s">
        <v>2895</v>
      </c>
      <c r="G15" s="17">
        <v>1.06</v>
      </c>
      <c r="H15" s="17">
        <v>0.65</v>
      </c>
      <c r="J15" s="180" t="s">
        <v>2083</v>
      </c>
      <c r="K15" s="62">
        <f>M02S04F07</f>
        <v>0</v>
      </c>
      <c r="L15" s="180">
        <f>M02S04F08</f>
        <v>0</v>
      </c>
      <c r="M15" s="180">
        <f>M02S04F09</f>
        <v>0</v>
      </c>
      <c r="N15" s="180" t="str">
        <f>M02S04F10</f>
        <v>MO</v>
      </c>
      <c r="O15" s="180">
        <f>M02S04F11</f>
        <v>0</v>
      </c>
      <c r="P15" s="180" t="str">
        <f>M02S04F12</f>
        <v/>
      </c>
      <c r="Q15" s="180" t="str">
        <f>M02S04F13</f>
        <v/>
      </c>
      <c r="R15" s="180" t="str">
        <f>M02S04F15</f>
        <v/>
      </c>
      <c r="S15" s="180" t="str">
        <f>M02S04F16</f>
        <v/>
      </c>
      <c r="T15" s="180" t="s">
        <v>2088</v>
      </c>
      <c r="U15" s="180" t="s">
        <v>97</v>
      </c>
      <c r="X15" s="134" t="s">
        <v>2510</v>
      </c>
      <c r="Y15" s="134" t="s">
        <v>2200</v>
      </c>
      <c r="Z15" s="525">
        <v>1.8110449758396494E-4</v>
      </c>
      <c r="AA15" s="560">
        <v>0.1</v>
      </c>
      <c r="AB15" s="436"/>
      <c r="AC15" s="421" t="s">
        <v>1868</v>
      </c>
    </row>
    <row r="16" spans="1:49">
      <c r="A16" t="s">
        <v>2116</v>
      </c>
      <c r="C16" t="s">
        <v>304</v>
      </c>
      <c r="D16" t="s">
        <v>304</v>
      </c>
      <c r="E16" s="14"/>
      <c r="F16" t="s">
        <v>1420</v>
      </c>
      <c r="G16" s="17">
        <v>1</v>
      </c>
      <c r="H16" s="17">
        <v>0</v>
      </c>
      <c r="J16" t="s">
        <v>2087</v>
      </c>
      <c r="K16"/>
      <c r="L16"/>
      <c r="M16"/>
      <c r="N16"/>
      <c r="O16"/>
      <c r="T16" s="180" t="s">
        <v>2073</v>
      </c>
      <c r="U16" t="s">
        <v>97</v>
      </c>
      <c r="X16" s="134" t="s">
        <v>2511</v>
      </c>
      <c r="Y16" s="134" t="s">
        <v>2200</v>
      </c>
      <c r="Z16" s="524">
        <v>0</v>
      </c>
      <c r="AA16" s="559">
        <v>0.04</v>
      </c>
      <c r="AB16" s="435"/>
      <c r="AC16" s="421" t="s">
        <v>1869</v>
      </c>
    </row>
    <row r="17" spans="1:29">
      <c r="A17" t="s">
        <v>2117</v>
      </c>
      <c r="E17" s="14"/>
      <c r="F17" s="180" t="s">
        <v>1452</v>
      </c>
      <c r="G17" s="17">
        <v>1</v>
      </c>
      <c r="H17" s="17">
        <v>0.92</v>
      </c>
      <c r="X17" s="134" t="s">
        <v>2512</v>
      </c>
      <c r="Y17" s="134" t="s">
        <v>2200</v>
      </c>
      <c r="Z17" s="524">
        <v>0</v>
      </c>
      <c r="AA17" s="559">
        <v>0.04</v>
      </c>
      <c r="AB17" s="435"/>
      <c r="AC17" s="421" t="s">
        <v>1870</v>
      </c>
    </row>
    <row r="18" spans="1:29">
      <c r="C18" t="s">
        <v>188</v>
      </c>
      <c r="D18" t="s">
        <v>289</v>
      </c>
      <c r="E18" s="14"/>
      <c r="F18" t="s">
        <v>1469</v>
      </c>
      <c r="G18" s="17">
        <v>1</v>
      </c>
      <c r="H18" s="17">
        <v>1</v>
      </c>
      <c r="J18" s="180" t="s">
        <v>301</v>
      </c>
      <c r="K18" s="180" t="s">
        <v>82</v>
      </c>
      <c r="L18" s="180" t="s">
        <v>76</v>
      </c>
      <c r="M18" s="180" t="s">
        <v>71</v>
      </c>
      <c r="N18" s="180" t="s">
        <v>72</v>
      </c>
      <c r="O18" s="180" t="s">
        <v>80</v>
      </c>
      <c r="P18" s="180" t="s">
        <v>297</v>
      </c>
      <c r="Q18" s="180" t="s">
        <v>298</v>
      </c>
      <c r="R18" s="180" t="s">
        <v>296</v>
      </c>
      <c r="S18" s="180" t="s">
        <v>147</v>
      </c>
      <c r="T18" s="180" t="s">
        <v>300</v>
      </c>
      <c r="U18" s="180" t="s">
        <v>652</v>
      </c>
      <c r="X18" s="134" t="s">
        <v>2513</v>
      </c>
      <c r="Y18" s="134" t="s">
        <v>2200</v>
      </c>
      <c r="Z18" s="524">
        <v>1.3065868887123338E-4</v>
      </c>
      <c r="AA18" s="559">
        <v>7.0000000000000007E-2</v>
      </c>
      <c r="AB18" s="435"/>
      <c r="AC18" s="421" t="s">
        <v>1871</v>
      </c>
    </row>
    <row r="19" spans="1:29">
      <c r="A19" t="s">
        <v>1429</v>
      </c>
      <c r="C19" t="s">
        <v>189</v>
      </c>
      <c r="D19" t="s">
        <v>190</v>
      </c>
      <c r="E19" s="14"/>
      <c r="F19" s="180" t="s">
        <v>2896</v>
      </c>
      <c r="G19" s="17">
        <v>1.0900000000000001</v>
      </c>
      <c r="H19" s="17">
        <v>0.76</v>
      </c>
      <c r="J19" s="180" t="s">
        <v>2835</v>
      </c>
      <c r="K19" s="180" t="e">
        <f>IF(X05S01F15="Service Provider", X02S02F01,
IF(X05S01F15=X02S02F12, X02S02F13,
IF(X05S01F15=X02S02F23, X02S02F24,"")))</f>
        <v>#REF!</v>
      </c>
      <c r="L19" s="180" t="e">
        <f>IF(X05S01F15="Service Provider", X02S02F02,
IF(X05S01F15=X02S02F12, X02S02F14,
IF(X05S01F15=X02S02F23, X02S02F25,"")))</f>
        <v>#REF!</v>
      </c>
      <c r="M19" s="180" t="e">
        <f>IF(X05S01F15="Service Provider", X02S02F03,
IF(X05S01F15=X02S02F12, X02S02F15,
IF(X05S01F15=X02S02F23, X02S02F26,"")))</f>
        <v>#REF!</v>
      </c>
      <c r="N19" s="180" t="e">
        <f>IF(X05S01F15="Service Provider", X02S02F04,
IF(X05S01F15=X02S02F12, X02S02F16,
IF(X05S01F15=X02S02F23, X02S02F27,"")))</f>
        <v>#REF!</v>
      </c>
      <c r="O19" s="180" t="e">
        <f>IF(X05S01F15="Service Provider", X02S02F05,
IF(X05S01F15=X02S02F12, X02S02F17,
IF(X05S01F15=X02S02F23, X02S02F28,"")))</f>
        <v>#REF!</v>
      </c>
      <c r="P19" s="180" t="e">
        <f>IF(X05S01F15="Service Provider", X02S02F06,
IF(X05S01F15=X02S02F12, X02S02F18,
IF(X05S01F15=X02S02F23, X02S02F29,"")))</f>
        <v>#REF!</v>
      </c>
      <c r="Q19" s="180" t="e">
        <f>IF(X05S01F15="Service Provider", X02S02F07,
IF(X05S01F15=X02S02F12, X02S02F19,
IF(X05S01F15=X02S02F23, X02S02F30,"")))</f>
        <v>#REF!</v>
      </c>
      <c r="R19" s="180" t="e">
        <f>IF(X05S01F15="Service Provider", X02S02F09,
IF(X05S01F15=X02S02F12, X02S02F21,
IF(X05S01F15=X02S02F23, X02S02F32,"")))</f>
        <v>#REF!</v>
      </c>
      <c r="S19" s="180" t="e">
        <f>IF(X05S01F15="Service Provider", X02S02F10,
IF(X05S01F15=X02S02F12, X02S02F22,
IF(X05S01F15=X02S02F23, X02S02F33,"")))</f>
        <v>#REF!</v>
      </c>
      <c r="T19" s="180" t="s">
        <v>2071</v>
      </c>
      <c r="U19" s="180" t="s">
        <v>1927</v>
      </c>
      <c r="X19" s="134" t="s">
        <v>1204</v>
      </c>
      <c r="Y19" s="134" t="s">
        <v>2200</v>
      </c>
      <c r="Z19" s="524">
        <v>1.8234006828740217E-4</v>
      </c>
      <c r="AA19" s="559">
        <v>0.09</v>
      </c>
      <c r="AB19" s="435"/>
      <c r="AC19" s="421" t="s">
        <v>1874</v>
      </c>
    </row>
    <row r="20" spans="1:29">
      <c r="A20" s="180" t="s">
        <v>1443</v>
      </c>
      <c r="C20" t="s">
        <v>193</v>
      </c>
      <c r="D20" t="s">
        <v>194</v>
      </c>
      <c r="E20" s="14"/>
      <c r="F20" t="s">
        <v>1470</v>
      </c>
      <c r="G20" s="17">
        <v>1.05</v>
      </c>
      <c r="H20" s="17">
        <v>0.73</v>
      </c>
      <c r="J20" s="180" t="s">
        <v>2085</v>
      </c>
      <c r="K20" s="180" t="e">
        <f>X02S03F01</f>
        <v>#REF!</v>
      </c>
      <c r="L20" s="180" t="e">
        <f>X02S03F02</f>
        <v>#REF!</v>
      </c>
      <c r="M20" s="180" t="e">
        <f>X02S03F03</f>
        <v>#REF!</v>
      </c>
      <c r="N20" s="180" t="e">
        <f>X02S03F04</f>
        <v>#REF!</v>
      </c>
      <c r="O20" s="180" t="e">
        <f>X02S03F05</f>
        <v>#REF!</v>
      </c>
      <c r="P20" s="180" t="e">
        <f>X02S03F06</f>
        <v>#REF!</v>
      </c>
      <c r="Q20" s="180" t="e">
        <f>X02S03F07</f>
        <v>#REF!</v>
      </c>
      <c r="R20" s="180" t="e">
        <f>X02S03F09</f>
        <v>#REF!</v>
      </c>
      <c r="S20" s="180" t="e">
        <f>X02S03F10</f>
        <v>#REF!</v>
      </c>
      <c r="T20" s="180" t="s">
        <v>2072</v>
      </c>
      <c r="U20" s="180" t="s">
        <v>299</v>
      </c>
      <c r="X20" s="134" t="s">
        <v>1205</v>
      </c>
      <c r="Y20" s="134" t="s">
        <v>2200</v>
      </c>
      <c r="Z20" s="524">
        <v>4.8639495951273133E-4</v>
      </c>
      <c r="AA20" s="559">
        <v>0.06</v>
      </c>
      <c r="AB20" s="435"/>
      <c r="AC20" s="421" t="s">
        <v>1875</v>
      </c>
    </row>
    <row r="21" spans="1:29">
      <c r="A21" t="s">
        <v>144</v>
      </c>
      <c r="C21" t="s">
        <v>197</v>
      </c>
      <c r="D21" t="s">
        <v>198</v>
      </c>
      <c r="E21" s="14"/>
      <c r="F21" s="180" t="s">
        <v>1480</v>
      </c>
      <c r="G21" s="17">
        <v>1.1299999999999999</v>
      </c>
      <c r="H21" s="17">
        <f>AVERAGE(0.76,0.75,0.7,0.73)</f>
        <v>0.73499999999999999</v>
      </c>
      <c r="J21" s="180" t="s">
        <v>2084</v>
      </c>
      <c r="K21" s="180" t="e">
        <f>X02S03F24</f>
        <v>#REF!</v>
      </c>
      <c r="L21" s="180" t="e">
        <f>X02S03F25</f>
        <v>#REF!</v>
      </c>
      <c r="M21" s="180" t="e">
        <f>X02S03F26</f>
        <v>#REF!</v>
      </c>
      <c r="N21" s="180" t="e">
        <f>X02S03F27</f>
        <v>#REF!</v>
      </c>
      <c r="O21" s="180" t="e">
        <f>X02S03F28</f>
        <v>#REF!</v>
      </c>
      <c r="P21" s="180" t="e">
        <f>X02S03F12</f>
        <v>#REF!</v>
      </c>
      <c r="Q21" s="180" t="e">
        <f>X02S03F13</f>
        <v>#REF!</v>
      </c>
      <c r="R21" s="180" t="e">
        <f>X02S03F15</f>
        <v>#REF!</v>
      </c>
      <c r="S21" s="180" t="e">
        <f>X02S03F16</f>
        <v>#REF!</v>
      </c>
      <c r="T21" s="180" t="s">
        <v>2073</v>
      </c>
      <c r="U21" s="180" t="s">
        <v>299</v>
      </c>
      <c r="X21" s="134" t="s">
        <v>1229</v>
      </c>
      <c r="Y21" s="134" t="s">
        <v>2200</v>
      </c>
      <c r="Z21" s="525">
        <v>2.0736929541356812E-4</v>
      </c>
      <c r="AA21" s="560">
        <v>0.1</v>
      </c>
      <c r="AB21" s="436"/>
      <c r="AC21" s="421" t="s">
        <v>1876</v>
      </c>
    </row>
    <row r="22" spans="1:29">
      <c r="A22" s="180" t="s">
        <v>1643</v>
      </c>
      <c r="C22" t="s">
        <v>201</v>
      </c>
      <c r="D22" t="s">
        <v>202</v>
      </c>
      <c r="E22" s="14"/>
      <c r="F22" s="180" t="s">
        <v>1471</v>
      </c>
      <c r="G22" s="17">
        <v>1.1399999999999999</v>
      </c>
      <c r="H22" s="17">
        <v>0.65</v>
      </c>
      <c r="J22" s="180" t="s">
        <v>2083</v>
      </c>
      <c r="K22" s="180" t="e">
        <f>X02S03F24</f>
        <v>#REF!</v>
      </c>
      <c r="L22" s="180" t="e">
        <f>X02S03F25</f>
        <v>#REF!</v>
      </c>
      <c r="M22" s="180" t="e">
        <f>X02S03F26</f>
        <v>#REF!</v>
      </c>
      <c r="N22" s="180" t="e">
        <f>X02S03F27</f>
        <v>#REF!</v>
      </c>
      <c r="O22" s="180" t="e">
        <f>X02S03F28</f>
        <v>#REF!</v>
      </c>
      <c r="P22" s="180" t="e">
        <f>X02S03F12</f>
        <v>#REF!</v>
      </c>
      <c r="Q22" s="180" t="e">
        <f>X02S03F13</f>
        <v>#REF!</v>
      </c>
      <c r="R22" s="180" t="e">
        <f>X02S03F15</f>
        <v>#REF!</v>
      </c>
      <c r="S22" s="180" t="e">
        <f>X02S03F16</f>
        <v>#REF!</v>
      </c>
      <c r="T22" s="180" t="s">
        <v>2088</v>
      </c>
      <c r="U22" s="180" t="s">
        <v>97</v>
      </c>
      <c r="X22" s="134" t="s">
        <v>143</v>
      </c>
      <c r="Y22" s="134" t="s">
        <v>2200</v>
      </c>
      <c r="Z22" s="524">
        <v>2.0736929541356812E-4</v>
      </c>
      <c r="AA22" s="559">
        <v>0.1</v>
      </c>
      <c r="AB22" s="435"/>
      <c r="AC22" s="421" t="s">
        <v>1878</v>
      </c>
    </row>
    <row r="23" spans="1:29">
      <c r="A23" t="s">
        <v>131</v>
      </c>
      <c r="C23" t="s">
        <v>205</v>
      </c>
      <c r="D23" t="s">
        <v>206</v>
      </c>
      <c r="E23" s="14"/>
      <c r="F23" s="180" t="s">
        <v>784</v>
      </c>
      <c r="G23" s="17">
        <v>1.0900000000000001</v>
      </c>
      <c r="H23" s="17">
        <f>AVERAGE(0.28,0.73)</f>
        <v>0.505</v>
      </c>
      <c r="J23" s="180" t="s">
        <v>2087</v>
      </c>
      <c r="K23" s="180"/>
      <c r="L23" s="180"/>
      <c r="M23" s="180"/>
      <c r="N23" s="180"/>
      <c r="O23" s="180"/>
      <c r="P23" s="180"/>
      <c r="Q23" s="180"/>
      <c r="R23" s="180"/>
      <c r="S23" s="180"/>
      <c r="T23" s="180" t="s">
        <v>2073</v>
      </c>
      <c r="U23" s="180" t="s">
        <v>97</v>
      </c>
      <c r="X23" s="134" t="s">
        <v>96</v>
      </c>
      <c r="Y23" s="134" t="s">
        <v>2200</v>
      </c>
      <c r="Z23" s="524">
        <v>9.1176563669200504E-5</v>
      </c>
      <c r="AA23" s="559">
        <v>0.06</v>
      </c>
      <c r="AB23" s="435"/>
      <c r="AC23" s="421" t="s">
        <v>1880</v>
      </c>
    </row>
    <row r="24" spans="1:29">
      <c r="A24" s="14" t="s">
        <v>2709</v>
      </c>
      <c r="C24" t="s">
        <v>209</v>
      </c>
      <c r="D24" t="s">
        <v>210</v>
      </c>
      <c r="E24" s="14"/>
      <c r="F24" s="180" t="s">
        <v>2897</v>
      </c>
      <c r="G24" s="17">
        <v>1.08</v>
      </c>
      <c r="H24" s="17">
        <v>0.67</v>
      </c>
      <c r="X24" s="134" t="s">
        <v>2150</v>
      </c>
      <c r="Y24" s="134" t="s">
        <v>2200</v>
      </c>
      <c r="Z24" s="524">
        <v>7.1201109833252357E-4</v>
      </c>
      <c r="AA24" s="559">
        <v>0.27</v>
      </c>
      <c r="AB24" s="435"/>
      <c r="AC24" s="421" t="s">
        <v>1881</v>
      </c>
    </row>
    <row r="25" spans="1:29">
      <c r="A25" s="180" t="s">
        <v>2793</v>
      </c>
      <c r="C25" t="s">
        <v>213</v>
      </c>
      <c r="D25" t="s">
        <v>214</v>
      </c>
      <c r="E25" s="14"/>
      <c r="F25" t="s">
        <v>1473</v>
      </c>
      <c r="G25" s="17">
        <v>1.02</v>
      </c>
      <c r="H25" s="17">
        <v>0.81</v>
      </c>
      <c r="J25" s="180" t="s">
        <v>301</v>
      </c>
      <c r="K25" s="180" t="s">
        <v>82</v>
      </c>
      <c r="L25" s="180" t="s">
        <v>76</v>
      </c>
      <c r="M25" s="180" t="s">
        <v>71</v>
      </c>
      <c r="N25" s="180" t="s">
        <v>72</v>
      </c>
      <c r="O25" s="180" t="s">
        <v>80</v>
      </c>
      <c r="P25" s="180" t="s">
        <v>297</v>
      </c>
      <c r="Q25" s="180" t="s">
        <v>298</v>
      </c>
      <c r="R25" s="180" t="s">
        <v>296</v>
      </c>
      <c r="S25" s="180" t="s">
        <v>147</v>
      </c>
      <c r="T25" s="180" t="s">
        <v>300</v>
      </c>
      <c r="U25" s="180" t="s">
        <v>652</v>
      </c>
      <c r="X25" s="134" t="s">
        <v>330</v>
      </c>
      <c r="Y25" s="134" t="s">
        <v>2200</v>
      </c>
      <c r="Z25" s="524">
        <v>1.379439E-4</v>
      </c>
      <c r="AA25" s="559">
        <v>7.0000000000000007E-2</v>
      </c>
      <c r="AB25" s="435"/>
      <c r="AC25" s="421" t="s">
        <v>1882</v>
      </c>
    </row>
    <row r="26" spans="1:29">
      <c r="A26" t="s">
        <v>1711</v>
      </c>
      <c r="C26" t="s">
        <v>217</v>
      </c>
      <c r="D26" t="s">
        <v>218</v>
      </c>
      <c r="E26" s="14"/>
      <c r="F26" s="14" t="s">
        <v>1472</v>
      </c>
      <c r="G26" s="17">
        <v>1.1100000000000001</v>
      </c>
      <c r="H26" s="17">
        <v>0.53</v>
      </c>
      <c r="J26" s="180" t="s">
        <v>2786</v>
      </c>
      <c r="K26" s="180" t="e">
        <f>IF(N05S01F15="Trade Ally / General Contractor",N02S02F01,
IF(N05S01F15="Architect",N02S02F11,
IF(N05S01F15="Mechanical Engineer",N02S02F21,
IF(N05S01F15="Electrical Engineer",N02S02F31,
IF(N05S01F15="Additional Contact 1",N02S02F41,
IF(N05S01F15="Additional Contact 2",N02S02F51,
""))))))</f>
        <v>#REF!</v>
      </c>
      <c r="L26" s="180" t="e">
        <f>IF(N05S01F15="Trade Ally / General Contractor",N02S02F02,
IF(N05S01F15="Architect",N02S02F12,
IF(N05S01F15="Mechanical Engineer",N02S02F22,
IF(N05S01F15="Electrical Engineer",N02S02F32,
IF(N05S01F15="Additional Contact 1",N02S02F42,
IF(N05S01F15="Additional Contact 2",N02S02F52,
""))))))</f>
        <v>#REF!</v>
      </c>
      <c r="M26" s="180" t="e">
        <f>IF(N05S01F15="Trade Ally / General Contractor",N02S02F03,
IF(N05S01F15="Architect",N02S02F13,
IF(N05S01F15="Mechanical Engineer",N02S02F23,
IF(N05S01F15="Electrical Engineer",N02S02F33,
IF(N05S01F15="Additional Contact 1",N02S02F43,
IF(N05S01F15="Additional Contact 2",N02S02F53,
""))))))</f>
        <v>#REF!</v>
      </c>
      <c r="N26" s="180" t="e">
        <f>IF(N05S01F15="Trade Ally / General Contractor",N02S02F04,
IF(N05S01F15="Architect",N02S02F14,
IF(N05S01F15="Mechanical Engineer",N02S02F24,
IF(N05S01F15="Electrical Engineer",N02S02F34,
IF(N05S01F15="Additional Contact 1",N02S02F44,
IF(N05S01F15="Additional Contact 2",N02S02F54,
""))))))</f>
        <v>#REF!</v>
      </c>
      <c r="O26" s="180" t="e">
        <f>IF(N05S01F15="Trade Ally / General Contractor",N02S02F05,
IF(N05S01F15="Architect",N02S02F15,
IF(N05S01F15="Mechanical Engineer",N02S02F25,
IF(N05S01F15="Electrical Engineer",N02S02F35,
IF(N05S01F15="Additional Contact 1",N02S02F45,
IF(N05S01F15="Additional Contact 2",N02S02F55,
""))))))</f>
        <v>#REF!</v>
      </c>
      <c r="P26" s="180" t="e">
        <f>IF(N05S01F15="Trade Ally / General Contractor",N02S02F06,
IF(N05S01F15="Architect",N02S02F16,
IF(N05S01F15="Mechanical Engineer",N02S02F26,
IF(N05S01F15="Electrical Engineer",N02S02F36,
IF(N05S01F15="Additional Contact 1",N02S02F46,
IF(N05S01F15="Additional Contact 2",N02S02F56,
""))))))</f>
        <v>#REF!</v>
      </c>
      <c r="Q26" s="180" t="e">
        <f>IF(N05S01F15="Trade Ally / General Contractor",N02S02F07,
IF(N05S01F15="Architect",N02S02F17,
IF(N05S01F15="Mechanical Engineer",N02S02F27,
IF(N05S01F15="Electrical Engineer",N02S02F37,
IF(N05S01F15="Additional Contact 1",N02S02F47,
IF(N05S01F15="Additional Contact 2",N02S02F57,
""))))))</f>
        <v>#REF!</v>
      </c>
      <c r="R26" s="180" t="e">
        <f>IF(N05S01F15="Trade Ally / General Contractor",N02S02F09,
IF(N05S01F15="Architect",N02S02F19,
IF(N05S01F15="Mechanical Engineer",N02S02F29,
IF(N05S01F15="Electrical Engineer",N02S02F39,
IF(N05S01F15="Additional Contact 1",N02S02F49,
IF(N05S01F15="Additional Contact 2",N02S02F59,
""))))))</f>
        <v>#REF!</v>
      </c>
      <c r="S26" s="180" t="e">
        <f>IF(N05S01F15="Trade Ally / General Contractor",N02S02F10,
IF(N05S01F15="Architect",N02S02F20,
IF(N05S01F15="Mechanical Engineer",N02S02F30,
IF(N05S01F15="Electrical Engineer",N02S02F40,
IF(N05S01F15="Additional Contact 1",N02S02F50,
IF(N05S01F15="Additional Contact 2",N02S02F60,
""))))))</f>
        <v>#REF!</v>
      </c>
      <c r="T26" s="180" t="s">
        <v>2071</v>
      </c>
      <c r="U26" s="180" t="s">
        <v>1927</v>
      </c>
      <c r="X26" s="180" t="s">
        <v>145</v>
      </c>
      <c r="Y26" s="134" t="s">
        <v>2200</v>
      </c>
      <c r="Z26" s="526">
        <v>1.811545E-4</v>
      </c>
      <c r="AA26" s="94">
        <v>0.09</v>
      </c>
      <c r="AB26" s="10"/>
      <c r="AC26" s="421" t="s">
        <v>1883</v>
      </c>
    </row>
    <row r="27" spans="1:29">
      <c r="C27" t="s">
        <v>221</v>
      </c>
      <c r="D27" t="s">
        <v>222</v>
      </c>
      <c r="E27" s="14"/>
      <c r="F27" s="14" t="s">
        <v>1474</v>
      </c>
      <c r="G27" s="17">
        <v>1</v>
      </c>
      <c r="H27" s="17">
        <f>AVERAGE(0.57,0.57,0.53,0.59)</f>
        <v>0.56499999999999995</v>
      </c>
      <c r="J27" s="180" t="s">
        <v>2085</v>
      </c>
      <c r="K27" s="180" t="e">
        <f>N02S03F01</f>
        <v>#REF!</v>
      </c>
      <c r="L27" s="180" t="e">
        <f>N02S03F02</f>
        <v>#REF!</v>
      </c>
      <c r="M27" s="180" t="e">
        <f>N02S03F03</f>
        <v>#REF!</v>
      </c>
      <c r="N27" s="180" t="e">
        <f>N02S03F04</f>
        <v>#REF!</v>
      </c>
      <c r="O27" s="180" t="e">
        <f>N02S03F05</f>
        <v>#REF!</v>
      </c>
      <c r="P27" s="180" t="e">
        <f>N02S03F06</f>
        <v>#REF!</v>
      </c>
      <c r="Q27" s="180" t="e">
        <f>N02S03F07</f>
        <v>#REF!</v>
      </c>
      <c r="R27" s="180" t="e">
        <f>N02S03F09</f>
        <v>#REF!</v>
      </c>
      <c r="S27" s="180" t="e">
        <f>N02S03F10</f>
        <v>#REF!</v>
      </c>
      <c r="T27" s="180" t="s">
        <v>2072</v>
      </c>
      <c r="U27" s="180" t="s">
        <v>299</v>
      </c>
      <c r="X27" s="134" t="s">
        <v>2201</v>
      </c>
      <c r="Y27" s="134" t="s">
        <v>2200</v>
      </c>
      <c r="Z27" s="525">
        <v>0</v>
      </c>
      <c r="AA27" s="560">
        <v>0.04</v>
      </c>
      <c r="AB27" s="436"/>
      <c r="AC27" s="421" t="s">
        <v>1884</v>
      </c>
    </row>
    <row r="28" spans="1:29">
      <c r="A28" t="s">
        <v>290</v>
      </c>
      <c r="C28" t="s">
        <v>225</v>
      </c>
      <c r="D28" t="s">
        <v>226</v>
      </c>
      <c r="E28" s="14"/>
      <c r="F28" s="14" t="s">
        <v>1475</v>
      </c>
      <c r="G28" s="17">
        <v>1.1000000000000001</v>
      </c>
      <c r="H28" s="17">
        <v>0.52</v>
      </c>
      <c r="J28" s="180" t="s">
        <v>2084</v>
      </c>
      <c r="K28" s="180" t="e">
        <f>N02S03F15</f>
        <v>#REF!</v>
      </c>
      <c r="L28" s="180" t="e">
        <f>N02S03F16</f>
        <v>#REF!</v>
      </c>
      <c r="M28" s="180" t="e">
        <f>N02S03F17</f>
        <v>#REF!</v>
      </c>
      <c r="N28" s="180" t="e">
        <f>N02S03F18</f>
        <v>#REF!</v>
      </c>
      <c r="O28" s="180" t="e">
        <f>N02S03F19</f>
        <v>#REF!</v>
      </c>
      <c r="P28" s="180" t="e">
        <f>N02S03F21</f>
        <v>#REF!</v>
      </c>
      <c r="Q28" s="180" t="e">
        <f>N02S03F22</f>
        <v>#REF!</v>
      </c>
      <c r="R28" s="180" t="e">
        <f>N02S03F24</f>
        <v>#REF!</v>
      </c>
      <c r="S28" s="180" t="e">
        <f>N02S03F25</f>
        <v>#REF!</v>
      </c>
      <c r="T28" s="180" t="s">
        <v>2073</v>
      </c>
      <c r="U28" s="180" t="s">
        <v>299</v>
      </c>
    </row>
    <row r="29" spans="1:29">
      <c r="A29" t="s">
        <v>291</v>
      </c>
      <c r="C29" t="s">
        <v>229</v>
      </c>
      <c r="D29" t="s">
        <v>230</v>
      </c>
      <c r="E29" s="14"/>
      <c r="F29" s="180" t="s">
        <v>1476</v>
      </c>
      <c r="G29" s="17">
        <v>1.1000000000000001</v>
      </c>
      <c r="H29" s="17">
        <v>0.52</v>
      </c>
      <c r="J29" s="180" t="s">
        <v>2083</v>
      </c>
      <c r="K29" s="180" t="e">
        <f>N02S03F15</f>
        <v>#REF!</v>
      </c>
      <c r="L29" s="180" t="e">
        <f>N02S03F16</f>
        <v>#REF!</v>
      </c>
      <c r="M29" s="180" t="e">
        <f>N02S03F17</f>
        <v>#REF!</v>
      </c>
      <c r="N29" s="180" t="e">
        <f>N02S03F18</f>
        <v>#REF!</v>
      </c>
      <c r="O29" s="180" t="e">
        <f>N02S03F19</f>
        <v>#REF!</v>
      </c>
      <c r="P29" s="180" t="e">
        <f>N02S03F21</f>
        <v>#REF!</v>
      </c>
      <c r="Q29" s="180" t="e">
        <f>N02S03F22</f>
        <v>#REF!</v>
      </c>
      <c r="R29" s="180" t="e">
        <f>N02S03F24</f>
        <v>#REF!</v>
      </c>
      <c r="S29" s="180" t="e">
        <f>N02S03F25</f>
        <v>#REF!</v>
      </c>
      <c r="T29" s="180" t="s">
        <v>2088</v>
      </c>
      <c r="U29" s="180" t="s">
        <v>97</v>
      </c>
    </row>
    <row r="30" spans="1:29">
      <c r="A30" t="s">
        <v>292</v>
      </c>
      <c r="C30" t="s">
        <v>233</v>
      </c>
      <c r="D30" t="s">
        <v>234</v>
      </c>
      <c r="E30" s="14"/>
      <c r="F30" t="s">
        <v>97</v>
      </c>
      <c r="G30" s="17">
        <v>1.08</v>
      </c>
      <c r="H30" s="17">
        <v>0.57999999999999996</v>
      </c>
      <c r="J30" s="180" t="s">
        <v>2087</v>
      </c>
      <c r="K30" s="180"/>
      <c r="L30" s="180"/>
      <c r="M30" s="180"/>
      <c r="N30" s="180"/>
      <c r="O30" s="180"/>
      <c r="P30" s="180"/>
      <c r="Q30" s="180"/>
      <c r="R30" s="180"/>
      <c r="S30" s="180"/>
      <c r="T30" s="180" t="s">
        <v>2073</v>
      </c>
      <c r="U30" s="180" t="s">
        <v>97</v>
      </c>
    </row>
    <row r="31" spans="1:29">
      <c r="A31" t="s">
        <v>95</v>
      </c>
      <c r="C31" t="s">
        <v>237</v>
      </c>
      <c r="D31" t="s">
        <v>238</v>
      </c>
      <c r="E31" s="14"/>
      <c r="F31" t="s">
        <v>1556</v>
      </c>
      <c r="G31" s="17">
        <v>1.1200000000000001</v>
      </c>
      <c r="H31" s="17">
        <v>0.48</v>
      </c>
      <c r="P31" s="14"/>
      <c r="Q31" s="14"/>
    </row>
    <row r="32" spans="1:29">
      <c r="A32" t="s">
        <v>293</v>
      </c>
      <c r="C32" t="s">
        <v>241</v>
      </c>
      <c r="D32" t="s">
        <v>242</v>
      </c>
      <c r="E32" s="14"/>
      <c r="F32" s="14" t="s">
        <v>1477</v>
      </c>
      <c r="G32" s="17">
        <v>1.08</v>
      </c>
      <c r="H32" s="17">
        <v>0.68</v>
      </c>
      <c r="P32" s="14"/>
      <c r="Q32" s="14"/>
    </row>
    <row r="33" spans="1:21">
      <c r="A33" t="s">
        <v>294</v>
      </c>
      <c r="C33" t="s">
        <v>245</v>
      </c>
      <c r="D33" t="s">
        <v>246</v>
      </c>
      <c r="E33" s="14"/>
      <c r="F33" s="180" t="s">
        <v>1478</v>
      </c>
      <c r="G33" s="17">
        <v>1.06</v>
      </c>
      <c r="H33" s="17">
        <v>0.95</v>
      </c>
      <c r="P33" s="14"/>
      <c r="Q33" s="14"/>
    </row>
    <row r="34" spans="1:21">
      <c r="A34" t="s">
        <v>691</v>
      </c>
      <c r="C34" t="s">
        <v>249</v>
      </c>
      <c r="D34" t="s">
        <v>250</v>
      </c>
      <c r="E34" s="14"/>
      <c r="F34" s="14" t="s">
        <v>1479</v>
      </c>
      <c r="G34" s="17">
        <v>1.1200000000000001</v>
      </c>
      <c r="H34" s="17">
        <v>0.71</v>
      </c>
      <c r="P34" s="14"/>
      <c r="Q34" s="14"/>
    </row>
    <row r="35" spans="1:21">
      <c r="C35" t="s">
        <v>253</v>
      </c>
      <c r="D35" t="s">
        <v>254</v>
      </c>
      <c r="E35" s="14"/>
      <c r="F35" s="14" t="s">
        <v>1467</v>
      </c>
      <c r="G35" s="17">
        <v>1.17</v>
      </c>
      <c r="H35" s="17">
        <v>0.72</v>
      </c>
      <c r="P35" s="14"/>
      <c r="Q35" s="14"/>
    </row>
    <row r="36" spans="1:21">
      <c r="A36" s="180" t="s">
        <v>1510</v>
      </c>
      <c r="C36" t="s">
        <v>257</v>
      </c>
      <c r="D36" t="s">
        <v>258</v>
      </c>
      <c r="E36" s="14"/>
      <c r="F36" s="180" t="s">
        <v>1465</v>
      </c>
      <c r="G36" s="17">
        <v>1.02</v>
      </c>
      <c r="H36" s="17">
        <v>0.63</v>
      </c>
      <c r="P36" s="14"/>
      <c r="Q36" s="14"/>
    </row>
    <row r="37" spans="1:21">
      <c r="A37" s="180" t="s">
        <v>2074</v>
      </c>
      <c r="C37" t="s">
        <v>261</v>
      </c>
      <c r="D37" t="s">
        <v>262</v>
      </c>
      <c r="E37" s="14"/>
      <c r="F37" s="14" t="s">
        <v>785</v>
      </c>
      <c r="G37" s="17">
        <v>1.04</v>
      </c>
      <c r="H37" s="17">
        <v>0.72</v>
      </c>
      <c r="J37" s="14" t="s">
        <v>2790</v>
      </c>
      <c r="L37" s="180" t="s">
        <v>2880</v>
      </c>
      <c r="P37" s="14"/>
      <c r="Q37" s="14"/>
    </row>
    <row r="38" spans="1:21">
      <c r="A38" s="180" t="s">
        <v>2075</v>
      </c>
      <c r="C38" t="s">
        <v>265</v>
      </c>
      <c r="D38" t="s">
        <v>266</v>
      </c>
      <c r="E38" s="14"/>
      <c r="F38" s="14" t="s">
        <v>786</v>
      </c>
      <c r="G38" s="17">
        <v>1.1499999999999999</v>
      </c>
      <c r="H38" s="17">
        <v>0.72</v>
      </c>
      <c r="J38" t="s">
        <v>2787</v>
      </c>
      <c r="L38" s="14" t="s">
        <v>2710</v>
      </c>
      <c r="P38" s="14"/>
      <c r="Q38" s="14"/>
    </row>
    <row r="39" spans="1:21">
      <c r="A39" s="180" t="s">
        <v>1511</v>
      </c>
      <c r="C39" t="s">
        <v>269</v>
      </c>
      <c r="D39" t="s">
        <v>270</v>
      </c>
      <c r="E39" s="14"/>
      <c r="F39" s="14" t="s">
        <v>187</v>
      </c>
      <c r="G39" s="180">
        <v>1.02</v>
      </c>
      <c r="H39" s="180">
        <v>0.68</v>
      </c>
      <c r="J39" t="s">
        <v>2736</v>
      </c>
      <c r="L39" s="180" t="e">
        <f>X02S02F12</f>
        <v>#REF!</v>
      </c>
      <c r="P39" s="14"/>
      <c r="Q39" s="14"/>
    </row>
    <row r="40" spans="1:21">
      <c r="A40" s="180" t="s">
        <v>1512</v>
      </c>
      <c r="C40" t="s">
        <v>273</v>
      </c>
      <c r="D40" t="s">
        <v>274</v>
      </c>
      <c r="E40" s="14"/>
      <c r="J40" s="14" t="s">
        <v>2735</v>
      </c>
      <c r="L40" s="180" t="e">
        <f>X02S02F23</f>
        <v>#REF!</v>
      </c>
      <c r="P40" s="14"/>
      <c r="Q40" s="14"/>
    </row>
    <row r="41" spans="1:21">
      <c r="A41" s="180" t="s">
        <v>1513</v>
      </c>
      <c r="C41" t="s">
        <v>277</v>
      </c>
      <c r="D41" t="s">
        <v>278</v>
      </c>
      <c r="E41" s="14"/>
      <c r="F41" t="s">
        <v>685</v>
      </c>
      <c r="G41" s="14" t="s">
        <v>296</v>
      </c>
      <c r="H41" s="180" t="s">
        <v>147</v>
      </c>
      <c r="J41" t="s">
        <v>2734</v>
      </c>
      <c r="P41" s="14"/>
      <c r="Q41" s="14"/>
    </row>
    <row r="42" spans="1:21">
      <c r="A42" s="180" t="s">
        <v>1514</v>
      </c>
      <c r="C42" t="s">
        <v>281</v>
      </c>
      <c r="D42" t="s">
        <v>282</v>
      </c>
      <c r="E42" s="14"/>
      <c r="F42" s="180" t="s">
        <v>1998</v>
      </c>
      <c r="G42" s="14" t="s">
        <v>2745</v>
      </c>
      <c r="H42" s="301" t="s">
        <v>2747</v>
      </c>
      <c r="J42" t="s">
        <v>2788</v>
      </c>
      <c r="P42" s="14"/>
      <c r="Q42" s="14"/>
    </row>
    <row r="43" spans="1:21">
      <c r="A43" s="180" t="s">
        <v>2884</v>
      </c>
      <c r="C43" t="s">
        <v>285</v>
      </c>
      <c r="D43" t="s">
        <v>286</v>
      </c>
      <c r="F43" t="s">
        <v>1999</v>
      </c>
      <c r="G43" s="14" t="s">
        <v>2746</v>
      </c>
      <c r="H43" s="301" t="s">
        <v>2836</v>
      </c>
      <c r="J43" t="s">
        <v>2789</v>
      </c>
    </row>
    <row r="44" spans="1:21">
      <c r="A44" s="180" t="s">
        <v>97</v>
      </c>
      <c r="C44" t="s">
        <v>191</v>
      </c>
      <c r="D44" t="s">
        <v>192</v>
      </c>
      <c r="F44" s="180" t="s">
        <v>2000</v>
      </c>
      <c r="G44" s="14" t="s">
        <v>2749</v>
      </c>
      <c r="H44" s="301" t="s">
        <v>2748</v>
      </c>
    </row>
    <row r="45" spans="1:21">
      <c r="C45" t="s">
        <v>195</v>
      </c>
      <c r="D45" t="s">
        <v>196</v>
      </c>
      <c r="F45" t="s">
        <v>97</v>
      </c>
    </row>
    <row r="46" spans="1:21">
      <c r="A46" t="s">
        <v>308</v>
      </c>
      <c r="C46" t="s">
        <v>199</v>
      </c>
      <c r="D46" t="s">
        <v>200</v>
      </c>
      <c r="F46" s="14" t="s">
        <v>689</v>
      </c>
    </row>
    <row r="47" spans="1:21">
      <c r="A47" t="s">
        <v>630</v>
      </c>
      <c r="C47" t="s">
        <v>203</v>
      </c>
      <c r="D47" t="s">
        <v>204</v>
      </c>
      <c r="U47" s="14"/>
    </row>
    <row r="48" spans="1:21">
      <c r="A48" t="s">
        <v>647</v>
      </c>
      <c r="C48" t="s">
        <v>207</v>
      </c>
      <c r="D48" t="s">
        <v>208</v>
      </c>
    </row>
    <row r="49" spans="1:4">
      <c r="A49" t="s">
        <v>648</v>
      </c>
      <c r="C49" t="s">
        <v>211</v>
      </c>
      <c r="D49" t="s">
        <v>212</v>
      </c>
    </row>
    <row r="50" spans="1:4">
      <c r="A50" t="s">
        <v>637</v>
      </c>
      <c r="C50" t="s">
        <v>215</v>
      </c>
      <c r="D50" t="s">
        <v>216</v>
      </c>
    </row>
    <row r="51" spans="1:4">
      <c r="A51" t="s">
        <v>2027</v>
      </c>
      <c r="C51" t="s">
        <v>219</v>
      </c>
      <c r="D51" t="s">
        <v>220</v>
      </c>
    </row>
    <row r="52" spans="1:4">
      <c r="A52" s="14" t="s">
        <v>641</v>
      </c>
      <c r="C52" t="s">
        <v>223</v>
      </c>
      <c r="D52" t="s">
        <v>224</v>
      </c>
    </row>
    <row r="53" spans="1:4">
      <c r="A53" t="s">
        <v>660</v>
      </c>
      <c r="C53" t="s">
        <v>227</v>
      </c>
      <c r="D53" t="s">
        <v>228</v>
      </c>
    </row>
    <row r="54" spans="1:4">
      <c r="A54" t="s">
        <v>694</v>
      </c>
      <c r="C54" t="s">
        <v>231</v>
      </c>
      <c r="D54" t="s">
        <v>232</v>
      </c>
    </row>
    <row r="55" spans="1:4">
      <c r="A55" s="14" t="s">
        <v>781</v>
      </c>
      <c r="C55" t="s">
        <v>235</v>
      </c>
      <c r="D55" t="s">
        <v>236</v>
      </c>
    </row>
    <row r="56" spans="1:4">
      <c r="A56" s="14" t="s">
        <v>788</v>
      </c>
      <c r="C56" t="s">
        <v>239</v>
      </c>
      <c r="D56" t="s">
        <v>240</v>
      </c>
    </row>
    <row r="57" spans="1:4">
      <c r="A57" s="180" t="s">
        <v>2776</v>
      </c>
      <c r="C57" t="s">
        <v>243</v>
      </c>
      <c r="D57" t="s">
        <v>244</v>
      </c>
    </row>
    <row r="58" spans="1:4">
      <c r="A58" s="180" t="s">
        <v>2777</v>
      </c>
      <c r="C58" t="s">
        <v>247</v>
      </c>
      <c r="D58" t="s">
        <v>248</v>
      </c>
    </row>
    <row r="59" spans="1:4">
      <c r="C59" t="s">
        <v>251</v>
      </c>
      <c r="D59" t="s">
        <v>252</v>
      </c>
    </row>
    <row r="60" spans="1:4">
      <c r="A60" t="s">
        <v>655</v>
      </c>
      <c r="C60" t="s">
        <v>255</v>
      </c>
      <c r="D60" t="s">
        <v>256</v>
      </c>
    </row>
    <row r="61" spans="1:4">
      <c r="A61" s="180" t="s">
        <v>2096</v>
      </c>
      <c r="C61" t="s">
        <v>259</v>
      </c>
      <c r="D61" t="s">
        <v>260</v>
      </c>
    </row>
    <row r="62" spans="1:4">
      <c r="A62" t="s">
        <v>1992</v>
      </c>
      <c r="C62" t="s">
        <v>263</v>
      </c>
      <c r="D62" t="s">
        <v>264</v>
      </c>
    </row>
    <row r="63" spans="1:4">
      <c r="A63" s="180" t="s">
        <v>1908</v>
      </c>
      <c r="C63" t="s">
        <v>267</v>
      </c>
      <c r="D63" t="s">
        <v>268</v>
      </c>
    </row>
    <row r="64" spans="1:4">
      <c r="A64" s="14" t="s">
        <v>2634</v>
      </c>
      <c r="C64" t="s">
        <v>271</v>
      </c>
      <c r="D64" t="s">
        <v>272</v>
      </c>
    </row>
    <row r="65" spans="1:40">
      <c r="A65" t="s">
        <v>1909</v>
      </c>
      <c r="C65" t="s">
        <v>275</v>
      </c>
      <c r="D65" t="s">
        <v>276</v>
      </c>
    </row>
    <row r="66" spans="1:40">
      <c r="C66" t="s">
        <v>279</v>
      </c>
      <c r="D66" t="s">
        <v>280</v>
      </c>
      <c r="W66" s="14"/>
      <c r="X66" s="14"/>
      <c r="Y66" s="14"/>
      <c r="Z66" s="14"/>
      <c r="AB66" s="14"/>
      <c r="AC66" s="14"/>
      <c r="AD66" s="14"/>
      <c r="AE66" s="14"/>
      <c r="AF66" s="14"/>
      <c r="AG66" s="14"/>
      <c r="AH66" s="14"/>
      <c r="AI66" s="14"/>
      <c r="AJ66" s="14"/>
      <c r="AK66" s="14"/>
      <c r="AL66" s="14"/>
      <c r="AM66" s="14"/>
      <c r="AN66" s="14"/>
    </row>
    <row r="67" spans="1:40">
      <c r="C67" t="s">
        <v>283</v>
      </c>
      <c r="D67" t="s">
        <v>284</v>
      </c>
    </row>
    <row r="68" spans="1:40">
      <c r="A68" t="s">
        <v>688</v>
      </c>
      <c r="C68" t="s">
        <v>287</v>
      </c>
      <c r="D68" t="s">
        <v>288</v>
      </c>
    </row>
    <row r="69" spans="1:40">
      <c r="A69" t="s">
        <v>1993</v>
      </c>
      <c r="C69" s="180" t="s">
        <v>2001</v>
      </c>
      <c r="D69" s="180" t="s">
        <v>2002</v>
      </c>
    </row>
    <row r="70" spans="1:40">
      <c r="A70" t="s">
        <v>1997</v>
      </c>
      <c r="W70" s="14"/>
      <c r="X70" s="14"/>
      <c r="Y70" s="14"/>
      <c r="Z70" s="14"/>
      <c r="AB70" s="14"/>
      <c r="AC70" s="14"/>
      <c r="AD70" s="14"/>
      <c r="AE70" s="14"/>
      <c r="AF70" s="14"/>
      <c r="AG70" s="14"/>
      <c r="AH70" s="14"/>
      <c r="AI70" s="14"/>
      <c r="AJ70" s="14"/>
      <c r="AK70" s="14"/>
      <c r="AL70" s="14"/>
      <c r="AM70" s="14"/>
      <c r="AN70" s="14"/>
    </row>
    <row r="71" spans="1:40">
      <c r="A71" s="14" t="s">
        <v>1996</v>
      </c>
      <c r="C71" t="s">
        <v>635</v>
      </c>
      <c r="D71" t="s">
        <v>636</v>
      </c>
      <c r="W71" s="14"/>
      <c r="X71" s="14"/>
      <c r="Y71" s="14"/>
      <c r="Z71" s="14"/>
      <c r="AB71" s="14"/>
      <c r="AC71" s="14"/>
      <c r="AD71" s="14"/>
      <c r="AE71" s="14"/>
      <c r="AF71" s="14"/>
      <c r="AG71" s="14"/>
      <c r="AH71" s="14"/>
      <c r="AI71" s="14"/>
      <c r="AJ71" s="14"/>
      <c r="AK71" s="14"/>
      <c r="AL71" s="14"/>
      <c r="AM71" s="14"/>
      <c r="AN71" s="14"/>
    </row>
    <row r="72" spans="1:40">
      <c r="A72" t="s">
        <v>1994</v>
      </c>
      <c r="C72" s="69" t="s">
        <v>2066</v>
      </c>
      <c r="D72" s="69" t="s">
        <v>1515</v>
      </c>
      <c r="W72" s="14"/>
      <c r="X72" s="14"/>
      <c r="Y72" s="14"/>
      <c r="Z72" s="14"/>
      <c r="AB72" s="14"/>
      <c r="AC72" s="14"/>
      <c r="AD72" s="14"/>
      <c r="AE72" s="14"/>
      <c r="AF72" s="14"/>
      <c r="AG72" s="14"/>
      <c r="AH72" s="14"/>
      <c r="AI72" s="14"/>
      <c r="AJ72" s="14"/>
      <c r="AK72" s="14"/>
      <c r="AL72" s="14"/>
      <c r="AM72" s="14"/>
      <c r="AN72" s="14"/>
    </row>
    <row r="73" spans="1:40">
      <c r="A73" s="180" t="s">
        <v>2095</v>
      </c>
      <c r="C73" t="s">
        <v>1971</v>
      </c>
      <c r="D73">
        <v>0.17119999999999999</v>
      </c>
      <c r="W73" s="14"/>
      <c r="X73" s="14"/>
      <c r="Y73" s="14"/>
      <c r="Z73" s="14"/>
      <c r="AB73" s="14"/>
      <c r="AC73" s="14"/>
      <c r="AD73" s="14"/>
      <c r="AE73" s="14"/>
      <c r="AF73" s="14"/>
      <c r="AG73" s="14"/>
      <c r="AH73" s="14"/>
      <c r="AI73" s="14"/>
      <c r="AJ73" s="14"/>
      <c r="AK73" s="14"/>
      <c r="AL73" s="14"/>
      <c r="AM73" s="14"/>
      <c r="AN73" s="14"/>
    </row>
    <row r="74" spans="1:40">
      <c r="A74" t="s">
        <v>1995</v>
      </c>
      <c r="C74" s="14" t="s">
        <v>1972</v>
      </c>
      <c r="D74" s="14">
        <v>0.14130000000000001</v>
      </c>
      <c r="W74" s="14"/>
      <c r="X74" s="14"/>
      <c r="Y74" s="14"/>
      <c r="Z74" s="14"/>
      <c r="AB74" s="14"/>
      <c r="AC74" s="14"/>
      <c r="AD74" s="14"/>
      <c r="AE74" s="14"/>
      <c r="AF74" s="14"/>
      <c r="AG74" s="14"/>
      <c r="AH74" s="14"/>
      <c r="AI74" s="14"/>
      <c r="AJ74" s="14"/>
      <c r="AK74" s="14"/>
      <c r="AL74" s="14"/>
      <c r="AM74" s="14"/>
      <c r="AN74" s="14"/>
    </row>
    <row r="75" spans="1:40">
      <c r="C75" t="s">
        <v>1973</v>
      </c>
      <c r="D75">
        <v>0.1212</v>
      </c>
    </row>
    <row r="76" spans="1:40">
      <c r="A76" t="s">
        <v>2717</v>
      </c>
      <c r="C76" s="14" t="s">
        <v>1974</v>
      </c>
      <c r="D76" s="14">
        <v>9.9599999999999994E-2</v>
      </c>
    </row>
    <row r="77" spans="1:40">
      <c r="A77" t="s">
        <v>2709</v>
      </c>
      <c r="C77" s="69" t="s">
        <v>2067</v>
      </c>
      <c r="D77" s="69" t="s">
        <v>1515</v>
      </c>
    </row>
    <row r="78" spans="1:40">
      <c r="A78" t="s">
        <v>144</v>
      </c>
      <c r="C78" s="14" t="s">
        <v>1975</v>
      </c>
      <c r="D78" s="14">
        <v>0.1552</v>
      </c>
    </row>
    <row r="79" spans="1:40">
      <c r="C79" s="14" t="s">
        <v>1976</v>
      </c>
      <c r="D79" s="14">
        <v>9.5799999999999996E-2</v>
      </c>
      <c r="Q79" s="69"/>
    </row>
    <row r="80" spans="1:40">
      <c r="A80" t="s">
        <v>2741</v>
      </c>
      <c r="C80" s="14" t="s">
        <v>1977</v>
      </c>
      <c r="D80">
        <v>8.0299999999999996E-2</v>
      </c>
    </row>
    <row r="81" spans="1:40">
      <c r="A81" t="s">
        <v>2742</v>
      </c>
    </row>
    <row r="82" spans="1:40">
      <c r="A82" t="s">
        <v>2743</v>
      </c>
      <c r="C82" t="s">
        <v>628</v>
      </c>
      <c r="D82" t="s">
        <v>629</v>
      </c>
    </row>
    <row r="83" spans="1:40">
      <c r="A83" t="s">
        <v>2744</v>
      </c>
      <c r="C83" t="s">
        <v>638</v>
      </c>
      <c r="D83" t="s">
        <v>641</v>
      </c>
    </row>
    <row r="84" spans="1:40">
      <c r="C84" t="s">
        <v>631</v>
      </c>
      <c r="D84" t="s">
        <v>641</v>
      </c>
    </row>
    <row r="85" spans="1:40">
      <c r="A85" t="s">
        <v>2768</v>
      </c>
      <c r="C85" t="s">
        <v>632</v>
      </c>
      <c r="D85" t="s">
        <v>640</v>
      </c>
    </row>
    <row r="86" spans="1:40">
      <c r="A86" t="s">
        <v>2770</v>
      </c>
      <c r="C86" t="s">
        <v>633</v>
      </c>
      <c r="D86" t="s">
        <v>639</v>
      </c>
    </row>
    <row r="87" spans="1:40">
      <c r="A87" t="s">
        <v>2769</v>
      </c>
      <c r="C87" t="s">
        <v>634</v>
      </c>
      <c r="D87" t="s">
        <v>641</v>
      </c>
    </row>
    <row r="88" spans="1:40">
      <c r="A88" t="s">
        <v>2764</v>
      </c>
      <c r="C88" s="14" t="s">
        <v>1437</v>
      </c>
      <c r="D88" s="14" t="s">
        <v>641</v>
      </c>
    </row>
    <row r="89" spans="1:40">
      <c r="A89" t="s">
        <v>2766</v>
      </c>
      <c r="C89" s="14" t="s">
        <v>677</v>
      </c>
      <c r="D89" s="14" t="s">
        <v>641</v>
      </c>
      <c r="R89" s="14"/>
      <c r="S89" s="14"/>
    </row>
    <row r="90" spans="1:40">
      <c r="A90" t="s">
        <v>2763</v>
      </c>
      <c r="C90" s="14" t="s">
        <v>678</v>
      </c>
      <c r="D90" s="14" t="s">
        <v>641</v>
      </c>
    </row>
    <row r="91" spans="1:40" s="14" customFormat="1">
      <c r="A91" t="s">
        <v>2767</v>
      </c>
      <c r="C91" s="14" t="s">
        <v>679</v>
      </c>
      <c r="D91" s="14" t="s">
        <v>641</v>
      </c>
      <c r="E91"/>
      <c r="H91" s="180"/>
      <c r="Q91"/>
      <c r="W91"/>
      <c r="X91"/>
      <c r="Y91"/>
      <c r="Z91"/>
      <c r="AA91" s="180"/>
      <c r="AB91"/>
      <c r="AC91"/>
      <c r="AD91"/>
      <c r="AE91"/>
      <c r="AF91"/>
      <c r="AG91"/>
      <c r="AH91"/>
      <c r="AI91"/>
      <c r="AJ91"/>
      <c r="AK91"/>
      <c r="AL91"/>
      <c r="AM91"/>
      <c r="AN91"/>
    </row>
    <row r="92" spans="1:40">
      <c r="A92" t="s">
        <v>2765</v>
      </c>
      <c r="C92" s="14" t="s">
        <v>1716</v>
      </c>
      <c r="D92" s="180" t="s">
        <v>641</v>
      </c>
    </row>
    <row r="93" spans="1:40">
      <c r="A93" t="s">
        <v>596</v>
      </c>
      <c r="C93" s="180" t="s">
        <v>1920</v>
      </c>
      <c r="D93" s="180" t="s">
        <v>641</v>
      </c>
    </row>
    <row r="94" spans="1:40">
      <c r="C94" s="180" t="s">
        <v>1923</v>
      </c>
      <c r="D94" s="180" t="s">
        <v>641</v>
      </c>
    </row>
    <row r="95" spans="1:40" s="14" customFormat="1">
      <c r="A95" t="s">
        <v>580</v>
      </c>
      <c r="C95" s="14" t="s">
        <v>2753</v>
      </c>
      <c r="D95" s="180" t="s">
        <v>641</v>
      </c>
      <c r="E95"/>
      <c r="H95" s="180"/>
      <c r="P95"/>
      <c r="Q95"/>
      <c r="W95"/>
      <c r="X95"/>
      <c r="Y95"/>
      <c r="Z95"/>
      <c r="AA95" s="180"/>
      <c r="AB95"/>
      <c r="AC95"/>
      <c r="AD95"/>
      <c r="AE95"/>
      <c r="AF95"/>
      <c r="AG95"/>
      <c r="AH95"/>
      <c r="AI95"/>
      <c r="AJ95"/>
      <c r="AK95"/>
      <c r="AL95"/>
      <c r="AM95"/>
      <c r="AN95"/>
    </row>
    <row r="96" spans="1:40" s="14" customFormat="1">
      <c r="A96" t="s">
        <v>1221</v>
      </c>
      <c r="C96" s="14" t="s">
        <v>2772</v>
      </c>
      <c r="D96" s="180" t="s">
        <v>641</v>
      </c>
      <c r="E96"/>
      <c r="H96" s="180"/>
      <c r="P96"/>
      <c r="Q96"/>
      <c r="W96"/>
      <c r="X96"/>
      <c r="Y96"/>
      <c r="Z96"/>
      <c r="AA96" s="180"/>
      <c r="AB96"/>
      <c r="AC96"/>
      <c r="AD96"/>
      <c r="AE96"/>
      <c r="AF96"/>
      <c r="AG96"/>
      <c r="AH96"/>
      <c r="AI96"/>
      <c r="AJ96"/>
      <c r="AK96"/>
      <c r="AL96"/>
      <c r="AM96"/>
      <c r="AN96"/>
    </row>
    <row r="97" spans="1:40" s="180" customFormat="1">
      <c r="A97" t="s">
        <v>1434</v>
      </c>
      <c r="C97" s="180" t="s">
        <v>2773</v>
      </c>
      <c r="D97" s="180" t="s">
        <v>2774</v>
      </c>
      <c r="F97" s="14"/>
      <c r="G97" s="14"/>
    </row>
    <row r="98" spans="1:40" s="180" customFormat="1">
      <c r="A98"/>
      <c r="C98" s="180" t="s">
        <v>2775</v>
      </c>
      <c r="D98" s="180" t="s">
        <v>640</v>
      </c>
      <c r="F98" s="14"/>
      <c r="G98" s="14"/>
    </row>
    <row r="99" spans="1:40" s="14" customFormat="1">
      <c r="A99"/>
      <c r="H99" s="180"/>
      <c r="W99"/>
      <c r="X99"/>
      <c r="Y99"/>
      <c r="Z99"/>
      <c r="AA99" s="180"/>
      <c r="AB99"/>
      <c r="AC99"/>
      <c r="AD99"/>
      <c r="AE99"/>
      <c r="AF99"/>
      <c r="AG99"/>
      <c r="AH99"/>
      <c r="AI99"/>
      <c r="AJ99"/>
      <c r="AK99"/>
      <c r="AL99"/>
      <c r="AM99"/>
      <c r="AN99"/>
    </row>
    <row r="100" spans="1:40" s="14" customFormat="1">
      <c r="A100" t="s">
        <v>1433</v>
      </c>
      <c r="C100" t="s">
        <v>2758</v>
      </c>
      <c r="D100" s="31" t="s">
        <v>1439</v>
      </c>
      <c r="E100"/>
      <c r="H100" s="180"/>
      <c r="P100"/>
      <c r="Q100"/>
      <c r="W100"/>
      <c r="X100"/>
      <c r="Y100"/>
      <c r="Z100"/>
      <c r="AA100" s="180"/>
      <c r="AB100"/>
      <c r="AC100"/>
      <c r="AD100"/>
      <c r="AE100"/>
      <c r="AF100"/>
      <c r="AG100"/>
      <c r="AH100"/>
      <c r="AI100"/>
      <c r="AJ100"/>
      <c r="AK100"/>
      <c r="AL100"/>
      <c r="AM100"/>
      <c r="AN100"/>
    </row>
    <row r="101" spans="1:40" s="14" customFormat="1">
      <c r="A101" t="s">
        <v>84</v>
      </c>
      <c r="C101" t="s">
        <v>1438</v>
      </c>
      <c r="D101" s="31">
        <v>1</v>
      </c>
      <c r="E101"/>
      <c r="F101" s="180"/>
      <c r="G101" s="180"/>
      <c r="H101" s="180"/>
      <c r="P101"/>
      <c r="Q101"/>
      <c r="W101"/>
      <c r="X101"/>
      <c r="Y101"/>
      <c r="Z101"/>
      <c r="AA101" s="180"/>
      <c r="AB101"/>
      <c r="AC101"/>
      <c r="AD101"/>
      <c r="AE101"/>
      <c r="AF101"/>
      <c r="AG101"/>
      <c r="AH101"/>
      <c r="AI101"/>
      <c r="AJ101"/>
      <c r="AK101"/>
      <c r="AL101"/>
      <c r="AM101"/>
      <c r="AN101"/>
    </row>
    <row r="102" spans="1:40">
      <c r="A102" t="s">
        <v>570</v>
      </c>
      <c r="C102" t="s">
        <v>1440</v>
      </c>
      <c r="D102" s="31">
        <v>1.5</v>
      </c>
      <c r="F102" s="180"/>
      <c r="G102" s="180"/>
      <c r="R102" s="14"/>
      <c r="S102" s="14"/>
    </row>
    <row r="103" spans="1:40">
      <c r="A103" s="180"/>
      <c r="B103" s="326" t="s">
        <v>1710</v>
      </c>
      <c r="C103" t="s">
        <v>1441</v>
      </c>
      <c r="D103" s="607">
        <v>0.04</v>
      </c>
    </row>
    <row r="104" spans="1:40">
      <c r="A104" s="15" t="s">
        <v>1709</v>
      </c>
      <c r="C104" t="s">
        <v>1442</v>
      </c>
      <c r="D104" s="607">
        <v>0.45</v>
      </c>
    </row>
    <row r="105" spans="1:40">
      <c r="A105" s="14"/>
      <c r="C105" t="s">
        <v>2496</v>
      </c>
      <c r="D105" s="613">
        <v>0.75</v>
      </c>
    </row>
    <row r="106" spans="1:40">
      <c r="A106" s="14"/>
      <c r="C106" s="14" t="s">
        <v>2497</v>
      </c>
      <c r="D106" s="608">
        <v>1</v>
      </c>
      <c r="E106" s="14"/>
      <c r="P106" s="14"/>
      <c r="Q106" s="14"/>
    </row>
    <row r="107" spans="1:40">
      <c r="A107" s="14"/>
      <c r="C107" s="14" t="s">
        <v>1713</v>
      </c>
      <c r="D107" s="614">
        <v>0.04</v>
      </c>
    </row>
    <row r="108" spans="1:40">
      <c r="C108" s="14" t="s">
        <v>1715</v>
      </c>
      <c r="D108" s="615">
        <v>550</v>
      </c>
      <c r="E108" s="14"/>
      <c r="P108" s="14"/>
      <c r="Q108" s="14"/>
    </row>
    <row r="109" spans="1:40">
      <c r="C109" s="14" t="s">
        <v>2718</v>
      </c>
      <c r="D109" s="616">
        <v>500000</v>
      </c>
      <c r="E109" s="14"/>
      <c r="P109" s="14"/>
      <c r="Q109" s="14"/>
    </row>
    <row r="110" spans="1:40">
      <c r="C110" s="14" t="s">
        <v>2754</v>
      </c>
      <c r="D110" s="607">
        <v>0.4</v>
      </c>
      <c r="E110" s="14"/>
      <c r="P110" s="14"/>
      <c r="Q110" s="14"/>
    </row>
    <row r="111" spans="1:40">
      <c r="C111" s="14" t="s">
        <v>2755</v>
      </c>
      <c r="D111" s="608">
        <v>0.5</v>
      </c>
    </row>
    <row r="112" spans="1:40">
      <c r="C112" s="14" t="s">
        <v>2771</v>
      </c>
      <c r="D112" s="607">
        <v>50000</v>
      </c>
    </row>
    <row r="114" spans="3:4">
      <c r="C114" s="31" t="s">
        <v>2759</v>
      </c>
      <c r="D114" s="31" t="s">
        <v>2760</v>
      </c>
    </row>
    <row r="115" spans="3:4">
      <c r="C115" s="31" t="s">
        <v>2761</v>
      </c>
      <c r="D115" s="607">
        <v>0.03</v>
      </c>
    </row>
    <row r="116" spans="3:4">
      <c r="C116" s="31" t="s">
        <v>2762</v>
      </c>
      <c r="D116" s="607">
        <v>0.04</v>
      </c>
    </row>
    <row r="118" spans="3:4">
      <c r="C118" s="618" t="s">
        <v>2795</v>
      </c>
      <c r="D118" s="14" t="s">
        <v>2797</v>
      </c>
    </row>
    <row r="119" spans="3:4">
      <c r="C119" t="s">
        <v>2796</v>
      </c>
      <c r="D119">
        <v>10.3</v>
      </c>
    </row>
    <row r="120" spans="3:4">
      <c r="C120" t="s">
        <v>2810</v>
      </c>
      <c r="D120">
        <v>50.5</v>
      </c>
    </row>
    <row r="121" spans="3:4">
      <c r="C121" t="s">
        <v>2809</v>
      </c>
      <c r="D121">
        <v>43.1</v>
      </c>
    </row>
    <row r="122" spans="3:4">
      <c r="C122" t="s">
        <v>2808</v>
      </c>
      <c r="D122">
        <v>25.1</v>
      </c>
    </row>
    <row r="123" spans="3:4">
      <c r="C123" t="s">
        <v>2807</v>
      </c>
      <c r="D123">
        <v>28.9</v>
      </c>
    </row>
    <row r="124" spans="3:4">
      <c r="C124" t="s">
        <v>2806</v>
      </c>
      <c r="D124">
        <v>20.100000000000001</v>
      </c>
    </row>
    <row r="125" spans="3:4">
      <c r="C125" t="s">
        <v>2805</v>
      </c>
      <c r="D125">
        <v>15.4</v>
      </c>
    </row>
    <row r="126" spans="3:4">
      <c r="C126" t="s">
        <v>2804</v>
      </c>
      <c r="D126">
        <v>17.5</v>
      </c>
    </row>
    <row r="127" spans="3:4">
      <c r="C127" t="s">
        <v>2803</v>
      </c>
      <c r="D127">
        <v>14.1</v>
      </c>
    </row>
    <row r="128" spans="3:4">
      <c r="C128" t="s">
        <v>2802</v>
      </c>
      <c r="D128">
        <v>21.4</v>
      </c>
    </row>
    <row r="129" spans="3:4">
      <c r="C129" t="s">
        <v>1546</v>
      </c>
      <c r="D129">
        <v>15.3</v>
      </c>
    </row>
    <row r="130" spans="3:4">
      <c r="C130" t="s">
        <v>2801</v>
      </c>
      <c r="D130">
        <v>13.2</v>
      </c>
    </row>
    <row r="131" spans="3:4">
      <c r="C131" t="s">
        <v>2814</v>
      </c>
      <c r="D131">
        <v>10.3</v>
      </c>
    </row>
    <row r="132" spans="3:4">
      <c r="C132" t="s">
        <v>2813</v>
      </c>
      <c r="D132">
        <v>4.5</v>
      </c>
    </row>
    <row r="133" spans="3:4">
      <c r="C133" t="s">
        <v>2812</v>
      </c>
      <c r="D133">
        <v>7.3</v>
      </c>
    </row>
    <row r="134" spans="3:4">
      <c r="C134" t="s">
        <v>2811</v>
      </c>
      <c r="D134">
        <v>6.6</v>
      </c>
    </row>
    <row r="135" spans="3:4">
      <c r="C135" t="s">
        <v>97</v>
      </c>
      <c r="D135">
        <v>20.2</v>
      </c>
    </row>
    <row r="136" spans="3:4">
      <c r="C136" t="s">
        <v>2800</v>
      </c>
      <c r="D136">
        <v>5.3</v>
      </c>
    </row>
  </sheetData>
  <sheetProtection algorithmName="SHA-512" hashValue="IOQURcV40sXEOTrixUHEXy7VfWpsPp1l6ngr67mC3eqmXiQNNk0hNPaDVYMkmkSn7zzVxChzACkrolJzGyDMpA==" saltValue="hYda5TcviEDBQn4a3Z7Zpw==" spinCount="100000" sheet="1" objects="1" scenarios="1"/>
  <phoneticPr fontId="139" type="noConversion"/>
  <conditionalFormatting sqref="X12:X27 AB12:AC27">
    <cfRule type="containsBlanks" dxfId="658" priority="5">
      <formula>LEN(TRIM(X12))=0</formula>
    </cfRule>
  </conditionalFormatting>
  <conditionalFormatting sqref="AA12:AA27">
    <cfRule type="containsBlanks" dxfId="657" priority="3">
      <formula>LEN(TRIM(AA12))=0</formula>
    </cfRule>
  </conditionalFormatting>
  <conditionalFormatting sqref="Y12:Y27">
    <cfRule type="containsBlanks" dxfId="656" priority="2">
      <formula>LEN(TRIM(Y12))=0</formula>
    </cfRule>
  </conditionalFormatting>
  <hyperlinks>
    <hyperlink ref="H42" r:id="rId1" xr:uid="{E6FDAD2A-B515-41B5-BB53-7C05530D9052}"/>
    <hyperlink ref="H43" r:id="rId2" xr:uid="{58700C06-1EFC-4DB7-933E-1770DD401DA9}"/>
    <hyperlink ref="H44" r:id="rId3" xr:uid="{ED4F6ADD-805C-43E6-BFF3-08D697C260E4}"/>
  </hyperlinks>
  <pageMargins left="0.7" right="0.7" top="0.75" bottom="0.75" header="0.3" footer="0.3"/>
  <pageSetup orientation="portrait" r:id="rId4"/>
  <tableParts count="2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pageSetUpPr fitToPage="1"/>
  </sheetPr>
  <dimension ref="A1:BS204"/>
  <sheetViews>
    <sheetView showGridLines="0" showRowColHeaders="0" zoomScale="85" zoomScaleNormal="85" workbookViewId="0">
      <selection activeCell="C18" sqref="C18:Q19"/>
    </sheetView>
  </sheetViews>
  <sheetFormatPr defaultColWidth="0" defaultRowHeight="15" zeroHeight="1"/>
  <cols>
    <col min="1" max="45" width="4.7109375" style="14" customWidth="1"/>
    <col min="46" max="46" width="9.5703125" style="14" hidden="1" customWidth="1"/>
    <col min="47" max="47" width="15.7109375" style="180" hidden="1" customWidth="1"/>
    <col min="48" max="51" width="9.5703125" style="14" hidden="1" customWidth="1"/>
    <col min="52" max="52" width="9.5703125" style="180" hidden="1" customWidth="1"/>
    <col min="53" max="54" width="9.5703125" style="14" hidden="1" customWidth="1"/>
    <col min="55" max="55" width="9.5703125" style="180" hidden="1" customWidth="1"/>
    <col min="56" max="59" width="9.5703125" style="14" hidden="1" customWidth="1"/>
    <col min="60" max="60" width="12.5703125" style="14" hidden="1" customWidth="1"/>
    <col min="61" max="61" width="9.5703125" style="14" hidden="1" customWidth="1"/>
    <col min="62" max="71" width="0" style="14" hidden="1" customWidth="1"/>
    <col min="72" max="16384" width="4.7109375" style="14" hidden="1"/>
  </cols>
  <sheetData>
    <row r="1" spans="1:61" customFormat="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61" customFormat="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61" customFormat="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61" ht="15.95" customHeight="1">
      <c r="A4" s="773">
        <f>INCENTOTAL</f>
        <v>0</v>
      </c>
      <c r="B4" s="773"/>
      <c r="C4" s="773"/>
      <c r="D4" s="773"/>
      <c r="E4" s="773"/>
      <c r="U4" s="180"/>
      <c r="V4" s="180"/>
      <c r="W4" s="180"/>
      <c r="X4" s="180"/>
      <c r="Y4" s="180"/>
      <c r="AO4" s="180"/>
      <c r="AP4" s="180"/>
      <c r="AQ4" s="180"/>
      <c r="AR4" s="180"/>
      <c r="AS4" s="180"/>
      <c r="AT4"/>
    </row>
    <row r="5" spans="1:61"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c r="AU5" s="290"/>
      <c r="AV5" s="194" t="s">
        <v>1438</v>
      </c>
      <c r="AW5" s="194" t="s">
        <v>336</v>
      </c>
    </row>
    <row r="6" spans="1:61"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c r="AU6" s="193" t="s">
        <v>1443</v>
      </c>
      <c r="AV6" s="192" t="str">
        <f>CBPRESE</f>
        <v>NA</v>
      </c>
      <c r="AW6" s="192" t="str">
        <f>PAYPRESE</f>
        <v>NA</v>
      </c>
    </row>
    <row r="7" spans="1:61"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c r="AU7" s="193" t="s">
        <v>144</v>
      </c>
      <c r="AV7" s="192" t="str">
        <f>CBCUSE</f>
        <v>NA</v>
      </c>
      <c r="AW7" s="192" t="str">
        <f>PAYCUSE</f>
        <v>NA</v>
      </c>
    </row>
    <row r="8" spans="1:61"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c r="AU8" s="193" t="s">
        <v>651</v>
      </c>
      <c r="AV8" s="192" t="str">
        <f>CBALL</f>
        <v>NA</v>
      </c>
      <c r="AW8" s="192" t="str">
        <f>PAYALL</f>
        <v>NA</v>
      </c>
    </row>
    <row r="9" spans="1:61" s="148" customFormat="1" ht="15.95" customHeight="1">
      <c r="B9" s="152"/>
      <c r="C9" s="152"/>
      <c r="D9" s="152"/>
      <c r="E9" s="181"/>
      <c r="F9" s="181"/>
      <c r="G9" s="181"/>
      <c r="H9" s="910" t="str">
        <f>M3S2</f>
        <v>Lighting</v>
      </c>
      <c r="I9" s="911"/>
      <c r="J9" s="911"/>
      <c r="K9" s="911"/>
      <c r="L9" s="910" t="str">
        <f>M3S3</f>
        <v>Lighting Controls</v>
      </c>
      <c r="M9" s="911"/>
      <c r="N9" s="911"/>
      <c r="O9" s="911"/>
      <c r="P9" s="913" t="str">
        <f>M3S4</f>
        <v>Refrigeration</v>
      </c>
      <c r="Q9" s="913"/>
      <c r="R9" s="913"/>
      <c r="S9" s="913"/>
      <c r="T9" s="910" t="str">
        <f>M3S5</f>
        <v>HVAC</v>
      </c>
      <c r="U9" s="911"/>
      <c r="V9" s="911"/>
      <c r="W9" s="911"/>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235"/>
      <c r="AP9" s="336"/>
      <c r="AQ9" s="344"/>
      <c r="AR9" s="344"/>
      <c r="AS9" s="336"/>
    </row>
    <row r="10" spans="1:61" s="148" customFormat="1" ht="15.95" customHeight="1">
      <c r="B10" s="152"/>
      <c r="C10" s="152"/>
      <c r="D10" s="152"/>
      <c r="E10" s="183"/>
      <c r="F10" s="183"/>
      <c r="G10" s="183"/>
      <c r="H10" s="912"/>
      <c r="I10" s="912"/>
      <c r="J10" s="912"/>
      <c r="K10" s="912"/>
      <c r="L10" s="912"/>
      <c r="M10" s="912"/>
      <c r="N10" s="912"/>
      <c r="O10" s="912"/>
      <c r="P10" s="914"/>
      <c r="Q10" s="914"/>
      <c r="R10" s="914"/>
      <c r="S10" s="914"/>
      <c r="T10" s="912"/>
      <c r="U10" s="912"/>
      <c r="V10" s="912"/>
      <c r="W10" s="912"/>
      <c r="X10" s="912"/>
      <c r="Y10" s="912"/>
      <c r="Z10" s="912"/>
      <c r="AA10" s="912"/>
      <c r="AB10" s="912"/>
      <c r="AC10" s="912"/>
      <c r="AD10" s="912"/>
      <c r="AE10" s="912"/>
      <c r="AF10" s="912"/>
      <c r="AG10" s="912"/>
      <c r="AH10" s="912"/>
      <c r="AI10" s="912"/>
      <c r="AJ10" s="912"/>
      <c r="AK10" s="912"/>
      <c r="AL10" s="912"/>
      <c r="AM10" s="912"/>
      <c r="AN10" s="152"/>
      <c r="AO10" s="235"/>
      <c r="AP10" s="336"/>
      <c r="AQ10" s="344"/>
      <c r="AR10" s="344"/>
      <c r="AS10" s="336"/>
    </row>
    <row r="11" spans="1:61" ht="15.95" customHeight="1">
      <c r="A11" s="180"/>
      <c r="B11" s="171"/>
      <c r="C11" s="171"/>
      <c r="D11" s="171"/>
      <c r="E11" s="13"/>
      <c r="F11" s="13"/>
      <c r="G11" s="13"/>
      <c r="H11" s="912"/>
      <c r="I11" s="912"/>
      <c r="J11" s="912"/>
      <c r="K11" s="912"/>
      <c r="L11" s="912"/>
      <c r="M11" s="912"/>
      <c r="N11" s="912"/>
      <c r="O11" s="912"/>
      <c r="P11" s="914"/>
      <c r="Q11" s="914"/>
      <c r="R11" s="914"/>
      <c r="S11" s="914"/>
      <c r="T11" s="912"/>
      <c r="U11" s="912"/>
      <c r="V11" s="912"/>
      <c r="W11" s="912"/>
      <c r="X11" s="912"/>
      <c r="Y11" s="912"/>
      <c r="Z11" s="912"/>
      <c r="AA11" s="912"/>
      <c r="AB11" s="912"/>
      <c r="AC11" s="912"/>
      <c r="AD11" s="912"/>
      <c r="AE11" s="912"/>
      <c r="AF11" s="912"/>
      <c r="AG11" s="912"/>
      <c r="AH11" s="912"/>
      <c r="AI11" s="912"/>
      <c r="AJ11" s="912"/>
      <c r="AK11" s="912"/>
      <c r="AL11" s="912"/>
      <c r="AM11" s="912"/>
      <c r="AN11" s="394"/>
      <c r="AO11" s="235"/>
      <c r="AP11" s="235"/>
      <c r="AQ11" s="337"/>
      <c r="AR11" s="337"/>
      <c r="AS11" s="235"/>
    </row>
    <row r="12" spans="1:61" ht="15.95" customHeight="1">
      <c r="A12" s="172"/>
      <c r="B12" s="172"/>
      <c r="C12" s="172"/>
      <c r="D12" s="172"/>
      <c r="E12" s="172"/>
      <c r="R12" s="916">
        <f>SUM(AN18:AQ199)</f>
        <v>0</v>
      </c>
      <c r="S12" s="916"/>
      <c r="T12" s="916"/>
      <c r="U12" s="916"/>
      <c r="V12" s="916">
        <f>SUM(AT18:AT199)</f>
        <v>0</v>
      </c>
      <c r="W12" s="916"/>
      <c r="X12" s="916"/>
      <c r="Y12" s="916"/>
      <c r="Z12" s="915">
        <f ca="1">SUMIF(AN18:AQ199,"&gt;0",AK18:AM199)</f>
        <v>0</v>
      </c>
      <c r="AA12" s="915"/>
      <c r="AB12" s="915"/>
      <c r="AC12" s="915"/>
      <c r="AO12" s="235"/>
      <c r="AP12" s="333"/>
      <c r="AQ12" s="235"/>
      <c r="AR12" s="235"/>
      <c r="AS12" s="235"/>
    </row>
    <row r="13" spans="1:61" ht="15.95" customHeight="1">
      <c r="A13" s="172"/>
      <c r="B13" s="172"/>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O13" s="235"/>
      <c r="AP13" s="235"/>
      <c r="AQ13" s="235"/>
      <c r="AR13" s="235"/>
      <c r="AS13" s="235"/>
    </row>
    <row r="14" spans="1:61" ht="15.95" customHeight="1">
      <c r="C14" s="180"/>
      <c r="D14" s="180"/>
      <c r="E14" s="180"/>
      <c r="F14" s="180"/>
      <c r="G14" s="180"/>
      <c r="H14" s="180"/>
      <c r="I14" s="180"/>
      <c r="J14" s="180"/>
      <c r="K14" s="180"/>
      <c r="L14" s="180"/>
      <c r="M14" s="180"/>
      <c r="N14" s="180"/>
      <c r="O14" s="180"/>
      <c r="P14" s="180"/>
      <c r="R14" s="860" t="s">
        <v>1979</v>
      </c>
      <c r="S14" s="860"/>
      <c r="T14" s="860"/>
      <c r="U14" s="860"/>
      <c r="V14" s="860" t="s">
        <v>67</v>
      </c>
      <c r="W14" s="860"/>
      <c r="X14" s="860"/>
      <c r="Y14" s="860"/>
      <c r="Z14" s="860" t="s">
        <v>1248</v>
      </c>
      <c r="AA14" s="860"/>
      <c r="AB14" s="860"/>
      <c r="AC14" s="860"/>
      <c r="AO14" s="235"/>
      <c r="AP14" s="235"/>
      <c r="AQ14" s="235"/>
      <c r="AR14" s="235"/>
      <c r="AS14" s="235"/>
    </row>
    <row r="15" spans="1:61" ht="15.95" customHeight="1">
      <c r="C15" s="180"/>
      <c r="D15" s="180"/>
      <c r="E15" s="180"/>
      <c r="F15" s="180"/>
      <c r="G15" s="180"/>
      <c r="H15" s="180"/>
      <c r="I15" s="180"/>
      <c r="J15" s="180"/>
      <c r="K15" s="180"/>
      <c r="L15" s="180"/>
      <c r="M15" s="180"/>
      <c r="N15" s="180"/>
      <c r="O15" s="180"/>
      <c r="P15" s="180"/>
      <c r="AO15" s="235"/>
      <c r="AP15" s="235"/>
      <c r="AQ15" s="235"/>
      <c r="AR15" s="235"/>
      <c r="AS15" s="235"/>
    </row>
    <row r="16" spans="1:61" ht="15.95" customHeight="1">
      <c r="C16" s="836" t="s">
        <v>1370</v>
      </c>
      <c r="D16" s="836"/>
      <c r="E16" s="836"/>
      <c r="F16" s="836"/>
      <c r="G16" s="836"/>
      <c r="H16" s="836"/>
      <c r="I16" s="836"/>
      <c r="J16" s="836"/>
      <c r="K16" s="836"/>
      <c r="L16" s="836"/>
      <c r="M16" s="836"/>
      <c r="N16" s="836"/>
      <c r="O16" s="836"/>
      <c r="P16" s="836"/>
      <c r="Q16" s="836"/>
      <c r="R16" s="836" t="s">
        <v>1381</v>
      </c>
      <c r="S16" s="836"/>
      <c r="T16" s="836"/>
      <c r="U16" s="836" t="s">
        <v>74</v>
      </c>
      <c r="V16" s="836"/>
      <c r="W16" s="836" t="s">
        <v>1378</v>
      </c>
      <c r="X16" s="836"/>
      <c r="Y16" s="836"/>
      <c r="Z16" s="836"/>
      <c r="AA16" s="836" t="s">
        <v>1369</v>
      </c>
      <c r="AB16" s="836"/>
      <c r="AC16" s="836"/>
      <c r="AD16" s="836"/>
      <c r="AE16" s="907" t="s">
        <v>1355</v>
      </c>
      <c r="AF16" s="907"/>
      <c r="AG16" s="907"/>
      <c r="AH16" s="907"/>
      <c r="AI16" s="836" t="s">
        <v>1980</v>
      </c>
      <c r="AJ16" s="836"/>
      <c r="AK16" s="836" t="s">
        <v>1187</v>
      </c>
      <c r="AL16" s="836"/>
      <c r="AM16" s="836"/>
      <c r="AN16" s="836" t="s">
        <v>83</v>
      </c>
      <c r="AO16" s="908"/>
      <c r="AP16" s="908"/>
      <c r="AQ16" s="908"/>
      <c r="AR16" s="235"/>
      <c r="AS16" s="235"/>
      <c r="AT16" s="856" t="s">
        <v>1377</v>
      </c>
      <c r="AU16" s="856" t="s">
        <v>1195</v>
      </c>
      <c r="AV16" s="861" t="s">
        <v>1373</v>
      </c>
      <c r="AW16" s="861"/>
      <c r="AX16" s="856" t="s">
        <v>1375</v>
      </c>
      <c r="AY16" s="856" t="s">
        <v>1376</v>
      </c>
      <c r="AZ16" s="856" t="s">
        <v>1426</v>
      </c>
      <c r="BA16" s="861" t="s">
        <v>1374</v>
      </c>
      <c r="BB16" s="861"/>
      <c r="BC16" s="856" t="s">
        <v>85</v>
      </c>
      <c r="BD16" s="856" t="s">
        <v>319</v>
      </c>
      <c r="BE16" s="932" t="s">
        <v>88</v>
      </c>
      <c r="BF16" s="932" t="s">
        <v>2500</v>
      </c>
      <c r="BG16" s="935"/>
      <c r="BH16" s="932" t="s">
        <v>2715</v>
      </c>
      <c r="BI16" s="932" t="s">
        <v>2893</v>
      </c>
    </row>
    <row r="17" spans="1:61" ht="15.95" customHeight="1" thickBot="1">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t="s">
        <v>1353</v>
      </c>
      <c r="AF17" s="837"/>
      <c r="AG17" s="837" t="s">
        <v>1354</v>
      </c>
      <c r="AH17" s="837"/>
      <c r="AI17" s="837"/>
      <c r="AJ17" s="837"/>
      <c r="AK17" s="837"/>
      <c r="AL17" s="837"/>
      <c r="AM17" s="837"/>
      <c r="AN17" s="837"/>
      <c r="AO17" s="909"/>
      <c r="AP17" s="909"/>
      <c r="AQ17" s="909"/>
      <c r="AR17" s="235"/>
      <c r="AS17" s="235"/>
      <c r="AT17" s="857"/>
      <c r="AU17" s="857"/>
      <c r="AV17" s="174" t="s">
        <v>1371</v>
      </c>
      <c r="AW17" s="174" t="s">
        <v>1372</v>
      </c>
      <c r="AX17" s="857"/>
      <c r="AY17" s="857" t="s">
        <v>1376</v>
      </c>
      <c r="AZ17" s="857"/>
      <c r="BA17" s="174" t="s">
        <v>1371</v>
      </c>
      <c r="BB17" s="174" t="s">
        <v>1644</v>
      </c>
      <c r="BC17" s="857"/>
      <c r="BD17" s="857"/>
      <c r="BE17" s="933"/>
      <c r="BF17" s="933"/>
      <c r="BG17" s="936"/>
      <c r="BH17" s="933"/>
      <c r="BI17" s="933"/>
    </row>
    <row r="18" spans="1:61" ht="15.95" customHeight="1">
      <c r="B18" s="905">
        <v>1</v>
      </c>
      <c r="C18" s="906"/>
      <c r="D18" s="906"/>
      <c r="E18" s="906"/>
      <c r="F18" s="906"/>
      <c r="G18" s="906"/>
      <c r="H18" s="906"/>
      <c r="I18" s="906"/>
      <c r="J18" s="906"/>
      <c r="K18" s="906"/>
      <c r="L18" s="906"/>
      <c r="M18" s="906"/>
      <c r="N18" s="906"/>
      <c r="O18" s="906"/>
      <c r="P18" s="906"/>
      <c r="Q18" s="906"/>
      <c r="R18" s="971" t="str">
        <f>IF(C18="","",INDEX(STDREFRIG[Current Unit],MATCH(C18,STDREFRIG[Measure Name],0)))</f>
        <v/>
      </c>
      <c r="S18" s="971"/>
      <c r="T18" s="971"/>
      <c r="U18" s="887"/>
      <c r="V18" s="887"/>
      <c r="W18" s="906"/>
      <c r="X18" s="906"/>
      <c r="Y18" s="906"/>
      <c r="Z18" s="906"/>
      <c r="AA18" s="906"/>
      <c r="AB18" s="906"/>
      <c r="AC18" s="906"/>
      <c r="AD18" s="833"/>
      <c r="AE18" s="889"/>
      <c r="AF18" s="890"/>
      <c r="AG18" s="890"/>
      <c r="AH18" s="891"/>
      <c r="AI18" s="974" t="str">
        <f>IFERROR(IF(C18="","",INDEX(STDREFRIG[Current Incentive],MATCH(C18,STDREFRIG[Measure Name],0))),"")</f>
        <v/>
      </c>
      <c r="AJ18" s="897"/>
      <c r="AK18" s="900" t="str">
        <f>IFERROR(IF(OR(C18="",U18="",R18="",W18="",AA18="",AE18="",AG18=""),"",IF(BH18="Deemed",AV18,IF(BH18="Calculated",BA18,""))),"")</f>
        <v/>
      </c>
      <c r="AL18" s="900"/>
      <c r="AM18" s="900"/>
      <c r="AN18" s="897" t="str">
        <f>IFERROR(IF(OR(C18="",U18="",R18="",W18="",AA18="",AE18="",AG18=""),"",IF(BD18&lt;&gt;"",BD18,IF(BI18&gt;0,BI18,ROUND(IF(AK18&lt;=0,0,MIN(AT18,U18*AI18)),2)))),"")</f>
        <v/>
      </c>
      <c r="AO18" s="902"/>
      <c r="AP18" s="902"/>
      <c r="AQ18" s="902"/>
      <c r="AR18" s="37"/>
      <c r="AS18" s="235"/>
      <c r="AT18" s="972" t="str">
        <f>IF(OR(C18="",U18="",R18="",W18="",AA18="",AE18="",AG18=""),"",IF(AK18=0,"",ROUND(AE18+AG18,2)))</f>
        <v/>
      </c>
      <c r="AU18" s="854" t="str">
        <f>IFERROR(IF(OR(C18="",U18="",R18="",W18="",AA18="",AE18="",AG18=""),"",INDEX(STDREFRIG[Current Unit],MATCH(C18,STDREFRIG[Measure Name],0))),"Err")</f>
        <v/>
      </c>
      <c r="AV18" s="850" t="str">
        <f>IF(OR(C18="",U18="",R18="",W18="",AA18="",AE18="",AG18=""),"",ROUND(U18*INDEX(STDREFRIG[Electric Energy Savings (Annual kWh/unit)],MATCH(C18,STDREFRIG[Measure Name],0)),4))</f>
        <v/>
      </c>
      <c r="AW18" s="850" t="str">
        <f>IF(OR(C18="",U18="",R18="",W18="",AA18="",AE18="",AG18=""),"",ROUND(U18*INDEX(STDREFRIG[Coincident Peak Demand Savings (kW/unit)],MATCH(C18,STDREFRIG[Measure Name],0)),4))</f>
        <v/>
      </c>
      <c r="AX18" s="975"/>
      <c r="AY18" s="975"/>
      <c r="AZ18" s="854" t="str">
        <f>IFERROR(IF(OR(C18="",U18="",R18="",W18="",AA18="",AE18="",AG18=""),"",INDEX(STDREFRIG[End Use],MATCH(C18,STDREFRIG[Measure Name],0))),"Err")</f>
        <v/>
      </c>
      <c r="BA18" s="975"/>
      <c r="BB18" s="975"/>
      <c r="BC18" s="854" t="str">
        <f>IFERROR(IF(OR(C18="",U18="",R18="",W18="",AA18="",AE18="",AG18="",ISNUMBER(AN18)=FALSE,AN18=0),"",INDEX(STDREFRIG[Measure Number],MATCH(C18,STDREFRIG[Measure Name],0))),"Err")</f>
        <v/>
      </c>
      <c r="BD18" s="854" t="str">
        <f>IFERROR(IF(OR(C18="",U18="",W18="",AA18="",AE18="",AG18=""),"",
IF(BI18&gt;0,"",
IF(EXPIRATION&lt;&gt;"",PROJSTATEXP,""))),"")</f>
        <v/>
      </c>
      <c r="BE18" s="928" t="str">
        <f>IFERROR(INDEX(STDREFRIG[Measure Life (Years)],MATCH(C18,STDREFRIG[Measure Name],0)),"")</f>
        <v/>
      </c>
      <c r="BF18" s="930" t="str">
        <f>IFERROR(IF(OR(C18="",U18="",R18="",W18="",AA18="",AE18="",AG18=""),"",
ROUND(((1+ELOSS)*((AV18*INDEX(ELECCB[NPV AEC $/kWh],MATCH(BE18,ELECCB[Year Number],1)))+(AW18*INDEX(ELECCB[NPV ACC $/kW],MATCH(BE18,ELECCB[Year Number],1))))),2)),0)</f>
        <v/>
      </c>
      <c r="BG18" s="937"/>
      <c r="BH18" s="934" t="str">
        <f>IFERROR(IF(OR(C18="",U18="",R18="",W18="",AA18="",AE18="",AG18=""),"",INDEX(STDREFRIG[Reporting Methodology],MATCH(C18,STDREFRIG[Measure Name],0))),"Err")</f>
        <v/>
      </c>
      <c r="BI18" s="939"/>
    </row>
    <row r="19" spans="1:61" ht="15.95" customHeight="1">
      <c r="B19" s="905"/>
      <c r="C19" s="904"/>
      <c r="D19" s="904"/>
      <c r="E19" s="904"/>
      <c r="F19" s="904"/>
      <c r="G19" s="904"/>
      <c r="H19" s="904"/>
      <c r="I19" s="904"/>
      <c r="J19" s="904"/>
      <c r="K19" s="904"/>
      <c r="L19" s="904"/>
      <c r="M19" s="904"/>
      <c r="N19" s="904"/>
      <c r="O19" s="904"/>
      <c r="P19" s="904"/>
      <c r="Q19" s="904"/>
      <c r="R19" s="969"/>
      <c r="S19" s="969"/>
      <c r="T19" s="969"/>
      <c r="U19" s="888"/>
      <c r="V19" s="888"/>
      <c r="W19" s="904"/>
      <c r="X19" s="904"/>
      <c r="Y19" s="904"/>
      <c r="Z19" s="904"/>
      <c r="AA19" s="904"/>
      <c r="AB19" s="904"/>
      <c r="AC19" s="904"/>
      <c r="AD19" s="827"/>
      <c r="AE19" s="867"/>
      <c r="AF19" s="868"/>
      <c r="AG19" s="868"/>
      <c r="AH19" s="869"/>
      <c r="AI19" s="946"/>
      <c r="AJ19" s="899"/>
      <c r="AK19" s="901"/>
      <c r="AL19" s="901"/>
      <c r="AM19" s="901"/>
      <c r="AN19" s="899"/>
      <c r="AO19" s="903"/>
      <c r="AP19" s="903"/>
      <c r="AQ19" s="903"/>
      <c r="AR19" s="37"/>
      <c r="AS19" s="235"/>
      <c r="AT19" s="973"/>
      <c r="AU19" s="855"/>
      <c r="AV19" s="851"/>
      <c r="AW19" s="851"/>
      <c r="AX19" s="970"/>
      <c r="AY19" s="970"/>
      <c r="AZ19" s="855"/>
      <c r="BA19" s="970"/>
      <c r="BB19" s="970"/>
      <c r="BC19" s="855"/>
      <c r="BD19" s="855"/>
      <c r="BE19" s="929"/>
      <c r="BF19" s="931"/>
      <c r="BG19" s="938"/>
      <c r="BH19" s="934"/>
      <c r="BI19" s="939"/>
    </row>
    <row r="20" spans="1:61" ht="15.95" customHeight="1">
      <c r="A20" s="145"/>
      <c r="B20" s="905">
        <v>2</v>
      </c>
      <c r="C20" s="904"/>
      <c r="D20" s="904"/>
      <c r="E20" s="904"/>
      <c r="F20" s="904"/>
      <c r="G20" s="904"/>
      <c r="H20" s="904"/>
      <c r="I20" s="904"/>
      <c r="J20" s="904"/>
      <c r="K20" s="904"/>
      <c r="L20" s="904"/>
      <c r="M20" s="904"/>
      <c r="N20" s="904"/>
      <c r="O20" s="904"/>
      <c r="P20" s="904"/>
      <c r="Q20" s="904"/>
      <c r="R20" s="969" t="str">
        <f>IF(C20="","",INDEX(STDREFRIG[Current Unit],MATCH(C20,STDREFRIG[Measure Name],0)))</f>
        <v/>
      </c>
      <c r="S20" s="969"/>
      <c r="T20" s="969"/>
      <c r="U20" s="888"/>
      <c r="V20" s="888"/>
      <c r="W20" s="904"/>
      <c r="X20" s="904"/>
      <c r="Y20" s="904"/>
      <c r="Z20" s="904"/>
      <c r="AA20" s="904"/>
      <c r="AB20" s="904"/>
      <c r="AC20" s="904"/>
      <c r="AD20" s="827"/>
      <c r="AE20" s="867"/>
      <c r="AF20" s="868"/>
      <c r="AG20" s="868"/>
      <c r="AH20" s="869"/>
      <c r="AI20" s="946" t="str">
        <f>IFERROR(IF(C20="","",INDEX(STDREFRIG[Current Incentive],MATCH(C20,STDREFRIG[Measure Name],0))),"")</f>
        <v/>
      </c>
      <c r="AJ20" s="899"/>
      <c r="AK20" s="900" t="str">
        <f t="shared" ref="AK20" si="0">IFERROR(IF(OR(C20="",U20="",R20="",W20="",AA20="",AE20="",AG20=""),"",IF(BH20="Deemed",AV20,IF(BH20="Calculated",BA20,""))),"")</f>
        <v/>
      </c>
      <c r="AL20" s="900"/>
      <c r="AM20" s="900"/>
      <c r="AN20" s="897" t="str">
        <f t="shared" ref="AN20" si="1">IFERROR(IF(OR(C20="",U20="",R20="",W20="",AA20="",AE20="",AG20=""),"",IF(BD20&lt;&gt;"",BD20,IF(BI20&gt;0,BI20,ROUND(IF(AK20&lt;=0,0,MIN(AT20,U20*AI20)),2)))),"")</f>
        <v/>
      </c>
      <c r="AO20" s="902"/>
      <c r="AP20" s="902"/>
      <c r="AQ20" s="902"/>
      <c r="AR20" s="37"/>
      <c r="AS20" s="235"/>
      <c r="AT20" s="972" t="str">
        <f>IF(OR(C20="",U20="",R20="",W20="",AA20="",AE20="",AG20=""),"",IF(AK20=0,"",ROUND(AE20+AG20,2)))</f>
        <v/>
      </c>
      <c r="AU20" s="854" t="str">
        <f>IFERROR(IF(OR(C20="",U20="",R20="",W20="",AA20="",AE20="",AG20=""),"",INDEX(STDREFRIG[Current Unit],MATCH(C20,STDREFRIG[Measure Name],0))),"Err")</f>
        <v/>
      </c>
      <c r="AV20" s="850" t="str">
        <f>IF(OR(C20="",U20="",R20="",W20="",AA20="",AE20="",AG20=""),"",ROUND(U20*INDEX(STDREFRIG[Electric Energy Savings (Annual kWh/unit)],MATCH(C20,STDREFRIG[Measure Name],0)),4))</f>
        <v/>
      </c>
      <c r="AW20" s="850" t="str">
        <f>IF(OR(C20="",U20="",R20="",W20="",AA20="",AE20="",AG20=""),"",ROUND(U20*INDEX(STDREFRIG[Coincident Peak Demand Savings (kW/unit)],MATCH(C20,STDREFRIG[Measure Name],0)),4))</f>
        <v/>
      </c>
      <c r="AX20" s="970"/>
      <c r="AY20" s="970"/>
      <c r="AZ20" s="854" t="str">
        <f>IFERROR(IF(OR(C20="",U20="",R20="",W20="",AA20="",AE20="",AG20=""),"",INDEX(STDREFRIG[End Use],MATCH(C20,STDREFRIG[Measure Name],0))),"Err")</f>
        <v/>
      </c>
      <c r="BA20" s="970"/>
      <c r="BB20" s="970"/>
      <c r="BC20" s="854" t="str">
        <f>IFERROR(IF(OR(C20="",U20="",R20="",W20="",AA20="",AE20="",AG20="",ISNUMBER(AN20)=FALSE,AN20=0),"",INDEX(STDREFRIG[Measure Number],MATCH(C20,STDREFRIG[Measure Name],0))),"Err")</f>
        <v/>
      </c>
      <c r="BD20" s="854" t="str">
        <f>IFERROR(IF(OR(C20="",U20="",W20="",AA20="",AE20="",AG20=""),"",
IF(BI20&gt;0,"",
IF(EXPIRATION&lt;&gt;"",PROJSTATEXP,""))),"")</f>
        <v/>
      </c>
      <c r="BE20" s="928" t="str">
        <f>IFERROR(INDEX(STDREFRIG[Measure Life (Years)],MATCH(C20,STDREFRIG[Measure Name],0)),"")</f>
        <v/>
      </c>
      <c r="BF20" s="930" t="str">
        <f>IFERROR(IF(OR(C20="",U20="",R20="",W20="",AA20="",AE20="",AG20=""),"",
ROUND(((1+ELOSS)*((AV20*INDEX(ELECCB[NPV AEC $/kWh],MATCH(BE20,ELECCB[Year Number],1)))+(AW20*INDEX(ELECCB[NPV ACC $/kW],MATCH(BE20,ELECCB[Year Number],1))))),2)),0)</f>
        <v/>
      </c>
      <c r="BG20" s="937"/>
      <c r="BH20" s="934" t="str">
        <f>IFERROR(IF(OR(C20="",U20="",R20="",W20="",AA20="",AE20="",AG20=""),"",INDEX(STDREFRIG[Reporting Methodology],MATCH(C20,STDREFRIG[Measure Name],0))),"Err")</f>
        <v/>
      </c>
      <c r="BI20" s="939"/>
    </row>
    <row r="21" spans="1:61" ht="15.95" customHeight="1">
      <c r="B21" s="905"/>
      <c r="C21" s="904"/>
      <c r="D21" s="904"/>
      <c r="E21" s="904"/>
      <c r="F21" s="904"/>
      <c r="G21" s="904"/>
      <c r="H21" s="904"/>
      <c r="I21" s="904"/>
      <c r="J21" s="904"/>
      <c r="K21" s="904"/>
      <c r="L21" s="904"/>
      <c r="M21" s="904"/>
      <c r="N21" s="904"/>
      <c r="O21" s="904"/>
      <c r="P21" s="904"/>
      <c r="Q21" s="904"/>
      <c r="R21" s="969"/>
      <c r="S21" s="969"/>
      <c r="T21" s="969"/>
      <c r="U21" s="888"/>
      <c r="V21" s="888"/>
      <c r="W21" s="904"/>
      <c r="X21" s="904"/>
      <c r="Y21" s="904"/>
      <c r="Z21" s="904"/>
      <c r="AA21" s="904"/>
      <c r="AB21" s="904"/>
      <c r="AC21" s="904"/>
      <c r="AD21" s="827"/>
      <c r="AE21" s="867"/>
      <c r="AF21" s="868"/>
      <c r="AG21" s="868"/>
      <c r="AH21" s="869"/>
      <c r="AI21" s="946"/>
      <c r="AJ21" s="899"/>
      <c r="AK21" s="901"/>
      <c r="AL21" s="901"/>
      <c r="AM21" s="901"/>
      <c r="AN21" s="899"/>
      <c r="AO21" s="903"/>
      <c r="AP21" s="903"/>
      <c r="AQ21" s="903"/>
      <c r="AR21" s="37"/>
      <c r="AS21" s="235"/>
      <c r="AT21" s="973"/>
      <c r="AU21" s="855"/>
      <c r="AV21" s="851"/>
      <c r="AW21" s="851"/>
      <c r="AX21" s="970"/>
      <c r="AY21" s="970"/>
      <c r="AZ21" s="855"/>
      <c r="BA21" s="970"/>
      <c r="BB21" s="970"/>
      <c r="BC21" s="855"/>
      <c r="BD21" s="855"/>
      <c r="BE21" s="929"/>
      <c r="BF21" s="931"/>
      <c r="BG21" s="938"/>
      <c r="BH21" s="934"/>
      <c r="BI21" s="939"/>
    </row>
    <row r="22" spans="1:61" s="180" customFormat="1" ht="15.95" customHeight="1">
      <c r="A22" s="145"/>
      <c r="B22" s="905">
        <v>3</v>
      </c>
      <c r="C22" s="904"/>
      <c r="D22" s="904"/>
      <c r="E22" s="904"/>
      <c r="F22" s="904"/>
      <c r="G22" s="904"/>
      <c r="H22" s="904"/>
      <c r="I22" s="904"/>
      <c r="J22" s="904"/>
      <c r="K22" s="904"/>
      <c r="L22" s="904"/>
      <c r="M22" s="904"/>
      <c r="N22" s="904"/>
      <c r="O22" s="904"/>
      <c r="P22" s="904"/>
      <c r="Q22" s="904"/>
      <c r="R22" s="969" t="str">
        <f>IF(C22="","",INDEX(STDREFRIG[Current Unit],MATCH(C22,STDREFRIG[Measure Name],0)))</f>
        <v/>
      </c>
      <c r="S22" s="969"/>
      <c r="T22" s="969"/>
      <c r="U22" s="888"/>
      <c r="V22" s="888"/>
      <c r="W22" s="904"/>
      <c r="X22" s="904"/>
      <c r="Y22" s="904"/>
      <c r="Z22" s="904"/>
      <c r="AA22" s="904"/>
      <c r="AB22" s="904"/>
      <c r="AC22" s="904"/>
      <c r="AD22" s="827"/>
      <c r="AE22" s="867"/>
      <c r="AF22" s="868"/>
      <c r="AG22" s="868"/>
      <c r="AH22" s="869"/>
      <c r="AI22" s="946" t="str">
        <f>IFERROR(IF(C22="","",INDEX(STDREFRIG[Current Incentive],MATCH(C22,STDREFRIG[Measure Name],0))),"")</f>
        <v/>
      </c>
      <c r="AJ22" s="899"/>
      <c r="AK22" s="900" t="str">
        <f t="shared" ref="AK22" si="2">IFERROR(IF(OR(C22="",U22="",R22="",W22="",AA22="",AE22="",AG22=""),"",IF(BH22="Deemed",AV22,IF(BH22="Calculated",BA22,""))),"")</f>
        <v/>
      </c>
      <c r="AL22" s="900"/>
      <c r="AM22" s="900"/>
      <c r="AN22" s="897" t="str">
        <f t="shared" ref="AN22" si="3">IFERROR(IF(OR(C22="",U22="",R22="",W22="",AA22="",AE22="",AG22=""),"",IF(BD22&lt;&gt;"",BD22,IF(BI22&gt;0,BI22,ROUND(IF(AK22&lt;=0,0,MIN(AT22,U22*AI22)),2)))),"")</f>
        <v/>
      </c>
      <c r="AO22" s="902"/>
      <c r="AP22" s="902"/>
      <c r="AQ22" s="902"/>
      <c r="AR22" s="37"/>
      <c r="AS22" s="235"/>
      <c r="AT22" s="972" t="str">
        <f>IF(OR(C22="",U22="",R22="",W22="",AA22="",AE22="",AG22=""),"",IF(AK22=0,"",ROUND(AE22+AG22,2)))</f>
        <v/>
      </c>
      <c r="AU22" s="854" t="str">
        <f>IFERROR(IF(OR(C22="",U22="",R22="",W22="",AA22="",AE22="",AG22=""),"",INDEX(STDREFRIG[Current Unit],MATCH(C22,STDREFRIG[Measure Name],0))),"Err")</f>
        <v/>
      </c>
      <c r="AV22" s="850" t="str">
        <f>IF(OR(C22="",U22="",R22="",W22="",AA22="",AE22="",AG22=""),"",ROUND(U22*INDEX(STDREFRIG[Electric Energy Savings (Annual kWh/unit)],MATCH(C22,STDREFRIG[Measure Name],0)),4))</f>
        <v/>
      </c>
      <c r="AW22" s="850" t="str">
        <f>IF(OR(C22="",U22="",R22="",W22="",AA22="",AE22="",AG22=""),"",ROUND(U22*INDEX(STDREFRIG[Coincident Peak Demand Savings (kW/unit)],MATCH(C22,STDREFRIG[Measure Name],0)),4))</f>
        <v/>
      </c>
      <c r="AX22" s="970"/>
      <c r="AY22" s="970"/>
      <c r="AZ22" s="854" t="str">
        <f>IFERROR(IF(OR(C22="",U22="",R22="",W22="",AA22="",AE22="",AG22=""),"",INDEX(STDREFRIG[End Use],MATCH(C22,STDREFRIG[Measure Name],0))),"Err")</f>
        <v/>
      </c>
      <c r="BA22" s="970"/>
      <c r="BB22" s="970"/>
      <c r="BC22" s="854" t="str">
        <f>IFERROR(IF(OR(C22="",U22="",R22="",W22="",AA22="",AE22="",AG22="",ISNUMBER(AN22)=FALSE,AN22=0),"",INDEX(STDREFRIG[Measure Number],MATCH(C22,STDREFRIG[Measure Name],0))),"Err")</f>
        <v/>
      </c>
      <c r="BD22" s="854" t="str">
        <f>IFERROR(IF(OR(C22="",U22="",W22="",AA22="",AE22="",AG22=""),"",
IF(BI22&gt;0,"",
IF(EXPIRATION&lt;&gt;"",PROJSTATEXP,""))),"")</f>
        <v/>
      </c>
      <c r="BE22" s="928" t="str">
        <f>IFERROR(INDEX(STDREFRIG[Measure Life (Years)],MATCH(C22,STDREFRIG[Measure Name],0)),"")</f>
        <v/>
      </c>
      <c r="BF22" s="930" t="str">
        <f>IFERROR(IF(OR(C22="",U22="",R22="",W22="",AA22="",AE22="",AG22=""),"",
ROUND(((1+ELOSS)*((AV22*INDEX(ELECCB[NPV AEC $/kWh],MATCH(BE22,ELECCB[Year Number],1)))+(AW22*INDEX(ELECCB[NPV ACC $/kW],MATCH(BE22,ELECCB[Year Number],1))))),2)),0)</f>
        <v/>
      </c>
      <c r="BG22" s="937"/>
      <c r="BH22" s="934" t="str">
        <f>IFERROR(IF(OR(C22="",U22="",R22="",W22="",AA22="",AE22="",AG22=""),"",INDEX(STDREFRIG[Reporting Methodology],MATCH(C22,STDREFRIG[Measure Name],0))),"Err")</f>
        <v/>
      </c>
      <c r="BI22" s="939"/>
    </row>
    <row r="23" spans="1:61" s="180" customFormat="1" ht="15.95" customHeight="1">
      <c r="B23" s="905"/>
      <c r="C23" s="904"/>
      <c r="D23" s="904"/>
      <c r="E23" s="904"/>
      <c r="F23" s="904"/>
      <c r="G23" s="904"/>
      <c r="H23" s="904"/>
      <c r="I23" s="904"/>
      <c r="J23" s="904"/>
      <c r="K23" s="904"/>
      <c r="L23" s="904"/>
      <c r="M23" s="904"/>
      <c r="N23" s="904"/>
      <c r="O23" s="904"/>
      <c r="P23" s="904"/>
      <c r="Q23" s="904"/>
      <c r="R23" s="969"/>
      <c r="S23" s="969"/>
      <c r="T23" s="969"/>
      <c r="U23" s="888"/>
      <c r="V23" s="888"/>
      <c r="W23" s="904"/>
      <c r="X23" s="904"/>
      <c r="Y23" s="904"/>
      <c r="Z23" s="904"/>
      <c r="AA23" s="904"/>
      <c r="AB23" s="904"/>
      <c r="AC23" s="904"/>
      <c r="AD23" s="827"/>
      <c r="AE23" s="867"/>
      <c r="AF23" s="868"/>
      <c r="AG23" s="868"/>
      <c r="AH23" s="869"/>
      <c r="AI23" s="946"/>
      <c r="AJ23" s="899"/>
      <c r="AK23" s="901"/>
      <c r="AL23" s="901"/>
      <c r="AM23" s="901"/>
      <c r="AN23" s="899"/>
      <c r="AO23" s="903"/>
      <c r="AP23" s="903"/>
      <c r="AQ23" s="903"/>
      <c r="AR23" s="37"/>
      <c r="AS23" s="235"/>
      <c r="AT23" s="973"/>
      <c r="AU23" s="855"/>
      <c r="AV23" s="851"/>
      <c r="AW23" s="851"/>
      <c r="AX23" s="970"/>
      <c r="AY23" s="970"/>
      <c r="AZ23" s="855"/>
      <c r="BA23" s="970"/>
      <c r="BB23" s="970"/>
      <c r="BC23" s="855"/>
      <c r="BD23" s="855"/>
      <c r="BE23" s="929"/>
      <c r="BF23" s="931"/>
      <c r="BG23" s="938"/>
      <c r="BH23" s="934"/>
      <c r="BI23" s="939"/>
    </row>
    <row r="24" spans="1:61" ht="15.95" customHeight="1">
      <c r="B24" s="905">
        <v>4</v>
      </c>
      <c r="C24" s="904"/>
      <c r="D24" s="904"/>
      <c r="E24" s="904"/>
      <c r="F24" s="904"/>
      <c r="G24" s="904"/>
      <c r="H24" s="904"/>
      <c r="I24" s="904"/>
      <c r="J24" s="904"/>
      <c r="K24" s="904"/>
      <c r="L24" s="904"/>
      <c r="M24" s="904"/>
      <c r="N24" s="904"/>
      <c r="O24" s="904"/>
      <c r="P24" s="904"/>
      <c r="Q24" s="904"/>
      <c r="R24" s="969" t="str">
        <f>IF(C24="","",INDEX(STDREFRIG[Current Unit],MATCH(C24,STDREFRIG[Measure Name],0)))</f>
        <v/>
      </c>
      <c r="S24" s="969"/>
      <c r="T24" s="969"/>
      <c r="U24" s="888"/>
      <c r="V24" s="888"/>
      <c r="W24" s="904"/>
      <c r="X24" s="904"/>
      <c r="Y24" s="904"/>
      <c r="Z24" s="904"/>
      <c r="AA24" s="904"/>
      <c r="AB24" s="904"/>
      <c r="AC24" s="904"/>
      <c r="AD24" s="827"/>
      <c r="AE24" s="867"/>
      <c r="AF24" s="868"/>
      <c r="AG24" s="868"/>
      <c r="AH24" s="869"/>
      <c r="AI24" s="946" t="str">
        <f>IFERROR(IF(C24="","",INDEX(STDREFRIG[Current Incentive],MATCH(C24,STDREFRIG[Measure Name],0))),"")</f>
        <v/>
      </c>
      <c r="AJ24" s="899"/>
      <c r="AK24" s="900" t="str">
        <f t="shared" ref="AK24" si="4">IFERROR(IF(OR(C24="",U24="",R24="",W24="",AA24="",AE24="",AG24=""),"",IF(BH24="Deemed",AV24,IF(BH24="Calculated",BA24,""))),"")</f>
        <v/>
      </c>
      <c r="AL24" s="900"/>
      <c r="AM24" s="900"/>
      <c r="AN24" s="897" t="str">
        <f t="shared" ref="AN24" si="5">IFERROR(IF(OR(C24="",U24="",R24="",W24="",AA24="",AE24="",AG24=""),"",IF(BD24&lt;&gt;"",BD24,IF(BI24&gt;0,BI24,ROUND(IF(AK24&lt;=0,0,MIN(AT24,U24*AI24)),2)))),"")</f>
        <v/>
      </c>
      <c r="AO24" s="902"/>
      <c r="AP24" s="902"/>
      <c r="AQ24" s="902"/>
      <c r="AR24" s="37"/>
      <c r="AS24" s="235"/>
      <c r="AT24" s="972" t="str">
        <f>IF(OR(C24="",U24="",R24="",W24="",AA24="",AE24="",AG24=""),"",IF(AK24=0,"",ROUND(AE24+AG24,2)))</f>
        <v/>
      </c>
      <c r="AU24" s="854" t="str">
        <f>IFERROR(IF(OR(C24="",U24="",R24="",W24="",AA24="",AE24="",AG24=""),"",INDEX(STDREFRIG[Current Unit],MATCH(C24,STDREFRIG[Measure Name],0))),"Err")</f>
        <v/>
      </c>
      <c r="AV24" s="850" t="str">
        <f>IF(OR(C24="",U24="",R24="",W24="",AA24="",AE24="",AG24=""),"",ROUND(U24*INDEX(STDREFRIG[Electric Energy Savings (Annual kWh/unit)],MATCH(C24,STDREFRIG[Measure Name],0)),4))</f>
        <v/>
      </c>
      <c r="AW24" s="850" t="str">
        <f>IF(OR(C24="",U24="",R24="",W24="",AA24="",AE24="",AG24=""),"",ROUND(U24*INDEX(STDREFRIG[Coincident Peak Demand Savings (kW/unit)],MATCH(C24,STDREFRIG[Measure Name],0)),4))</f>
        <v/>
      </c>
      <c r="AX24" s="970"/>
      <c r="AY24" s="970"/>
      <c r="AZ24" s="854" t="str">
        <f>IFERROR(IF(OR(C24="",U24="",R24="",W24="",AA24="",AE24="",AG24=""),"",INDEX(STDREFRIG[End Use],MATCH(C24,STDREFRIG[Measure Name],0))),"Err")</f>
        <v/>
      </c>
      <c r="BA24" s="970"/>
      <c r="BB24" s="970"/>
      <c r="BC24" s="854" t="str">
        <f>IFERROR(IF(OR(C24="",U24="",R24="",W24="",AA24="",AE24="",AG24="",ISNUMBER(AN24)=FALSE,AN24=0),"",INDEX(STDREFRIG[Measure Number],MATCH(C24,STDREFRIG[Measure Name],0))),"Err")</f>
        <v/>
      </c>
      <c r="BD24" s="854" t="str">
        <f>IFERROR(IF(OR(C24="",U24="",W24="",AA24="",AE24="",AG24=""),"",
IF(BI24&gt;0,"",
IF(EXPIRATION&lt;&gt;"",PROJSTATEXP,""))),"")</f>
        <v/>
      </c>
      <c r="BE24" s="928" t="str">
        <f>IFERROR(INDEX(STDREFRIG[Measure Life (Years)],MATCH(C24,STDREFRIG[Measure Name],0)),"")</f>
        <v/>
      </c>
      <c r="BF24" s="930" t="str">
        <f>IFERROR(IF(OR(C24="",U24="",R24="",W24="",AA24="",AE24="",AG24=""),"",
ROUND(((1+ELOSS)*((AV24*INDEX(ELECCB[NPV AEC $/kWh],MATCH(BE24,ELECCB[Year Number],1)))+(AW24*INDEX(ELECCB[NPV ACC $/kW],MATCH(BE24,ELECCB[Year Number],1))))),2)),0)</f>
        <v/>
      </c>
      <c r="BG24" s="937"/>
      <c r="BH24" s="934" t="str">
        <f>IFERROR(IF(OR(C24="",U24="",R24="",W24="",AA24="",AE24="",AG24=""),"",INDEX(STDREFRIG[Reporting Methodology],MATCH(C24,STDREFRIG[Measure Name],0))),"Err")</f>
        <v/>
      </c>
      <c r="BI24" s="939"/>
    </row>
    <row r="25" spans="1:61" ht="15.95" customHeight="1">
      <c r="A25" s="145"/>
      <c r="B25" s="905"/>
      <c r="C25" s="904"/>
      <c r="D25" s="904"/>
      <c r="E25" s="904"/>
      <c r="F25" s="904"/>
      <c r="G25" s="904"/>
      <c r="H25" s="904"/>
      <c r="I25" s="904"/>
      <c r="J25" s="904"/>
      <c r="K25" s="904"/>
      <c r="L25" s="904"/>
      <c r="M25" s="904"/>
      <c r="N25" s="904"/>
      <c r="O25" s="904"/>
      <c r="P25" s="904"/>
      <c r="Q25" s="904"/>
      <c r="R25" s="969"/>
      <c r="S25" s="969"/>
      <c r="T25" s="969"/>
      <c r="U25" s="888"/>
      <c r="V25" s="888"/>
      <c r="W25" s="904"/>
      <c r="X25" s="904"/>
      <c r="Y25" s="904"/>
      <c r="Z25" s="904"/>
      <c r="AA25" s="904"/>
      <c r="AB25" s="904"/>
      <c r="AC25" s="904"/>
      <c r="AD25" s="827"/>
      <c r="AE25" s="867"/>
      <c r="AF25" s="868"/>
      <c r="AG25" s="868"/>
      <c r="AH25" s="869"/>
      <c r="AI25" s="946"/>
      <c r="AJ25" s="899"/>
      <c r="AK25" s="901"/>
      <c r="AL25" s="901"/>
      <c r="AM25" s="901"/>
      <c r="AN25" s="899"/>
      <c r="AO25" s="903"/>
      <c r="AP25" s="903"/>
      <c r="AQ25" s="903"/>
      <c r="AR25" s="37"/>
      <c r="AS25" s="235"/>
      <c r="AT25" s="973"/>
      <c r="AU25" s="855"/>
      <c r="AV25" s="851"/>
      <c r="AW25" s="851"/>
      <c r="AX25" s="970"/>
      <c r="AY25" s="970"/>
      <c r="AZ25" s="855"/>
      <c r="BA25" s="970"/>
      <c r="BB25" s="970"/>
      <c r="BC25" s="855"/>
      <c r="BD25" s="855"/>
      <c r="BE25" s="929"/>
      <c r="BF25" s="931"/>
      <c r="BG25" s="938"/>
      <c r="BH25" s="934"/>
      <c r="BI25" s="939"/>
    </row>
    <row r="26" spans="1:61" ht="15.95" customHeight="1">
      <c r="B26" s="905">
        <v>5</v>
      </c>
      <c r="C26" s="904"/>
      <c r="D26" s="904"/>
      <c r="E26" s="904"/>
      <c r="F26" s="904"/>
      <c r="G26" s="904"/>
      <c r="H26" s="904"/>
      <c r="I26" s="904"/>
      <c r="J26" s="904"/>
      <c r="K26" s="904"/>
      <c r="L26" s="904"/>
      <c r="M26" s="904"/>
      <c r="N26" s="904"/>
      <c r="O26" s="904"/>
      <c r="P26" s="904"/>
      <c r="Q26" s="904"/>
      <c r="R26" s="969" t="str">
        <f>IF(C26="","",INDEX(STDREFRIG[Current Unit],MATCH(C26,STDREFRIG[Measure Name],0)))</f>
        <v/>
      </c>
      <c r="S26" s="969"/>
      <c r="T26" s="969"/>
      <c r="U26" s="888"/>
      <c r="V26" s="888"/>
      <c r="W26" s="904"/>
      <c r="X26" s="904"/>
      <c r="Y26" s="904"/>
      <c r="Z26" s="904"/>
      <c r="AA26" s="904"/>
      <c r="AB26" s="904"/>
      <c r="AC26" s="904"/>
      <c r="AD26" s="827"/>
      <c r="AE26" s="867"/>
      <c r="AF26" s="868"/>
      <c r="AG26" s="868"/>
      <c r="AH26" s="869"/>
      <c r="AI26" s="946" t="str">
        <f>IFERROR(IF(C26="","",INDEX(STDREFRIG[Current Incentive],MATCH(C26,STDREFRIG[Measure Name],0))),"")</f>
        <v/>
      </c>
      <c r="AJ26" s="899"/>
      <c r="AK26" s="900" t="str">
        <f t="shared" ref="AK26" si="6">IFERROR(IF(OR(C26="",U26="",R26="",W26="",AA26="",AE26="",AG26=""),"",IF(BH26="Deemed",AV26,IF(BH26="Calculated",BA26,""))),"")</f>
        <v/>
      </c>
      <c r="AL26" s="900"/>
      <c r="AM26" s="900"/>
      <c r="AN26" s="897" t="str">
        <f t="shared" ref="AN26" si="7">IFERROR(IF(OR(C26="",U26="",R26="",W26="",AA26="",AE26="",AG26=""),"",IF(BD26&lt;&gt;"",BD26,IF(BI26&gt;0,BI26,ROUND(IF(AK26&lt;=0,0,MIN(AT26,U26*AI26)),2)))),"")</f>
        <v/>
      </c>
      <c r="AO26" s="902"/>
      <c r="AP26" s="902"/>
      <c r="AQ26" s="902"/>
      <c r="AR26" s="37"/>
      <c r="AS26" s="235"/>
      <c r="AT26" s="972" t="str">
        <f>IF(OR(C26="",U26="",R26="",W26="",AA26="",AE26="",AG26=""),"",IF(AK26=0,"",ROUND(AE26+AG26,2)))</f>
        <v/>
      </c>
      <c r="AU26" s="854" t="str">
        <f>IFERROR(IF(OR(C26="",U26="",R26="",W26="",AA26="",AE26="",AG26=""),"",INDEX(STDREFRIG[Current Unit],MATCH(C26,STDREFRIG[Measure Name],0))),"Err")</f>
        <v/>
      </c>
      <c r="AV26" s="850" t="str">
        <f>IF(OR(C26="",U26="",R26="",W26="",AA26="",AE26="",AG26=""),"",ROUND(U26*INDEX(STDREFRIG[Electric Energy Savings (Annual kWh/unit)],MATCH(C26,STDREFRIG[Measure Name],0)),4))</f>
        <v/>
      </c>
      <c r="AW26" s="850" t="str">
        <f>IF(OR(C26="",U26="",R26="",W26="",AA26="",AE26="",AG26=""),"",ROUND(U26*INDEX(STDREFRIG[Coincident Peak Demand Savings (kW/unit)],MATCH(C26,STDREFRIG[Measure Name],0)),4))</f>
        <v/>
      </c>
      <c r="AX26" s="970"/>
      <c r="AY26" s="970"/>
      <c r="AZ26" s="854" t="str">
        <f>IFERROR(IF(OR(C26="",U26="",R26="",W26="",AA26="",AE26="",AG26=""),"",INDEX(STDREFRIG[End Use],MATCH(C26,STDREFRIG[Measure Name],0))),"Err")</f>
        <v/>
      </c>
      <c r="BA26" s="970"/>
      <c r="BB26" s="970"/>
      <c r="BC26" s="854" t="str">
        <f>IFERROR(IF(OR(C26="",U26="",R26="",W26="",AA26="",AE26="",AG26="",ISNUMBER(AN26)=FALSE,AN26=0),"",INDEX(STDREFRIG[Measure Number],MATCH(C26,STDREFRIG[Measure Name],0))),"Err")</f>
        <v/>
      </c>
      <c r="BD26" s="854" t="str">
        <f>IFERROR(IF(OR(C26="",U26="",W26="",AA26="",AE26="",AG26=""),"",
IF(BI26&gt;0,"",
IF(EXPIRATION&lt;&gt;"",PROJSTATEXP,""))),"")</f>
        <v/>
      </c>
      <c r="BE26" s="928" t="str">
        <f>IFERROR(INDEX(STDREFRIG[Measure Life (Years)],MATCH(C26,STDREFRIG[Measure Name],0)),"")</f>
        <v/>
      </c>
      <c r="BF26" s="930" t="str">
        <f>IFERROR(IF(OR(C26="",U26="",R26="",W26="",AA26="",AE26="",AG26=""),"",
ROUND(((1+ELOSS)*((AV26*INDEX(ELECCB[NPV AEC $/kWh],MATCH(BE26,ELECCB[Year Number],1)))+(AW26*INDEX(ELECCB[NPV ACC $/kW],MATCH(BE26,ELECCB[Year Number],1))))),2)),0)</f>
        <v/>
      </c>
      <c r="BG26" s="937"/>
      <c r="BH26" s="934" t="str">
        <f>IFERROR(IF(OR(C26="",U26="",R26="",W26="",AA26="",AE26="",AG26=""),"",INDEX(STDREFRIG[Reporting Methodology],MATCH(C26,STDREFRIG[Measure Name],0))),"Err")</f>
        <v/>
      </c>
      <c r="BI26" s="939"/>
    </row>
    <row r="27" spans="1:61" ht="15.95" customHeight="1">
      <c r="B27" s="905"/>
      <c r="C27" s="904"/>
      <c r="D27" s="904"/>
      <c r="E27" s="904"/>
      <c r="F27" s="904"/>
      <c r="G27" s="904"/>
      <c r="H27" s="904"/>
      <c r="I27" s="904"/>
      <c r="J27" s="904"/>
      <c r="K27" s="904"/>
      <c r="L27" s="904"/>
      <c r="M27" s="904"/>
      <c r="N27" s="904"/>
      <c r="O27" s="904"/>
      <c r="P27" s="904"/>
      <c r="Q27" s="904"/>
      <c r="R27" s="969"/>
      <c r="S27" s="969"/>
      <c r="T27" s="969"/>
      <c r="U27" s="888"/>
      <c r="V27" s="888"/>
      <c r="W27" s="904"/>
      <c r="X27" s="904"/>
      <c r="Y27" s="904"/>
      <c r="Z27" s="904"/>
      <c r="AA27" s="904"/>
      <c r="AB27" s="904"/>
      <c r="AC27" s="904"/>
      <c r="AD27" s="827"/>
      <c r="AE27" s="867"/>
      <c r="AF27" s="868"/>
      <c r="AG27" s="868"/>
      <c r="AH27" s="869"/>
      <c r="AI27" s="946"/>
      <c r="AJ27" s="899"/>
      <c r="AK27" s="901"/>
      <c r="AL27" s="901"/>
      <c r="AM27" s="901"/>
      <c r="AN27" s="899"/>
      <c r="AO27" s="903"/>
      <c r="AP27" s="903"/>
      <c r="AQ27" s="903"/>
      <c r="AR27" s="37"/>
      <c r="AS27" s="235"/>
      <c r="AT27" s="973"/>
      <c r="AU27" s="855"/>
      <c r="AV27" s="851"/>
      <c r="AW27" s="851"/>
      <c r="AX27" s="970"/>
      <c r="AY27" s="970"/>
      <c r="AZ27" s="855"/>
      <c r="BA27" s="970"/>
      <c r="BB27" s="970"/>
      <c r="BC27" s="855"/>
      <c r="BD27" s="855"/>
      <c r="BE27" s="929"/>
      <c r="BF27" s="931"/>
      <c r="BG27" s="938"/>
      <c r="BH27" s="934"/>
      <c r="BI27" s="939"/>
    </row>
    <row r="28" spans="1:61" ht="15.95" customHeight="1">
      <c r="B28" s="905">
        <v>6</v>
      </c>
      <c r="C28" s="904"/>
      <c r="D28" s="904"/>
      <c r="E28" s="904"/>
      <c r="F28" s="904"/>
      <c r="G28" s="904"/>
      <c r="H28" s="904"/>
      <c r="I28" s="904"/>
      <c r="J28" s="904"/>
      <c r="K28" s="904"/>
      <c r="L28" s="904"/>
      <c r="M28" s="904"/>
      <c r="N28" s="904"/>
      <c r="O28" s="904"/>
      <c r="P28" s="904"/>
      <c r="Q28" s="904"/>
      <c r="R28" s="969" t="str">
        <f>IF(C28="","",INDEX(STDREFRIG[Current Unit],MATCH(C28,STDREFRIG[Measure Name],0)))</f>
        <v/>
      </c>
      <c r="S28" s="969"/>
      <c r="T28" s="969"/>
      <c r="U28" s="888"/>
      <c r="V28" s="888"/>
      <c r="W28" s="904"/>
      <c r="X28" s="904"/>
      <c r="Y28" s="904"/>
      <c r="Z28" s="904"/>
      <c r="AA28" s="904"/>
      <c r="AB28" s="904"/>
      <c r="AC28" s="904"/>
      <c r="AD28" s="827"/>
      <c r="AE28" s="867"/>
      <c r="AF28" s="868"/>
      <c r="AG28" s="868"/>
      <c r="AH28" s="869"/>
      <c r="AI28" s="946" t="str">
        <f>IFERROR(IF(C28="","",INDEX(STDREFRIG[Current Incentive],MATCH(C28,STDREFRIG[Measure Name],0))),"")</f>
        <v/>
      </c>
      <c r="AJ28" s="899"/>
      <c r="AK28" s="900" t="str">
        <f t="shared" ref="AK28" si="8">IFERROR(IF(OR(C28="",U28="",R28="",W28="",AA28="",AE28="",AG28=""),"",IF(BH28="Deemed",AV28,IF(BH28="Calculated",BA28,""))),"")</f>
        <v/>
      </c>
      <c r="AL28" s="900"/>
      <c r="AM28" s="900"/>
      <c r="AN28" s="897" t="str">
        <f t="shared" ref="AN28" si="9">IFERROR(IF(OR(C28="",U28="",R28="",W28="",AA28="",AE28="",AG28=""),"",IF(BD28&lt;&gt;"",BD28,IF(BI28&gt;0,BI28,ROUND(IF(AK28&lt;=0,0,MIN(AT28,U28*AI28)),2)))),"")</f>
        <v/>
      </c>
      <c r="AO28" s="902"/>
      <c r="AP28" s="902"/>
      <c r="AQ28" s="902"/>
      <c r="AR28" s="37"/>
      <c r="AS28" s="235"/>
      <c r="AT28" s="972" t="str">
        <f>IF(OR(C28="",U28="",R28="",W28="",AA28="",AE28="",AG28=""),"",IF(AK28=0,"",ROUND(AE28+AG28,2)))</f>
        <v/>
      </c>
      <c r="AU28" s="854" t="str">
        <f>IFERROR(IF(OR(C28="",U28="",R28="",W28="",AA28="",AE28="",AG28=""),"",INDEX(STDREFRIG[Current Unit],MATCH(C28,STDREFRIG[Measure Name],0))),"Err")</f>
        <v/>
      </c>
      <c r="AV28" s="850" t="str">
        <f>IF(OR(C28="",U28="",R28="",W28="",AA28="",AE28="",AG28=""),"",ROUND(U28*INDEX(STDREFRIG[Electric Energy Savings (Annual kWh/unit)],MATCH(C28,STDREFRIG[Measure Name],0)),4))</f>
        <v/>
      </c>
      <c r="AW28" s="850" t="str">
        <f>IF(OR(C28="",U28="",R28="",W28="",AA28="",AE28="",AG28=""),"",ROUND(U28*INDEX(STDREFRIG[Coincident Peak Demand Savings (kW/unit)],MATCH(C28,STDREFRIG[Measure Name],0)),4))</f>
        <v/>
      </c>
      <c r="AX28" s="970"/>
      <c r="AY28" s="970"/>
      <c r="AZ28" s="854" t="str">
        <f>IFERROR(IF(OR(C28="",U28="",R28="",W28="",AA28="",AE28="",AG28=""),"",INDEX(STDREFRIG[End Use],MATCH(C28,STDREFRIG[Measure Name],0))),"Err")</f>
        <v/>
      </c>
      <c r="BA28" s="970"/>
      <c r="BB28" s="970"/>
      <c r="BC28" s="854" t="str">
        <f>IFERROR(IF(OR(C28="",U28="",R28="",W28="",AA28="",AE28="",AG28="",ISNUMBER(AN28)=FALSE,AN28=0),"",INDEX(STDREFRIG[Measure Number],MATCH(C28,STDREFRIG[Measure Name],0))),"Err")</f>
        <v/>
      </c>
      <c r="BD28" s="854" t="str">
        <f>IFERROR(IF(OR(C28="",U28="",W28="",AA28="",AE28="",AG28=""),"",
IF(BI28&gt;0,"",
IF(EXPIRATION&lt;&gt;"",PROJSTATEXP,""))),"")</f>
        <v/>
      </c>
      <c r="BE28" s="928" t="str">
        <f>IFERROR(INDEX(STDREFRIG[Measure Life (Years)],MATCH(C28,STDREFRIG[Measure Name],0)),"")</f>
        <v/>
      </c>
      <c r="BF28" s="930" t="str">
        <f>IFERROR(IF(OR(C28="",U28="",R28="",W28="",AA28="",AE28="",AG28=""),"",
ROUND(((1+ELOSS)*((AV28*INDEX(ELECCB[NPV AEC $/kWh],MATCH(BE28,ELECCB[Year Number],1)))+(AW28*INDEX(ELECCB[NPV ACC $/kW],MATCH(BE28,ELECCB[Year Number],1))))),2)),0)</f>
        <v/>
      </c>
      <c r="BG28" s="937"/>
      <c r="BH28" s="934" t="str">
        <f>IFERROR(IF(OR(C28="",U28="",R28="",W28="",AA28="",AE28="",AG28=""),"",INDEX(STDREFRIG[Reporting Methodology],MATCH(C28,STDREFRIG[Measure Name],0))),"Err")</f>
        <v/>
      </c>
      <c r="BI28" s="939"/>
    </row>
    <row r="29" spans="1:61" ht="15.95" customHeight="1">
      <c r="B29" s="905"/>
      <c r="C29" s="904"/>
      <c r="D29" s="904"/>
      <c r="E29" s="904"/>
      <c r="F29" s="904"/>
      <c r="G29" s="904"/>
      <c r="H29" s="904"/>
      <c r="I29" s="904"/>
      <c r="J29" s="904"/>
      <c r="K29" s="904"/>
      <c r="L29" s="904"/>
      <c r="M29" s="904"/>
      <c r="N29" s="904"/>
      <c r="O29" s="904"/>
      <c r="P29" s="904"/>
      <c r="Q29" s="904"/>
      <c r="R29" s="969"/>
      <c r="S29" s="969"/>
      <c r="T29" s="969"/>
      <c r="U29" s="888"/>
      <c r="V29" s="888"/>
      <c r="W29" s="904"/>
      <c r="X29" s="904"/>
      <c r="Y29" s="904"/>
      <c r="Z29" s="904"/>
      <c r="AA29" s="904"/>
      <c r="AB29" s="904"/>
      <c r="AC29" s="904"/>
      <c r="AD29" s="827"/>
      <c r="AE29" s="867"/>
      <c r="AF29" s="868"/>
      <c r="AG29" s="868"/>
      <c r="AH29" s="869"/>
      <c r="AI29" s="946"/>
      <c r="AJ29" s="899"/>
      <c r="AK29" s="901"/>
      <c r="AL29" s="901"/>
      <c r="AM29" s="901"/>
      <c r="AN29" s="899"/>
      <c r="AO29" s="903"/>
      <c r="AP29" s="903"/>
      <c r="AQ29" s="903"/>
      <c r="AR29" s="37"/>
      <c r="AS29" s="235"/>
      <c r="AT29" s="973"/>
      <c r="AU29" s="855"/>
      <c r="AV29" s="851"/>
      <c r="AW29" s="851"/>
      <c r="AX29" s="970"/>
      <c r="AY29" s="970"/>
      <c r="AZ29" s="855"/>
      <c r="BA29" s="970"/>
      <c r="BB29" s="970"/>
      <c r="BC29" s="855"/>
      <c r="BD29" s="855"/>
      <c r="BE29" s="929"/>
      <c r="BF29" s="931"/>
      <c r="BG29" s="938"/>
      <c r="BH29" s="934"/>
      <c r="BI29" s="939"/>
    </row>
    <row r="30" spans="1:61" ht="15.95" customHeight="1">
      <c r="B30" s="905">
        <v>7</v>
      </c>
      <c r="C30" s="904"/>
      <c r="D30" s="904"/>
      <c r="E30" s="904"/>
      <c r="F30" s="904"/>
      <c r="G30" s="904"/>
      <c r="H30" s="904"/>
      <c r="I30" s="904"/>
      <c r="J30" s="904"/>
      <c r="K30" s="904"/>
      <c r="L30" s="904"/>
      <c r="M30" s="904"/>
      <c r="N30" s="904"/>
      <c r="O30" s="904"/>
      <c r="P30" s="904"/>
      <c r="Q30" s="904"/>
      <c r="R30" s="969" t="str">
        <f>IF(C30="","",INDEX(STDREFRIG[Current Unit],MATCH(C30,STDREFRIG[Measure Name],0)))</f>
        <v/>
      </c>
      <c r="S30" s="969"/>
      <c r="T30" s="969"/>
      <c r="U30" s="888"/>
      <c r="V30" s="888"/>
      <c r="W30" s="904"/>
      <c r="X30" s="904"/>
      <c r="Y30" s="904"/>
      <c r="Z30" s="904"/>
      <c r="AA30" s="904"/>
      <c r="AB30" s="904"/>
      <c r="AC30" s="904"/>
      <c r="AD30" s="827"/>
      <c r="AE30" s="867"/>
      <c r="AF30" s="868"/>
      <c r="AG30" s="868"/>
      <c r="AH30" s="869"/>
      <c r="AI30" s="946" t="str">
        <f>IFERROR(IF(C30="","",INDEX(STDREFRIG[Current Incentive],MATCH(C30,STDREFRIG[Measure Name],0))),"")</f>
        <v/>
      </c>
      <c r="AJ30" s="899"/>
      <c r="AK30" s="900" t="str">
        <f t="shared" ref="AK30" si="10">IFERROR(IF(OR(C30="",U30="",R30="",W30="",AA30="",AE30="",AG30=""),"",IF(BH30="Deemed",AV30,IF(BH30="Calculated",BA30,""))),"")</f>
        <v/>
      </c>
      <c r="AL30" s="900"/>
      <c r="AM30" s="900"/>
      <c r="AN30" s="897" t="str">
        <f t="shared" ref="AN30" si="11">IFERROR(IF(OR(C30="",U30="",R30="",W30="",AA30="",AE30="",AG30=""),"",IF(BD30&lt;&gt;"",BD30,IF(BI30&gt;0,BI30,ROUND(IF(AK30&lt;=0,0,MIN(AT30,U30*AI30)),2)))),"")</f>
        <v/>
      </c>
      <c r="AO30" s="902"/>
      <c r="AP30" s="902"/>
      <c r="AQ30" s="902"/>
      <c r="AR30" s="37"/>
      <c r="AS30" s="235"/>
      <c r="AT30" s="972" t="str">
        <f>IF(OR(C30="",U30="",R30="",W30="",AA30="",AE30="",AG30=""),"",IF(AK30=0,"",ROUND(AE30+AG30,2)))</f>
        <v/>
      </c>
      <c r="AU30" s="854" t="str">
        <f>IFERROR(IF(OR(C30="",U30="",R30="",W30="",AA30="",AE30="",AG30=""),"",INDEX(STDREFRIG[Current Unit],MATCH(C30,STDREFRIG[Measure Name],0))),"Err")</f>
        <v/>
      </c>
      <c r="AV30" s="850" t="str">
        <f>IF(OR(C30="",U30="",R30="",W30="",AA30="",AE30="",AG30=""),"",ROUND(U30*INDEX(STDREFRIG[Electric Energy Savings (Annual kWh/unit)],MATCH(C30,STDREFRIG[Measure Name],0)),4))</f>
        <v/>
      </c>
      <c r="AW30" s="850" t="str">
        <f>IF(OR(C30="",U30="",R30="",W30="",AA30="",AE30="",AG30=""),"",ROUND(U30*INDEX(STDREFRIG[Coincident Peak Demand Savings (kW/unit)],MATCH(C30,STDREFRIG[Measure Name],0)),4))</f>
        <v/>
      </c>
      <c r="AX30" s="970"/>
      <c r="AY30" s="970"/>
      <c r="AZ30" s="854" t="str">
        <f>IFERROR(IF(OR(C30="",U30="",R30="",W30="",AA30="",AE30="",AG30=""),"",INDEX(STDREFRIG[End Use],MATCH(C30,STDREFRIG[Measure Name],0))),"Err")</f>
        <v/>
      </c>
      <c r="BA30" s="970"/>
      <c r="BB30" s="970"/>
      <c r="BC30" s="854" t="str">
        <f>IFERROR(IF(OR(C30="",U30="",R30="",W30="",AA30="",AE30="",AG30="",ISNUMBER(AN30)=FALSE,AN30=0),"",INDEX(STDREFRIG[Measure Number],MATCH(C30,STDREFRIG[Measure Name],0))),"Err")</f>
        <v/>
      </c>
      <c r="BD30" s="854" t="str">
        <f>IFERROR(IF(OR(C30="",U30="",W30="",AA30="",AE30="",AG30=""),"",
IF(BI30&gt;0,"",
IF(EXPIRATION&lt;&gt;"",PROJSTATEXP,""))),"")</f>
        <v/>
      </c>
      <c r="BE30" s="928" t="str">
        <f>IFERROR(INDEX(STDREFRIG[Measure Life (Years)],MATCH(C30,STDREFRIG[Measure Name],0)),"")</f>
        <v/>
      </c>
      <c r="BF30" s="930" t="str">
        <f>IFERROR(IF(OR(C30="",U30="",R30="",W30="",AA30="",AE30="",AG30=""),"",
ROUND(((1+ELOSS)*((AV30*INDEX(ELECCB[NPV AEC $/kWh],MATCH(BE30,ELECCB[Year Number],1)))+(AW30*INDEX(ELECCB[NPV ACC $/kW],MATCH(BE30,ELECCB[Year Number],1))))),2)),0)</f>
        <v/>
      </c>
      <c r="BG30" s="937"/>
      <c r="BH30" s="934" t="str">
        <f>IFERROR(IF(OR(C30="",U30="",R30="",W30="",AA30="",AE30="",AG30=""),"",INDEX(STDREFRIG[Reporting Methodology],MATCH(C30,STDREFRIG[Measure Name],0))),"Err")</f>
        <v/>
      </c>
      <c r="BI30" s="939"/>
    </row>
    <row r="31" spans="1:61" ht="15.95" customHeight="1">
      <c r="B31" s="905"/>
      <c r="C31" s="904"/>
      <c r="D31" s="904"/>
      <c r="E31" s="904"/>
      <c r="F31" s="904"/>
      <c r="G31" s="904"/>
      <c r="H31" s="904"/>
      <c r="I31" s="904"/>
      <c r="J31" s="904"/>
      <c r="K31" s="904"/>
      <c r="L31" s="904"/>
      <c r="M31" s="904"/>
      <c r="N31" s="904"/>
      <c r="O31" s="904"/>
      <c r="P31" s="904"/>
      <c r="Q31" s="904"/>
      <c r="R31" s="969"/>
      <c r="S31" s="969"/>
      <c r="T31" s="969"/>
      <c r="U31" s="888"/>
      <c r="V31" s="888"/>
      <c r="W31" s="904"/>
      <c r="X31" s="904"/>
      <c r="Y31" s="904"/>
      <c r="Z31" s="904"/>
      <c r="AA31" s="904"/>
      <c r="AB31" s="904"/>
      <c r="AC31" s="904"/>
      <c r="AD31" s="827"/>
      <c r="AE31" s="867"/>
      <c r="AF31" s="868"/>
      <c r="AG31" s="868"/>
      <c r="AH31" s="869"/>
      <c r="AI31" s="946"/>
      <c r="AJ31" s="899"/>
      <c r="AK31" s="901"/>
      <c r="AL31" s="901"/>
      <c r="AM31" s="901"/>
      <c r="AN31" s="899"/>
      <c r="AO31" s="903"/>
      <c r="AP31" s="903"/>
      <c r="AQ31" s="903"/>
      <c r="AR31" s="37"/>
      <c r="AS31" s="235"/>
      <c r="AT31" s="973"/>
      <c r="AU31" s="855"/>
      <c r="AV31" s="851"/>
      <c r="AW31" s="851"/>
      <c r="AX31" s="970"/>
      <c r="AY31" s="970"/>
      <c r="AZ31" s="855"/>
      <c r="BA31" s="970"/>
      <c r="BB31" s="970"/>
      <c r="BC31" s="855"/>
      <c r="BD31" s="855"/>
      <c r="BE31" s="929"/>
      <c r="BF31" s="931"/>
      <c r="BG31" s="938"/>
      <c r="BH31" s="934"/>
      <c r="BI31" s="939"/>
    </row>
    <row r="32" spans="1:61" ht="15.95" customHeight="1">
      <c r="B32" s="905">
        <v>8</v>
      </c>
      <c r="C32" s="904"/>
      <c r="D32" s="904"/>
      <c r="E32" s="904"/>
      <c r="F32" s="904"/>
      <c r="G32" s="904"/>
      <c r="H32" s="904"/>
      <c r="I32" s="904"/>
      <c r="J32" s="904"/>
      <c r="K32" s="904"/>
      <c r="L32" s="904"/>
      <c r="M32" s="904"/>
      <c r="N32" s="904"/>
      <c r="O32" s="904"/>
      <c r="P32" s="904"/>
      <c r="Q32" s="904"/>
      <c r="R32" s="969" t="str">
        <f>IF(C32="","",INDEX(STDREFRIG[Current Unit],MATCH(C32,STDREFRIG[Measure Name],0)))</f>
        <v/>
      </c>
      <c r="S32" s="969"/>
      <c r="T32" s="969"/>
      <c r="U32" s="888"/>
      <c r="V32" s="888"/>
      <c r="W32" s="904"/>
      <c r="X32" s="904"/>
      <c r="Y32" s="904"/>
      <c r="Z32" s="904"/>
      <c r="AA32" s="904"/>
      <c r="AB32" s="904"/>
      <c r="AC32" s="904"/>
      <c r="AD32" s="827"/>
      <c r="AE32" s="867"/>
      <c r="AF32" s="868"/>
      <c r="AG32" s="868"/>
      <c r="AH32" s="869"/>
      <c r="AI32" s="946" t="str">
        <f>IFERROR(IF(C32="","",INDEX(STDREFRIG[Current Incentive],MATCH(C32,STDREFRIG[Measure Name],0))),"")</f>
        <v/>
      </c>
      <c r="AJ32" s="899"/>
      <c r="AK32" s="900" t="str">
        <f t="shared" ref="AK32" si="12">IFERROR(IF(OR(C32="",U32="",R32="",W32="",AA32="",AE32="",AG32=""),"",IF(BH32="Deemed",AV32,IF(BH32="Calculated",BA32,""))),"")</f>
        <v/>
      </c>
      <c r="AL32" s="900"/>
      <c r="AM32" s="900"/>
      <c r="AN32" s="897" t="str">
        <f t="shared" ref="AN32" si="13">IFERROR(IF(OR(C32="",U32="",R32="",W32="",AA32="",AE32="",AG32=""),"",IF(BD32&lt;&gt;"",BD32,IF(BI32&gt;0,BI32,ROUND(IF(AK32&lt;=0,0,MIN(AT32,U32*AI32)),2)))),"")</f>
        <v/>
      </c>
      <c r="AO32" s="902"/>
      <c r="AP32" s="902"/>
      <c r="AQ32" s="902"/>
      <c r="AR32" s="37"/>
      <c r="AS32" s="235"/>
      <c r="AT32" s="972" t="str">
        <f>IF(OR(C32="",U32="",R32="",W32="",AA32="",AE32="",AG32=""),"",IF(AK32=0,"",ROUND(AE32+AG32,2)))</f>
        <v/>
      </c>
      <c r="AU32" s="854" t="str">
        <f>IFERROR(IF(OR(C32="",U32="",R32="",W32="",AA32="",AE32="",AG32=""),"",INDEX(STDREFRIG[Current Unit],MATCH(C32,STDREFRIG[Measure Name],0))),"Err")</f>
        <v/>
      </c>
      <c r="AV32" s="850" t="str">
        <f>IF(OR(C32="",U32="",R32="",W32="",AA32="",AE32="",AG32=""),"",ROUND(U32*INDEX(STDREFRIG[Electric Energy Savings (Annual kWh/unit)],MATCH(C32,STDREFRIG[Measure Name],0)),4))</f>
        <v/>
      </c>
      <c r="AW32" s="850" t="str">
        <f>IF(OR(C32="",U32="",R32="",W32="",AA32="",AE32="",AG32=""),"",ROUND(U32*INDEX(STDREFRIG[Coincident Peak Demand Savings (kW/unit)],MATCH(C32,STDREFRIG[Measure Name],0)),4))</f>
        <v/>
      </c>
      <c r="AX32" s="970"/>
      <c r="AY32" s="970"/>
      <c r="AZ32" s="854" t="str">
        <f>IFERROR(IF(OR(C32="",U32="",R32="",W32="",AA32="",AE32="",AG32=""),"",INDEX(STDREFRIG[End Use],MATCH(C32,STDREFRIG[Measure Name],0))),"Err")</f>
        <v/>
      </c>
      <c r="BA32" s="970"/>
      <c r="BB32" s="970"/>
      <c r="BC32" s="854" t="str">
        <f>IFERROR(IF(OR(C32="",U32="",R32="",W32="",AA32="",AE32="",AG32="",ISNUMBER(AN32)=FALSE,AN32=0),"",INDEX(STDREFRIG[Measure Number],MATCH(C32,STDREFRIG[Measure Name],0))),"Err")</f>
        <v/>
      </c>
      <c r="BD32" s="854" t="str">
        <f>IFERROR(IF(OR(C32="",U32="",W32="",AA32="",AE32="",AG32=""),"",
IF(BI32&gt;0,"",
IF(EXPIRATION&lt;&gt;"",PROJSTATEXP,""))),"")</f>
        <v/>
      </c>
      <c r="BE32" s="928" t="str">
        <f>IFERROR(INDEX(STDREFRIG[Measure Life (Years)],MATCH(C32,STDREFRIG[Measure Name],0)),"")</f>
        <v/>
      </c>
      <c r="BF32" s="930" t="str">
        <f>IFERROR(IF(OR(C32="",U32="",R32="",W32="",AA32="",AE32="",AG32=""),"",
ROUND(((1+ELOSS)*((AV32*INDEX(ELECCB[NPV AEC $/kWh],MATCH(BE32,ELECCB[Year Number],1)))+(AW32*INDEX(ELECCB[NPV ACC $/kW],MATCH(BE32,ELECCB[Year Number],1))))),2)),0)</f>
        <v/>
      </c>
      <c r="BG32" s="937"/>
      <c r="BH32" s="934" t="str">
        <f>IFERROR(IF(OR(C32="",U32="",R32="",W32="",AA32="",AE32="",AG32=""),"",INDEX(STDREFRIG[Reporting Methodology],MATCH(C32,STDREFRIG[Measure Name],0))),"Err")</f>
        <v/>
      </c>
      <c r="BI32" s="939"/>
    </row>
    <row r="33" spans="2:61" ht="15.95" customHeight="1">
      <c r="B33" s="905"/>
      <c r="C33" s="904"/>
      <c r="D33" s="904"/>
      <c r="E33" s="904"/>
      <c r="F33" s="904"/>
      <c r="G33" s="904"/>
      <c r="H33" s="904"/>
      <c r="I33" s="904"/>
      <c r="J33" s="904"/>
      <c r="K33" s="904"/>
      <c r="L33" s="904"/>
      <c r="M33" s="904"/>
      <c r="N33" s="904"/>
      <c r="O33" s="904"/>
      <c r="P33" s="904"/>
      <c r="Q33" s="904"/>
      <c r="R33" s="969"/>
      <c r="S33" s="969"/>
      <c r="T33" s="969"/>
      <c r="U33" s="888"/>
      <c r="V33" s="888"/>
      <c r="W33" s="904"/>
      <c r="X33" s="904"/>
      <c r="Y33" s="904"/>
      <c r="Z33" s="904"/>
      <c r="AA33" s="904"/>
      <c r="AB33" s="904"/>
      <c r="AC33" s="904"/>
      <c r="AD33" s="827"/>
      <c r="AE33" s="867"/>
      <c r="AF33" s="868"/>
      <c r="AG33" s="868"/>
      <c r="AH33" s="869"/>
      <c r="AI33" s="946"/>
      <c r="AJ33" s="899"/>
      <c r="AK33" s="901"/>
      <c r="AL33" s="901"/>
      <c r="AM33" s="901"/>
      <c r="AN33" s="899"/>
      <c r="AO33" s="903"/>
      <c r="AP33" s="903"/>
      <c r="AQ33" s="903"/>
      <c r="AR33" s="37"/>
      <c r="AS33" s="235"/>
      <c r="AT33" s="973"/>
      <c r="AU33" s="855"/>
      <c r="AV33" s="851"/>
      <c r="AW33" s="851"/>
      <c r="AX33" s="970"/>
      <c r="AY33" s="970"/>
      <c r="AZ33" s="855"/>
      <c r="BA33" s="970"/>
      <c r="BB33" s="970"/>
      <c r="BC33" s="855"/>
      <c r="BD33" s="855"/>
      <c r="BE33" s="929"/>
      <c r="BF33" s="931"/>
      <c r="BG33" s="938"/>
      <c r="BH33" s="934"/>
      <c r="BI33" s="939"/>
    </row>
    <row r="34" spans="2:61" ht="15.95" customHeight="1">
      <c r="B34" s="905">
        <v>9</v>
      </c>
      <c r="C34" s="904"/>
      <c r="D34" s="904"/>
      <c r="E34" s="904"/>
      <c r="F34" s="904"/>
      <c r="G34" s="904"/>
      <c r="H34" s="904"/>
      <c r="I34" s="904"/>
      <c r="J34" s="904"/>
      <c r="K34" s="904"/>
      <c r="L34" s="904"/>
      <c r="M34" s="904"/>
      <c r="N34" s="904"/>
      <c r="O34" s="904"/>
      <c r="P34" s="904"/>
      <c r="Q34" s="904"/>
      <c r="R34" s="969" t="str">
        <f>IF(C34="","",INDEX(STDREFRIG[Current Unit],MATCH(C34,STDREFRIG[Measure Name],0)))</f>
        <v/>
      </c>
      <c r="S34" s="969"/>
      <c r="T34" s="969"/>
      <c r="U34" s="888"/>
      <c r="V34" s="888"/>
      <c r="W34" s="904"/>
      <c r="X34" s="904"/>
      <c r="Y34" s="904"/>
      <c r="Z34" s="904"/>
      <c r="AA34" s="904"/>
      <c r="AB34" s="904"/>
      <c r="AC34" s="904"/>
      <c r="AD34" s="827"/>
      <c r="AE34" s="867"/>
      <c r="AF34" s="868"/>
      <c r="AG34" s="868"/>
      <c r="AH34" s="869"/>
      <c r="AI34" s="946" t="str">
        <f>IFERROR(IF(C34="","",INDEX(STDREFRIG[Current Incentive],MATCH(C34,STDREFRIG[Measure Name],0))),"")</f>
        <v/>
      </c>
      <c r="AJ34" s="899"/>
      <c r="AK34" s="900" t="str">
        <f t="shared" ref="AK34" si="14">IFERROR(IF(OR(C34="",U34="",R34="",W34="",AA34="",AE34="",AG34=""),"",IF(BH34="Deemed",AV34,IF(BH34="Calculated",BA34,""))),"")</f>
        <v/>
      </c>
      <c r="AL34" s="900"/>
      <c r="AM34" s="900"/>
      <c r="AN34" s="897" t="str">
        <f t="shared" ref="AN34" si="15">IFERROR(IF(OR(C34="",U34="",R34="",W34="",AA34="",AE34="",AG34=""),"",IF(BD34&lt;&gt;"",BD34,IF(BI34&gt;0,BI34,ROUND(IF(AK34&lt;=0,0,MIN(AT34,U34*AI34)),2)))),"")</f>
        <v/>
      </c>
      <c r="AO34" s="902"/>
      <c r="AP34" s="902"/>
      <c r="AQ34" s="902"/>
      <c r="AR34" s="37"/>
      <c r="AS34" s="235"/>
      <c r="AT34" s="972" t="str">
        <f>IF(OR(C34="",U34="",R34="",W34="",AA34="",AE34="",AG34=""),"",IF(AK34=0,"",ROUND(AE34+AG34,2)))</f>
        <v/>
      </c>
      <c r="AU34" s="854" t="str">
        <f>IFERROR(IF(OR(C34="",U34="",R34="",W34="",AA34="",AE34="",AG34=""),"",INDEX(STDREFRIG[Current Unit],MATCH(C34,STDREFRIG[Measure Name],0))),"Err")</f>
        <v/>
      </c>
      <c r="AV34" s="850" t="str">
        <f>IF(OR(C34="",U34="",R34="",W34="",AA34="",AE34="",AG34=""),"",ROUND(U34*INDEX(STDREFRIG[Electric Energy Savings (Annual kWh/unit)],MATCH(C34,STDREFRIG[Measure Name],0)),4))</f>
        <v/>
      </c>
      <c r="AW34" s="850" t="str">
        <f>IF(OR(C34="",U34="",R34="",W34="",AA34="",AE34="",AG34=""),"",ROUND(U34*INDEX(STDREFRIG[Coincident Peak Demand Savings (kW/unit)],MATCH(C34,STDREFRIG[Measure Name],0)),4))</f>
        <v/>
      </c>
      <c r="AX34" s="970"/>
      <c r="AY34" s="970"/>
      <c r="AZ34" s="854" t="str">
        <f>IFERROR(IF(OR(C34="",U34="",R34="",W34="",AA34="",AE34="",AG34=""),"",INDEX(STDREFRIG[End Use],MATCH(C34,STDREFRIG[Measure Name],0))),"Err")</f>
        <v/>
      </c>
      <c r="BA34" s="970"/>
      <c r="BB34" s="970"/>
      <c r="BC34" s="854" t="str">
        <f>IFERROR(IF(OR(C34="",U34="",R34="",W34="",AA34="",AE34="",AG34="",ISNUMBER(AN34)=FALSE,AN34=0),"",INDEX(STDREFRIG[Measure Number],MATCH(C34,STDREFRIG[Measure Name],0))),"Err")</f>
        <v/>
      </c>
      <c r="BD34" s="854" t="str">
        <f>IFERROR(IF(OR(C34="",U34="",W34="",AA34="",AE34="",AG34=""),"",
IF(BI34&gt;0,"",
IF(EXPIRATION&lt;&gt;"",PROJSTATEXP,""))),"")</f>
        <v/>
      </c>
      <c r="BE34" s="928" t="str">
        <f>IFERROR(INDEX(STDREFRIG[Measure Life (Years)],MATCH(C34,STDREFRIG[Measure Name],0)),"")</f>
        <v/>
      </c>
      <c r="BF34" s="930" t="str">
        <f>IFERROR(IF(OR(C34="",U34="",R34="",W34="",AA34="",AE34="",AG34=""),"",
ROUND(((1+ELOSS)*((AV34*INDEX(ELECCB[NPV AEC $/kWh],MATCH(BE34,ELECCB[Year Number],1)))+(AW34*INDEX(ELECCB[NPV ACC $/kW],MATCH(BE34,ELECCB[Year Number],1))))),2)),0)</f>
        <v/>
      </c>
      <c r="BG34" s="937"/>
      <c r="BH34" s="934" t="str">
        <f>IFERROR(IF(OR(C34="",U34="",R34="",W34="",AA34="",AE34="",AG34=""),"",INDEX(STDREFRIG[Reporting Methodology],MATCH(C34,STDREFRIG[Measure Name],0))),"Err")</f>
        <v/>
      </c>
      <c r="BI34" s="939"/>
    </row>
    <row r="35" spans="2:61" ht="15.95" customHeight="1">
      <c r="B35" s="905"/>
      <c r="C35" s="904"/>
      <c r="D35" s="904"/>
      <c r="E35" s="904"/>
      <c r="F35" s="904"/>
      <c r="G35" s="904"/>
      <c r="H35" s="904"/>
      <c r="I35" s="904"/>
      <c r="J35" s="904"/>
      <c r="K35" s="904"/>
      <c r="L35" s="904"/>
      <c r="M35" s="904"/>
      <c r="N35" s="904"/>
      <c r="O35" s="904"/>
      <c r="P35" s="904"/>
      <c r="Q35" s="904"/>
      <c r="R35" s="969"/>
      <c r="S35" s="969"/>
      <c r="T35" s="969"/>
      <c r="U35" s="888"/>
      <c r="V35" s="888"/>
      <c r="W35" s="904"/>
      <c r="X35" s="904"/>
      <c r="Y35" s="904"/>
      <c r="Z35" s="904"/>
      <c r="AA35" s="904"/>
      <c r="AB35" s="904"/>
      <c r="AC35" s="904"/>
      <c r="AD35" s="827"/>
      <c r="AE35" s="867"/>
      <c r="AF35" s="868"/>
      <c r="AG35" s="868"/>
      <c r="AH35" s="869"/>
      <c r="AI35" s="946"/>
      <c r="AJ35" s="899"/>
      <c r="AK35" s="901"/>
      <c r="AL35" s="901"/>
      <c r="AM35" s="901"/>
      <c r="AN35" s="899"/>
      <c r="AO35" s="903"/>
      <c r="AP35" s="903"/>
      <c r="AQ35" s="903"/>
      <c r="AR35" s="37"/>
      <c r="AS35" s="235"/>
      <c r="AT35" s="973"/>
      <c r="AU35" s="855"/>
      <c r="AV35" s="851"/>
      <c r="AW35" s="851"/>
      <c r="AX35" s="970"/>
      <c r="AY35" s="970"/>
      <c r="AZ35" s="855"/>
      <c r="BA35" s="970"/>
      <c r="BB35" s="970"/>
      <c r="BC35" s="855"/>
      <c r="BD35" s="855"/>
      <c r="BE35" s="929"/>
      <c r="BF35" s="931"/>
      <c r="BG35" s="938"/>
      <c r="BH35" s="934"/>
      <c r="BI35" s="939"/>
    </row>
    <row r="36" spans="2:61" ht="15.95" customHeight="1">
      <c r="B36" s="905">
        <v>10</v>
      </c>
      <c r="C36" s="906"/>
      <c r="D36" s="906"/>
      <c r="E36" s="906"/>
      <c r="F36" s="906"/>
      <c r="G36" s="906"/>
      <c r="H36" s="906"/>
      <c r="I36" s="906"/>
      <c r="J36" s="906"/>
      <c r="K36" s="906"/>
      <c r="L36" s="906"/>
      <c r="M36" s="906"/>
      <c r="N36" s="906"/>
      <c r="O36" s="906"/>
      <c r="P36" s="906"/>
      <c r="Q36" s="906"/>
      <c r="R36" s="971" t="str">
        <f>IF(C36="","",INDEX(STDREFRIG[Current Unit],MATCH(C36,STDREFRIG[Measure Name],0)))</f>
        <v/>
      </c>
      <c r="S36" s="971"/>
      <c r="T36" s="971"/>
      <c r="U36" s="887"/>
      <c r="V36" s="887"/>
      <c r="W36" s="906"/>
      <c r="X36" s="906"/>
      <c r="Y36" s="906"/>
      <c r="Z36" s="906"/>
      <c r="AA36" s="906"/>
      <c r="AB36" s="906"/>
      <c r="AC36" s="906"/>
      <c r="AD36" s="833"/>
      <c r="AE36" s="889"/>
      <c r="AF36" s="890"/>
      <c r="AG36" s="890"/>
      <c r="AH36" s="891"/>
      <c r="AI36" s="946" t="str">
        <f>IFERROR(IF(C36="","",INDEX(STDREFRIG[Current Incentive],MATCH(C36,STDREFRIG[Measure Name],0))),"")</f>
        <v/>
      </c>
      <c r="AJ36" s="899"/>
      <c r="AK36" s="900" t="str">
        <f t="shared" ref="AK36" si="16">IFERROR(IF(OR(C36="",U36="",R36="",W36="",AA36="",AE36="",AG36=""),"",IF(BH36="Deemed",AV36,IF(BH36="Calculated",BA36,""))),"")</f>
        <v/>
      </c>
      <c r="AL36" s="900"/>
      <c r="AM36" s="900"/>
      <c r="AN36" s="897" t="str">
        <f t="shared" ref="AN36" si="17">IFERROR(IF(OR(C36="",U36="",R36="",W36="",AA36="",AE36="",AG36=""),"",IF(BD36&lt;&gt;"",BD36,IF(BI36&gt;0,BI36,ROUND(IF(AK36&lt;=0,0,MIN(AT36,U36*AI36)),2)))),"")</f>
        <v/>
      </c>
      <c r="AO36" s="902"/>
      <c r="AP36" s="902"/>
      <c r="AQ36" s="902"/>
      <c r="AR36" s="37"/>
      <c r="AS36" s="235"/>
      <c r="AT36" s="972" t="str">
        <f>IF(OR(C36="",U36="",R36="",W36="",AA36="",AE36="",AG36=""),"",IF(AK36=0,"",ROUND(AE36+AG36,2)))</f>
        <v/>
      </c>
      <c r="AU36" s="854" t="str">
        <f>IFERROR(IF(OR(C36="",U36="",R36="",W36="",AA36="",AE36="",AG36=""),"",INDEX(STDREFRIG[Current Unit],MATCH(C36,STDREFRIG[Measure Name],0))),"Err")</f>
        <v/>
      </c>
      <c r="AV36" s="850" t="str">
        <f>IF(OR(C36="",U36="",R36="",W36="",AA36="",AE36="",AG36=""),"",ROUND(U36*INDEX(STDREFRIG[Electric Energy Savings (Annual kWh/unit)],MATCH(C36,STDREFRIG[Measure Name],0)),4))</f>
        <v/>
      </c>
      <c r="AW36" s="850" t="str">
        <f>IF(OR(C36="",U36="",R36="",W36="",AA36="",AE36="",AG36=""),"",ROUND(U36*INDEX(STDREFRIG[Coincident Peak Demand Savings (kW/unit)],MATCH(C36,STDREFRIG[Measure Name],0)),4))</f>
        <v/>
      </c>
      <c r="AX36" s="970"/>
      <c r="AY36" s="970"/>
      <c r="AZ36" s="854" t="str">
        <f>IFERROR(IF(OR(C36="",U36="",R36="",W36="",AA36="",AE36="",AG36=""),"",INDEX(STDREFRIG[End Use],MATCH(C36,STDREFRIG[Measure Name],0))),"Err")</f>
        <v/>
      </c>
      <c r="BA36" s="970"/>
      <c r="BB36" s="970"/>
      <c r="BC36" s="854" t="str">
        <f>IFERROR(IF(OR(C36="",U36="",R36="",W36="",AA36="",AE36="",AG36="",ISNUMBER(AN36)=FALSE,AN36=0),"",INDEX(STDREFRIG[Measure Number],MATCH(C36,STDREFRIG[Measure Name],0))),"Err")</f>
        <v/>
      </c>
      <c r="BD36" s="854" t="str">
        <f>IFERROR(IF(OR(C36="",U36="",W36="",AA36="",AE36="",AG36=""),"",
IF(BI36&gt;0,"",
IF(EXPIRATION&lt;&gt;"",PROJSTATEXP,""))),"")</f>
        <v/>
      </c>
      <c r="BE36" s="928" t="str">
        <f>IFERROR(INDEX(STDREFRIG[Measure Life (Years)],MATCH(C36,STDREFRIG[Measure Name],0)),"")</f>
        <v/>
      </c>
      <c r="BF36" s="930" t="str">
        <f>IFERROR(IF(OR(C36="",U36="",R36="",W36="",AA36="",AE36="",AG36=""),"",
ROUND(((1+ELOSS)*((AV36*INDEX(ELECCB[NPV AEC $/kWh],MATCH(BE36,ELECCB[Year Number],1)))+(AW36*INDEX(ELECCB[NPV ACC $/kW],MATCH(BE36,ELECCB[Year Number],1))))),2)),0)</f>
        <v/>
      </c>
      <c r="BG36" s="937"/>
      <c r="BH36" s="934" t="str">
        <f>IFERROR(IF(OR(C36="",U36="",R36="",W36="",AA36="",AE36="",AG36=""),"",INDEX(STDREFRIG[Reporting Methodology],MATCH(C36,STDREFRIG[Measure Name],0))),"Err")</f>
        <v/>
      </c>
      <c r="BI36" s="939"/>
    </row>
    <row r="37" spans="2:61" ht="15.95" customHeight="1">
      <c r="B37" s="905"/>
      <c r="C37" s="904"/>
      <c r="D37" s="904"/>
      <c r="E37" s="904"/>
      <c r="F37" s="904"/>
      <c r="G37" s="904"/>
      <c r="H37" s="904"/>
      <c r="I37" s="904"/>
      <c r="J37" s="904"/>
      <c r="K37" s="904"/>
      <c r="L37" s="904"/>
      <c r="M37" s="904"/>
      <c r="N37" s="904"/>
      <c r="O37" s="904"/>
      <c r="P37" s="904"/>
      <c r="Q37" s="904"/>
      <c r="R37" s="969"/>
      <c r="S37" s="969"/>
      <c r="T37" s="969"/>
      <c r="U37" s="888"/>
      <c r="V37" s="888"/>
      <c r="W37" s="904"/>
      <c r="X37" s="904"/>
      <c r="Y37" s="904"/>
      <c r="Z37" s="904"/>
      <c r="AA37" s="904"/>
      <c r="AB37" s="904"/>
      <c r="AC37" s="904"/>
      <c r="AD37" s="827"/>
      <c r="AE37" s="867"/>
      <c r="AF37" s="868"/>
      <c r="AG37" s="868"/>
      <c r="AH37" s="869"/>
      <c r="AI37" s="946"/>
      <c r="AJ37" s="899"/>
      <c r="AK37" s="901"/>
      <c r="AL37" s="901"/>
      <c r="AM37" s="901"/>
      <c r="AN37" s="899"/>
      <c r="AO37" s="903"/>
      <c r="AP37" s="903"/>
      <c r="AQ37" s="903"/>
      <c r="AR37" s="37"/>
      <c r="AS37" s="235"/>
      <c r="AT37" s="973"/>
      <c r="AU37" s="855"/>
      <c r="AV37" s="851"/>
      <c r="AW37" s="851"/>
      <c r="AX37" s="970"/>
      <c r="AY37" s="970"/>
      <c r="AZ37" s="855"/>
      <c r="BA37" s="970"/>
      <c r="BB37" s="970"/>
      <c r="BC37" s="855"/>
      <c r="BD37" s="855"/>
      <c r="BE37" s="929"/>
      <c r="BF37" s="931"/>
      <c r="BG37" s="938"/>
      <c r="BH37" s="934"/>
      <c r="BI37" s="939"/>
    </row>
    <row r="38" spans="2:61" customFormat="1" ht="15.95" customHeight="1">
      <c r="AT38" s="426"/>
    </row>
    <row r="39" spans="2:61" customFormat="1" ht="15.95" hidden="1" customHeight="1">
      <c r="AT39" s="426"/>
    </row>
    <row r="40" spans="2:61" customFormat="1" ht="15.95" hidden="1" customHeight="1">
      <c r="AT40" s="426"/>
    </row>
    <row r="41" spans="2:61" customFormat="1" ht="15.95" hidden="1" customHeight="1">
      <c r="AT41" s="426"/>
    </row>
    <row r="42" spans="2:61" customFormat="1" ht="15.95" hidden="1" customHeight="1">
      <c r="AT42" s="426"/>
    </row>
    <row r="43" spans="2:61" customFormat="1" ht="15.95" hidden="1" customHeight="1">
      <c r="AT43" s="426"/>
    </row>
    <row r="44" spans="2:61" customFormat="1" ht="15.95" hidden="1" customHeight="1">
      <c r="AT44" s="426"/>
    </row>
    <row r="45" spans="2:61" customFormat="1" ht="15.95" hidden="1" customHeight="1">
      <c r="AT45" s="426"/>
    </row>
    <row r="46" spans="2:61" customFormat="1" ht="15.95" hidden="1" customHeight="1">
      <c r="AT46" s="426"/>
    </row>
    <row r="47" spans="2:61" customFormat="1" ht="15.95" hidden="1" customHeight="1">
      <c r="AT47" s="426"/>
    </row>
    <row r="48" spans="2:61" ht="15.95" hidden="1" customHeight="1">
      <c r="AO48" s="235"/>
      <c r="AP48" s="235"/>
      <c r="AQ48" s="235"/>
      <c r="AR48" s="235"/>
      <c r="AS48" s="235"/>
      <c r="AV48" s="57"/>
      <c r="AW48" s="64"/>
      <c r="BA48"/>
    </row>
    <row r="49" spans="41:53" ht="15.95" hidden="1" customHeight="1">
      <c r="AO49" s="235"/>
      <c r="AP49" s="235"/>
      <c r="AQ49" s="235"/>
      <c r="AR49" s="235"/>
      <c r="AS49" s="235"/>
      <c r="AV49" s="57"/>
      <c r="AW49" s="64"/>
      <c r="BA49"/>
    </row>
    <row r="50" spans="41:53" ht="15.95" hidden="1" customHeight="1">
      <c r="AO50" s="235"/>
      <c r="AP50" s="235"/>
      <c r="AQ50" s="235"/>
      <c r="AR50" s="235"/>
      <c r="AS50" s="235"/>
      <c r="AV50" s="57"/>
      <c r="AW50" s="64"/>
      <c r="BA50"/>
    </row>
    <row r="51" spans="41:53" ht="15.95" hidden="1" customHeight="1">
      <c r="AO51" s="235"/>
      <c r="AP51" s="235"/>
      <c r="AQ51" s="235"/>
      <c r="AR51" s="235"/>
      <c r="AS51" s="235"/>
      <c r="AV51" s="57"/>
      <c r="AW51" s="64"/>
      <c r="BA51"/>
    </row>
    <row r="52" spans="41:53" ht="15.95" hidden="1" customHeight="1">
      <c r="AO52" s="235"/>
      <c r="AP52" s="235"/>
      <c r="AQ52" s="235"/>
      <c r="AR52" s="235"/>
      <c r="AS52" s="235"/>
      <c r="AV52" s="57"/>
      <c r="AW52" s="64"/>
      <c r="BA52"/>
    </row>
    <row r="53" spans="41:53" ht="15.95" hidden="1" customHeight="1">
      <c r="AO53" s="235"/>
      <c r="AP53" s="235"/>
      <c r="AQ53" s="235"/>
      <c r="AR53" s="235"/>
      <c r="AS53" s="235"/>
      <c r="AV53" s="57"/>
      <c r="AW53" s="64"/>
      <c r="BA53"/>
    </row>
    <row r="54" spans="41:53" ht="15.95" hidden="1" customHeight="1">
      <c r="AO54" s="235"/>
      <c r="AP54" s="235"/>
      <c r="AQ54" s="235"/>
      <c r="AR54" s="235"/>
      <c r="AS54" s="235"/>
      <c r="AV54" s="57"/>
      <c r="AW54" s="64"/>
      <c r="BA54"/>
    </row>
    <row r="55" spans="41:53" ht="15.95" hidden="1" customHeight="1">
      <c r="AO55" s="235"/>
      <c r="AP55" s="235"/>
      <c r="AQ55" s="235"/>
      <c r="AR55" s="235"/>
      <c r="AS55" s="235"/>
      <c r="AV55" s="57"/>
      <c r="AW55" s="64"/>
      <c r="BA55"/>
    </row>
    <row r="56" spans="41:53" ht="15.95" hidden="1" customHeight="1">
      <c r="AO56" s="235"/>
      <c r="AP56" s="235"/>
      <c r="AQ56" s="235"/>
      <c r="AR56" s="235"/>
      <c r="AS56" s="235"/>
      <c r="AV56" s="57"/>
      <c r="AW56" s="64"/>
      <c r="BA56"/>
    </row>
    <row r="57" spans="41:53" ht="15.95" hidden="1" customHeight="1">
      <c r="AO57" s="235"/>
      <c r="AP57" s="235"/>
      <c r="AQ57" s="235"/>
      <c r="AR57" s="235"/>
      <c r="AS57" s="235"/>
      <c r="AV57" s="57"/>
      <c r="AW57" s="64"/>
      <c r="BA57"/>
    </row>
    <row r="58" spans="41:53" ht="15.95" hidden="1" customHeight="1">
      <c r="AO58" s="235"/>
      <c r="AP58" s="235"/>
      <c r="AQ58" s="235"/>
      <c r="AR58" s="235"/>
      <c r="AS58" s="235"/>
      <c r="AV58" s="57"/>
      <c r="AW58" s="64"/>
      <c r="BA58"/>
    </row>
    <row r="59" spans="41:53" ht="15.95" hidden="1" customHeight="1">
      <c r="AO59" s="235"/>
      <c r="AP59" s="235"/>
      <c r="AQ59" s="235"/>
      <c r="AR59" s="235"/>
      <c r="AS59" s="235"/>
      <c r="AV59" s="57"/>
      <c r="AW59" s="64"/>
      <c r="BA59"/>
    </row>
    <row r="60" spans="41:53" ht="15.95" hidden="1" customHeight="1">
      <c r="AO60" s="235"/>
      <c r="AP60" s="235"/>
      <c r="AQ60" s="235"/>
      <c r="AR60" s="235"/>
      <c r="AS60" s="235"/>
      <c r="AV60" s="57"/>
      <c r="AW60" s="64"/>
      <c r="BA60"/>
    </row>
    <row r="61" spans="41:53" ht="15.95" hidden="1" customHeight="1">
      <c r="AO61" s="235"/>
      <c r="AP61" s="235"/>
      <c r="AQ61" s="235"/>
      <c r="AR61" s="235"/>
      <c r="AS61" s="235"/>
      <c r="AV61" s="57"/>
      <c r="AW61" s="64"/>
      <c r="BA61"/>
    </row>
    <row r="62" spans="41:53" ht="15.95" hidden="1" customHeight="1">
      <c r="AV62" s="57"/>
      <c r="AW62" s="64"/>
      <c r="BA62"/>
    </row>
    <row r="63" spans="41:53" ht="15.95" hidden="1" customHeight="1">
      <c r="AV63" s="57"/>
      <c r="AW63" s="64"/>
      <c r="BA63"/>
    </row>
    <row r="64" spans="41:53" ht="15.95" hidden="1" customHeight="1">
      <c r="AV64" s="57"/>
      <c r="AW64" s="64"/>
      <c r="BA64"/>
    </row>
    <row r="65" spans="48:53" ht="15.95" hidden="1" customHeight="1">
      <c r="AV65" s="57"/>
      <c r="AW65" s="64"/>
      <c r="BA65"/>
    </row>
    <row r="66" spans="48:53" ht="15.95" hidden="1" customHeight="1">
      <c r="AV66" s="57"/>
      <c r="AW66" s="64"/>
      <c r="BA66"/>
    </row>
    <row r="67" spans="48:53" ht="15.95" hidden="1" customHeight="1">
      <c r="AV67" s="57"/>
      <c r="AW67" s="64"/>
      <c r="BA67"/>
    </row>
    <row r="68" spans="48:53" ht="15.95" hidden="1" customHeight="1">
      <c r="AV68" s="57"/>
      <c r="AW68" s="64"/>
      <c r="BA68"/>
    </row>
    <row r="69" spans="48:53" ht="15.95" hidden="1" customHeight="1">
      <c r="AV69" s="57"/>
      <c r="AW69" s="64"/>
      <c r="BA69"/>
    </row>
    <row r="70" spans="48:53" ht="15.95" hidden="1" customHeight="1">
      <c r="AV70" s="57"/>
      <c r="AW70" s="64"/>
      <c r="BA70"/>
    </row>
    <row r="71" spans="48:53" ht="15.95" hidden="1" customHeight="1">
      <c r="AV71" s="57"/>
      <c r="AW71" s="64"/>
      <c r="BA71"/>
    </row>
    <row r="72" spans="48:53" ht="15.95" hidden="1" customHeight="1">
      <c r="AV72" s="57"/>
      <c r="AW72" s="64"/>
      <c r="BA72"/>
    </row>
    <row r="73" spans="48:53" ht="15.95" hidden="1" customHeight="1">
      <c r="AV73" s="57"/>
      <c r="AW73" s="64"/>
      <c r="BA73"/>
    </row>
    <row r="74" spans="48:53" ht="15.95" hidden="1" customHeight="1">
      <c r="AV74" s="57"/>
      <c r="AW74" s="64"/>
      <c r="BA74"/>
    </row>
    <row r="75" spans="48:53" ht="15.95" hidden="1" customHeight="1">
      <c r="AV75" s="57"/>
      <c r="AW75" s="64"/>
      <c r="BA75"/>
    </row>
    <row r="76" spans="48:53" ht="15.95" hidden="1" customHeight="1">
      <c r="AV76" s="57"/>
      <c r="AW76" s="64"/>
      <c r="BA76"/>
    </row>
    <row r="77" spans="48:53" ht="15.95" hidden="1" customHeight="1">
      <c r="AV77" s="57"/>
      <c r="AW77" s="64"/>
      <c r="BA77"/>
    </row>
    <row r="78" spans="48:53" ht="15.95" hidden="1" customHeight="1">
      <c r="AV78" s="57"/>
      <c r="AW78" s="64"/>
      <c r="BA78"/>
    </row>
    <row r="79" spans="48:53" ht="15.95" hidden="1" customHeight="1">
      <c r="AV79" s="57"/>
      <c r="AW79" s="64"/>
      <c r="BA79"/>
    </row>
    <row r="80" spans="48:53" ht="15.95" hidden="1" customHeight="1">
      <c r="AV80" s="57"/>
      <c r="AW80" s="64"/>
      <c r="BA80"/>
    </row>
    <row r="81" spans="48:53" ht="15.95" hidden="1" customHeight="1">
      <c r="AV81" s="57"/>
      <c r="AW81" s="64"/>
      <c r="BA81"/>
    </row>
    <row r="82" spans="48:53" ht="15.95" hidden="1" customHeight="1">
      <c r="AV82" s="57"/>
      <c r="AW82" s="64"/>
      <c r="BA82"/>
    </row>
    <row r="83" spans="48:53" ht="15.95" hidden="1" customHeight="1">
      <c r="AV83" s="57"/>
      <c r="AW83" s="64"/>
      <c r="BA83"/>
    </row>
    <row r="84" spans="48:53" ht="15.95" hidden="1" customHeight="1">
      <c r="AV84" s="57"/>
      <c r="AW84" s="64"/>
      <c r="BA84"/>
    </row>
    <row r="85" spans="48:53" ht="15.95" hidden="1" customHeight="1">
      <c r="AV85" s="57"/>
      <c r="AW85" s="64"/>
      <c r="BA85"/>
    </row>
    <row r="86" spans="48:53" ht="15.95" hidden="1" customHeight="1">
      <c r="AV86" s="57"/>
      <c r="AW86" s="64"/>
      <c r="BA86"/>
    </row>
    <row r="87" spans="48:53" ht="15.95" hidden="1" customHeight="1">
      <c r="AV87" s="57"/>
      <c r="AW87" s="64"/>
      <c r="BA87"/>
    </row>
    <row r="88" spans="48:53" ht="15.95" hidden="1" customHeight="1">
      <c r="AV88" s="57"/>
      <c r="AW88" s="64"/>
      <c r="BA88"/>
    </row>
    <row r="89" spans="48:53" ht="15.95" hidden="1" customHeight="1">
      <c r="AV89" s="57"/>
      <c r="AW89" s="64"/>
      <c r="BA89"/>
    </row>
    <row r="90" spans="48:53" ht="15.95" hidden="1" customHeight="1">
      <c r="AV90" s="57"/>
      <c r="AW90" s="64"/>
      <c r="BA90"/>
    </row>
    <row r="91" spans="48:53" ht="15.95" hidden="1" customHeight="1">
      <c r="AV91" s="57"/>
      <c r="AW91" s="64"/>
      <c r="BA91"/>
    </row>
    <row r="92" spans="48:53" ht="15.95" hidden="1" customHeight="1">
      <c r="AV92" s="57"/>
      <c r="AW92" s="64"/>
      <c r="BA92"/>
    </row>
    <row r="93" spans="48:53" ht="15.95" hidden="1" customHeight="1">
      <c r="AV93" s="57"/>
      <c r="AW93" s="64"/>
      <c r="BA93"/>
    </row>
    <row r="94" spans="48:53" ht="15.95" hidden="1" customHeight="1">
      <c r="AV94" s="57"/>
      <c r="AW94" s="64"/>
      <c r="BA94"/>
    </row>
    <row r="95" spans="48:53" ht="15.95" hidden="1" customHeight="1">
      <c r="AV95" s="57"/>
      <c r="AW95" s="64"/>
      <c r="BA95"/>
    </row>
    <row r="96" spans="48:53" ht="15.95" hidden="1" customHeight="1">
      <c r="AV96" s="57"/>
      <c r="AW96" s="64"/>
      <c r="BA96"/>
    </row>
    <row r="97" spans="48:53" ht="15.95" hidden="1" customHeight="1">
      <c r="AV97" s="57"/>
      <c r="AW97" s="64"/>
      <c r="BA97"/>
    </row>
    <row r="98" spans="48:53" ht="15.95" hidden="1" customHeight="1">
      <c r="AV98" s="57"/>
      <c r="AW98" s="64"/>
      <c r="BA98"/>
    </row>
    <row r="99" spans="48:53" ht="15.95" hidden="1" customHeight="1">
      <c r="AV99" s="57"/>
      <c r="AW99" s="64"/>
      <c r="BA99"/>
    </row>
    <row r="100" spans="48:53" ht="15.95" hidden="1" customHeight="1">
      <c r="AV100" s="57"/>
      <c r="AW100" s="64"/>
      <c r="BA100"/>
    </row>
    <row r="101" spans="48:53" ht="15.95" hidden="1" customHeight="1">
      <c r="AV101" s="57"/>
      <c r="AW101" s="64"/>
      <c r="BA101"/>
    </row>
    <row r="102" spans="48:53" ht="15.95" hidden="1" customHeight="1">
      <c r="AV102" s="57"/>
      <c r="AW102" s="64"/>
      <c r="BA102"/>
    </row>
    <row r="103" spans="48:53" ht="15.95" hidden="1" customHeight="1">
      <c r="AV103" s="57"/>
      <c r="AW103" s="64"/>
      <c r="BA103"/>
    </row>
    <row r="104" spans="48:53" ht="15.95" hidden="1" customHeight="1">
      <c r="AV104" s="57"/>
      <c r="AW104" s="64"/>
      <c r="BA104"/>
    </row>
    <row r="105" spans="48:53" ht="15.95" hidden="1" customHeight="1">
      <c r="AV105" s="57"/>
      <c r="AW105" s="64"/>
      <c r="BA105"/>
    </row>
    <row r="106" spans="48:53" ht="15.95" hidden="1" customHeight="1">
      <c r="AV106" s="57"/>
      <c r="AW106" s="64"/>
      <c r="BA106"/>
    </row>
    <row r="107" spans="48:53" ht="15.95" hidden="1" customHeight="1">
      <c r="AV107" s="57"/>
      <c r="AW107" s="64"/>
      <c r="BA107"/>
    </row>
    <row r="108" spans="48:53" ht="15.95" hidden="1" customHeight="1">
      <c r="AV108" s="57"/>
      <c r="AW108" s="64"/>
      <c r="BA108"/>
    </row>
    <row r="109" spans="48:53" ht="15.95" hidden="1" customHeight="1">
      <c r="AV109" s="57"/>
      <c r="AW109" s="64"/>
      <c r="BA109"/>
    </row>
    <row r="110" spans="48:53" ht="15.95" hidden="1" customHeight="1">
      <c r="AV110" s="57"/>
      <c r="AW110" s="64"/>
      <c r="BA110"/>
    </row>
    <row r="111" spans="48:53" ht="15.95" hidden="1" customHeight="1">
      <c r="AV111" s="57"/>
      <c r="AW111" s="64"/>
      <c r="BA111"/>
    </row>
    <row r="112" spans="48:53" ht="15.95" hidden="1" customHeight="1">
      <c r="AV112" s="57"/>
      <c r="AW112" s="64"/>
      <c r="BA112"/>
    </row>
    <row r="113" spans="48:53" ht="15.95" hidden="1" customHeight="1">
      <c r="AV113" s="57"/>
      <c r="AW113" s="64"/>
      <c r="BA113"/>
    </row>
    <row r="114" spans="48:53" ht="15.95" hidden="1" customHeight="1">
      <c r="AV114" s="57"/>
      <c r="AW114" s="64"/>
      <c r="BA114"/>
    </row>
    <row r="115" spans="48:53" ht="15.95" hidden="1" customHeight="1">
      <c r="AV115" s="57"/>
      <c r="AW115" s="64"/>
      <c r="BA115"/>
    </row>
    <row r="116" spans="48:53" ht="15.95" hidden="1" customHeight="1">
      <c r="AV116" s="57"/>
      <c r="AW116" s="64"/>
      <c r="BA116"/>
    </row>
    <row r="117" spans="48:53" ht="15.95" hidden="1" customHeight="1">
      <c r="AV117" s="57"/>
      <c r="AW117" s="64"/>
      <c r="BA117"/>
    </row>
    <row r="118" spans="48:53" ht="15.95" hidden="1" customHeight="1">
      <c r="AV118" s="57"/>
      <c r="AW118" s="64"/>
      <c r="BA118"/>
    </row>
    <row r="119" spans="48:53" ht="15.95" hidden="1" customHeight="1">
      <c r="AV119" s="57"/>
      <c r="AW119" s="64"/>
      <c r="BA119"/>
    </row>
    <row r="120" spans="48:53" ht="15.95" hidden="1" customHeight="1">
      <c r="AV120" s="57"/>
      <c r="AW120" s="64"/>
      <c r="BA120"/>
    </row>
    <row r="121" spans="48:53" ht="15.95" hidden="1" customHeight="1">
      <c r="AV121" s="57"/>
      <c r="AW121" s="64"/>
      <c r="BA121"/>
    </row>
    <row r="122" spans="48:53" ht="15.95" hidden="1" customHeight="1">
      <c r="AV122" s="57"/>
      <c r="AW122" s="64"/>
      <c r="BA122"/>
    </row>
    <row r="123" spans="48:53" ht="15.95" hidden="1" customHeight="1">
      <c r="AV123" s="57"/>
      <c r="AW123" s="64"/>
      <c r="BA123"/>
    </row>
    <row r="124" spans="48:53" ht="15.95" hidden="1" customHeight="1">
      <c r="AV124" s="57"/>
      <c r="AW124" s="64"/>
      <c r="BA124"/>
    </row>
    <row r="125" spans="48:53" ht="15.95" hidden="1" customHeight="1">
      <c r="AV125" s="57"/>
      <c r="AW125" s="64"/>
      <c r="BA125"/>
    </row>
    <row r="126" spans="48:53" ht="15.95" hidden="1" customHeight="1">
      <c r="AV126" s="57"/>
      <c r="AW126" s="64"/>
      <c r="BA126"/>
    </row>
    <row r="127" spans="48:53" ht="15.95" hidden="1" customHeight="1">
      <c r="AV127" s="57"/>
      <c r="AW127" s="64"/>
      <c r="BA127"/>
    </row>
    <row r="128" spans="48:53" ht="15.95" hidden="1" customHeight="1">
      <c r="AV128" s="57"/>
      <c r="AW128" s="64"/>
      <c r="BA128"/>
    </row>
    <row r="129" spans="48:53" ht="15.95" hidden="1" customHeight="1">
      <c r="AV129" s="57"/>
      <c r="AW129" s="64"/>
      <c r="BA129"/>
    </row>
    <row r="130" spans="48:53" ht="15.95" hidden="1" customHeight="1">
      <c r="AV130" s="57"/>
      <c r="AW130" s="64"/>
      <c r="BA130"/>
    </row>
    <row r="131" spans="48:53" ht="15.95" hidden="1" customHeight="1">
      <c r="AV131" s="57"/>
      <c r="AW131" s="64"/>
      <c r="BA131"/>
    </row>
    <row r="132" spans="48:53" ht="15.95" hidden="1" customHeight="1">
      <c r="AV132" s="57"/>
      <c r="AW132" s="64"/>
      <c r="BA132"/>
    </row>
    <row r="133" spans="48:53" ht="15.95" hidden="1" customHeight="1">
      <c r="AV133" s="57"/>
      <c r="AW133" s="64"/>
      <c r="BA133"/>
    </row>
    <row r="134" spans="48:53" ht="15.95" hidden="1" customHeight="1">
      <c r="AV134" s="57"/>
      <c r="AW134" s="64"/>
      <c r="BA134"/>
    </row>
    <row r="135" spans="48:53" ht="15.95" hidden="1" customHeight="1">
      <c r="AV135" s="57"/>
      <c r="AW135" s="64"/>
      <c r="BA135"/>
    </row>
    <row r="136" spans="48:53" ht="15.95" hidden="1" customHeight="1">
      <c r="AV136" s="57"/>
      <c r="AW136" s="64"/>
      <c r="BA136"/>
    </row>
    <row r="137" spans="48:53" ht="15.95" hidden="1" customHeight="1">
      <c r="AV137" s="57"/>
      <c r="AW137" s="64"/>
      <c r="BA137"/>
    </row>
    <row r="138" spans="48:53" ht="15.95" hidden="1" customHeight="1">
      <c r="AV138" s="57"/>
      <c r="AW138" s="64"/>
      <c r="BA138"/>
    </row>
    <row r="139" spans="48:53" ht="15.95" hidden="1" customHeight="1">
      <c r="AV139" s="57"/>
      <c r="AW139" s="64"/>
      <c r="BA139"/>
    </row>
    <row r="140" spans="48:53" ht="15.95" hidden="1" customHeight="1">
      <c r="AV140" s="57"/>
      <c r="AW140" s="64"/>
      <c r="BA140"/>
    </row>
    <row r="141" spans="48:53" ht="15.95" hidden="1" customHeight="1">
      <c r="AV141" s="57"/>
      <c r="AW141" s="64"/>
      <c r="BA141"/>
    </row>
    <row r="142" spans="48:53" ht="15.95" hidden="1" customHeight="1">
      <c r="AV142" s="57"/>
      <c r="AW142" s="64"/>
      <c r="BA142"/>
    </row>
    <row r="143" spans="48:53" ht="15.95" hidden="1" customHeight="1">
      <c r="AV143" s="57"/>
      <c r="AW143" s="64"/>
      <c r="BA143"/>
    </row>
    <row r="144" spans="48:53" ht="15.95" hidden="1" customHeight="1">
      <c r="AV144" s="57"/>
      <c r="AW144" s="64"/>
      <c r="BA144"/>
    </row>
    <row r="145" spans="48:53" ht="15.95" hidden="1" customHeight="1">
      <c r="AV145" s="57"/>
      <c r="AW145" s="64"/>
      <c r="BA145"/>
    </row>
    <row r="146" spans="48:53" ht="15.95" hidden="1" customHeight="1">
      <c r="AV146" s="57"/>
      <c r="AW146" s="64"/>
      <c r="BA146"/>
    </row>
    <row r="147" spans="48:53" ht="15.95" hidden="1" customHeight="1">
      <c r="AV147" s="57"/>
      <c r="AW147" s="64"/>
      <c r="BA147"/>
    </row>
    <row r="148" spans="48:53" ht="15.95" hidden="1" customHeight="1">
      <c r="AV148" s="57"/>
      <c r="AW148" s="64"/>
      <c r="BA148"/>
    </row>
    <row r="149" spans="48:53" ht="15.95" hidden="1" customHeight="1">
      <c r="AV149" s="57"/>
      <c r="AW149" s="64"/>
      <c r="BA149"/>
    </row>
    <row r="150" spans="48:53" ht="15.95" hidden="1" customHeight="1">
      <c r="AV150" s="57"/>
      <c r="AW150" s="64"/>
      <c r="BA150"/>
    </row>
    <row r="151" spans="48:53" ht="15.95" hidden="1" customHeight="1">
      <c r="AV151" s="57"/>
      <c r="AW151" s="64"/>
      <c r="BA151"/>
    </row>
    <row r="152" spans="48:53" ht="15.95" hidden="1" customHeight="1">
      <c r="AV152" s="57"/>
      <c r="AW152" s="64"/>
      <c r="BA152"/>
    </row>
    <row r="153" spans="48:53" ht="15.95" hidden="1" customHeight="1">
      <c r="AV153" s="57"/>
      <c r="AW153" s="64"/>
      <c r="BA153"/>
    </row>
    <row r="154" spans="48:53" ht="15.95" hidden="1" customHeight="1">
      <c r="AV154" s="57"/>
      <c r="AW154" s="64"/>
      <c r="BA154"/>
    </row>
    <row r="155" spans="48:53" ht="15.95" hidden="1" customHeight="1">
      <c r="AV155" s="57"/>
      <c r="AW155" s="64"/>
      <c r="BA155"/>
    </row>
    <row r="156" spans="48:53" ht="15.95" hidden="1" customHeight="1">
      <c r="AV156" s="57"/>
      <c r="AW156" s="64"/>
      <c r="BA156"/>
    </row>
    <row r="157" spans="48:53" ht="15.95" hidden="1" customHeight="1">
      <c r="AV157" s="57"/>
      <c r="AW157" s="64"/>
      <c r="BA157"/>
    </row>
    <row r="158" spans="48:53" ht="15.95" hidden="1" customHeight="1">
      <c r="AV158" s="57"/>
      <c r="AW158" s="64"/>
      <c r="BA158"/>
    </row>
    <row r="159" spans="48:53" ht="15.95" hidden="1" customHeight="1">
      <c r="AV159" s="57"/>
      <c r="AW159" s="64"/>
      <c r="BA159"/>
    </row>
    <row r="160" spans="48:53" ht="15.95" hidden="1" customHeight="1">
      <c r="AV160" s="57"/>
      <c r="AW160" s="64"/>
      <c r="BA160"/>
    </row>
    <row r="161" spans="48:53" ht="15.95" hidden="1" customHeight="1">
      <c r="AV161" s="57"/>
      <c r="AW161" s="64"/>
      <c r="BA161"/>
    </row>
    <row r="162" spans="48:53" ht="15.95" hidden="1" customHeight="1">
      <c r="AV162" s="57"/>
      <c r="AW162" s="64"/>
      <c r="BA162"/>
    </row>
    <row r="163" spans="48:53" ht="15.95" hidden="1" customHeight="1">
      <c r="AV163" s="57"/>
      <c r="AW163" s="64"/>
      <c r="BA163"/>
    </row>
    <row r="164" spans="48:53" ht="15.95" hidden="1" customHeight="1">
      <c r="AV164" s="57"/>
      <c r="AW164" s="64"/>
      <c r="BA164"/>
    </row>
    <row r="165" spans="48:53" ht="15.95" hidden="1" customHeight="1">
      <c r="AV165" s="57"/>
      <c r="AW165" s="64"/>
      <c r="BA165"/>
    </row>
    <row r="166" spans="48:53" ht="15.95" hidden="1" customHeight="1">
      <c r="AV166" s="57"/>
      <c r="AW166" s="64"/>
      <c r="BA166"/>
    </row>
    <row r="167" spans="48:53" ht="15.95" hidden="1" customHeight="1">
      <c r="AV167" s="57"/>
      <c r="AW167" s="64"/>
      <c r="BA167"/>
    </row>
    <row r="168" spans="48:53" ht="15.95" hidden="1" customHeight="1">
      <c r="AV168" s="57"/>
      <c r="AW168" s="64"/>
      <c r="BA168"/>
    </row>
    <row r="169" spans="48:53" ht="15.95" hidden="1" customHeight="1">
      <c r="AV169" s="57"/>
      <c r="AW169" s="64"/>
      <c r="BA169"/>
    </row>
    <row r="170" spans="48:53" ht="15.95" hidden="1" customHeight="1">
      <c r="AV170" s="57"/>
      <c r="AW170" s="64"/>
      <c r="BA170"/>
    </row>
    <row r="171" spans="48:53" ht="15.95" hidden="1" customHeight="1">
      <c r="AV171" s="57"/>
      <c r="AW171" s="64"/>
      <c r="BA171"/>
    </row>
    <row r="172" spans="48:53" ht="15.95" hidden="1" customHeight="1">
      <c r="AV172" s="57"/>
      <c r="AW172" s="64"/>
      <c r="BA172"/>
    </row>
    <row r="173" spans="48:53" ht="15.95" hidden="1" customHeight="1">
      <c r="AV173" s="57"/>
      <c r="AW173" s="64"/>
      <c r="BA173"/>
    </row>
    <row r="174" spans="48:53" ht="15.95" hidden="1" customHeight="1">
      <c r="AV174" s="57"/>
      <c r="AW174" s="64"/>
      <c r="BA174"/>
    </row>
    <row r="175" spans="48:53" ht="15.95" hidden="1" customHeight="1">
      <c r="AV175" s="57"/>
      <c r="AW175" s="64"/>
      <c r="BA175"/>
    </row>
    <row r="176" spans="48:53" ht="15.95" hidden="1" customHeight="1">
      <c r="AV176" s="57"/>
      <c r="AW176" s="64"/>
      <c r="BA176"/>
    </row>
    <row r="177" spans="48:53" ht="15.95" hidden="1" customHeight="1">
      <c r="AV177" s="57"/>
      <c r="AW177" s="64"/>
      <c r="BA177"/>
    </row>
    <row r="178" spans="48:53" ht="15.95" hidden="1" customHeight="1">
      <c r="AV178" s="57"/>
      <c r="AW178" s="64"/>
      <c r="BA178"/>
    </row>
    <row r="179" spans="48:53" ht="15.95" hidden="1" customHeight="1">
      <c r="AV179" s="57"/>
      <c r="AW179" s="64"/>
      <c r="BA179"/>
    </row>
    <row r="180" spans="48:53" ht="15.95" hidden="1" customHeight="1">
      <c r="AV180" s="57"/>
      <c r="AW180" s="64"/>
      <c r="BA180"/>
    </row>
    <row r="181" spans="48:53" ht="15.95" hidden="1" customHeight="1">
      <c r="AV181" s="57"/>
      <c r="AW181" s="64"/>
      <c r="BA181"/>
    </row>
    <row r="182" spans="48:53" ht="15.95" hidden="1" customHeight="1">
      <c r="AV182" s="57"/>
      <c r="AW182" s="64"/>
      <c r="BA182"/>
    </row>
    <row r="183" spans="48:53" ht="15.95" hidden="1" customHeight="1">
      <c r="AV183" s="57"/>
      <c r="AW183" s="64"/>
      <c r="BA183"/>
    </row>
    <row r="184" spans="48:53" ht="15.95" hidden="1" customHeight="1">
      <c r="AV184" s="57"/>
      <c r="AW184" s="64"/>
      <c r="BA184"/>
    </row>
    <row r="185" spans="48:53" ht="15.95" hidden="1" customHeight="1">
      <c r="AV185" s="57"/>
      <c r="AW185" s="64"/>
      <c r="BA185"/>
    </row>
    <row r="186" spans="48:53" ht="15.95" hidden="1" customHeight="1">
      <c r="AV186" s="57"/>
      <c r="AW186" s="64"/>
      <c r="BA186"/>
    </row>
    <row r="187" spans="48:53" ht="15.95" hidden="1" customHeight="1">
      <c r="AV187" s="57"/>
      <c r="AW187" s="64"/>
      <c r="BA187"/>
    </row>
    <row r="188" spans="48:53" ht="15.95" hidden="1" customHeight="1">
      <c r="AV188" s="57"/>
      <c r="AW188" s="64"/>
      <c r="BA188"/>
    </row>
    <row r="189" spans="48:53" ht="15.95" hidden="1" customHeight="1">
      <c r="AV189" s="57"/>
      <c r="AW189" s="64"/>
      <c r="BA189"/>
    </row>
    <row r="190" spans="48:53" ht="15.95" hidden="1" customHeight="1">
      <c r="AV190" s="57"/>
      <c r="AW190" s="64"/>
      <c r="BA190"/>
    </row>
    <row r="191" spans="48:53" ht="15.95" hidden="1" customHeight="1">
      <c r="AV191" s="57"/>
      <c r="AW191" s="64"/>
      <c r="BA191"/>
    </row>
    <row r="192" spans="48:53" ht="15.95" hidden="1" customHeight="1">
      <c r="AV192" s="57"/>
      <c r="AW192" s="64"/>
      <c r="BA192"/>
    </row>
    <row r="193" spans="1:54" ht="15.95" hidden="1" customHeight="1">
      <c r="AV193" s="57"/>
      <c r="AW193" s="64"/>
      <c r="BA193"/>
    </row>
    <row r="194" spans="1:54" ht="15.95" hidden="1" customHeight="1">
      <c r="AV194" s="57"/>
      <c r="AW194" s="64"/>
      <c r="BA194"/>
    </row>
    <row r="195" spans="1:54" ht="15.95" hidden="1" customHeight="1">
      <c r="AV195" s="57"/>
      <c r="AW195" s="64"/>
      <c r="BA195"/>
    </row>
    <row r="196" spans="1:54" ht="15.95" hidden="1" customHeight="1">
      <c r="AV196" s="57"/>
      <c r="AW196" s="64"/>
      <c r="BA196"/>
    </row>
    <row r="197" spans="1:54" ht="15.95" hidden="1" customHeight="1">
      <c r="AV197" s="57"/>
      <c r="AW197" s="64"/>
      <c r="BA197"/>
    </row>
    <row r="198" spans="1:54" ht="15.95" hidden="1" customHeight="1">
      <c r="AV198" s="57"/>
      <c r="AW198" s="64"/>
      <c r="BA198"/>
    </row>
    <row r="199" spans="1:54" ht="15.95" hidden="1" customHeight="1">
      <c r="AV199" s="57"/>
      <c r="AW199" s="64"/>
      <c r="BA199"/>
    </row>
    <row r="200" spans="1:54"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T200" s="862">
        <f>SUM(AT18:AT199)</f>
        <v>0</v>
      </c>
      <c r="AU200"/>
      <c r="AV200" s="863">
        <f>SUM(AV18:AV199)</f>
        <v>0</v>
      </c>
      <c r="AW200" s="864">
        <f>SUM(AW18:AW199)</f>
        <v>0</v>
      </c>
      <c r="AZ200"/>
      <c r="BA200"/>
      <c r="BB200" s="180"/>
    </row>
    <row r="201" spans="1:54"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T201" s="862"/>
      <c r="AU201"/>
      <c r="AV201" s="863"/>
      <c r="AW201" s="864"/>
      <c r="AZ201"/>
      <c r="BA201"/>
      <c r="BB201" s="180"/>
    </row>
    <row r="202" spans="1:54"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4" ht="15.95" hidden="1" customHeight="1"/>
    <row r="204" spans="1:54" ht="15.95" hidden="1" customHeight="1"/>
  </sheetData>
  <sheetProtection algorithmName="SHA-512" hashValue="9EXB6DRfeWXemVMCODyhnzqKBhlSUDb9d3qlRskMmcxWibFCFtO/nYPFW4liwXyVLTRBCHFQJz1QUhfB4w2MZA==" saltValue="UcS4vEsq4Em8lvCx+UTgdQ==" spinCount="100000" sheet="1" objects="1" scenarios="1" selectLockedCells="1"/>
  <mergeCells count="325">
    <mergeCell ref="BI34:BI35"/>
    <mergeCell ref="BI36:BI37"/>
    <mergeCell ref="BI16:BI17"/>
    <mergeCell ref="BI18:BI19"/>
    <mergeCell ref="BI20:BI21"/>
    <mergeCell ref="BI22:BI23"/>
    <mergeCell ref="BI24:BI25"/>
    <mergeCell ref="BI26:BI27"/>
    <mergeCell ref="BI28:BI29"/>
    <mergeCell ref="BI30:BI31"/>
    <mergeCell ref="BI32:BI33"/>
    <mergeCell ref="BG36:BG37"/>
    <mergeCell ref="BH36:BH37"/>
    <mergeCell ref="BG26:BG27"/>
    <mergeCell ref="BH26:BH27"/>
    <mergeCell ref="BG28:BG29"/>
    <mergeCell ref="BH28:BH29"/>
    <mergeCell ref="BG30:BG31"/>
    <mergeCell ref="BH30:BH31"/>
    <mergeCell ref="BG32:BG33"/>
    <mergeCell ref="BH32:BH33"/>
    <mergeCell ref="BG34:BG35"/>
    <mergeCell ref="BH34:BH35"/>
    <mergeCell ref="BH16:BH17"/>
    <mergeCell ref="BH18:BH19"/>
    <mergeCell ref="BG16:BG17"/>
    <mergeCell ref="BG18:BG19"/>
    <mergeCell ref="BG20:BG21"/>
    <mergeCell ref="BH20:BH21"/>
    <mergeCell ref="BG22:BG23"/>
    <mergeCell ref="BH22:BH23"/>
    <mergeCell ref="BG24:BG25"/>
    <mergeCell ref="BH24:BH25"/>
    <mergeCell ref="BE36:BE37"/>
    <mergeCell ref="BF36:BF37"/>
    <mergeCell ref="BE26:BE27"/>
    <mergeCell ref="BF26:BF27"/>
    <mergeCell ref="BE28:BE29"/>
    <mergeCell ref="BF28:BF29"/>
    <mergeCell ref="BE30:BE31"/>
    <mergeCell ref="BF30:BF31"/>
    <mergeCell ref="BE32:BE33"/>
    <mergeCell ref="BF32:BF33"/>
    <mergeCell ref="BE34:BE35"/>
    <mergeCell ref="BF34:BF35"/>
    <mergeCell ref="BE16:BE17"/>
    <mergeCell ref="BF16:BF17"/>
    <mergeCell ref="BE18:BE19"/>
    <mergeCell ref="BF18:BF19"/>
    <mergeCell ref="BE20:BE21"/>
    <mergeCell ref="BF20:BF21"/>
    <mergeCell ref="BE22:BE23"/>
    <mergeCell ref="BF22:BF23"/>
    <mergeCell ref="BE24:BE25"/>
    <mergeCell ref="BF24:BF25"/>
    <mergeCell ref="AY34:AY35"/>
    <mergeCell ref="BA34:BA35"/>
    <mergeCell ref="BB34:BB35"/>
    <mergeCell ref="AX36:AX37"/>
    <mergeCell ref="AY36:AY37"/>
    <mergeCell ref="BA36:BA37"/>
    <mergeCell ref="BB36:BB37"/>
    <mergeCell ref="AF9:AI11"/>
    <mergeCell ref="AJ9:AM11"/>
    <mergeCell ref="AI36:AJ37"/>
    <mergeCell ref="AU24:AU25"/>
    <mergeCell ref="AU26:AU27"/>
    <mergeCell ref="AI24:AJ25"/>
    <mergeCell ref="AX18:AX19"/>
    <mergeCell ref="AY18:AY19"/>
    <mergeCell ref="BA18:BA19"/>
    <mergeCell ref="BB18:BB19"/>
    <mergeCell ref="AX20:AX21"/>
    <mergeCell ref="AY20:AY21"/>
    <mergeCell ref="BA20:BA21"/>
    <mergeCell ref="BB20:BB21"/>
    <mergeCell ref="AY22:AY23"/>
    <mergeCell ref="AZ20:AZ21"/>
    <mergeCell ref="AG20:AH21"/>
    <mergeCell ref="A4:E6"/>
    <mergeCell ref="A7:E8"/>
    <mergeCell ref="F1:I3"/>
    <mergeCell ref="J1:M3"/>
    <mergeCell ref="AH1:AK3"/>
    <mergeCell ref="AL1:AO3"/>
    <mergeCell ref="AP1:AS3"/>
    <mergeCell ref="AB9:AE11"/>
    <mergeCell ref="AO5:AS6"/>
    <mergeCell ref="AO7:AS7"/>
    <mergeCell ref="AO8:AS8"/>
    <mergeCell ref="H9:K11"/>
    <mergeCell ref="L9:O11"/>
    <mergeCell ref="P9:S11"/>
    <mergeCell ref="T9:W11"/>
    <mergeCell ref="X9:AA11"/>
    <mergeCell ref="O1:AE3"/>
    <mergeCell ref="AI20:AJ21"/>
    <mergeCell ref="U20:V21"/>
    <mergeCell ref="W20:Z21"/>
    <mergeCell ref="BD16:BD17"/>
    <mergeCell ref="AE17:AF17"/>
    <mergeCell ref="AG17:AH17"/>
    <mergeCell ref="AE16:AH16"/>
    <mergeCell ref="AI16:AJ17"/>
    <mergeCell ref="AK16:AM17"/>
    <mergeCell ref="AN16:AQ17"/>
    <mergeCell ref="AT16:AT17"/>
    <mergeCell ref="AX16:AX17"/>
    <mergeCell ref="AY16:AY17"/>
    <mergeCell ref="BA16:BB16"/>
    <mergeCell ref="BC16:BC17"/>
    <mergeCell ref="AV16:AW16"/>
    <mergeCell ref="AE24:AF25"/>
    <mergeCell ref="AG24:AH25"/>
    <mergeCell ref="AX22:AX23"/>
    <mergeCell ref="AX24:AX25"/>
    <mergeCell ref="BD18:BD19"/>
    <mergeCell ref="B20:B21"/>
    <mergeCell ref="AK18:AM19"/>
    <mergeCell ref="AN18:AQ19"/>
    <mergeCell ref="AT18:AT19"/>
    <mergeCell ref="AV18:AV19"/>
    <mergeCell ref="AW18:AW19"/>
    <mergeCell ref="AE18:AF19"/>
    <mergeCell ref="AG18:AH19"/>
    <mergeCell ref="AI18:AJ19"/>
    <mergeCell ref="W18:Z19"/>
    <mergeCell ref="AA18:AD19"/>
    <mergeCell ref="B18:B19"/>
    <mergeCell ref="BD20:BD21"/>
    <mergeCell ref="AK20:AM21"/>
    <mergeCell ref="AN20:AQ21"/>
    <mergeCell ref="AT20:AT21"/>
    <mergeCell ref="AV20:AV21"/>
    <mergeCell ref="AW20:AW21"/>
    <mergeCell ref="AE20:AF21"/>
    <mergeCell ref="AY28:AY29"/>
    <mergeCell ref="BA28:BA29"/>
    <mergeCell ref="BB28:BB29"/>
    <mergeCell ref="AI28:AJ29"/>
    <mergeCell ref="BD22:BD23"/>
    <mergeCell ref="B24:B25"/>
    <mergeCell ref="AK22:AM23"/>
    <mergeCell ref="AN22:AQ23"/>
    <mergeCell ref="AT22:AT23"/>
    <mergeCell ref="AV22:AV23"/>
    <mergeCell ref="AW22:AW23"/>
    <mergeCell ref="AE22:AF23"/>
    <mergeCell ref="AG22:AH23"/>
    <mergeCell ref="AI22:AJ23"/>
    <mergeCell ref="BD24:BD25"/>
    <mergeCell ref="U22:V23"/>
    <mergeCell ref="W22:Z23"/>
    <mergeCell ref="AA22:AD23"/>
    <mergeCell ref="B22:B23"/>
    <mergeCell ref="AK24:AM25"/>
    <mergeCell ref="AN24:AQ25"/>
    <mergeCell ref="AT24:AT25"/>
    <mergeCell ref="AV24:AV25"/>
    <mergeCell ref="AW24:AW25"/>
    <mergeCell ref="BC28:BC29"/>
    <mergeCell ref="AU28:AU29"/>
    <mergeCell ref="AZ28:AZ29"/>
    <mergeCell ref="AZ30:AZ31"/>
    <mergeCell ref="BD26:BD27"/>
    <mergeCell ref="B28:B29"/>
    <mergeCell ref="AK26:AM27"/>
    <mergeCell ref="AN26:AQ27"/>
    <mergeCell ref="AT26:AT27"/>
    <mergeCell ref="AV26:AV27"/>
    <mergeCell ref="AW26:AW27"/>
    <mergeCell ref="AE26:AF27"/>
    <mergeCell ref="AG26:AH27"/>
    <mergeCell ref="AI26:AJ27"/>
    <mergeCell ref="BD28:BD29"/>
    <mergeCell ref="W26:Z27"/>
    <mergeCell ref="AA26:AD27"/>
    <mergeCell ref="C26:Q27"/>
    <mergeCell ref="B26:B27"/>
    <mergeCell ref="AK28:AM29"/>
    <mergeCell ref="AN28:AQ29"/>
    <mergeCell ref="AT28:AT29"/>
    <mergeCell ref="AV28:AV29"/>
    <mergeCell ref="AX28:AX29"/>
    <mergeCell ref="BD30:BD31"/>
    <mergeCell ref="BD32:BD33"/>
    <mergeCell ref="AA32:AD33"/>
    <mergeCell ref="AX30:AX31"/>
    <mergeCell ref="AY30:AY31"/>
    <mergeCell ref="BA30:BA31"/>
    <mergeCell ref="BB30:BB31"/>
    <mergeCell ref="AX32:AX33"/>
    <mergeCell ref="AY32:AY33"/>
    <mergeCell ref="BA32:BA33"/>
    <mergeCell ref="BB32:BB33"/>
    <mergeCell ref="BC30:BC31"/>
    <mergeCell ref="BC32:BC33"/>
    <mergeCell ref="AU30:AU31"/>
    <mergeCell ref="AU32:AU33"/>
    <mergeCell ref="AZ32:AZ33"/>
    <mergeCell ref="B32:B33"/>
    <mergeCell ref="AK30:AM31"/>
    <mergeCell ref="AN30:AQ31"/>
    <mergeCell ref="AT30:AT31"/>
    <mergeCell ref="AV30:AV31"/>
    <mergeCell ref="AW30:AW31"/>
    <mergeCell ref="AE30:AF31"/>
    <mergeCell ref="AG30:AH31"/>
    <mergeCell ref="AI30:AJ31"/>
    <mergeCell ref="W30:Z31"/>
    <mergeCell ref="R30:T31"/>
    <mergeCell ref="AA30:AD31"/>
    <mergeCell ref="C30:Q31"/>
    <mergeCell ref="B30:B31"/>
    <mergeCell ref="AK32:AM33"/>
    <mergeCell ref="AN32:AQ33"/>
    <mergeCell ref="AT32:AT33"/>
    <mergeCell ref="AV32:AV33"/>
    <mergeCell ref="AW32:AW33"/>
    <mergeCell ref="AE32:AF33"/>
    <mergeCell ref="AG32:AH33"/>
    <mergeCell ref="AI32:AJ33"/>
    <mergeCell ref="U32:V33"/>
    <mergeCell ref="W32:Z33"/>
    <mergeCell ref="BD34:BD35"/>
    <mergeCell ref="B36:B37"/>
    <mergeCell ref="AK34:AM35"/>
    <mergeCell ref="AN34:AQ35"/>
    <mergeCell ref="AT34:AT35"/>
    <mergeCell ref="AV34:AV35"/>
    <mergeCell ref="AW34:AW35"/>
    <mergeCell ref="AE34:AF35"/>
    <mergeCell ref="AG34:AH35"/>
    <mergeCell ref="AI34:AJ35"/>
    <mergeCell ref="BD36:BD37"/>
    <mergeCell ref="W34:Z35"/>
    <mergeCell ref="R34:T35"/>
    <mergeCell ref="AA34:AD35"/>
    <mergeCell ref="C34:Q35"/>
    <mergeCell ref="B34:B35"/>
    <mergeCell ref="AK36:AM37"/>
    <mergeCell ref="AN36:AQ37"/>
    <mergeCell ref="AT36:AT37"/>
    <mergeCell ref="AV36:AV37"/>
    <mergeCell ref="AW36:AW37"/>
    <mergeCell ref="AE36:AF37"/>
    <mergeCell ref="AG36:AH37"/>
    <mergeCell ref="AX34:AX35"/>
    <mergeCell ref="U36:V37"/>
    <mergeCell ref="W36:Z37"/>
    <mergeCell ref="AA36:AD37"/>
    <mergeCell ref="C36:Q37"/>
    <mergeCell ref="M200:AG201"/>
    <mergeCell ref="AT200:AT201"/>
    <mergeCell ref="AV200:AV201"/>
    <mergeCell ref="AW200:AW201"/>
    <mergeCell ref="AW28:AW29"/>
    <mergeCell ref="AE28:AF29"/>
    <mergeCell ref="AG28:AH29"/>
    <mergeCell ref="R36:T37"/>
    <mergeCell ref="U28:V29"/>
    <mergeCell ref="W28:Z29"/>
    <mergeCell ref="AA28:AD29"/>
    <mergeCell ref="C32:Q33"/>
    <mergeCell ref="C28:Q29"/>
    <mergeCell ref="C13:P13"/>
    <mergeCell ref="AA20:AD21"/>
    <mergeCell ref="R24:T25"/>
    <mergeCell ref="R26:T27"/>
    <mergeCell ref="C24:Q25"/>
    <mergeCell ref="U34:V35"/>
    <mergeCell ref="U30:V31"/>
    <mergeCell ref="U26:V27"/>
    <mergeCell ref="U16:V17"/>
    <mergeCell ref="U18:V19"/>
    <mergeCell ref="R32:T33"/>
    <mergeCell ref="R28:T29"/>
    <mergeCell ref="R16:T17"/>
    <mergeCell ref="R18:T19"/>
    <mergeCell ref="R20:T21"/>
    <mergeCell ref="U24:V25"/>
    <mergeCell ref="W24:Z25"/>
    <mergeCell ref="AA24:AD25"/>
    <mergeCell ref="C16:Q17"/>
    <mergeCell ref="C18:Q19"/>
    <mergeCell ref="C20:Q21"/>
    <mergeCell ref="C22:Q23"/>
    <mergeCell ref="W16:Z17"/>
    <mergeCell ref="AA16:AD17"/>
    <mergeCell ref="AZ24:AZ25"/>
    <mergeCell ref="BA22:BA23"/>
    <mergeCell ref="BB22:BB23"/>
    <mergeCell ref="AY24:AY25"/>
    <mergeCell ref="BA24:BA25"/>
    <mergeCell ref="BB24:BB25"/>
    <mergeCell ref="AU16:AU17"/>
    <mergeCell ref="AU18:AU19"/>
    <mergeCell ref="AU20:AU21"/>
    <mergeCell ref="AU22:AU23"/>
    <mergeCell ref="AZ16:AZ17"/>
    <mergeCell ref="AZ18:AZ19"/>
    <mergeCell ref="BC36:BC37"/>
    <mergeCell ref="AZ34:AZ35"/>
    <mergeCell ref="AZ36:AZ37"/>
    <mergeCell ref="BC34:BC35"/>
    <mergeCell ref="R14:U14"/>
    <mergeCell ref="V14:Y14"/>
    <mergeCell ref="Z14:AC14"/>
    <mergeCell ref="R12:U13"/>
    <mergeCell ref="V12:Y13"/>
    <mergeCell ref="Z12:AC13"/>
    <mergeCell ref="R22:T23"/>
    <mergeCell ref="AU34:AU35"/>
    <mergeCell ref="AU36:AU37"/>
    <mergeCell ref="BC22:BC23"/>
    <mergeCell ref="BC24:BC25"/>
    <mergeCell ref="BC26:BC27"/>
    <mergeCell ref="BC18:BC19"/>
    <mergeCell ref="BC20:BC21"/>
    <mergeCell ref="AZ26:AZ27"/>
    <mergeCell ref="AX26:AX27"/>
    <mergeCell ref="AY26:AY27"/>
    <mergeCell ref="BA26:BA27"/>
    <mergeCell ref="BB26:BB27"/>
    <mergeCell ref="AZ22:AZ23"/>
  </mergeCells>
  <conditionalFormatting sqref="AO8:AS8">
    <cfRule type="expression" dxfId="106" priority="5">
      <formula>IF($AO$8=PROJSTATMEASURE,FALSE,TRUE)</formula>
    </cfRule>
  </conditionalFormatting>
  <conditionalFormatting sqref="U18:AH21 U24:AH35">
    <cfRule type="expression" dxfId="105" priority="4">
      <formula>AND(ISBLANK($C18)=FALSE,OR(ISBLANK(U18)=TRUE,U18=""))</formula>
    </cfRule>
  </conditionalFormatting>
  <conditionalFormatting sqref="U22:AH23">
    <cfRule type="expression" dxfId="104" priority="3">
      <formula>AND(ISBLANK($C22)=FALSE,OR(ISBLANK(U22)=TRUE,U22=""))</formula>
    </cfRule>
  </conditionalFormatting>
  <conditionalFormatting sqref="AN18:AQ37">
    <cfRule type="expression" dxfId="103" priority="2">
      <formula>ISNUMBER($AN18)=FALSE</formula>
    </cfRule>
  </conditionalFormatting>
  <conditionalFormatting sqref="U36:AH37">
    <cfRule type="expression" dxfId="102" priority="1">
      <formula>AND(ISBLANK($C36)=FALSE,OR(ISBLANK(U36)=TRUE,U36=""))</formula>
    </cfRule>
  </conditionalFormatting>
  <dataValidations xWindow="611" yWindow="645" count="5">
    <dataValidation type="decimal" allowBlank="1" showInputMessage="1" showErrorMessage="1" prompt="This is the TOTAL Labor Cost of the measure, NOT a per unit basis." sqref="AG18:AH37" xr:uid="{C2C3F224-8A4A-4CE1-BA1A-9912953B55B4}">
      <formula1>0</formula1>
      <formula2>999999</formula2>
    </dataValidation>
    <dataValidation type="whole" allowBlank="1" showInputMessage="1" showErrorMessage="1" prompt="Reference the &quot;Quantity Type&quot; column to ensure you enter the correct value." sqref="U18:V37" xr:uid="{80311C17-D262-4C1E-8594-E3280B9C9571}">
      <formula1>0</formula1>
      <formula2>9999</formula2>
    </dataValidation>
    <dataValidation type="decimal" allowBlank="1" showInputMessage="1" showErrorMessage="1" prompt="This is the TOTAL Material Cost of the measure, NOT a per unit basis." sqref="AE18:AF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lighting was installed. (Ex: Room 2b)" sqref="AA18:AD37" xr:uid="{40452BE0-9E9A-44C5-BBC7-E5BC13F4932C}"/>
  </dataValidations>
  <hyperlinks>
    <hyperlink ref="H9:K11" location="'M03-S02'!C18" tooltip="Lighting" display="'M03-S02'!C18" xr:uid="{7DD2A37A-5519-4363-81F6-DA60292C8DE3}"/>
    <hyperlink ref="L9:O11" location="'M03-S03'!C18" tooltip="Lighting Controls" display="'M03-S03'!C18" xr:uid="{A83A3454-2CF3-4240-97B8-E530B3058E1E}"/>
    <hyperlink ref="P9:S11" location="'M03-S04'!C18" tooltip="Refrigeration" display="'M03-S04'!C18" xr:uid="{EBBCD44F-A1B8-4AD5-B2C1-42B6B9A56152}"/>
    <hyperlink ref="T9:W11" location="'M03-S05'!C18" tooltip="HVAC" display="'M03-S05'!C18" xr:uid="{43EC95E8-8179-41F5-A5E4-880817B30E11}"/>
    <hyperlink ref="AB9:AE11" location="'M03-S06'!C18" tooltip="Compressed Air / Process" display="'M03-S06'!C18" xr:uid="{4031721B-A716-4D75-ABBE-46D4D0A40808}"/>
    <hyperlink ref="AF9:AI11" location="'M03-S07'!C18" tooltip="Water Heating / Cooking" display="'M03-S07'!C18" xr:uid="{AE4B0C0A-5542-484D-B4D8-0FED9BF43C35}"/>
    <hyperlink ref="X9:AA11" location="'M03-S08'!C18" tooltip="Motors and Drives" display="'M03-S08'!C18" xr:uid="{CD48BD08-3053-400E-A9DD-D42823C806C2}"/>
    <hyperlink ref="AJ9:AM11" location="'M04-S09'!C18" tooltip="Miscellaneous" display="'M04-S09'!C18" xr:uid="{E3D2C4D3-4486-42D3-9629-20C1B48D84FF}"/>
    <hyperlink ref="J1:M3" location="'M01-S02'!J1" tooltip="Instructions" display="'M01-S02'!J1" xr:uid="{0206D85B-C102-4E74-9F53-D3963997DCAC}"/>
    <hyperlink ref="AL1:AO3" location="'M05-S05'!AL1" tooltip=" " display="'M05-S05'!AL1" xr:uid="{BF0CFABF-9FEE-4DC3-9060-8A52C0F48711}"/>
    <hyperlink ref="AH1:AK3" location="'M05-S04'!AH1" tooltip=" " display="'M05-S04'!AH1" xr:uid="{B3DA587F-EBDB-475E-90C5-6FD0EFBB55B7}"/>
    <hyperlink ref="AP1:AS3" location="'M01-S03'!AP1" tooltip="Contact" display="'M01-S03'!AP1" xr:uid="{67B17C80-885C-4176-9F80-0AE81F198195}"/>
    <hyperlink ref="B202" r:id="rId1" xr:uid="{8BCA6320-AA80-4C6B-AD8B-5B013DCDF9B5}"/>
  </hyperlinks>
  <printOptions horizontalCentered="1"/>
  <pageMargins left="0.25" right="0.25" top="0.25" bottom="0.25" header="0.25" footer="0.25"/>
  <pageSetup scale="62"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pageSetUpPr fitToPage="1"/>
  </sheetPr>
  <dimension ref="A1:BS347"/>
  <sheetViews>
    <sheetView showGridLines="0" showRowColHeaders="0" zoomScale="85" zoomScaleNormal="85" workbookViewId="0">
      <selection activeCell="C18" sqref="C18:I19"/>
    </sheetView>
  </sheetViews>
  <sheetFormatPr defaultColWidth="0" defaultRowHeight="15" zeroHeight="1"/>
  <cols>
    <col min="1" max="45" width="4.7109375" style="14" customWidth="1"/>
    <col min="46" max="46" width="9.5703125" style="14" hidden="1" customWidth="1"/>
    <col min="47" max="47" width="15.7109375" style="180" hidden="1" customWidth="1"/>
    <col min="48" max="51" width="9.5703125" style="14" hidden="1" customWidth="1"/>
    <col min="52" max="52" width="9.5703125" style="180" hidden="1" customWidth="1"/>
    <col min="53" max="54" width="9.5703125" style="14" hidden="1" customWidth="1"/>
    <col min="55" max="55" width="9.5703125" style="180" hidden="1" customWidth="1"/>
    <col min="56" max="59" width="9.5703125" style="14" hidden="1" customWidth="1"/>
    <col min="60" max="60" width="12.7109375" style="14" hidden="1" customWidth="1"/>
    <col min="61" max="61" width="9.5703125" style="14" hidden="1" customWidth="1"/>
    <col min="62" max="71" width="0" style="14" hidden="1" customWidth="1"/>
    <col min="72" max="16384" width="4.7109375" style="14" hidden="1"/>
  </cols>
  <sheetData>
    <row r="1" spans="1:61" customFormat="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61" customFormat="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61" customFormat="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61" ht="15.95" customHeight="1">
      <c r="A4" s="773">
        <f>INCENTOTAL</f>
        <v>0</v>
      </c>
      <c r="B4" s="773"/>
      <c r="C4" s="773"/>
      <c r="D4" s="773"/>
      <c r="E4" s="773"/>
      <c r="U4" s="180"/>
      <c r="V4" s="180"/>
      <c r="W4" s="180"/>
      <c r="X4" s="180"/>
      <c r="Y4" s="180"/>
      <c r="AO4" s="180"/>
      <c r="AP4" s="180"/>
      <c r="AQ4" s="180"/>
      <c r="AR4" s="180"/>
      <c r="AS4" s="180"/>
      <c r="AT4"/>
    </row>
    <row r="5" spans="1:61"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c r="AU5" s="290"/>
      <c r="AV5" s="194" t="s">
        <v>1438</v>
      </c>
      <c r="AW5" s="194" t="s">
        <v>336</v>
      </c>
    </row>
    <row r="6" spans="1:61"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c r="AU6" s="193" t="s">
        <v>1443</v>
      </c>
      <c r="AV6" s="192" t="str">
        <f>CBPRESE</f>
        <v>NA</v>
      </c>
      <c r="AW6" s="192" t="str">
        <f>PAYPRESE</f>
        <v>NA</v>
      </c>
    </row>
    <row r="7" spans="1:61"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c r="AU7" s="193" t="s">
        <v>144</v>
      </c>
      <c r="AV7" s="192" t="str">
        <f>CBCUSE</f>
        <v>NA</v>
      </c>
      <c r="AW7" s="192" t="str">
        <f>PAYCUSE</f>
        <v>NA</v>
      </c>
    </row>
    <row r="8" spans="1:61"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c r="AU8" s="193" t="s">
        <v>651</v>
      </c>
      <c r="AV8" s="192" t="str">
        <f>CBALL</f>
        <v>NA</v>
      </c>
      <c r="AW8" s="192" t="str">
        <f>PAYALL</f>
        <v>NA</v>
      </c>
    </row>
    <row r="9" spans="1:61" s="148" customFormat="1" ht="15.95" customHeight="1">
      <c r="B9" s="179"/>
      <c r="C9" s="179"/>
      <c r="D9" s="179"/>
      <c r="E9" s="182"/>
      <c r="F9" s="181"/>
      <c r="G9" s="181"/>
      <c r="H9" s="910" t="str">
        <f>M3S2</f>
        <v>Lighting</v>
      </c>
      <c r="I9" s="911"/>
      <c r="J9" s="911"/>
      <c r="K9" s="911"/>
      <c r="L9" s="910" t="str">
        <f>M3S3</f>
        <v>Lighting Controls</v>
      </c>
      <c r="M9" s="911"/>
      <c r="N9" s="911"/>
      <c r="O9" s="911"/>
      <c r="P9" s="910" t="str">
        <f>M3S4</f>
        <v>Refrigeration</v>
      </c>
      <c r="Q9" s="911"/>
      <c r="R9" s="911"/>
      <c r="S9" s="911"/>
      <c r="T9" s="913" t="str">
        <f>M3S5</f>
        <v>HVAC</v>
      </c>
      <c r="U9" s="913"/>
      <c r="V9" s="913"/>
      <c r="W9" s="913"/>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6"/>
      <c r="AP9" s="336"/>
      <c r="AQ9" s="352"/>
      <c r="AR9" s="352"/>
      <c r="AS9" s="336"/>
    </row>
    <row r="10" spans="1:61" s="148" customFormat="1" ht="15.95" customHeight="1">
      <c r="B10" s="152"/>
      <c r="C10" s="152"/>
      <c r="D10" s="152"/>
      <c r="E10" s="13"/>
      <c r="F10" s="183"/>
      <c r="G10" s="183"/>
      <c r="H10" s="912"/>
      <c r="I10" s="912"/>
      <c r="J10" s="912"/>
      <c r="K10" s="912"/>
      <c r="L10" s="912"/>
      <c r="M10" s="912"/>
      <c r="N10" s="912"/>
      <c r="O10" s="912"/>
      <c r="P10" s="912"/>
      <c r="Q10" s="912"/>
      <c r="R10" s="912"/>
      <c r="S10" s="912"/>
      <c r="T10" s="914"/>
      <c r="U10" s="914"/>
      <c r="V10" s="914"/>
      <c r="W10" s="914"/>
      <c r="X10" s="912"/>
      <c r="Y10" s="912"/>
      <c r="Z10" s="912"/>
      <c r="AA10" s="912"/>
      <c r="AB10" s="912"/>
      <c r="AC10" s="912"/>
      <c r="AD10" s="912"/>
      <c r="AE10" s="912"/>
      <c r="AF10" s="912"/>
      <c r="AG10" s="912"/>
      <c r="AH10" s="912"/>
      <c r="AI10" s="912"/>
      <c r="AJ10" s="912"/>
      <c r="AK10" s="912"/>
      <c r="AL10" s="912"/>
      <c r="AM10" s="912"/>
      <c r="AN10" s="152"/>
      <c r="AO10" s="334"/>
      <c r="AP10" s="336"/>
      <c r="AQ10" s="344"/>
      <c r="AR10" s="344"/>
      <c r="AS10" s="336"/>
    </row>
    <row r="11" spans="1:61" ht="15.95" customHeight="1">
      <c r="A11" s="180"/>
      <c r="B11" s="171"/>
      <c r="C11" s="171"/>
      <c r="D11" s="171"/>
      <c r="E11" s="13"/>
      <c r="F11" s="13"/>
      <c r="G11" s="13"/>
      <c r="H11" s="912"/>
      <c r="I11" s="912"/>
      <c r="J11" s="912"/>
      <c r="K11" s="912"/>
      <c r="L11" s="912"/>
      <c r="M11" s="912"/>
      <c r="N11" s="912"/>
      <c r="O11" s="912"/>
      <c r="P11" s="912"/>
      <c r="Q11" s="912"/>
      <c r="R11" s="912"/>
      <c r="S11" s="912"/>
      <c r="T11" s="914"/>
      <c r="U11" s="914"/>
      <c r="V11" s="914"/>
      <c r="W11" s="914"/>
      <c r="X11" s="912"/>
      <c r="Y11" s="912"/>
      <c r="Z11" s="912"/>
      <c r="AA11" s="912"/>
      <c r="AB11" s="912"/>
      <c r="AC11" s="912"/>
      <c r="AD11" s="912"/>
      <c r="AE11" s="912"/>
      <c r="AF11" s="912"/>
      <c r="AG11" s="912"/>
      <c r="AH11" s="912"/>
      <c r="AI11" s="912"/>
      <c r="AJ11" s="912"/>
      <c r="AK11" s="912"/>
      <c r="AL11" s="912"/>
      <c r="AM11" s="912"/>
      <c r="AN11" s="394"/>
      <c r="AO11" s="334"/>
      <c r="AP11" s="235"/>
      <c r="AQ11" s="337"/>
      <c r="AR11" s="337"/>
      <c r="AS11" s="235"/>
    </row>
    <row r="12" spans="1:61" ht="15.95" customHeight="1">
      <c r="A12" s="172"/>
      <c r="B12" s="172"/>
      <c r="C12" s="172"/>
      <c r="D12" s="172"/>
      <c r="E12" s="172"/>
      <c r="R12" s="916">
        <f>SUM(AN18:AQ342)</f>
        <v>0</v>
      </c>
      <c r="S12" s="916"/>
      <c r="T12" s="916"/>
      <c r="U12" s="916"/>
      <c r="V12" s="916">
        <f>SUM(AT18:AT342)</f>
        <v>0</v>
      </c>
      <c r="W12" s="916"/>
      <c r="X12" s="916"/>
      <c r="Y12" s="916"/>
      <c r="Z12" s="915">
        <f ca="1">SUMIF(AN18:AQ342,"&gt;0",AK18:AM342)</f>
        <v>0</v>
      </c>
      <c r="AA12" s="915"/>
      <c r="AB12" s="915"/>
      <c r="AC12" s="915"/>
      <c r="AO12" s="235"/>
      <c r="AP12" s="333"/>
      <c r="AQ12" s="235"/>
      <c r="AR12" s="235"/>
      <c r="AS12" s="235"/>
    </row>
    <row r="13" spans="1:61" ht="15.95" customHeight="1">
      <c r="A13" s="172"/>
      <c r="B13" s="172"/>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s="860"/>
      <c r="AJ13" s="860"/>
      <c r="AK13" s="860"/>
      <c r="AL13" s="860"/>
      <c r="AM13" s="860"/>
      <c r="AN13" s="860"/>
      <c r="AO13" s="1002"/>
      <c r="AP13" s="1002"/>
      <c r="AQ13" s="1002"/>
      <c r="AR13" s="235"/>
      <c r="AS13" s="235"/>
    </row>
    <row r="14" spans="1:61" ht="15.95" customHeight="1">
      <c r="C14" s="180"/>
      <c r="D14" s="180"/>
      <c r="E14" s="180"/>
      <c r="F14" s="180"/>
      <c r="G14" s="180"/>
      <c r="H14" s="180"/>
      <c r="I14" s="180"/>
      <c r="J14" s="180"/>
      <c r="K14" s="180"/>
      <c r="L14" s="180"/>
      <c r="M14" s="180"/>
      <c r="N14" s="180"/>
      <c r="O14" s="180"/>
      <c r="P14" s="180"/>
      <c r="R14" s="860" t="s">
        <v>1979</v>
      </c>
      <c r="S14" s="860"/>
      <c r="T14" s="860"/>
      <c r="U14" s="860"/>
      <c r="V14" s="860" t="s">
        <v>67</v>
      </c>
      <c r="W14" s="860"/>
      <c r="X14" s="860"/>
      <c r="Y14" s="860"/>
      <c r="Z14" s="860" t="s">
        <v>1248</v>
      </c>
      <c r="AA14" s="860"/>
      <c r="AB14" s="860"/>
      <c r="AC14" s="860"/>
      <c r="AI14" s="180"/>
      <c r="AJ14" s="180"/>
      <c r="AK14" s="180"/>
      <c r="AL14" s="180"/>
      <c r="AM14" s="180"/>
      <c r="AN14" s="180"/>
      <c r="AO14" s="235"/>
      <c r="AP14" s="235"/>
      <c r="AQ14" s="235"/>
      <c r="AR14" s="235"/>
      <c r="AS14" s="235"/>
    </row>
    <row r="15" spans="1:61" ht="15.95" customHeight="1">
      <c r="C15" s="180"/>
      <c r="D15" s="180"/>
      <c r="E15" s="180"/>
      <c r="F15" s="180"/>
      <c r="G15" s="180"/>
      <c r="H15" s="180"/>
      <c r="I15" s="180"/>
      <c r="J15" s="180"/>
      <c r="K15" s="180"/>
      <c r="L15" s="180"/>
      <c r="M15" s="180"/>
      <c r="N15" s="180"/>
      <c r="O15" s="180"/>
      <c r="P15" s="180"/>
      <c r="AO15" s="235"/>
      <c r="AP15" s="235"/>
      <c r="AQ15" s="235"/>
      <c r="AR15" s="235"/>
      <c r="AS15" s="235"/>
    </row>
    <row r="16" spans="1:61" ht="15.95" customHeight="1">
      <c r="C16" s="836" t="s">
        <v>2015</v>
      </c>
      <c r="D16" s="836"/>
      <c r="E16" s="836"/>
      <c r="F16" s="836"/>
      <c r="G16" s="836"/>
      <c r="H16" s="836"/>
      <c r="I16" s="836"/>
      <c r="J16" s="836" t="s">
        <v>2025</v>
      </c>
      <c r="K16" s="836"/>
      <c r="L16" s="836"/>
      <c r="M16" s="836"/>
      <c r="N16" s="836"/>
      <c r="O16" s="836"/>
      <c r="P16" s="836"/>
      <c r="Q16" s="836"/>
      <c r="R16" s="836"/>
      <c r="S16" s="836"/>
      <c r="T16" s="836"/>
      <c r="U16" s="836"/>
      <c r="V16" s="836" t="s">
        <v>2026</v>
      </c>
      <c r="W16" s="836"/>
      <c r="X16" s="836" t="s">
        <v>1378</v>
      </c>
      <c r="Y16" s="836"/>
      <c r="Z16" s="836"/>
      <c r="AA16" s="907" t="s">
        <v>1355</v>
      </c>
      <c r="AB16" s="907"/>
      <c r="AC16" s="907"/>
      <c r="AD16" s="907"/>
      <c r="AE16" s="836" t="s">
        <v>2016</v>
      </c>
      <c r="AF16" s="836"/>
      <c r="AG16" s="836"/>
      <c r="AH16" s="836"/>
      <c r="AI16" s="836" t="s">
        <v>1980</v>
      </c>
      <c r="AJ16" s="836"/>
      <c r="AK16" s="836" t="s">
        <v>1187</v>
      </c>
      <c r="AL16" s="836"/>
      <c r="AM16" s="836"/>
      <c r="AN16" s="836" t="s">
        <v>83</v>
      </c>
      <c r="AO16" s="908"/>
      <c r="AP16" s="908"/>
      <c r="AQ16" s="908"/>
      <c r="AR16" s="235"/>
      <c r="AS16" s="235"/>
      <c r="AT16" s="856" t="s">
        <v>1377</v>
      </c>
      <c r="AU16" s="856" t="s">
        <v>1195</v>
      </c>
      <c r="AV16" s="861" t="s">
        <v>1373</v>
      </c>
      <c r="AW16" s="861"/>
      <c r="AX16" s="856" t="s">
        <v>1375</v>
      </c>
      <c r="AY16" s="856" t="s">
        <v>1376</v>
      </c>
      <c r="AZ16" s="856" t="s">
        <v>1426</v>
      </c>
      <c r="BA16" s="861" t="s">
        <v>1374</v>
      </c>
      <c r="BB16" s="861"/>
      <c r="BC16" s="856" t="s">
        <v>85</v>
      </c>
      <c r="BD16" s="856" t="s">
        <v>319</v>
      </c>
      <c r="BE16" s="932" t="s">
        <v>88</v>
      </c>
      <c r="BF16" s="932" t="s">
        <v>2500</v>
      </c>
      <c r="BG16" s="935"/>
      <c r="BH16" s="932" t="s">
        <v>2715</v>
      </c>
      <c r="BI16" s="932" t="s">
        <v>2893</v>
      </c>
    </row>
    <row r="17" spans="1:61" ht="15.95" customHeight="1" thickBot="1">
      <c r="C17" s="837"/>
      <c r="D17" s="837"/>
      <c r="E17" s="837"/>
      <c r="F17" s="837"/>
      <c r="G17" s="837"/>
      <c r="H17" s="837"/>
      <c r="I17" s="837"/>
      <c r="J17" s="997" t="s">
        <v>2022</v>
      </c>
      <c r="K17" s="997"/>
      <c r="L17" s="997" t="s">
        <v>1421</v>
      </c>
      <c r="M17" s="997"/>
      <c r="N17" s="998" t="s">
        <v>2021</v>
      </c>
      <c r="O17" s="998"/>
      <c r="P17" s="997" t="s">
        <v>2022</v>
      </c>
      <c r="Q17" s="997"/>
      <c r="R17" s="997" t="s">
        <v>1421</v>
      </c>
      <c r="S17" s="997"/>
      <c r="T17" s="998" t="s">
        <v>2021</v>
      </c>
      <c r="U17" s="998"/>
      <c r="V17" s="837"/>
      <c r="W17" s="837"/>
      <c r="X17" s="837"/>
      <c r="Y17" s="837"/>
      <c r="Z17" s="837"/>
      <c r="AA17" s="999" t="s">
        <v>1353</v>
      </c>
      <c r="AB17" s="999"/>
      <c r="AC17" s="999" t="s">
        <v>1354</v>
      </c>
      <c r="AD17" s="999"/>
      <c r="AE17" s="837"/>
      <c r="AF17" s="837"/>
      <c r="AG17" s="837"/>
      <c r="AH17" s="837"/>
      <c r="AI17" s="837"/>
      <c r="AJ17" s="837"/>
      <c r="AK17" s="837"/>
      <c r="AL17" s="837"/>
      <c r="AM17" s="837"/>
      <c r="AN17" s="837"/>
      <c r="AO17" s="909"/>
      <c r="AP17" s="909"/>
      <c r="AQ17" s="909"/>
      <c r="AR17" s="235"/>
      <c r="AS17" s="235"/>
      <c r="AT17" s="857"/>
      <c r="AU17" s="857"/>
      <c r="AV17" s="174" t="s">
        <v>1371</v>
      </c>
      <c r="AW17" s="174" t="s">
        <v>1372</v>
      </c>
      <c r="AX17" s="857"/>
      <c r="AY17" s="857" t="s">
        <v>1376</v>
      </c>
      <c r="AZ17" s="857"/>
      <c r="BA17" s="174" t="s">
        <v>1371</v>
      </c>
      <c r="BB17" s="174" t="s">
        <v>1644</v>
      </c>
      <c r="BC17" s="857"/>
      <c r="BD17" s="857"/>
      <c r="BE17" s="933"/>
      <c r="BF17" s="933"/>
      <c r="BG17" s="936"/>
      <c r="BH17" s="933"/>
      <c r="BI17" s="933"/>
    </row>
    <row r="18" spans="1:61" ht="15.95" customHeight="1">
      <c r="B18" s="905">
        <v>1</v>
      </c>
      <c r="C18" s="917"/>
      <c r="D18" s="918"/>
      <c r="E18" s="918"/>
      <c r="F18" s="918"/>
      <c r="G18" s="918"/>
      <c r="H18" s="918"/>
      <c r="I18" s="918"/>
      <c r="J18" s="986" t="str">
        <f>IF(C18="","",INDEX(STDHVAC[Baseline Definition],MATCH(C18,STDHVAC[Measure Name],0)))</f>
        <v/>
      </c>
      <c r="K18" s="987"/>
      <c r="L18" s="988" t="str">
        <f>IF(C18="","",INDEX(STDHVAC[Baseline Efficiency Value],MATCH(C18,STDHVAC[Measure Name],0)))</f>
        <v/>
      </c>
      <c r="M18" s="989"/>
      <c r="N18" s="1003"/>
      <c r="O18" s="1004"/>
      <c r="P18" s="986" t="str">
        <f>IF(C18="","",INDEX(STDHVAC[Baseline Definition 2],MATCH(C18,STDHVAC[Measure Name],0)))</f>
        <v/>
      </c>
      <c r="Q18" s="987"/>
      <c r="R18" s="988" t="str">
        <f>IF(C18="","",INDEX(STDHVAC[Baseline Efficiency Value 2],MATCH(C18,STDHVAC[Measure Name],0)))</f>
        <v/>
      </c>
      <c r="S18" s="989"/>
      <c r="T18" s="990" t="str">
        <f t="shared" ref="T18" si="0">IF(AND(ISNUMBER(SEARCH("DX",C18)),ISNUMBER(SEARCH("&lt;65kbtu",C18)),N18&lt;&gt;""),1.12*N18-0.02*N18^2,IF(ISNUMBER(SEARCH("PTAC",C18)),1,""))</f>
        <v/>
      </c>
      <c r="U18" s="991"/>
      <c r="V18" s="1000"/>
      <c r="W18" s="1000"/>
      <c r="X18" s="917"/>
      <c r="Y18" s="918"/>
      <c r="Z18" s="919"/>
      <c r="AA18" s="889"/>
      <c r="AB18" s="890"/>
      <c r="AC18" s="890"/>
      <c r="AD18" s="891"/>
      <c r="AE18" s="1005" t="str">
        <f>IF(C18="","",INDEX(STDHVAC[Current Unit],MATCH(C18,STDHVAC[Measure Name],0)))</f>
        <v/>
      </c>
      <c r="AF18" s="1005"/>
      <c r="AG18" s="1005"/>
      <c r="AH18" s="1006"/>
      <c r="AI18" s="897" t="str">
        <f>IFERROR(IF(C18="","",INDEX(STDHVAC[Current Incentive],MATCH(C18,STDHVAC[Measure Name],0))),"")</f>
        <v/>
      </c>
      <c r="AJ18" s="897"/>
      <c r="AK18" s="900" t="str">
        <f>IFERROR(IF(OR(C18="",N18="",V18="",X18="",T18="",AA18="",AC18=""),"",IF(BH18="Deemed",AV18,IF(BH18="Calculated",BA18,""))),"")</f>
        <v/>
      </c>
      <c r="AL18" s="900"/>
      <c r="AM18" s="900"/>
      <c r="AN18" s="897" t="str">
        <f>IFERROR(IF(OR(C18="",N18="",V18="",X18="",T18="",AA18="",AC18=""),"",IF(BD18&lt;&gt;"",BD18,IF(BI18&gt;0,BI18,ROUND(IF(AK18&lt;=0,0,IF(AE18="$/ton",MIN(AT18,V18*AI18),MIN(AT18,(N18-L18)*V18*AI18))),2)))),"")</f>
        <v/>
      </c>
      <c r="AO18" s="902"/>
      <c r="AP18" s="902"/>
      <c r="AQ18" s="902"/>
      <c r="AR18" s="37"/>
      <c r="AS18" s="235"/>
      <c r="AT18" s="972" t="str">
        <f>IF(OR(C18="",N18="",V18="",X18="",T18="",AA18="",AC18=""),"",IF(AK18=0,"",ROUND(AA18+AC18,2)))</f>
        <v/>
      </c>
      <c r="AU18" s="995" t="str">
        <f>IFERROR(IF(OR(C18="",N18="",V18="",X18="",T18="",AA18="",AC18=""),"",INDEX(STDHVAC[Current Unit],MATCH(C18,STDHVAC[Measure Name],0))),"Err")</f>
        <v/>
      </c>
      <c r="AV18" s="850" t="str">
        <f>IF(OR(C18="",N18="",V18="",X18="",T18="",AA18="",AC18=""),"",ROUND(V18*INDEX(STDHVAC[Electric Energy Savings (Annual kWh/unit)],MATCH(C18,STDHVAC[Measure Name],0)),4))</f>
        <v/>
      </c>
      <c r="AW18" s="850" t="str">
        <f>IF(OR(C18="",N18="",V18="",X18="",T18="",AA18="",AC18=""),"",ROUND(V18*INDEX(STDHVAC[Coincident Peak Demand Savings (kW/unit)],MATCH(C18,STDHVAC[Measure Name],0)),4))</f>
        <v/>
      </c>
      <c r="AX18" s="1001"/>
      <c r="AY18" s="1001"/>
      <c r="AZ18" s="976" t="str">
        <f>IFERROR(IF(OR(C18="",N18="",V18="",X18="",T18="",AA18="",AC18=""),"",INDEX(STDHVAC[End Use],MATCH(C18,STDHVAC[Measure Name],0))),"Err")</f>
        <v/>
      </c>
      <c r="BA18" s="978" t="str">
        <f>IFERROR(ROUND(
IF(ISNUMBER(SEARCH("DX",C18)),(V18*12)*((1/L18)-(1/N18))*INDEX(STDHVAC[EFLHcool],MATCH(C18,STDHVAC[Measure Name],0)),
IF(ISNUMBER(SEARCH("PTAC",C18)),(V18*12)*((1/L18)-(1/N18))*INDEX(STDHVAC[EFLHcool],MATCH(C18,STDHVAC[Measure Name],0)),
IF(ISNUMBER(SEARCH("PTHP",C18)),((V18*12)*((1/L18)-(1/N18))*INDEX(STDHVAC[EFLHcool],MATCH(C18,STDHVAC[Measure Name],0)))+(((V18*12)/3.412)*((1/R18)-(1/T18))*INDEX(STDHVAC[EFLHheat],MATCH(C18,STDHVAC[Measure Name],0))),
IF(ISNUMBER(SEARCH("ASHP",C18)),((V18*12)*((1/L18)-(1/N18))*INDEX(STDHVAC[EFLHcool],MATCH(C18,STDHVAC[Measure Name],0)))+(IF(P18="HSPF",(V18*12),((V18*12)/3.412))*((1/R18)-(1/T18))*INDEX(STDHVAC[EFLHheat],MATCH(C18,STDHVAC[Measure Name],0))),
"")))),4),"")</f>
        <v/>
      </c>
      <c r="BB18" s="978" t="str">
        <f>IFERROR(ROUND(((V18*12)*((1/L18)-(1/N18))*INDEX(STDHVAC[EFLHcool],MATCH(C18,STDHVAC[Measure Name],0)))*INDEX(ENDUSEALL[Factor],MATCH(AZ18,ENDUSEALL[End Use to Coincident Peak Demand Factors],0)),4),"")</f>
        <v/>
      </c>
      <c r="BC18" s="976" t="str">
        <f>IFERROR(IF(OR(C18="",N18="",V18="",X18="",T18="",AA18="",AC18="",ISNUMBER(AN18)=FALSE,AN18=0),"",INDEX(STDHVAC[Measure Number],MATCH(C18,STDHVAC[Measure Name],0))),"Err")</f>
        <v/>
      </c>
      <c r="BD18" s="976" t="str">
        <f>IFERROR(IF(OR(C18="",N18="",V18="",X18="",T18="",AA18="",AC18=""),"",
IF(BI18&gt;0,"",
IF(L18=N18,"Must Improve Efficiency",
IF(EXPIRATION&lt;&gt;"",PROJSTATEXP,"")))),"")</f>
        <v/>
      </c>
      <c r="BE18" s="928" t="str">
        <f>IFERROR(INDEX(STDHVAC[Measure Life (Years)],MATCH(C18,STDHVAC[Measure Name],0)),"")</f>
        <v/>
      </c>
      <c r="BF18" s="930" t="str">
        <f>IFERROR(IF(OR(C18="",N18="",V18="",X18="",T18="",AA18="",AC18=""),"",
ROUND(((1+ELOSS)*((AV18*INDEX(ELECCB[NPV AEC $/kWh],MATCH(BE18,ELECCB[Year Number],1)))+(AW18*INDEX(ELECCB[NPV ACC $/kW],MATCH(BE18,ELECCB[Year Number],1))))),2)),0)</f>
        <v/>
      </c>
      <c r="BG18" s="937"/>
      <c r="BH18" s="934" t="str">
        <f>IFERROR(IF(OR(C18="",N18="",V18="",X18="",T18="",AA18="",AC18=""),"",INDEX(STDHVAC[Reporting Methodology],MATCH(C18,STDHVAC[Measure Name],0))),"Err")</f>
        <v/>
      </c>
      <c r="BI18" s="939"/>
    </row>
    <row r="19" spans="1:61" ht="15.95" customHeight="1">
      <c r="B19" s="905"/>
      <c r="C19" s="833"/>
      <c r="D19" s="834"/>
      <c r="E19" s="834"/>
      <c r="F19" s="834"/>
      <c r="G19" s="834"/>
      <c r="H19" s="834"/>
      <c r="I19" s="834"/>
      <c r="J19" s="980"/>
      <c r="K19" s="981"/>
      <c r="L19" s="982"/>
      <c r="M19" s="983"/>
      <c r="N19" s="984"/>
      <c r="O19" s="985"/>
      <c r="P19" s="980"/>
      <c r="Q19" s="981"/>
      <c r="R19" s="982"/>
      <c r="S19" s="983"/>
      <c r="T19" s="990"/>
      <c r="U19" s="991"/>
      <c r="V19" s="992"/>
      <c r="W19" s="992"/>
      <c r="X19" s="833"/>
      <c r="Y19" s="834"/>
      <c r="Z19" s="835"/>
      <c r="AA19" s="867"/>
      <c r="AB19" s="868"/>
      <c r="AC19" s="868"/>
      <c r="AD19" s="869"/>
      <c r="AE19" s="993"/>
      <c r="AF19" s="993"/>
      <c r="AG19" s="993"/>
      <c r="AH19" s="994"/>
      <c r="AI19" s="899"/>
      <c r="AJ19" s="899"/>
      <c r="AK19" s="901"/>
      <c r="AL19" s="901"/>
      <c r="AM19" s="901"/>
      <c r="AN19" s="899"/>
      <c r="AO19" s="903"/>
      <c r="AP19" s="903"/>
      <c r="AQ19" s="903"/>
      <c r="AR19" s="37"/>
      <c r="AS19" s="235"/>
      <c r="AT19" s="973"/>
      <c r="AU19" s="996"/>
      <c r="AV19" s="851"/>
      <c r="AW19" s="851"/>
      <c r="AX19" s="970"/>
      <c r="AY19" s="970"/>
      <c r="AZ19" s="977"/>
      <c r="BA19" s="979"/>
      <c r="BB19" s="979"/>
      <c r="BC19" s="977"/>
      <c r="BD19" s="977"/>
      <c r="BE19" s="929"/>
      <c r="BF19" s="931"/>
      <c r="BG19" s="938"/>
      <c r="BH19" s="934"/>
      <c r="BI19" s="939"/>
    </row>
    <row r="20" spans="1:61" ht="15.95" customHeight="1">
      <c r="A20" s="145"/>
      <c r="B20" s="905">
        <v>2</v>
      </c>
      <c r="C20" s="830"/>
      <c r="D20" s="831"/>
      <c r="E20" s="831"/>
      <c r="F20" s="831"/>
      <c r="G20" s="831"/>
      <c r="H20" s="831"/>
      <c r="I20" s="831"/>
      <c r="J20" s="980" t="str">
        <f>IF(C20="","",INDEX(STDHVAC[Baseline Definition],MATCH(C20,STDHVAC[Measure Name],0)))</f>
        <v/>
      </c>
      <c r="K20" s="981"/>
      <c r="L20" s="982" t="str">
        <f>IF(C20="","",INDEX(STDHVAC[Baseline Efficiency Value],MATCH(C20,STDHVAC[Measure Name],0)))</f>
        <v/>
      </c>
      <c r="M20" s="983"/>
      <c r="N20" s="984"/>
      <c r="O20" s="985"/>
      <c r="P20" s="986" t="str">
        <f>IF(C20="","",INDEX(STDHVAC[Baseline Definition 2],MATCH(C20,STDHVAC[Measure Name],0)))</f>
        <v/>
      </c>
      <c r="Q20" s="987"/>
      <c r="R20" s="988" t="str">
        <f>IF(C20="","",INDEX(STDHVAC[Baseline Efficiency Value 2],MATCH(C20,STDHVAC[Measure Name],0)))</f>
        <v/>
      </c>
      <c r="S20" s="989"/>
      <c r="T20" s="990" t="str">
        <f t="shared" ref="T20" si="1">IF(AND(ISNUMBER(SEARCH("DX",C20)),ISNUMBER(SEARCH("&lt;65kbtu",C20)),N20&lt;&gt;""),1.12*N20-0.02*N20^2,IF(ISNUMBER(SEARCH("PTAC",C20)),1,""))</f>
        <v/>
      </c>
      <c r="U20" s="991"/>
      <c r="V20" s="992"/>
      <c r="W20" s="992"/>
      <c r="X20" s="830"/>
      <c r="Y20" s="831"/>
      <c r="Z20" s="832"/>
      <c r="AA20" s="867"/>
      <c r="AB20" s="868"/>
      <c r="AC20" s="868"/>
      <c r="AD20" s="869"/>
      <c r="AE20" s="993" t="str">
        <f>IF(C20="","",INDEX(STDHVAC[Current Unit],MATCH(C20,STDHVAC[Measure Name],0)))</f>
        <v/>
      </c>
      <c r="AF20" s="993"/>
      <c r="AG20" s="993"/>
      <c r="AH20" s="994"/>
      <c r="AI20" s="899" t="str">
        <f>IFERROR(IF(C20="","",INDEX(STDHVAC[Current Incentive],MATCH(C20,STDHVAC[Measure Name],0))),"")</f>
        <v/>
      </c>
      <c r="AJ20" s="899"/>
      <c r="AK20" s="900" t="str">
        <f t="shared" ref="AK20" si="2">IFERROR(IF(OR(C20="",N20="",V20="",X20="",T20="",AA20="",AC20=""),"",IF(BH20="Deemed",AV20,IF(BH20="Calculated",BA20,""))),"")</f>
        <v/>
      </c>
      <c r="AL20" s="900"/>
      <c r="AM20" s="900"/>
      <c r="AN20" s="897" t="str">
        <f t="shared" ref="AN20" si="3">IFERROR(IF(OR(C20="",N20="",V20="",X20="",T20="",AA20="",AC20=""),"",IF(BD20&lt;&gt;"",BD20,IF(BI20&gt;0,BI20,ROUND(IF(AK20&lt;=0,0,IF(AE20="$/ton",MIN(AT20,V20*AI20),MIN(AT20,(N20-L20)*V20*AI20))),2)))),"")</f>
        <v/>
      </c>
      <c r="AO20" s="902"/>
      <c r="AP20" s="902"/>
      <c r="AQ20" s="902"/>
      <c r="AR20" s="37"/>
      <c r="AS20" s="235"/>
      <c r="AT20" s="972" t="str">
        <f t="shared" ref="AT20" si="4">IF(OR(C20="",N20="",V20="",X20="",T20="",AA20="",AC20=""),"",IF(AK20=0,"",ROUND(AA20+AC20,2)))</f>
        <v/>
      </c>
      <c r="AU20" s="995" t="str">
        <f>IFERROR(IF(OR(C20="",N20="",V20="",X20="",T20="",AA20="",AC20=""),"",INDEX(STDHVAC[Current Unit],MATCH(C20,STDHVAC[Measure Name],0))),"Err")</f>
        <v/>
      </c>
      <c r="AV20" s="850" t="str">
        <f>IF(OR(C20="",N20="",V20="",X20="",T20="",AA20="",AC20=""),"",ROUND(V20*INDEX(STDHVAC[Electric Energy Savings (Annual kWh/unit)],MATCH(C20,STDHVAC[Measure Name],0)),4))</f>
        <v/>
      </c>
      <c r="AW20" s="850" t="str">
        <f>IF(OR(C20="",N20="",V20="",X20="",T20="",AA20="",AC20=""),"",ROUND(V20*INDEX(STDHVAC[Coincident Peak Demand Savings (kW/unit)],MATCH(C20,STDHVAC[Measure Name],0)),4))</f>
        <v/>
      </c>
      <c r="AX20" s="970"/>
      <c r="AY20" s="970"/>
      <c r="AZ20" s="976" t="str">
        <f>IFERROR(IF(OR(C20="",N20="",V20="",X20="",T20="",AA20="",AC20=""),"",INDEX(STDHVAC[End Use],MATCH(C20,STDHVAC[Measure Name],0))),"Err")</f>
        <v/>
      </c>
      <c r="BA20" s="978" t="str">
        <f>IFERROR(ROUND(
IF(ISNUMBER(SEARCH("DX",C20)),(V20*12)*((1/L20)-(1/N20))*INDEX(STDHVAC[EFLHcool],MATCH(C20,STDHVAC[Measure Name],0)),
IF(ISNUMBER(SEARCH("PTAC",C20)),(V20*12)*((1/L20)-(1/N20))*INDEX(STDHVAC[EFLHcool],MATCH(C20,STDHVAC[Measure Name],0)),
IF(ISNUMBER(SEARCH("PTHP",C20)),((V20*12)*((1/L20)-(1/N20))*INDEX(STDHVAC[EFLHcool],MATCH(C20,STDHVAC[Measure Name],0)))+(((V20*12)/3.412)*((1/R20)-(1/T20))*INDEX(STDHVAC[EFLHheat],MATCH(C20,STDHVAC[Measure Name],0))),
IF(ISNUMBER(SEARCH("ASHP",C20)),((V20*12)*((1/L20)-(1/N20))*INDEX(STDHVAC[EFLHcool],MATCH(C20,STDHVAC[Measure Name],0)))+(IF(P20="HSPF",(V20*12),((V20*12)/3.412))*((1/R20)-(1/T20))*INDEX(STDHVAC[EFLHheat],MATCH(C20,STDHVAC[Measure Name],0))),
"")))),4),"")</f>
        <v/>
      </c>
      <c r="BB20" s="978" t="str">
        <f>IFERROR(ROUND(((V20*12)*((1/L20)-(1/N20))*INDEX(STDHVAC[EFLHcool],MATCH(C20,STDHVAC[Measure Name],0)))*INDEX(ENDUSEALL[Factor],MATCH(AZ20,ENDUSEALL[End Use to Coincident Peak Demand Factors],0)),4),"")</f>
        <v/>
      </c>
      <c r="BC20" s="976" t="str">
        <f>IFERROR(IF(OR(C20="",N20="",V20="",X20="",T20="",AA20="",AC20="",ISNUMBER(AN20)=FALSE,AN20=0),"",INDEX(STDHVAC[Measure Number],MATCH(C20,STDHVAC[Measure Name],0))),"Err")</f>
        <v/>
      </c>
      <c r="BD20" s="976" t="str">
        <f>IFERROR(IF(OR(C20="",N20="",V20="",X20="",T20="",AA20="",AC20=""),"",
IF(BI20&gt;0,"",
IF(L20=N20,"Must Improve Efficiency",
IF(EXPIRATION&lt;&gt;"",PROJSTATEXP,"")))),"")</f>
        <v/>
      </c>
      <c r="BE20" s="928" t="str">
        <f>IFERROR(INDEX(STDHVAC[Measure Life (Years)],MATCH(C20,STDHVAC[Measure Name],0)),"")</f>
        <v/>
      </c>
      <c r="BF20" s="930" t="str">
        <f>IFERROR(IF(OR(C20="",N20="",V20="",X20="",T20="",AA20="",AC20=""),"",
ROUND(((1+ELOSS)*((AV20*INDEX(ELECCB[NPV AEC $/kWh],MATCH(BE20,ELECCB[Year Number],1)))+(AW20*INDEX(ELECCB[NPV ACC $/kW],MATCH(BE20,ELECCB[Year Number],1))))),2)),0)</f>
        <v/>
      </c>
      <c r="BG20" s="937"/>
      <c r="BH20" s="934" t="str">
        <f>IFERROR(IF(OR(C20="",N20="",V20="",X20="",T20="",AA20="",AC20=""),"",INDEX(STDHVAC[Reporting Methodology],MATCH(C20,STDHVAC[Measure Name],0))),"Err")</f>
        <v/>
      </c>
      <c r="BI20" s="939"/>
    </row>
    <row r="21" spans="1:61" ht="15.95" customHeight="1">
      <c r="B21" s="905"/>
      <c r="C21" s="833"/>
      <c r="D21" s="834"/>
      <c r="E21" s="834"/>
      <c r="F21" s="834"/>
      <c r="G21" s="834"/>
      <c r="H21" s="834"/>
      <c r="I21" s="834"/>
      <c r="J21" s="980"/>
      <c r="K21" s="981"/>
      <c r="L21" s="982"/>
      <c r="M21" s="983"/>
      <c r="N21" s="984"/>
      <c r="O21" s="985"/>
      <c r="P21" s="980"/>
      <c r="Q21" s="981"/>
      <c r="R21" s="982"/>
      <c r="S21" s="983"/>
      <c r="T21" s="990"/>
      <c r="U21" s="991"/>
      <c r="V21" s="992"/>
      <c r="W21" s="992"/>
      <c r="X21" s="833"/>
      <c r="Y21" s="834"/>
      <c r="Z21" s="835"/>
      <c r="AA21" s="867"/>
      <c r="AB21" s="868"/>
      <c r="AC21" s="868"/>
      <c r="AD21" s="869"/>
      <c r="AE21" s="993"/>
      <c r="AF21" s="993"/>
      <c r="AG21" s="993"/>
      <c r="AH21" s="994"/>
      <c r="AI21" s="899"/>
      <c r="AJ21" s="899"/>
      <c r="AK21" s="901"/>
      <c r="AL21" s="901"/>
      <c r="AM21" s="901"/>
      <c r="AN21" s="899"/>
      <c r="AO21" s="903"/>
      <c r="AP21" s="903"/>
      <c r="AQ21" s="903"/>
      <c r="AR21" s="37"/>
      <c r="AS21" s="235"/>
      <c r="AT21" s="973"/>
      <c r="AU21" s="996"/>
      <c r="AV21" s="851"/>
      <c r="AW21" s="851"/>
      <c r="AX21" s="970"/>
      <c r="AY21" s="970"/>
      <c r="AZ21" s="977"/>
      <c r="BA21" s="979"/>
      <c r="BB21" s="979"/>
      <c r="BC21" s="977"/>
      <c r="BD21" s="977"/>
      <c r="BE21" s="929"/>
      <c r="BF21" s="931"/>
      <c r="BG21" s="938"/>
      <c r="BH21" s="934"/>
      <c r="BI21" s="939"/>
    </row>
    <row r="22" spans="1:61" s="180" customFormat="1" ht="15.95" customHeight="1">
      <c r="A22" s="145"/>
      <c r="B22" s="905">
        <v>3</v>
      </c>
      <c r="C22" s="830"/>
      <c r="D22" s="831"/>
      <c r="E22" s="831"/>
      <c r="F22" s="831"/>
      <c r="G22" s="831"/>
      <c r="H22" s="831"/>
      <c r="I22" s="831"/>
      <c r="J22" s="980" t="str">
        <f>IF(C22="","",INDEX(STDHVAC[Baseline Definition],MATCH(C22,STDHVAC[Measure Name],0)))</f>
        <v/>
      </c>
      <c r="K22" s="981"/>
      <c r="L22" s="982" t="str">
        <f>IF(C22="","",INDEX(STDHVAC[Baseline Efficiency Value],MATCH(C22,STDHVAC[Measure Name],0)))</f>
        <v/>
      </c>
      <c r="M22" s="983"/>
      <c r="N22" s="984"/>
      <c r="O22" s="985"/>
      <c r="P22" s="986" t="str">
        <f>IF(C22="","",INDEX(STDHVAC[Baseline Definition 2],MATCH(C22,STDHVAC[Measure Name],0)))</f>
        <v/>
      </c>
      <c r="Q22" s="987"/>
      <c r="R22" s="988" t="str">
        <f>IF(C22="","",INDEX(STDHVAC[Baseline Efficiency Value 2],MATCH(C22,STDHVAC[Measure Name],0)))</f>
        <v/>
      </c>
      <c r="S22" s="989"/>
      <c r="T22" s="990" t="str">
        <f t="shared" ref="T22" si="5">IF(AND(ISNUMBER(SEARCH("DX",C22)),ISNUMBER(SEARCH("&lt;65kbtu",C22)),N22&lt;&gt;""),1.12*N22-0.02*N22^2,IF(ISNUMBER(SEARCH("PTAC",C22)),1,""))</f>
        <v/>
      </c>
      <c r="U22" s="991"/>
      <c r="V22" s="992"/>
      <c r="W22" s="992"/>
      <c r="X22" s="830"/>
      <c r="Y22" s="831"/>
      <c r="Z22" s="832"/>
      <c r="AA22" s="867"/>
      <c r="AB22" s="868"/>
      <c r="AC22" s="868"/>
      <c r="AD22" s="869"/>
      <c r="AE22" s="993" t="str">
        <f>IF(C22="","",INDEX(STDHVAC[Current Unit],MATCH(C22,STDHVAC[Measure Name],0)))</f>
        <v/>
      </c>
      <c r="AF22" s="993"/>
      <c r="AG22" s="993"/>
      <c r="AH22" s="994"/>
      <c r="AI22" s="899" t="str">
        <f>IFERROR(IF(C22="","",INDEX(STDHVAC[Current Incentive],MATCH(C22,STDHVAC[Measure Name],0))),"")</f>
        <v/>
      </c>
      <c r="AJ22" s="899"/>
      <c r="AK22" s="900" t="str">
        <f t="shared" ref="AK22" si="6">IFERROR(IF(OR(C22="",N22="",V22="",X22="",T22="",AA22="",AC22=""),"",IF(BH22="Deemed",AV22,IF(BH22="Calculated",BA22,""))),"")</f>
        <v/>
      </c>
      <c r="AL22" s="900"/>
      <c r="AM22" s="900"/>
      <c r="AN22" s="897" t="str">
        <f t="shared" ref="AN22" si="7">IFERROR(IF(OR(C22="",N22="",V22="",X22="",T22="",AA22="",AC22=""),"",IF(BD22&lt;&gt;"",BD22,IF(BI22&gt;0,BI22,ROUND(IF(AK22&lt;=0,0,IF(AE22="$/ton",MIN(AT22,V22*AI22),MIN(AT22,(N22-L22)*V22*AI22))),2)))),"")</f>
        <v/>
      </c>
      <c r="AO22" s="902"/>
      <c r="AP22" s="902"/>
      <c r="AQ22" s="902"/>
      <c r="AR22" s="37"/>
      <c r="AS22" s="235"/>
      <c r="AT22" s="972" t="str">
        <f t="shared" ref="AT22" si="8">IF(OR(C22="",N22="",V22="",X22="",T22="",AA22="",AC22=""),"",IF(AK22=0,"",ROUND(AA22+AC22,2)))</f>
        <v/>
      </c>
      <c r="AU22" s="995" t="str">
        <f>IFERROR(IF(OR(C22="",N22="",V22="",X22="",T22="",AA22="",AC22=""),"",INDEX(STDHVAC[Current Unit],MATCH(C22,STDHVAC[Measure Name],0))),"Err")</f>
        <v/>
      </c>
      <c r="AV22" s="850" t="str">
        <f>IF(OR(C22="",N22="",V22="",X22="",T22="",AA22="",AC22=""),"",ROUND(V22*INDEX(STDHVAC[Electric Energy Savings (Annual kWh/unit)],MATCH(C22,STDHVAC[Measure Name],0)),4))</f>
        <v/>
      </c>
      <c r="AW22" s="850" t="str">
        <f>IF(OR(C22="",N22="",V22="",X22="",T22="",AA22="",AC22=""),"",ROUND(V22*INDEX(STDHVAC[Coincident Peak Demand Savings (kW/unit)],MATCH(C22,STDHVAC[Measure Name],0)),4))</f>
        <v/>
      </c>
      <c r="AX22" s="970"/>
      <c r="AY22" s="970"/>
      <c r="AZ22" s="976" t="str">
        <f>IFERROR(IF(OR(C22="",N22="",V22="",X22="",T22="",AA22="",AC22=""),"",INDEX(STDHVAC[End Use],MATCH(C22,STDHVAC[Measure Name],0))),"Err")</f>
        <v/>
      </c>
      <c r="BA22" s="978" t="str">
        <f>IFERROR(ROUND(
IF(ISNUMBER(SEARCH("DX",C22)),(V22*12)*((1/L22)-(1/N22))*INDEX(STDHVAC[EFLHcool],MATCH(C22,STDHVAC[Measure Name],0)),
IF(ISNUMBER(SEARCH("PTAC",C22)),(V22*12)*((1/L22)-(1/N22))*INDEX(STDHVAC[EFLHcool],MATCH(C22,STDHVAC[Measure Name],0)),
IF(ISNUMBER(SEARCH("PTHP",C22)),((V22*12)*((1/L22)-(1/N22))*INDEX(STDHVAC[EFLHcool],MATCH(C22,STDHVAC[Measure Name],0)))+(((V22*12)/3.412)*((1/R22)-(1/T22))*INDEX(STDHVAC[EFLHheat],MATCH(C22,STDHVAC[Measure Name],0))),
IF(ISNUMBER(SEARCH("ASHP",C22)),((V22*12)*((1/L22)-(1/N22))*INDEX(STDHVAC[EFLHcool],MATCH(C22,STDHVAC[Measure Name],0)))+(IF(P22="HSPF",(V22*12),((V22*12)/3.412))*((1/R22)-(1/T22))*INDEX(STDHVAC[EFLHheat],MATCH(C22,STDHVAC[Measure Name],0))),
"")))),4),"")</f>
        <v/>
      </c>
      <c r="BB22" s="978" t="str">
        <f>IFERROR(ROUND(((V22*12)*((1/L22)-(1/N22))*INDEX(STDHVAC[EFLHcool],MATCH(C22,STDHVAC[Measure Name],0)))*INDEX(ENDUSEALL[Factor],MATCH(AZ22,ENDUSEALL[End Use to Coincident Peak Demand Factors],0)),4),"")</f>
        <v/>
      </c>
      <c r="BC22" s="976" t="str">
        <f>IFERROR(IF(OR(C22="",N22="",V22="",X22="",T22="",AA22="",AC22="",ISNUMBER(AN22)=FALSE,AN22=0),"",INDEX(STDHVAC[Measure Number],MATCH(C22,STDHVAC[Measure Name],0))),"Err")</f>
        <v/>
      </c>
      <c r="BD22" s="976" t="str">
        <f>IFERROR(IF(OR(C22="",N22="",V22="",X22="",T22="",AA22="",AC22=""),"",
IF(BI22&gt;0,"",
IF(L22=N22,"Must Improve Efficiency",
IF(EXPIRATION&lt;&gt;"",PROJSTATEXP,"")))),"")</f>
        <v/>
      </c>
      <c r="BE22" s="928" t="str">
        <f>IFERROR(INDEX(STDHVAC[Measure Life (Years)],MATCH(C22,STDHVAC[Measure Name],0)),"")</f>
        <v/>
      </c>
      <c r="BF22" s="930" t="str">
        <f>IFERROR(IF(OR(C22="",N22="",V22="",X22="",T22="",AA22="",AC22=""),"",
ROUND(((1+ELOSS)*((AV22*INDEX(ELECCB[NPV AEC $/kWh],MATCH(BE22,ELECCB[Year Number],1)))+(AW22*INDEX(ELECCB[NPV ACC $/kW],MATCH(BE22,ELECCB[Year Number],1))))),2)),0)</f>
        <v/>
      </c>
      <c r="BG22" s="937"/>
      <c r="BH22" s="934" t="str">
        <f>IFERROR(IF(OR(C22="",N22="",V22="",X22="",T22="",AA22="",AC22=""),"",INDEX(STDHVAC[Reporting Methodology],MATCH(C22,STDHVAC[Measure Name],0))),"Err")</f>
        <v/>
      </c>
      <c r="BI22" s="939"/>
    </row>
    <row r="23" spans="1:61" s="180" customFormat="1" ht="15.95" customHeight="1">
      <c r="B23" s="905"/>
      <c r="C23" s="833"/>
      <c r="D23" s="834"/>
      <c r="E23" s="834"/>
      <c r="F23" s="834"/>
      <c r="G23" s="834"/>
      <c r="H23" s="834"/>
      <c r="I23" s="834"/>
      <c r="J23" s="980"/>
      <c r="K23" s="981"/>
      <c r="L23" s="982"/>
      <c r="M23" s="983"/>
      <c r="N23" s="984"/>
      <c r="O23" s="985"/>
      <c r="P23" s="980"/>
      <c r="Q23" s="981"/>
      <c r="R23" s="982"/>
      <c r="S23" s="983"/>
      <c r="T23" s="990"/>
      <c r="U23" s="991"/>
      <c r="V23" s="992"/>
      <c r="W23" s="992"/>
      <c r="X23" s="833"/>
      <c r="Y23" s="834"/>
      <c r="Z23" s="835"/>
      <c r="AA23" s="867"/>
      <c r="AB23" s="868"/>
      <c r="AC23" s="868"/>
      <c r="AD23" s="869"/>
      <c r="AE23" s="993"/>
      <c r="AF23" s="993"/>
      <c r="AG23" s="993"/>
      <c r="AH23" s="994"/>
      <c r="AI23" s="899"/>
      <c r="AJ23" s="899"/>
      <c r="AK23" s="901"/>
      <c r="AL23" s="901"/>
      <c r="AM23" s="901"/>
      <c r="AN23" s="899"/>
      <c r="AO23" s="903"/>
      <c r="AP23" s="903"/>
      <c r="AQ23" s="903"/>
      <c r="AR23" s="37"/>
      <c r="AS23" s="235"/>
      <c r="AT23" s="973"/>
      <c r="AU23" s="996"/>
      <c r="AV23" s="851"/>
      <c r="AW23" s="851"/>
      <c r="AX23" s="970"/>
      <c r="AY23" s="970"/>
      <c r="AZ23" s="977"/>
      <c r="BA23" s="979"/>
      <c r="BB23" s="979"/>
      <c r="BC23" s="977"/>
      <c r="BD23" s="977"/>
      <c r="BE23" s="929"/>
      <c r="BF23" s="931"/>
      <c r="BG23" s="938"/>
      <c r="BH23" s="934"/>
      <c r="BI23" s="939"/>
    </row>
    <row r="24" spans="1:61" ht="15.95" customHeight="1">
      <c r="B24" s="905">
        <v>4</v>
      </c>
      <c r="C24" s="830"/>
      <c r="D24" s="831"/>
      <c r="E24" s="831"/>
      <c r="F24" s="831"/>
      <c r="G24" s="831"/>
      <c r="H24" s="831"/>
      <c r="I24" s="831"/>
      <c r="J24" s="980" t="str">
        <f>IF(C24="","",INDEX(STDHVAC[Baseline Definition],MATCH(C24,STDHVAC[Measure Name],0)))</f>
        <v/>
      </c>
      <c r="K24" s="981"/>
      <c r="L24" s="982" t="str">
        <f>IF(C24="","",INDEX(STDHVAC[Baseline Efficiency Value],MATCH(C24,STDHVAC[Measure Name],0)))</f>
        <v/>
      </c>
      <c r="M24" s="983"/>
      <c r="N24" s="984"/>
      <c r="O24" s="985"/>
      <c r="P24" s="986" t="str">
        <f>IF(C24="","",INDEX(STDHVAC[Baseline Definition 2],MATCH(C24,STDHVAC[Measure Name],0)))</f>
        <v/>
      </c>
      <c r="Q24" s="987"/>
      <c r="R24" s="988" t="str">
        <f>IF(C24="","",INDEX(STDHVAC[Baseline Efficiency Value 2],MATCH(C24,STDHVAC[Measure Name],0)))</f>
        <v/>
      </c>
      <c r="S24" s="989"/>
      <c r="T24" s="990" t="str">
        <f t="shared" ref="T24" si="9">IF(AND(ISNUMBER(SEARCH("DX",C24)),ISNUMBER(SEARCH("&lt;65kbtu",C24)),N24&lt;&gt;""),1.12*N24-0.02*N24^2,IF(ISNUMBER(SEARCH("PTAC",C24)),1,""))</f>
        <v/>
      </c>
      <c r="U24" s="991"/>
      <c r="V24" s="992"/>
      <c r="W24" s="992"/>
      <c r="X24" s="830"/>
      <c r="Y24" s="831"/>
      <c r="Z24" s="832"/>
      <c r="AA24" s="867"/>
      <c r="AB24" s="868"/>
      <c r="AC24" s="868"/>
      <c r="AD24" s="869"/>
      <c r="AE24" s="993" t="str">
        <f>IF(C24="","",INDEX(STDHVAC[Current Unit],MATCH(C24,STDHVAC[Measure Name],0)))</f>
        <v/>
      </c>
      <c r="AF24" s="993"/>
      <c r="AG24" s="993"/>
      <c r="AH24" s="994"/>
      <c r="AI24" s="899" t="str">
        <f>IFERROR(IF(C24="","",INDEX(STDHVAC[Current Incentive],MATCH(C24,STDHVAC[Measure Name],0))),"")</f>
        <v/>
      </c>
      <c r="AJ24" s="899"/>
      <c r="AK24" s="900" t="str">
        <f t="shared" ref="AK24" si="10">IFERROR(IF(OR(C24="",N24="",V24="",X24="",T24="",AA24="",AC24=""),"",IF(BH24="Deemed",AV24,IF(BH24="Calculated",BA24,""))),"")</f>
        <v/>
      </c>
      <c r="AL24" s="900"/>
      <c r="AM24" s="900"/>
      <c r="AN24" s="897" t="str">
        <f t="shared" ref="AN24" si="11">IFERROR(IF(OR(C24="",N24="",V24="",X24="",T24="",AA24="",AC24=""),"",IF(BD24&lt;&gt;"",BD24,IF(BI24&gt;0,BI24,ROUND(IF(AK24&lt;=0,0,IF(AE24="$/ton",MIN(AT24,V24*AI24),MIN(AT24,(N24-L24)*V24*AI24))),2)))),"")</f>
        <v/>
      </c>
      <c r="AO24" s="902"/>
      <c r="AP24" s="902"/>
      <c r="AQ24" s="902"/>
      <c r="AR24" s="37"/>
      <c r="AS24" s="235"/>
      <c r="AT24" s="972" t="str">
        <f t="shared" ref="AT24" si="12">IF(OR(C24="",N24="",V24="",X24="",T24="",AA24="",AC24=""),"",IF(AK24=0,"",ROUND(AA24+AC24,2)))</f>
        <v/>
      </c>
      <c r="AU24" s="995" t="str">
        <f>IFERROR(IF(OR(C24="",N24="",V24="",X24="",T24="",AA24="",AC24=""),"",INDEX(STDHVAC[Current Unit],MATCH(C24,STDHVAC[Measure Name],0))),"Err")</f>
        <v/>
      </c>
      <c r="AV24" s="850" t="str">
        <f>IF(OR(C24="",N24="",V24="",X24="",T24="",AA24="",AC24=""),"",ROUND(V24*INDEX(STDHVAC[Electric Energy Savings (Annual kWh/unit)],MATCH(C24,STDHVAC[Measure Name],0)),4))</f>
        <v/>
      </c>
      <c r="AW24" s="850" t="str">
        <f>IF(OR(C24="",N24="",V24="",X24="",T24="",AA24="",AC24=""),"",ROUND(V24*INDEX(STDHVAC[Coincident Peak Demand Savings (kW/unit)],MATCH(C24,STDHVAC[Measure Name],0)),4))</f>
        <v/>
      </c>
      <c r="AX24" s="970"/>
      <c r="AY24" s="970"/>
      <c r="AZ24" s="976" t="str">
        <f>IFERROR(IF(OR(C24="",N24="",V24="",X24="",T24="",AA24="",AC24=""),"",INDEX(STDHVAC[End Use],MATCH(C24,STDHVAC[Measure Name],0))),"Err")</f>
        <v/>
      </c>
      <c r="BA24" s="978" t="str">
        <f>IFERROR(ROUND(
IF(ISNUMBER(SEARCH("DX",C24)),(V24*12)*((1/L24)-(1/N24))*INDEX(STDHVAC[EFLHcool],MATCH(C24,STDHVAC[Measure Name],0)),
IF(ISNUMBER(SEARCH("PTAC",C24)),(V24*12)*((1/L24)-(1/N24))*INDEX(STDHVAC[EFLHcool],MATCH(C24,STDHVAC[Measure Name],0)),
IF(ISNUMBER(SEARCH("PTHP",C24)),((V24*12)*((1/L24)-(1/N24))*INDEX(STDHVAC[EFLHcool],MATCH(C24,STDHVAC[Measure Name],0)))+(((V24*12)/3.412)*((1/R24)-(1/T24))*INDEX(STDHVAC[EFLHheat],MATCH(C24,STDHVAC[Measure Name],0))),
IF(ISNUMBER(SEARCH("ASHP",C24)),((V24*12)*((1/L24)-(1/N24))*INDEX(STDHVAC[EFLHcool],MATCH(C24,STDHVAC[Measure Name],0)))+(IF(P24="HSPF",(V24*12),((V24*12)/3.412))*((1/R24)-(1/T24))*INDEX(STDHVAC[EFLHheat],MATCH(C24,STDHVAC[Measure Name],0))),
"")))),4),"")</f>
        <v/>
      </c>
      <c r="BB24" s="978" t="str">
        <f>IFERROR(ROUND(((V24*12)*((1/L24)-(1/N24))*INDEX(STDHVAC[EFLHcool],MATCH(C24,STDHVAC[Measure Name],0)))*INDEX(ENDUSEALL[Factor],MATCH(AZ24,ENDUSEALL[End Use to Coincident Peak Demand Factors],0)),4),"")</f>
        <v/>
      </c>
      <c r="BC24" s="976" t="str">
        <f>IFERROR(IF(OR(C24="",N24="",V24="",X24="",T24="",AA24="",AC24="",ISNUMBER(AN24)=FALSE,AN24=0),"",INDEX(STDHVAC[Measure Number],MATCH(C24,STDHVAC[Measure Name],0))),"Err")</f>
        <v/>
      </c>
      <c r="BD24" s="976" t="str">
        <f>IFERROR(IF(OR(C24="",N24="",V24="",X24="",T24="",AA24="",AC24=""),"",
IF(BI24&gt;0,"",
IF(L24=N24,"Must Improve Efficiency",
IF(EXPIRATION&lt;&gt;"",PROJSTATEXP,"")))),"")</f>
        <v/>
      </c>
      <c r="BE24" s="928" t="str">
        <f>IFERROR(INDEX(STDHVAC[Measure Life (Years)],MATCH(C24,STDHVAC[Measure Name],0)),"")</f>
        <v/>
      </c>
      <c r="BF24" s="930" t="str">
        <f>IFERROR(IF(OR(C24="",N24="",V24="",X24="",T24="",AA24="",AC24=""),"",
ROUND(((1+ELOSS)*((AV24*INDEX(ELECCB[NPV AEC $/kWh],MATCH(BE24,ELECCB[Year Number],1)))+(AW24*INDEX(ELECCB[NPV ACC $/kW],MATCH(BE24,ELECCB[Year Number],1))))),2)),0)</f>
        <v/>
      </c>
      <c r="BG24" s="937"/>
      <c r="BH24" s="934" t="str">
        <f>IFERROR(IF(OR(C24="",N24="",V24="",X24="",T24="",AA24="",AC24=""),"",INDEX(STDHVAC[Reporting Methodology],MATCH(C24,STDHVAC[Measure Name],0))),"Err")</f>
        <v/>
      </c>
      <c r="BI24" s="939"/>
    </row>
    <row r="25" spans="1:61" ht="15.95" customHeight="1">
      <c r="A25" s="145"/>
      <c r="B25" s="905"/>
      <c r="C25" s="833"/>
      <c r="D25" s="834"/>
      <c r="E25" s="834"/>
      <c r="F25" s="834"/>
      <c r="G25" s="834"/>
      <c r="H25" s="834"/>
      <c r="I25" s="834"/>
      <c r="J25" s="980"/>
      <c r="K25" s="981"/>
      <c r="L25" s="982"/>
      <c r="M25" s="983"/>
      <c r="N25" s="984"/>
      <c r="O25" s="985"/>
      <c r="P25" s="980"/>
      <c r="Q25" s="981"/>
      <c r="R25" s="982"/>
      <c r="S25" s="983"/>
      <c r="T25" s="990"/>
      <c r="U25" s="991"/>
      <c r="V25" s="992"/>
      <c r="W25" s="992"/>
      <c r="X25" s="833"/>
      <c r="Y25" s="834"/>
      <c r="Z25" s="835"/>
      <c r="AA25" s="867"/>
      <c r="AB25" s="868"/>
      <c r="AC25" s="868"/>
      <c r="AD25" s="869"/>
      <c r="AE25" s="993"/>
      <c r="AF25" s="993"/>
      <c r="AG25" s="993"/>
      <c r="AH25" s="994"/>
      <c r="AI25" s="899"/>
      <c r="AJ25" s="899"/>
      <c r="AK25" s="901"/>
      <c r="AL25" s="901"/>
      <c r="AM25" s="901"/>
      <c r="AN25" s="899"/>
      <c r="AO25" s="903"/>
      <c r="AP25" s="903"/>
      <c r="AQ25" s="903"/>
      <c r="AR25" s="37"/>
      <c r="AS25" s="235"/>
      <c r="AT25" s="973"/>
      <c r="AU25" s="996"/>
      <c r="AV25" s="851"/>
      <c r="AW25" s="851"/>
      <c r="AX25" s="970"/>
      <c r="AY25" s="970"/>
      <c r="AZ25" s="977"/>
      <c r="BA25" s="979"/>
      <c r="BB25" s="979"/>
      <c r="BC25" s="977"/>
      <c r="BD25" s="977"/>
      <c r="BE25" s="929"/>
      <c r="BF25" s="931"/>
      <c r="BG25" s="938"/>
      <c r="BH25" s="934"/>
      <c r="BI25" s="939"/>
    </row>
    <row r="26" spans="1:61" ht="15.95" customHeight="1">
      <c r="B26" s="905">
        <v>5</v>
      </c>
      <c r="C26" s="830"/>
      <c r="D26" s="831"/>
      <c r="E26" s="831"/>
      <c r="F26" s="831"/>
      <c r="G26" s="831"/>
      <c r="H26" s="831"/>
      <c r="I26" s="831"/>
      <c r="J26" s="980" t="str">
        <f>IF(C26="","",INDEX(STDHVAC[Baseline Definition],MATCH(C26,STDHVAC[Measure Name],0)))</f>
        <v/>
      </c>
      <c r="K26" s="981"/>
      <c r="L26" s="982" t="str">
        <f>IF(C26="","",INDEX(STDHVAC[Baseline Efficiency Value],MATCH(C26,STDHVAC[Measure Name],0)))</f>
        <v/>
      </c>
      <c r="M26" s="983"/>
      <c r="N26" s="984"/>
      <c r="O26" s="985"/>
      <c r="P26" s="986" t="str">
        <f>IF(C26="","",INDEX(STDHVAC[Baseline Definition 2],MATCH(C26,STDHVAC[Measure Name],0)))</f>
        <v/>
      </c>
      <c r="Q26" s="987"/>
      <c r="R26" s="988" t="str">
        <f>IF(C26="","",INDEX(STDHVAC[Baseline Efficiency Value 2],MATCH(C26,STDHVAC[Measure Name],0)))</f>
        <v/>
      </c>
      <c r="S26" s="989"/>
      <c r="T26" s="990" t="str">
        <f t="shared" ref="T26" si="13">IF(AND(ISNUMBER(SEARCH("DX",C26)),ISNUMBER(SEARCH("&lt;65kbtu",C26)),N26&lt;&gt;""),1.12*N26-0.02*N26^2,IF(ISNUMBER(SEARCH("PTAC",C26)),1,""))</f>
        <v/>
      </c>
      <c r="U26" s="991"/>
      <c r="V26" s="992"/>
      <c r="W26" s="992"/>
      <c r="X26" s="830"/>
      <c r="Y26" s="831"/>
      <c r="Z26" s="832"/>
      <c r="AA26" s="867"/>
      <c r="AB26" s="868"/>
      <c r="AC26" s="868"/>
      <c r="AD26" s="869"/>
      <c r="AE26" s="993" t="str">
        <f>IF(C26="","",INDEX(STDHVAC[Current Unit],MATCH(C26,STDHVAC[Measure Name],0)))</f>
        <v/>
      </c>
      <c r="AF26" s="993"/>
      <c r="AG26" s="993"/>
      <c r="AH26" s="994"/>
      <c r="AI26" s="899" t="str">
        <f>IFERROR(IF(C26="","",INDEX(STDHVAC[Current Incentive],MATCH(C26,STDHVAC[Measure Name],0))),"")</f>
        <v/>
      </c>
      <c r="AJ26" s="899"/>
      <c r="AK26" s="900" t="str">
        <f t="shared" ref="AK26" si="14">IFERROR(IF(OR(C26="",N26="",V26="",X26="",T26="",AA26="",AC26=""),"",IF(BH26="Deemed",AV26,IF(BH26="Calculated",BA26,""))),"")</f>
        <v/>
      </c>
      <c r="AL26" s="900"/>
      <c r="AM26" s="900"/>
      <c r="AN26" s="897" t="str">
        <f t="shared" ref="AN26" si="15">IFERROR(IF(OR(C26="",N26="",V26="",X26="",T26="",AA26="",AC26=""),"",IF(BD26&lt;&gt;"",BD26,IF(BI26&gt;0,BI26,ROUND(IF(AK26&lt;=0,0,IF(AE26="$/ton",MIN(AT26,V26*AI26),MIN(AT26,(N26-L26)*V26*AI26))),2)))),"")</f>
        <v/>
      </c>
      <c r="AO26" s="902"/>
      <c r="AP26" s="902"/>
      <c r="AQ26" s="902"/>
      <c r="AR26" s="37"/>
      <c r="AS26" s="235"/>
      <c r="AT26" s="972" t="str">
        <f t="shared" ref="AT26" si="16">IF(OR(C26="",N26="",V26="",X26="",T26="",AA26="",AC26=""),"",IF(AK26=0,"",ROUND(AA26+AC26,2)))</f>
        <v/>
      </c>
      <c r="AU26" s="995" t="str">
        <f>IFERROR(IF(OR(C26="",N26="",V26="",X26="",T26="",AA26="",AC26=""),"",INDEX(STDHVAC[Current Unit],MATCH(C26,STDHVAC[Measure Name],0))),"Err")</f>
        <v/>
      </c>
      <c r="AV26" s="850" t="str">
        <f>IF(OR(C26="",N26="",V26="",X26="",T26="",AA26="",AC26=""),"",ROUND(V26*INDEX(STDHVAC[Electric Energy Savings (Annual kWh/unit)],MATCH(C26,STDHVAC[Measure Name],0)),4))</f>
        <v/>
      </c>
      <c r="AW26" s="850" t="str">
        <f>IF(OR(C26="",N26="",V26="",X26="",T26="",AA26="",AC26=""),"",ROUND(V26*INDEX(STDHVAC[Coincident Peak Demand Savings (kW/unit)],MATCH(C26,STDHVAC[Measure Name],0)),4))</f>
        <v/>
      </c>
      <c r="AX26" s="970"/>
      <c r="AY26" s="970"/>
      <c r="AZ26" s="976" t="str">
        <f>IFERROR(IF(OR(C26="",N26="",V26="",X26="",T26="",AA26="",AC26=""),"",INDEX(STDHVAC[End Use],MATCH(C26,STDHVAC[Measure Name],0))),"Err")</f>
        <v/>
      </c>
      <c r="BA26" s="978" t="str">
        <f>IFERROR(ROUND(
IF(ISNUMBER(SEARCH("DX",C26)),(V26*12)*((1/L26)-(1/N26))*INDEX(STDHVAC[EFLHcool],MATCH(C26,STDHVAC[Measure Name],0)),
IF(ISNUMBER(SEARCH("PTAC",C26)),(V26*12)*((1/L26)-(1/N26))*INDEX(STDHVAC[EFLHcool],MATCH(C26,STDHVAC[Measure Name],0)),
IF(ISNUMBER(SEARCH("PTHP",C26)),((V26*12)*((1/L26)-(1/N26))*INDEX(STDHVAC[EFLHcool],MATCH(C26,STDHVAC[Measure Name],0)))+(((V26*12)/3.412)*((1/R26)-(1/T26))*INDEX(STDHVAC[EFLHheat],MATCH(C26,STDHVAC[Measure Name],0))),
IF(ISNUMBER(SEARCH("ASHP",C26)),((V26*12)*((1/L26)-(1/N26))*INDEX(STDHVAC[EFLHcool],MATCH(C26,STDHVAC[Measure Name],0)))+(IF(P26="HSPF",(V26*12),((V26*12)/3.412))*((1/R26)-(1/T26))*INDEX(STDHVAC[EFLHheat],MATCH(C26,STDHVAC[Measure Name],0))),
"")))),4),"")</f>
        <v/>
      </c>
      <c r="BB26" s="978" t="str">
        <f>IFERROR(ROUND(((V26*12)*((1/L26)-(1/N26))*INDEX(STDHVAC[EFLHcool],MATCH(C26,STDHVAC[Measure Name],0)))*INDEX(ENDUSEALL[Factor],MATCH(AZ26,ENDUSEALL[End Use to Coincident Peak Demand Factors],0)),4),"")</f>
        <v/>
      </c>
      <c r="BC26" s="976" t="str">
        <f>IFERROR(IF(OR(C26="",N26="",V26="",X26="",T26="",AA26="",AC26="",ISNUMBER(AN26)=FALSE,AN26=0),"",INDEX(STDHVAC[Measure Number],MATCH(C26,STDHVAC[Measure Name],0))),"Err")</f>
        <v/>
      </c>
      <c r="BD26" s="976" t="str">
        <f>IFERROR(IF(OR(C26="",N26="",V26="",X26="",T26="",AA26="",AC26=""),"",
IF(BI26&gt;0,"",
IF(L26=N26,"Must Improve Efficiency",
IF(EXPIRATION&lt;&gt;"",PROJSTATEXP,"")))),"")</f>
        <v/>
      </c>
      <c r="BE26" s="928" t="str">
        <f>IFERROR(INDEX(STDHVAC[Measure Life (Years)],MATCH(C26,STDHVAC[Measure Name],0)),"")</f>
        <v/>
      </c>
      <c r="BF26" s="930" t="str">
        <f>IFERROR(IF(OR(C26="",N26="",V26="",X26="",T26="",AA26="",AC26=""),"",
ROUND(((1+ELOSS)*((AV26*INDEX(ELECCB[NPV AEC $/kWh],MATCH(BE26,ELECCB[Year Number],1)))+(AW26*INDEX(ELECCB[NPV ACC $/kW],MATCH(BE26,ELECCB[Year Number],1))))),2)),0)</f>
        <v/>
      </c>
      <c r="BG26" s="937"/>
      <c r="BH26" s="934" t="str">
        <f>IFERROR(IF(OR(C26="",N26="",V26="",X26="",T26="",AA26="",AC26=""),"",INDEX(STDHVAC[Reporting Methodology],MATCH(C26,STDHVAC[Measure Name],0))),"Err")</f>
        <v/>
      </c>
      <c r="BI26" s="939"/>
    </row>
    <row r="27" spans="1:61" ht="15.95" customHeight="1">
      <c r="B27" s="905"/>
      <c r="C27" s="833"/>
      <c r="D27" s="834"/>
      <c r="E27" s="834"/>
      <c r="F27" s="834"/>
      <c r="G27" s="834"/>
      <c r="H27" s="834"/>
      <c r="I27" s="834"/>
      <c r="J27" s="980"/>
      <c r="K27" s="981"/>
      <c r="L27" s="982"/>
      <c r="M27" s="983"/>
      <c r="N27" s="984"/>
      <c r="O27" s="985"/>
      <c r="P27" s="980"/>
      <c r="Q27" s="981"/>
      <c r="R27" s="982"/>
      <c r="S27" s="983"/>
      <c r="T27" s="990"/>
      <c r="U27" s="991"/>
      <c r="V27" s="992"/>
      <c r="W27" s="992"/>
      <c r="X27" s="833"/>
      <c r="Y27" s="834"/>
      <c r="Z27" s="835"/>
      <c r="AA27" s="867"/>
      <c r="AB27" s="868"/>
      <c r="AC27" s="868"/>
      <c r="AD27" s="869"/>
      <c r="AE27" s="993"/>
      <c r="AF27" s="993"/>
      <c r="AG27" s="993"/>
      <c r="AH27" s="994"/>
      <c r="AI27" s="899"/>
      <c r="AJ27" s="899"/>
      <c r="AK27" s="901"/>
      <c r="AL27" s="901"/>
      <c r="AM27" s="901"/>
      <c r="AN27" s="899"/>
      <c r="AO27" s="903"/>
      <c r="AP27" s="903"/>
      <c r="AQ27" s="903"/>
      <c r="AR27" s="37"/>
      <c r="AS27" s="235"/>
      <c r="AT27" s="973"/>
      <c r="AU27" s="996"/>
      <c r="AV27" s="851"/>
      <c r="AW27" s="851"/>
      <c r="AX27" s="970"/>
      <c r="AY27" s="970"/>
      <c r="AZ27" s="977"/>
      <c r="BA27" s="979"/>
      <c r="BB27" s="979"/>
      <c r="BC27" s="977"/>
      <c r="BD27" s="977"/>
      <c r="BE27" s="929"/>
      <c r="BF27" s="931"/>
      <c r="BG27" s="938"/>
      <c r="BH27" s="934"/>
      <c r="BI27" s="939"/>
    </row>
    <row r="28" spans="1:61" ht="15.95" customHeight="1">
      <c r="B28" s="905">
        <v>6</v>
      </c>
      <c r="C28" s="830"/>
      <c r="D28" s="831"/>
      <c r="E28" s="831"/>
      <c r="F28" s="831"/>
      <c r="G28" s="831"/>
      <c r="H28" s="831"/>
      <c r="I28" s="831"/>
      <c r="J28" s="980" t="str">
        <f>IF(C28="","",INDEX(STDHVAC[Baseline Definition],MATCH(C28,STDHVAC[Measure Name],0)))</f>
        <v/>
      </c>
      <c r="K28" s="981"/>
      <c r="L28" s="982" t="str">
        <f>IF(C28="","",INDEX(STDHVAC[Baseline Efficiency Value],MATCH(C28,STDHVAC[Measure Name],0)))</f>
        <v/>
      </c>
      <c r="M28" s="983"/>
      <c r="N28" s="984"/>
      <c r="O28" s="985"/>
      <c r="P28" s="986" t="str">
        <f>IF(C28="","",INDEX(STDHVAC[Baseline Definition 2],MATCH(C28,STDHVAC[Measure Name],0)))</f>
        <v/>
      </c>
      <c r="Q28" s="987"/>
      <c r="R28" s="988" t="str">
        <f>IF(C28="","",INDEX(STDHVAC[Baseline Efficiency Value 2],MATCH(C28,STDHVAC[Measure Name],0)))</f>
        <v/>
      </c>
      <c r="S28" s="989"/>
      <c r="T28" s="990" t="str">
        <f t="shared" ref="T28" si="17">IF(AND(ISNUMBER(SEARCH("DX",C28)),ISNUMBER(SEARCH("&lt;65kbtu",C28)),N28&lt;&gt;""),1.12*N28-0.02*N28^2,IF(ISNUMBER(SEARCH("PTAC",C28)),1,""))</f>
        <v/>
      </c>
      <c r="U28" s="991"/>
      <c r="V28" s="992"/>
      <c r="W28" s="992"/>
      <c r="X28" s="830"/>
      <c r="Y28" s="831"/>
      <c r="Z28" s="832"/>
      <c r="AA28" s="867"/>
      <c r="AB28" s="868"/>
      <c r="AC28" s="868"/>
      <c r="AD28" s="869"/>
      <c r="AE28" s="993" t="str">
        <f>IF(C28="","",INDEX(STDHVAC[Current Unit],MATCH(C28,STDHVAC[Measure Name],0)))</f>
        <v/>
      </c>
      <c r="AF28" s="993"/>
      <c r="AG28" s="993"/>
      <c r="AH28" s="994"/>
      <c r="AI28" s="899" t="str">
        <f>IFERROR(IF(C28="","",INDEX(STDHVAC[Current Incentive],MATCH(C28,STDHVAC[Measure Name],0))),"")</f>
        <v/>
      </c>
      <c r="AJ28" s="899"/>
      <c r="AK28" s="900" t="str">
        <f t="shared" ref="AK28" si="18">IFERROR(IF(OR(C28="",N28="",V28="",X28="",T28="",AA28="",AC28=""),"",IF(BH28="Deemed",AV28,IF(BH28="Calculated",BA28,""))),"")</f>
        <v/>
      </c>
      <c r="AL28" s="900"/>
      <c r="AM28" s="900"/>
      <c r="AN28" s="897" t="str">
        <f t="shared" ref="AN28" si="19">IFERROR(IF(OR(C28="",N28="",V28="",X28="",T28="",AA28="",AC28=""),"",IF(BD28&lt;&gt;"",BD28,IF(BI28&gt;0,BI28,ROUND(IF(AK28&lt;=0,0,IF(AE28="$/ton",MIN(AT28,V28*AI28),MIN(AT28,(N28-L28)*V28*AI28))),2)))),"")</f>
        <v/>
      </c>
      <c r="AO28" s="902"/>
      <c r="AP28" s="902"/>
      <c r="AQ28" s="902"/>
      <c r="AR28" s="37"/>
      <c r="AS28" s="235"/>
      <c r="AT28" s="972" t="str">
        <f t="shared" ref="AT28" si="20">IF(OR(C28="",N28="",V28="",X28="",T28="",AA28="",AC28=""),"",IF(AK28=0,"",ROUND(AA28+AC28,2)))</f>
        <v/>
      </c>
      <c r="AU28" s="995" t="str">
        <f>IFERROR(IF(OR(C28="",N28="",V28="",X28="",T28="",AA28="",AC28=""),"",INDEX(STDHVAC[Current Unit],MATCH(C28,STDHVAC[Measure Name],0))),"Err")</f>
        <v/>
      </c>
      <c r="AV28" s="850" t="str">
        <f>IF(OR(C28="",N28="",V28="",X28="",T28="",AA28="",AC28=""),"",ROUND(V28*INDEX(STDHVAC[Electric Energy Savings (Annual kWh/unit)],MATCH(C28,STDHVAC[Measure Name],0)),4))</f>
        <v/>
      </c>
      <c r="AW28" s="850" t="str">
        <f>IF(OR(C28="",N28="",V28="",X28="",T28="",AA28="",AC28=""),"",ROUND(V28*INDEX(STDHVAC[Coincident Peak Demand Savings (kW/unit)],MATCH(C28,STDHVAC[Measure Name],0)),4))</f>
        <v/>
      </c>
      <c r="AX28" s="970"/>
      <c r="AY28" s="970"/>
      <c r="AZ28" s="976" t="str">
        <f>IFERROR(IF(OR(C28="",N28="",V28="",X28="",T28="",AA28="",AC28=""),"",INDEX(STDHVAC[End Use],MATCH(C28,STDHVAC[Measure Name],0))),"Err")</f>
        <v/>
      </c>
      <c r="BA28" s="978" t="str">
        <f>IFERROR(ROUND(
IF(ISNUMBER(SEARCH("DX",C28)),(V28*12)*((1/L28)-(1/N28))*INDEX(STDHVAC[EFLHcool],MATCH(C28,STDHVAC[Measure Name],0)),
IF(ISNUMBER(SEARCH("PTAC",C28)),(V28*12)*((1/L28)-(1/N28))*INDEX(STDHVAC[EFLHcool],MATCH(C28,STDHVAC[Measure Name],0)),
IF(ISNUMBER(SEARCH("PTHP",C28)),((V28*12)*((1/L28)-(1/N28))*INDEX(STDHVAC[EFLHcool],MATCH(C28,STDHVAC[Measure Name],0)))+(((V28*12)/3.412)*((1/R28)-(1/T28))*INDEX(STDHVAC[EFLHheat],MATCH(C28,STDHVAC[Measure Name],0))),
IF(ISNUMBER(SEARCH("ASHP",C28)),((V28*12)*((1/L28)-(1/N28))*INDEX(STDHVAC[EFLHcool],MATCH(C28,STDHVAC[Measure Name],0)))+(IF(P28="HSPF",(V28*12),((V28*12)/3.412))*((1/R28)-(1/T28))*INDEX(STDHVAC[EFLHheat],MATCH(C28,STDHVAC[Measure Name],0))),
"")))),4),"")</f>
        <v/>
      </c>
      <c r="BB28" s="978" t="str">
        <f>IFERROR(ROUND(((V28*12)*((1/L28)-(1/N28))*INDEX(STDHVAC[EFLHcool],MATCH(C28,STDHVAC[Measure Name],0)))*INDEX(ENDUSEALL[Factor],MATCH(AZ28,ENDUSEALL[End Use to Coincident Peak Demand Factors],0)),4),"")</f>
        <v/>
      </c>
      <c r="BC28" s="976" t="str">
        <f>IFERROR(IF(OR(C28="",N28="",V28="",X28="",T28="",AA28="",AC28="",ISNUMBER(AN28)=FALSE,AN28=0),"",INDEX(STDHVAC[Measure Number],MATCH(C28,STDHVAC[Measure Name],0))),"Err")</f>
        <v/>
      </c>
      <c r="BD28" s="976" t="str">
        <f>IFERROR(IF(OR(C28="",N28="",V28="",X28="",T28="",AA28="",AC28=""),"",
IF(BI28&gt;0,"",
IF(L28=N28,"Must Improve Efficiency",
IF(EXPIRATION&lt;&gt;"",PROJSTATEXP,"")))),"")</f>
        <v/>
      </c>
      <c r="BE28" s="928" t="str">
        <f>IFERROR(INDEX(STDHVAC[Measure Life (Years)],MATCH(C28,STDHVAC[Measure Name],0)),"")</f>
        <v/>
      </c>
      <c r="BF28" s="930" t="str">
        <f>IFERROR(IF(OR(C28="",N28="",V28="",X28="",T28="",AA28="",AC28=""),"",
ROUND(((1+ELOSS)*((AV28*INDEX(ELECCB[NPV AEC $/kWh],MATCH(BE28,ELECCB[Year Number],1)))+(AW28*INDEX(ELECCB[NPV ACC $/kW],MATCH(BE28,ELECCB[Year Number],1))))),2)),0)</f>
        <v/>
      </c>
      <c r="BG28" s="937"/>
      <c r="BH28" s="934" t="str">
        <f>IFERROR(IF(OR(C28="",N28="",V28="",X28="",T28="",AA28="",AC28=""),"",INDEX(STDHVAC[Reporting Methodology],MATCH(C28,STDHVAC[Measure Name],0))),"Err")</f>
        <v/>
      </c>
      <c r="BI28" s="939"/>
    </row>
    <row r="29" spans="1:61" ht="15.95" customHeight="1">
      <c r="B29" s="905"/>
      <c r="C29" s="833"/>
      <c r="D29" s="834"/>
      <c r="E29" s="834"/>
      <c r="F29" s="834"/>
      <c r="G29" s="834"/>
      <c r="H29" s="834"/>
      <c r="I29" s="834"/>
      <c r="J29" s="980"/>
      <c r="K29" s="981"/>
      <c r="L29" s="982"/>
      <c r="M29" s="983"/>
      <c r="N29" s="984"/>
      <c r="O29" s="985"/>
      <c r="P29" s="980"/>
      <c r="Q29" s="981"/>
      <c r="R29" s="982"/>
      <c r="S29" s="983"/>
      <c r="T29" s="990"/>
      <c r="U29" s="991"/>
      <c r="V29" s="992"/>
      <c r="W29" s="992"/>
      <c r="X29" s="833"/>
      <c r="Y29" s="834"/>
      <c r="Z29" s="835"/>
      <c r="AA29" s="867"/>
      <c r="AB29" s="868"/>
      <c r="AC29" s="868"/>
      <c r="AD29" s="869"/>
      <c r="AE29" s="993"/>
      <c r="AF29" s="993"/>
      <c r="AG29" s="993"/>
      <c r="AH29" s="994"/>
      <c r="AI29" s="899"/>
      <c r="AJ29" s="899"/>
      <c r="AK29" s="901"/>
      <c r="AL29" s="901"/>
      <c r="AM29" s="901"/>
      <c r="AN29" s="899"/>
      <c r="AO29" s="903"/>
      <c r="AP29" s="903"/>
      <c r="AQ29" s="903"/>
      <c r="AR29" s="37"/>
      <c r="AS29" s="235"/>
      <c r="AT29" s="973"/>
      <c r="AU29" s="996"/>
      <c r="AV29" s="851"/>
      <c r="AW29" s="851"/>
      <c r="AX29" s="970"/>
      <c r="AY29" s="970"/>
      <c r="AZ29" s="977"/>
      <c r="BA29" s="979"/>
      <c r="BB29" s="979"/>
      <c r="BC29" s="977"/>
      <c r="BD29" s="977"/>
      <c r="BE29" s="929"/>
      <c r="BF29" s="931"/>
      <c r="BG29" s="938"/>
      <c r="BH29" s="934"/>
      <c r="BI29" s="939"/>
    </row>
    <row r="30" spans="1:61" ht="15.95" customHeight="1">
      <c r="B30" s="905">
        <v>7</v>
      </c>
      <c r="C30" s="830"/>
      <c r="D30" s="831"/>
      <c r="E30" s="831"/>
      <c r="F30" s="831"/>
      <c r="G30" s="831"/>
      <c r="H30" s="831"/>
      <c r="I30" s="831"/>
      <c r="J30" s="980" t="str">
        <f>IF(C30="","",INDEX(STDHVAC[Baseline Definition],MATCH(C30,STDHVAC[Measure Name],0)))</f>
        <v/>
      </c>
      <c r="K30" s="981"/>
      <c r="L30" s="982" t="str">
        <f>IF(C30="","",INDEX(STDHVAC[Baseline Efficiency Value],MATCH(C30,STDHVAC[Measure Name],0)))</f>
        <v/>
      </c>
      <c r="M30" s="983"/>
      <c r="N30" s="984"/>
      <c r="O30" s="985"/>
      <c r="P30" s="986" t="str">
        <f>IF(C30="","",INDEX(STDHVAC[Baseline Definition 2],MATCH(C30,STDHVAC[Measure Name],0)))</f>
        <v/>
      </c>
      <c r="Q30" s="987"/>
      <c r="R30" s="988" t="str">
        <f>IF(C30="","",INDEX(STDHVAC[Baseline Efficiency Value 2],MATCH(C30,STDHVAC[Measure Name],0)))</f>
        <v/>
      </c>
      <c r="S30" s="989"/>
      <c r="T30" s="990" t="str">
        <f t="shared" ref="T30" si="21">IF(AND(ISNUMBER(SEARCH("DX",C30)),ISNUMBER(SEARCH("&lt;65kbtu",C30)),N30&lt;&gt;""),1.12*N30-0.02*N30^2,IF(ISNUMBER(SEARCH("PTAC",C30)),1,""))</f>
        <v/>
      </c>
      <c r="U30" s="991"/>
      <c r="V30" s="992"/>
      <c r="W30" s="992"/>
      <c r="X30" s="830"/>
      <c r="Y30" s="831"/>
      <c r="Z30" s="832"/>
      <c r="AA30" s="867"/>
      <c r="AB30" s="868"/>
      <c r="AC30" s="868"/>
      <c r="AD30" s="869"/>
      <c r="AE30" s="993" t="str">
        <f>IF(C30="","",INDEX(STDHVAC[Current Unit],MATCH(C30,STDHVAC[Measure Name],0)))</f>
        <v/>
      </c>
      <c r="AF30" s="993"/>
      <c r="AG30" s="993"/>
      <c r="AH30" s="994"/>
      <c r="AI30" s="899" t="str">
        <f>IFERROR(IF(C30="","",INDEX(STDHVAC[Current Incentive],MATCH(C30,STDHVAC[Measure Name],0))),"")</f>
        <v/>
      </c>
      <c r="AJ30" s="899"/>
      <c r="AK30" s="900" t="str">
        <f t="shared" ref="AK30" si="22">IFERROR(IF(OR(C30="",N30="",V30="",X30="",T30="",AA30="",AC30=""),"",IF(BH30="Deemed",AV30,IF(BH30="Calculated",BA30,""))),"")</f>
        <v/>
      </c>
      <c r="AL30" s="900"/>
      <c r="AM30" s="900"/>
      <c r="AN30" s="897" t="str">
        <f t="shared" ref="AN30" si="23">IFERROR(IF(OR(C30="",N30="",V30="",X30="",T30="",AA30="",AC30=""),"",IF(BD30&lt;&gt;"",BD30,IF(BI30&gt;0,BI30,ROUND(IF(AK30&lt;=0,0,IF(AE30="$/ton",MIN(AT30,V30*AI30),MIN(AT30,(N30-L30)*V30*AI30))),2)))),"")</f>
        <v/>
      </c>
      <c r="AO30" s="902"/>
      <c r="AP30" s="902"/>
      <c r="AQ30" s="902"/>
      <c r="AR30" s="37"/>
      <c r="AS30" s="235"/>
      <c r="AT30" s="972" t="str">
        <f t="shared" ref="AT30" si="24">IF(OR(C30="",N30="",V30="",X30="",T30="",AA30="",AC30=""),"",IF(AK30=0,"",ROUND(AA30+AC30,2)))</f>
        <v/>
      </c>
      <c r="AU30" s="995" t="str">
        <f>IFERROR(IF(OR(C30="",N30="",V30="",X30="",T30="",AA30="",AC30=""),"",INDEX(STDHVAC[Current Unit],MATCH(C30,STDHVAC[Measure Name],0))),"Err")</f>
        <v/>
      </c>
      <c r="AV30" s="850" t="str">
        <f>IF(OR(C30="",N30="",V30="",X30="",T30="",AA30="",AC30=""),"",ROUND(V30*INDEX(STDHVAC[Electric Energy Savings (Annual kWh/unit)],MATCH(C30,STDHVAC[Measure Name],0)),4))</f>
        <v/>
      </c>
      <c r="AW30" s="850" t="str">
        <f>IF(OR(C30="",N30="",V30="",X30="",T30="",AA30="",AC30=""),"",ROUND(V30*INDEX(STDHVAC[Coincident Peak Demand Savings (kW/unit)],MATCH(C30,STDHVAC[Measure Name],0)),4))</f>
        <v/>
      </c>
      <c r="AX30" s="970"/>
      <c r="AY30" s="970"/>
      <c r="AZ30" s="976" t="str">
        <f>IFERROR(IF(OR(C30="",N30="",V30="",X30="",T30="",AA30="",AC30=""),"",INDEX(STDHVAC[End Use],MATCH(C30,STDHVAC[Measure Name],0))),"Err")</f>
        <v/>
      </c>
      <c r="BA30" s="978" t="str">
        <f>IFERROR(ROUND(
IF(ISNUMBER(SEARCH("DX",C30)),(V30*12)*((1/L30)-(1/N30))*INDEX(STDHVAC[EFLHcool],MATCH(C30,STDHVAC[Measure Name],0)),
IF(ISNUMBER(SEARCH("PTAC",C30)),(V30*12)*((1/L30)-(1/N30))*INDEX(STDHVAC[EFLHcool],MATCH(C30,STDHVAC[Measure Name],0)),
IF(ISNUMBER(SEARCH("PTHP",C30)),((V30*12)*((1/L30)-(1/N30))*INDEX(STDHVAC[EFLHcool],MATCH(C30,STDHVAC[Measure Name],0)))+(((V30*12)/3.412)*((1/R30)-(1/T30))*INDEX(STDHVAC[EFLHheat],MATCH(C30,STDHVAC[Measure Name],0))),
IF(ISNUMBER(SEARCH("ASHP",C30)),((V30*12)*((1/L30)-(1/N30))*INDEX(STDHVAC[EFLHcool],MATCH(C30,STDHVAC[Measure Name],0)))+(IF(P30="HSPF",(V30*12),((V30*12)/3.412))*((1/R30)-(1/T30))*INDEX(STDHVAC[EFLHheat],MATCH(C30,STDHVAC[Measure Name],0))),
"")))),4),"")</f>
        <v/>
      </c>
      <c r="BB30" s="978" t="str">
        <f>IFERROR(ROUND(((V30*12)*((1/L30)-(1/N30))*INDEX(STDHVAC[EFLHcool],MATCH(C30,STDHVAC[Measure Name],0)))*INDEX(ENDUSEALL[Factor],MATCH(AZ30,ENDUSEALL[End Use to Coincident Peak Demand Factors],0)),4),"")</f>
        <v/>
      </c>
      <c r="BC30" s="976" t="str">
        <f>IFERROR(IF(OR(C30="",N30="",V30="",X30="",T30="",AA30="",AC30="",ISNUMBER(AN30)=FALSE,AN30=0),"",INDEX(STDHVAC[Measure Number],MATCH(C30,STDHVAC[Measure Name],0))),"Err")</f>
        <v/>
      </c>
      <c r="BD30" s="976" t="str">
        <f>IFERROR(IF(OR(C30="",N30="",V30="",X30="",T30="",AA30="",AC30=""),"",
IF(BI30&gt;0,"",
IF(L30=N30,"Must Improve Efficiency",
IF(EXPIRATION&lt;&gt;"",PROJSTATEXP,"")))),"")</f>
        <v/>
      </c>
      <c r="BE30" s="928" t="str">
        <f>IFERROR(INDEX(STDHVAC[Measure Life (Years)],MATCH(C30,STDHVAC[Measure Name],0)),"")</f>
        <v/>
      </c>
      <c r="BF30" s="930" t="str">
        <f>IFERROR(IF(OR(C30="",N30="",V30="",X30="",T30="",AA30="",AC30=""),"",
ROUND(((1+ELOSS)*((AV30*INDEX(ELECCB[NPV AEC $/kWh],MATCH(BE30,ELECCB[Year Number],1)))+(AW30*INDEX(ELECCB[NPV ACC $/kW],MATCH(BE30,ELECCB[Year Number],1))))),2)),0)</f>
        <v/>
      </c>
      <c r="BG30" s="937"/>
      <c r="BH30" s="934" t="str">
        <f>IFERROR(IF(OR(C30="",N30="",V30="",X30="",T30="",AA30="",AC30=""),"",INDEX(STDHVAC[Reporting Methodology],MATCH(C30,STDHVAC[Measure Name],0))),"Err")</f>
        <v/>
      </c>
      <c r="BI30" s="939"/>
    </row>
    <row r="31" spans="1:61" ht="15.95" customHeight="1">
      <c r="B31" s="905"/>
      <c r="C31" s="833"/>
      <c r="D31" s="834"/>
      <c r="E31" s="834"/>
      <c r="F31" s="834"/>
      <c r="G31" s="834"/>
      <c r="H31" s="834"/>
      <c r="I31" s="834"/>
      <c r="J31" s="980"/>
      <c r="K31" s="981"/>
      <c r="L31" s="982"/>
      <c r="M31" s="983"/>
      <c r="N31" s="984"/>
      <c r="O31" s="985"/>
      <c r="P31" s="980"/>
      <c r="Q31" s="981"/>
      <c r="R31" s="982"/>
      <c r="S31" s="983"/>
      <c r="T31" s="990"/>
      <c r="U31" s="991"/>
      <c r="V31" s="992"/>
      <c r="W31" s="992"/>
      <c r="X31" s="833"/>
      <c r="Y31" s="834"/>
      <c r="Z31" s="835"/>
      <c r="AA31" s="867"/>
      <c r="AB31" s="868"/>
      <c r="AC31" s="868"/>
      <c r="AD31" s="869"/>
      <c r="AE31" s="993"/>
      <c r="AF31" s="993"/>
      <c r="AG31" s="993"/>
      <c r="AH31" s="994"/>
      <c r="AI31" s="899"/>
      <c r="AJ31" s="899"/>
      <c r="AK31" s="901"/>
      <c r="AL31" s="901"/>
      <c r="AM31" s="901"/>
      <c r="AN31" s="899"/>
      <c r="AO31" s="903"/>
      <c r="AP31" s="903"/>
      <c r="AQ31" s="903"/>
      <c r="AR31" s="37"/>
      <c r="AS31" s="235"/>
      <c r="AT31" s="973"/>
      <c r="AU31" s="996"/>
      <c r="AV31" s="851"/>
      <c r="AW31" s="851"/>
      <c r="AX31" s="970"/>
      <c r="AY31" s="970"/>
      <c r="AZ31" s="977"/>
      <c r="BA31" s="979"/>
      <c r="BB31" s="979"/>
      <c r="BC31" s="977"/>
      <c r="BD31" s="977"/>
      <c r="BE31" s="929"/>
      <c r="BF31" s="931"/>
      <c r="BG31" s="938"/>
      <c r="BH31" s="934"/>
      <c r="BI31" s="939"/>
    </row>
    <row r="32" spans="1:61" ht="15.95" customHeight="1">
      <c r="B32" s="905">
        <v>8</v>
      </c>
      <c r="C32" s="830"/>
      <c r="D32" s="831"/>
      <c r="E32" s="831"/>
      <c r="F32" s="831"/>
      <c r="G32" s="831"/>
      <c r="H32" s="831"/>
      <c r="I32" s="831"/>
      <c r="J32" s="980" t="str">
        <f>IF(C32="","",INDEX(STDHVAC[Baseline Definition],MATCH(C32,STDHVAC[Measure Name],0)))</f>
        <v/>
      </c>
      <c r="K32" s="981"/>
      <c r="L32" s="982" t="str">
        <f>IF(C32="","",INDEX(STDHVAC[Baseline Efficiency Value],MATCH(C32,STDHVAC[Measure Name],0)))</f>
        <v/>
      </c>
      <c r="M32" s="983"/>
      <c r="N32" s="984"/>
      <c r="O32" s="985"/>
      <c r="P32" s="986" t="str">
        <f>IF(C32="","",INDEX(STDHVAC[Baseline Definition 2],MATCH(C32,STDHVAC[Measure Name],0)))</f>
        <v/>
      </c>
      <c r="Q32" s="987"/>
      <c r="R32" s="988" t="str">
        <f>IF(C32="","",INDEX(STDHVAC[Baseline Efficiency Value 2],MATCH(C32,STDHVAC[Measure Name],0)))</f>
        <v/>
      </c>
      <c r="S32" s="989"/>
      <c r="T32" s="990" t="str">
        <f t="shared" ref="T32" si="25">IF(AND(ISNUMBER(SEARCH("DX",C32)),ISNUMBER(SEARCH("&lt;65kbtu",C32)),N32&lt;&gt;""),1.12*N32-0.02*N32^2,IF(ISNUMBER(SEARCH("PTAC",C32)),1,""))</f>
        <v/>
      </c>
      <c r="U32" s="991"/>
      <c r="V32" s="992"/>
      <c r="W32" s="992"/>
      <c r="X32" s="830"/>
      <c r="Y32" s="831"/>
      <c r="Z32" s="832"/>
      <c r="AA32" s="867"/>
      <c r="AB32" s="868"/>
      <c r="AC32" s="868"/>
      <c r="AD32" s="869"/>
      <c r="AE32" s="993" t="str">
        <f>IF(C32="","",INDEX(STDHVAC[Current Unit],MATCH(C32,STDHVAC[Measure Name],0)))</f>
        <v/>
      </c>
      <c r="AF32" s="993"/>
      <c r="AG32" s="993"/>
      <c r="AH32" s="994"/>
      <c r="AI32" s="899" t="str">
        <f>IFERROR(IF(C32="","",INDEX(STDHVAC[Current Incentive],MATCH(C32,STDHVAC[Measure Name],0))),"")</f>
        <v/>
      </c>
      <c r="AJ32" s="899"/>
      <c r="AK32" s="900" t="str">
        <f t="shared" ref="AK32" si="26">IFERROR(IF(OR(C32="",N32="",V32="",X32="",T32="",AA32="",AC32=""),"",IF(BH32="Deemed",AV32,IF(BH32="Calculated",BA32,""))),"")</f>
        <v/>
      </c>
      <c r="AL32" s="900"/>
      <c r="AM32" s="900"/>
      <c r="AN32" s="897" t="str">
        <f t="shared" ref="AN32" si="27">IFERROR(IF(OR(C32="",N32="",V32="",X32="",T32="",AA32="",AC32=""),"",IF(BD32&lt;&gt;"",BD32,IF(BI32&gt;0,BI32,ROUND(IF(AK32&lt;=0,0,IF(AE32="$/ton",MIN(AT32,V32*AI32),MIN(AT32,(N32-L32)*V32*AI32))),2)))),"")</f>
        <v/>
      </c>
      <c r="AO32" s="902"/>
      <c r="AP32" s="902"/>
      <c r="AQ32" s="902"/>
      <c r="AR32" s="37"/>
      <c r="AS32" s="235"/>
      <c r="AT32" s="972" t="str">
        <f t="shared" ref="AT32" si="28">IF(OR(C32="",N32="",V32="",X32="",T32="",AA32="",AC32=""),"",IF(AK32=0,"",ROUND(AA32+AC32,2)))</f>
        <v/>
      </c>
      <c r="AU32" s="995" t="str">
        <f>IFERROR(IF(OR(C32="",N32="",V32="",X32="",T32="",AA32="",AC32=""),"",INDEX(STDHVAC[Current Unit],MATCH(C32,STDHVAC[Measure Name],0))),"Err")</f>
        <v/>
      </c>
      <c r="AV32" s="850" t="str">
        <f>IF(OR(C32="",N32="",V32="",X32="",T32="",AA32="",AC32=""),"",ROUND(V32*INDEX(STDHVAC[Electric Energy Savings (Annual kWh/unit)],MATCH(C32,STDHVAC[Measure Name],0)),4))</f>
        <v/>
      </c>
      <c r="AW32" s="850" t="str">
        <f>IF(OR(C32="",N32="",V32="",X32="",T32="",AA32="",AC32=""),"",ROUND(V32*INDEX(STDHVAC[Coincident Peak Demand Savings (kW/unit)],MATCH(C32,STDHVAC[Measure Name],0)),4))</f>
        <v/>
      </c>
      <c r="AX32" s="970"/>
      <c r="AY32" s="970"/>
      <c r="AZ32" s="976" t="str">
        <f>IFERROR(IF(OR(C32="",N32="",V32="",X32="",T32="",AA32="",AC32=""),"",INDEX(STDHVAC[End Use],MATCH(C32,STDHVAC[Measure Name],0))),"Err")</f>
        <v/>
      </c>
      <c r="BA32" s="978" t="str">
        <f>IFERROR(ROUND(
IF(ISNUMBER(SEARCH("DX",C32)),(V32*12)*((1/L32)-(1/N32))*INDEX(STDHVAC[EFLHcool],MATCH(C32,STDHVAC[Measure Name],0)),
IF(ISNUMBER(SEARCH("PTAC",C32)),(V32*12)*((1/L32)-(1/N32))*INDEX(STDHVAC[EFLHcool],MATCH(C32,STDHVAC[Measure Name],0)),
IF(ISNUMBER(SEARCH("PTHP",C32)),((V32*12)*((1/L32)-(1/N32))*INDEX(STDHVAC[EFLHcool],MATCH(C32,STDHVAC[Measure Name],0)))+(((V32*12)/3.412)*((1/R32)-(1/T32))*INDEX(STDHVAC[EFLHheat],MATCH(C32,STDHVAC[Measure Name],0))),
IF(ISNUMBER(SEARCH("ASHP",C32)),((V32*12)*((1/L32)-(1/N32))*INDEX(STDHVAC[EFLHcool],MATCH(C32,STDHVAC[Measure Name],0)))+(IF(P32="HSPF",(V32*12),((V32*12)/3.412))*((1/R32)-(1/T32))*INDEX(STDHVAC[EFLHheat],MATCH(C32,STDHVAC[Measure Name],0))),
"")))),4),"")</f>
        <v/>
      </c>
      <c r="BB32" s="978" t="str">
        <f>IFERROR(ROUND(((V32*12)*((1/L32)-(1/N32))*INDEX(STDHVAC[EFLHcool],MATCH(C32,STDHVAC[Measure Name],0)))*INDEX(ENDUSEALL[Factor],MATCH(AZ32,ENDUSEALL[End Use to Coincident Peak Demand Factors],0)),4),"")</f>
        <v/>
      </c>
      <c r="BC32" s="976" t="str">
        <f>IFERROR(IF(OR(C32="",N32="",V32="",X32="",T32="",AA32="",AC32="",ISNUMBER(AN32)=FALSE,AN32=0),"",INDEX(STDHVAC[Measure Number],MATCH(C32,STDHVAC[Measure Name],0))),"Err")</f>
        <v/>
      </c>
      <c r="BD32" s="976" t="str">
        <f>IFERROR(IF(OR(C32="",N32="",V32="",X32="",T32="",AA32="",AC32=""),"",
IF(BI32&gt;0,"",
IF(L32=N32,"Must Improve Efficiency",
IF(EXPIRATION&lt;&gt;"",PROJSTATEXP,"")))),"")</f>
        <v/>
      </c>
      <c r="BE32" s="928" t="str">
        <f>IFERROR(INDEX(STDHVAC[Measure Life (Years)],MATCH(C32,STDHVAC[Measure Name],0)),"")</f>
        <v/>
      </c>
      <c r="BF32" s="930" t="str">
        <f>IFERROR(IF(OR(C32="",N32="",V32="",X32="",T32="",AA32="",AC32=""),"",
ROUND(((1+ELOSS)*((AV32*INDEX(ELECCB[NPV AEC $/kWh],MATCH(BE32,ELECCB[Year Number],1)))+(AW32*INDEX(ELECCB[NPV ACC $/kW],MATCH(BE32,ELECCB[Year Number],1))))),2)),0)</f>
        <v/>
      </c>
      <c r="BG32" s="937"/>
      <c r="BH32" s="934" t="str">
        <f>IFERROR(IF(OR(C32="",N32="",V32="",X32="",T32="",AA32="",AC32=""),"",INDEX(STDHVAC[Reporting Methodology],MATCH(C32,STDHVAC[Measure Name],0))),"Err")</f>
        <v/>
      </c>
      <c r="BI32" s="939"/>
    </row>
    <row r="33" spans="2:61" ht="15.95" customHeight="1">
      <c r="B33" s="905"/>
      <c r="C33" s="833"/>
      <c r="D33" s="834"/>
      <c r="E33" s="834"/>
      <c r="F33" s="834"/>
      <c r="G33" s="834"/>
      <c r="H33" s="834"/>
      <c r="I33" s="834"/>
      <c r="J33" s="980"/>
      <c r="K33" s="981"/>
      <c r="L33" s="982"/>
      <c r="M33" s="983"/>
      <c r="N33" s="984"/>
      <c r="O33" s="985"/>
      <c r="P33" s="980"/>
      <c r="Q33" s="981"/>
      <c r="R33" s="982"/>
      <c r="S33" s="983"/>
      <c r="T33" s="990"/>
      <c r="U33" s="991"/>
      <c r="V33" s="992"/>
      <c r="W33" s="992"/>
      <c r="X33" s="833"/>
      <c r="Y33" s="834"/>
      <c r="Z33" s="835"/>
      <c r="AA33" s="867"/>
      <c r="AB33" s="868"/>
      <c r="AC33" s="868"/>
      <c r="AD33" s="869"/>
      <c r="AE33" s="993"/>
      <c r="AF33" s="993"/>
      <c r="AG33" s="993"/>
      <c r="AH33" s="994"/>
      <c r="AI33" s="899"/>
      <c r="AJ33" s="899"/>
      <c r="AK33" s="901"/>
      <c r="AL33" s="901"/>
      <c r="AM33" s="901"/>
      <c r="AN33" s="899"/>
      <c r="AO33" s="903"/>
      <c r="AP33" s="903"/>
      <c r="AQ33" s="903"/>
      <c r="AR33" s="37"/>
      <c r="AS33" s="235"/>
      <c r="AT33" s="973"/>
      <c r="AU33" s="996"/>
      <c r="AV33" s="851"/>
      <c r="AW33" s="851"/>
      <c r="AX33" s="970"/>
      <c r="AY33" s="970"/>
      <c r="AZ33" s="977"/>
      <c r="BA33" s="979"/>
      <c r="BB33" s="979"/>
      <c r="BC33" s="977"/>
      <c r="BD33" s="977"/>
      <c r="BE33" s="929"/>
      <c r="BF33" s="931"/>
      <c r="BG33" s="938"/>
      <c r="BH33" s="934"/>
      <c r="BI33" s="939"/>
    </row>
    <row r="34" spans="2:61" ht="15.95" customHeight="1">
      <c r="B34" s="905">
        <v>9</v>
      </c>
      <c r="C34" s="830"/>
      <c r="D34" s="831"/>
      <c r="E34" s="831"/>
      <c r="F34" s="831"/>
      <c r="G34" s="831"/>
      <c r="H34" s="831"/>
      <c r="I34" s="831"/>
      <c r="J34" s="980" t="str">
        <f>IF(C34="","",INDEX(STDHVAC[Baseline Definition],MATCH(C34,STDHVAC[Measure Name],0)))</f>
        <v/>
      </c>
      <c r="K34" s="981"/>
      <c r="L34" s="982" t="str">
        <f>IF(C34="","",INDEX(STDHVAC[Baseline Efficiency Value],MATCH(C34,STDHVAC[Measure Name],0)))</f>
        <v/>
      </c>
      <c r="M34" s="983"/>
      <c r="N34" s="984"/>
      <c r="O34" s="985"/>
      <c r="P34" s="986" t="str">
        <f>IF(C34="","",INDEX(STDHVAC[Baseline Definition 2],MATCH(C34,STDHVAC[Measure Name],0)))</f>
        <v/>
      </c>
      <c r="Q34" s="987"/>
      <c r="R34" s="988" t="str">
        <f>IF(C34="","",INDEX(STDHVAC[Baseline Efficiency Value 2],MATCH(C34,STDHVAC[Measure Name],0)))</f>
        <v/>
      </c>
      <c r="S34" s="989"/>
      <c r="T34" s="990" t="str">
        <f t="shared" ref="T34" si="29">IF(AND(ISNUMBER(SEARCH("DX",C34)),ISNUMBER(SEARCH("&lt;65kbtu",C34)),N34&lt;&gt;""),1.12*N34-0.02*N34^2,IF(ISNUMBER(SEARCH("PTAC",C34)),1,""))</f>
        <v/>
      </c>
      <c r="U34" s="991"/>
      <c r="V34" s="992"/>
      <c r="W34" s="992"/>
      <c r="X34" s="830"/>
      <c r="Y34" s="831"/>
      <c r="Z34" s="832"/>
      <c r="AA34" s="867"/>
      <c r="AB34" s="868"/>
      <c r="AC34" s="868"/>
      <c r="AD34" s="869"/>
      <c r="AE34" s="993" t="str">
        <f>IF(C34="","",INDEX(STDHVAC[Current Unit],MATCH(C34,STDHVAC[Measure Name],0)))</f>
        <v/>
      </c>
      <c r="AF34" s="993"/>
      <c r="AG34" s="993"/>
      <c r="AH34" s="994"/>
      <c r="AI34" s="899" t="str">
        <f>IFERROR(IF(C34="","",INDEX(STDHVAC[Current Incentive],MATCH(C34,STDHVAC[Measure Name],0))),"")</f>
        <v/>
      </c>
      <c r="AJ34" s="899"/>
      <c r="AK34" s="900" t="str">
        <f t="shared" ref="AK34" si="30">IFERROR(IF(OR(C34="",N34="",V34="",X34="",T34="",AA34="",AC34=""),"",IF(BH34="Deemed",AV34,IF(BH34="Calculated",BA34,""))),"")</f>
        <v/>
      </c>
      <c r="AL34" s="900"/>
      <c r="AM34" s="900"/>
      <c r="AN34" s="897" t="str">
        <f t="shared" ref="AN34" si="31">IFERROR(IF(OR(C34="",N34="",V34="",X34="",T34="",AA34="",AC34=""),"",IF(BD34&lt;&gt;"",BD34,IF(BI34&gt;0,BI34,ROUND(IF(AK34&lt;=0,0,IF(AE34="$/ton",MIN(AT34,V34*AI34),MIN(AT34,(N34-L34)*V34*AI34))),2)))),"")</f>
        <v/>
      </c>
      <c r="AO34" s="902"/>
      <c r="AP34" s="902"/>
      <c r="AQ34" s="902"/>
      <c r="AR34" s="37"/>
      <c r="AS34" s="235"/>
      <c r="AT34" s="972" t="str">
        <f t="shared" ref="AT34" si="32">IF(OR(C34="",N34="",V34="",X34="",T34="",AA34="",AC34=""),"",IF(AK34=0,"",ROUND(AA34+AC34,2)))</f>
        <v/>
      </c>
      <c r="AU34" s="995" t="str">
        <f>IFERROR(IF(OR(C34="",N34="",V34="",X34="",T34="",AA34="",AC34=""),"",INDEX(STDHVAC[Current Unit],MATCH(C34,STDHVAC[Measure Name],0))),"Err")</f>
        <v/>
      </c>
      <c r="AV34" s="850" t="str">
        <f>IF(OR(C34="",N34="",V34="",X34="",T34="",AA34="",AC34=""),"",ROUND(V34*INDEX(STDHVAC[Electric Energy Savings (Annual kWh/unit)],MATCH(C34,STDHVAC[Measure Name],0)),4))</f>
        <v/>
      </c>
      <c r="AW34" s="850" t="str">
        <f>IF(OR(C34="",N34="",V34="",X34="",T34="",AA34="",AC34=""),"",ROUND(V34*INDEX(STDHVAC[Coincident Peak Demand Savings (kW/unit)],MATCH(C34,STDHVAC[Measure Name],0)),4))</f>
        <v/>
      </c>
      <c r="AX34" s="970"/>
      <c r="AY34" s="970"/>
      <c r="AZ34" s="976" t="str">
        <f>IFERROR(IF(OR(C34="",N34="",V34="",X34="",T34="",AA34="",AC34=""),"",INDEX(STDHVAC[End Use],MATCH(C34,STDHVAC[Measure Name],0))),"Err")</f>
        <v/>
      </c>
      <c r="BA34" s="978" t="str">
        <f>IFERROR(ROUND(
IF(ISNUMBER(SEARCH("DX",C34)),(V34*12)*((1/L34)-(1/N34))*INDEX(STDHVAC[EFLHcool],MATCH(C34,STDHVAC[Measure Name],0)),
IF(ISNUMBER(SEARCH("PTAC",C34)),(V34*12)*((1/L34)-(1/N34))*INDEX(STDHVAC[EFLHcool],MATCH(C34,STDHVAC[Measure Name],0)),
IF(ISNUMBER(SEARCH("PTHP",C34)),((V34*12)*((1/L34)-(1/N34))*INDEX(STDHVAC[EFLHcool],MATCH(C34,STDHVAC[Measure Name],0)))+(((V34*12)/3.412)*((1/R34)-(1/T34))*INDEX(STDHVAC[EFLHheat],MATCH(C34,STDHVAC[Measure Name],0))),
IF(ISNUMBER(SEARCH("ASHP",C34)),((V34*12)*((1/L34)-(1/N34))*INDEX(STDHVAC[EFLHcool],MATCH(C34,STDHVAC[Measure Name],0)))+(IF(P34="HSPF",(V34*12),((V34*12)/3.412))*((1/R34)-(1/T34))*INDEX(STDHVAC[EFLHheat],MATCH(C34,STDHVAC[Measure Name],0))),
"")))),4),"")</f>
        <v/>
      </c>
      <c r="BB34" s="978" t="str">
        <f>IFERROR(ROUND(((V34*12)*((1/L34)-(1/N34))*INDEX(STDHVAC[EFLHcool],MATCH(C34,STDHVAC[Measure Name],0)))*INDEX(ENDUSEALL[Factor],MATCH(AZ34,ENDUSEALL[End Use to Coincident Peak Demand Factors],0)),4),"")</f>
        <v/>
      </c>
      <c r="BC34" s="976" t="str">
        <f>IFERROR(IF(OR(C34="",N34="",V34="",X34="",T34="",AA34="",AC34="",ISNUMBER(AN34)=FALSE,AN34=0),"",INDEX(STDHVAC[Measure Number],MATCH(C34,STDHVAC[Measure Name],0))),"Err")</f>
        <v/>
      </c>
      <c r="BD34" s="976" t="str">
        <f>IFERROR(IF(OR(C34="",N34="",V34="",X34="",T34="",AA34="",AC34=""),"",
IF(BI34&gt;0,"",
IF(L34=N34,"Must Improve Efficiency",
IF(EXPIRATION&lt;&gt;"",PROJSTATEXP,"")))),"")</f>
        <v/>
      </c>
      <c r="BE34" s="928" t="str">
        <f>IFERROR(INDEX(STDHVAC[Measure Life (Years)],MATCH(C34,STDHVAC[Measure Name],0)),"")</f>
        <v/>
      </c>
      <c r="BF34" s="930" t="str">
        <f>IFERROR(IF(OR(C34="",N34="",V34="",X34="",T34="",AA34="",AC34=""),"",
ROUND(((1+ELOSS)*((AV34*INDEX(ELECCB[NPV AEC $/kWh],MATCH(BE34,ELECCB[Year Number],1)))+(AW34*INDEX(ELECCB[NPV ACC $/kW],MATCH(BE34,ELECCB[Year Number],1))))),2)),0)</f>
        <v/>
      </c>
      <c r="BG34" s="937"/>
      <c r="BH34" s="934" t="str">
        <f>IFERROR(IF(OR(C34="",N34="",V34="",X34="",T34="",AA34="",AC34=""),"",INDEX(STDHVAC[Reporting Methodology],MATCH(C34,STDHVAC[Measure Name],0))),"Err")</f>
        <v/>
      </c>
      <c r="BI34" s="939"/>
    </row>
    <row r="35" spans="2:61" ht="15.95" customHeight="1">
      <c r="B35" s="905"/>
      <c r="C35" s="833"/>
      <c r="D35" s="834"/>
      <c r="E35" s="834"/>
      <c r="F35" s="834"/>
      <c r="G35" s="834"/>
      <c r="H35" s="834"/>
      <c r="I35" s="834"/>
      <c r="J35" s="980"/>
      <c r="K35" s="981"/>
      <c r="L35" s="982"/>
      <c r="M35" s="983"/>
      <c r="N35" s="984"/>
      <c r="O35" s="985"/>
      <c r="P35" s="980"/>
      <c r="Q35" s="981"/>
      <c r="R35" s="982"/>
      <c r="S35" s="983"/>
      <c r="T35" s="990"/>
      <c r="U35" s="991"/>
      <c r="V35" s="992"/>
      <c r="W35" s="992"/>
      <c r="X35" s="833"/>
      <c r="Y35" s="834"/>
      <c r="Z35" s="835"/>
      <c r="AA35" s="867"/>
      <c r="AB35" s="868"/>
      <c r="AC35" s="868"/>
      <c r="AD35" s="869"/>
      <c r="AE35" s="993"/>
      <c r="AF35" s="993"/>
      <c r="AG35" s="993"/>
      <c r="AH35" s="994"/>
      <c r="AI35" s="899"/>
      <c r="AJ35" s="899"/>
      <c r="AK35" s="901"/>
      <c r="AL35" s="901"/>
      <c r="AM35" s="901"/>
      <c r="AN35" s="899"/>
      <c r="AO35" s="903"/>
      <c r="AP35" s="903"/>
      <c r="AQ35" s="903"/>
      <c r="AR35" s="37"/>
      <c r="AS35" s="235"/>
      <c r="AT35" s="973"/>
      <c r="AU35" s="996"/>
      <c r="AV35" s="851"/>
      <c r="AW35" s="851"/>
      <c r="AX35" s="970"/>
      <c r="AY35" s="970"/>
      <c r="AZ35" s="977"/>
      <c r="BA35" s="979"/>
      <c r="BB35" s="979"/>
      <c r="BC35" s="977"/>
      <c r="BD35" s="977"/>
      <c r="BE35" s="929"/>
      <c r="BF35" s="931"/>
      <c r="BG35" s="938"/>
      <c r="BH35" s="934"/>
      <c r="BI35" s="939"/>
    </row>
    <row r="36" spans="2:61" ht="15.95" customHeight="1">
      <c r="B36" s="905">
        <v>10</v>
      </c>
      <c r="C36" s="830"/>
      <c r="D36" s="831"/>
      <c r="E36" s="831"/>
      <c r="F36" s="831"/>
      <c r="G36" s="831"/>
      <c r="H36" s="831"/>
      <c r="I36" s="831"/>
      <c r="J36" s="980" t="str">
        <f>IF(C36="","",INDEX(STDHVAC[Baseline Definition],MATCH(C36,STDHVAC[Measure Name],0)))</f>
        <v/>
      </c>
      <c r="K36" s="981"/>
      <c r="L36" s="982" t="str">
        <f>IF(C36="","",INDEX(STDHVAC[Baseline Efficiency Value],MATCH(C36,STDHVAC[Measure Name],0)))</f>
        <v/>
      </c>
      <c r="M36" s="983"/>
      <c r="N36" s="984"/>
      <c r="O36" s="985"/>
      <c r="P36" s="986" t="str">
        <f>IF(C36="","",INDEX(STDHVAC[Baseline Definition 2],MATCH(C36,STDHVAC[Measure Name],0)))</f>
        <v/>
      </c>
      <c r="Q36" s="987"/>
      <c r="R36" s="988" t="str">
        <f>IF(C36="","",INDEX(STDHVAC[Baseline Efficiency Value 2],MATCH(C36,STDHVAC[Measure Name],0)))</f>
        <v/>
      </c>
      <c r="S36" s="989"/>
      <c r="T36" s="990" t="str">
        <f t="shared" ref="T36" si="33">IF(AND(ISNUMBER(SEARCH("DX",C36)),ISNUMBER(SEARCH("&lt;65kbtu",C36)),N36&lt;&gt;""),1.12*N36-0.02*N36^2,IF(ISNUMBER(SEARCH("PTAC",C36)),1,""))</f>
        <v/>
      </c>
      <c r="U36" s="991"/>
      <c r="V36" s="992"/>
      <c r="W36" s="992"/>
      <c r="X36" s="830"/>
      <c r="Y36" s="831"/>
      <c r="Z36" s="832"/>
      <c r="AA36" s="867"/>
      <c r="AB36" s="868"/>
      <c r="AC36" s="868"/>
      <c r="AD36" s="869"/>
      <c r="AE36" s="993" t="str">
        <f>IF(C36="","",INDEX(STDHVAC[Current Unit],MATCH(C36,STDHVAC[Measure Name],0)))</f>
        <v/>
      </c>
      <c r="AF36" s="993"/>
      <c r="AG36" s="993"/>
      <c r="AH36" s="994"/>
      <c r="AI36" s="899" t="str">
        <f>IFERROR(IF(C36="","",INDEX(STDHVAC[Current Incentive],MATCH(C36,STDHVAC[Measure Name],0))),"")</f>
        <v/>
      </c>
      <c r="AJ36" s="899"/>
      <c r="AK36" s="900" t="str">
        <f t="shared" ref="AK36" si="34">IFERROR(IF(OR(C36="",N36="",V36="",X36="",T36="",AA36="",AC36=""),"",IF(BH36="Deemed",AV36,IF(BH36="Calculated",BA36,""))),"")</f>
        <v/>
      </c>
      <c r="AL36" s="900"/>
      <c r="AM36" s="900"/>
      <c r="AN36" s="897" t="str">
        <f t="shared" ref="AN36" si="35">IFERROR(IF(OR(C36="",N36="",V36="",X36="",T36="",AA36="",AC36=""),"",IF(BD36&lt;&gt;"",BD36,IF(BI36&gt;0,BI36,ROUND(IF(AK36&lt;=0,0,IF(AE36="$/ton",MIN(AT36,V36*AI36),MIN(AT36,(N36-L36)*V36*AI36))),2)))),"")</f>
        <v/>
      </c>
      <c r="AO36" s="902"/>
      <c r="AP36" s="902"/>
      <c r="AQ36" s="902"/>
      <c r="AR36" s="37"/>
      <c r="AS36" s="235"/>
      <c r="AT36" s="972" t="str">
        <f t="shared" ref="AT36" si="36">IF(OR(C36="",N36="",V36="",X36="",T36="",AA36="",AC36=""),"",IF(AK36=0,"",ROUND(AA36+AC36,2)))</f>
        <v/>
      </c>
      <c r="AU36" s="995" t="str">
        <f>IFERROR(IF(OR(C36="",N36="",V36="",X36="",T36="",AA36="",AC36=""),"",INDEX(STDHVAC[Current Unit],MATCH(C36,STDHVAC[Measure Name],0))),"Err")</f>
        <v/>
      </c>
      <c r="AV36" s="850" t="str">
        <f>IF(OR(C36="",N36="",V36="",X36="",T36="",AA36="",AC36=""),"",ROUND(V36*INDEX(STDHVAC[Electric Energy Savings (Annual kWh/unit)],MATCH(C36,STDHVAC[Measure Name],0)),4))</f>
        <v/>
      </c>
      <c r="AW36" s="850" t="str">
        <f>IF(OR(C36="",N36="",V36="",X36="",T36="",AA36="",AC36=""),"",ROUND(V36*INDEX(STDHVAC[Coincident Peak Demand Savings (kW/unit)],MATCH(C36,STDHVAC[Measure Name],0)),4))</f>
        <v/>
      </c>
      <c r="AX36" s="970"/>
      <c r="AY36" s="970"/>
      <c r="AZ36" s="976" t="str">
        <f>IFERROR(IF(OR(C36="",N36="",V36="",X36="",T36="",AA36="",AC36=""),"",INDEX(STDHVAC[End Use],MATCH(C36,STDHVAC[Measure Name],0))),"Err")</f>
        <v/>
      </c>
      <c r="BA36" s="978" t="str">
        <f>IFERROR(ROUND(
IF(ISNUMBER(SEARCH("DX",C36)),(V36*12)*((1/L36)-(1/N36))*INDEX(STDHVAC[EFLHcool],MATCH(C36,STDHVAC[Measure Name],0)),
IF(ISNUMBER(SEARCH("PTAC",C36)),(V36*12)*((1/L36)-(1/N36))*INDEX(STDHVAC[EFLHcool],MATCH(C36,STDHVAC[Measure Name],0)),
IF(ISNUMBER(SEARCH("PTHP",C36)),((V36*12)*((1/L36)-(1/N36))*INDEX(STDHVAC[EFLHcool],MATCH(C36,STDHVAC[Measure Name],0)))+(((V36*12)/3.412)*((1/R36)-(1/T36))*INDEX(STDHVAC[EFLHheat],MATCH(C36,STDHVAC[Measure Name],0))),
IF(ISNUMBER(SEARCH("ASHP",C36)),((V36*12)*((1/L36)-(1/N36))*INDEX(STDHVAC[EFLHcool],MATCH(C36,STDHVAC[Measure Name],0)))+(IF(P36="HSPF",(V36*12),((V36*12)/3.412))*((1/R36)-(1/T36))*INDEX(STDHVAC[EFLHheat],MATCH(C36,STDHVAC[Measure Name],0))),
"")))),4),"")</f>
        <v/>
      </c>
      <c r="BB36" s="978" t="str">
        <f>IFERROR(ROUND(((V36*12)*((1/L36)-(1/N36))*INDEX(STDHVAC[EFLHcool],MATCH(C36,STDHVAC[Measure Name],0)))*INDEX(ENDUSEALL[Factor],MATCH(AZ36,ENDUSEALL[End Use to Coincident Peak Demand Factors],0)),4),"")</f>
        <v/>
      </c>
      <c r="BC36" s="976" t="str">
        <f>IFERROR(IF(OR(C36="",N36="",V36="",X36="",T36="",AA36="",AC36="",ISNUMBER(AN36)=FALSE,AN36=0),"",INDEX(STDHVAC[Measure Number],MATCH(C36,STDHVAC[Measure Name],0))),"Err")</f>
        <v/>
      </c>
      <c r="BD36" s="976" t="str">
        <f>IFERROR(IF(OR(C36="",N36="",V36="",X36="",T36="",AA36="",AC36=""),"",
IF(BI36&gt;0,"",
IF(L36=N36,"Must Improve Efficiency",
IF(EXPIRATION&lt;&gt;"",PROJSTATEXP,"")))),"")</f>
        <v/>
      </c>
      <c r="BE36" s="928" t="str">
        <f>IFERROR(INDEX(STDHVAC[Measure Life (Years)],MATCH(C36,STDHVAC[Measure Name],0)),"")</f>
        <v/>
      </c>
      <c r="BF36" s="930" t="str">
        <f>IFERROR(IF(OR(C36="",N36="",V36="",X36="",T36="",AA36="",AC36=""),"",
ROUND(((1+ELOSS)*((AV36*INDEX(ELECCB[NPV AEC $/kWh],MATCH(BE36,ELECCB[Year Number],1)))+(AW36*INDEX(ELECCB[NPV ACC $/kW],MATCH(BE36,ELECCB[Year Number],1))))),2)),0)</f>
        <v/>
      </c>
      <c r="BG36" s="937"/>
      <c r="BH36" s="934" t="str">
        <f>IFERROR(IF(OR(C36="",N36="",V36="",X36="",T36="",AA36="",AC36=""),"",INDEX(STDHVAC[Reporting Methodology],MATCH(C36,STDHVAC[Measure Name],0))),"Err")</f>
        <v/>
      </c>
      <c r="BI36" s="939"/>
    </row>
    <row r="37" spans="2:61" ht="15.95" customHeight="1">
      <c r="B37" s="905"/>
      <c r="C37" s="833"/>
      <c r="D37" s="834"/>
      <c r="E37" s="834"/>
      <c r="F37" s="834"/>
      <c r="G37" s="834"/>
      <c r="H37" s="834"/>
      <c r="I37" s="834"/>
      <c r="J37" s="980"/>
      <c r="K37" s="981"/>
      <c r="L37" s="982"/>
      <c r="M37" s="983"/>
      <c r="N37" s="984"/>
      <c r="O37" s="985"/>
      <c r="P37" s="980"/>
      <c r="Q37" s="981"/>
      <c r="R37" s="982"/>
      <c r="S37" s="983"/>
      <c r="T37" s="990"/>
      <c r="U37" s="991"/>
      <c r="V37" s="992"/>
      <c r="W37" s="992"/>
      <c r="X37" s="833"/>
      <c r="Y37" s="834"/>
      <c r="Z37" s="835"/>
      <c r="AA37" s="867"/>
      <c r="AB37" s="868"/>
      <c r="AC37" s="868"/>
      <c r="AD37" s="869"/>
      <c r="AE37" s="993"/>
      <c r="AF37" s="993"/>
      <c r="AG37" s="993"/>
      <c r="AH37" s="994"/>
      <c r="AI37" s="899"/>
      <c r="AJ37" s="899"/>
      <c r="AK37" s="901"/>
      <c r="AL37" s="901"/>
      <c r="AM37" s="901"/>
      <c r="AN37" s="899"/>
      <c r="AO37" s="903"/>
      <c r="AP37" s="903"/>
      <c r="AQ37" s="903"/>
      <c r="AR37" s="37"/>
      <c r="AS37" s="235"/>
      <c r="AT37" s="973"/>
      <c r="AU37" s="996"/>
      <c r="AV37" s="851"/>
      <c r="AW37" s="851"/>
      <c r="AX37" s="970"/>
      <c r="AY37" s="970"/>
      <c r="AZ37" s="977"/>
      <c r="BA37" s="979"/>
      <c r="BB37" s="979"/>
      <c r="BC37" s="977"/>
      <c r="BD37" s="977"/>
      <c r="BE37" s="929"/>
      <c r="BF37" s="931"/>
      <c r="BG37" s="938"/>
      <c r="BH37" s="934"/>
      <c r="BI37" s="939"/>
    </row>
    <row r="38" spans="2:61" customFormat="1" ht="15.95" customHeight="1">
      <c r="B38" s="905">
        <v>11</v>
      </c>
      <c r="C38" s="830"/>
      <c r="D38" s="831"/>
      <c r="E38" s="831"/>
      <c r="F38" s="831"/>
      <c r="G38" s="831"/>
      <c r="H38" s="831"/>
      <c r="I38" s="831"/>
      <c r="J38" s="980" t="str">
        <f>IF(C38="","",INDEX(STDHVAC[Baseline Definition],MATCH(C38,STDHVAC[Measure Name],0)))</f>
        <v/>
      </c>
      <c r="K38" s="981"/>
      <c r="L38" s="982" t="str">
        <f>IF(C38="","",INDEX(STDHVAC[Baseline Efficiency Value],MATCH(C38,STDHVAC[Measure Name],0)))</f>
        <v/>
      </c>
      <c r="M38" s="983"/>
      <c r="N38" s="984"/>
      <c r="O38" s="985"/>
      <c r="P38" s="986" t="str">
        <f>IF(C38="","",INDEX(STDHVAC[Baseline Definition 2],MATCH(C38,STDHVAC[Measure Name],0)))</f>
        <v/>
      </c>
      <c r="Q38" s="987"/>
      <c r="R38" s="988" t="str">
        <f>IF(C38="","",INDEX(STDHVAC[Baseline Efficiency Value 2],MATCH(C38,STDHVAC[Measure Name],0)))</f>
        <v/>
      </c>
      <c r="S38" s="989"/>
      <c r="T38" s="990" t="str">
        <f t="shared" ref="T38" si="37">IF(AND(ISNUMBER(SEARCH("DX",C38)),ISNUMBER(SEARCH("&lt;65kbtu",C38)),N38&lt;&gt;""),1.12*N38-0.02*N38^2,IF(ISNUMBER(SEARCH("PTAC",C38)),1,""))</f>
        <v/>
      </c>
      <c r="U38" s="991"/>
      <c r="V38" s="992"/>
      <c r="W38" s="992"/>
      <c r="X38" s="830"/>
      <c r="Y38" s="831"/>
      <c r="Z38" s="832"/>
      <c r="AA38" s="867"/>
      <c r="AB38" s="868"/>
      <c r="AC38" s="868"/>
      <c r="AD38" s="869"/>
      <c r="AE38" s="993" t="str">
        <f>IF(C38="","",INDEX(STDHVAC[Current Unit],MATCH(C38,STDHVAC[Measure Name],0)))</f>
        <v/>
      </c>
      <c r="AF38" s="993"/>
      <c r="AG38" s="993"/>
      <c r="AH38" s="994"/>
      <c r="AI38" s="899" t="str">
        <f>IFERROR(IF(C38="","",INDEX(STDHVAC[Current Incentive],MATCH(C38,STDHVAC[Measure Name],0))),"")</f>
        <v/>
      </c>
      <c r="AJ38" s="899"/>
      <c r="AK38" s="900" t="str">
        <f t="shared" ref="AK38" si="38">IFERROR(IF(OR(C38="",N38="",V38="",X38="",T38="",AA38="",AC38=""),"",IF(BH38="Deemed",AV38,IF(BH38="Calculated",BA38,""))),"")</f>
        <v/>
      </c>
      <c r="AL38" s="900"/>
      <c r="AM38" s="900"/>
      <c r="AN38" s="897" t="str">
        <f t="shared" ref="AN38" si="39">IFERROR(IF(OR(C38="",N38="",V38="",X38="",T38="",AA38="",AC38=""),"",IF(BD38&lt;&gt;"",BD38,IF(BI38&gt;0,BI38,ROUND(IF(AK38&lt;=0,0,IF(AE38="$/ton",MIN(AT38,V38*AI38),MIN(AT38,(N38-L38)*V38*AI38))),2)))),"")</f>
        <v/>
      </c>
      <c r="AO38" s="902"/>
      <c r="AP38" s="902"/>
      <c r="AQ38" s="902"/>
      <c r="AR38" s="37"/>
      <c r="AS38" s="235"/>
      <c r="AT38" s="972" t="str">
        <f t="shared" ref="AT38" si="40">IF(OR(C38="",N38="",V38="",X38="",T38="",AA38="",AC38=""),"",IF(AK38=0,"",ROUND(AA38+AC38,2)))</f>
        <v/>
      </c>
      <c r="AU38" s="995" t="str">
        <f>IFERROR(IF(OR(C38="",N38="",V38="",X38="",T38="",AA38="",AC38=""),"",INDEX(STDHVAC[Current Unit],MATCH(C38,STDHVAC[Measure Name],0))),"Err")</f>
        <v/>
      </c>
      <c r="AV38" s="850" t="str">
        <f>IF(OR(C38="",N38="",V38="",X38="",T38="",AA38="",AC38=""),"",ROUND(V38*INDEX(STDHVAC[Electric Energy Savings (Annual kWh/unit)],MATCH(C38,STDHVAC[Measure Name],0)),4))</f>
        <v/>
      </c>
      <c r="AW38" s="850" t="str">
        <f>IF(OR(C38="",N38="",V38="",X38="",T38="",AA38="",AC38=""),"",ROUND(V38*INDEX(STDHVAC[Coincident Peak Demand Savings (kW/unit)],MATCH(C38,STDHVAC[Measure Name],0)),4))</f>
        <v/>
      </c>
      <c r="AX38" s="970"/>
      <c r="AY38" s="970"/>
      <c r="AZ38" s="976" t="str">
        <f>IFERROR(IF(OR(C38="",N38="",V38="",X38="",T38="",AA38="",AC38=""),"",INDEX(STDHVAC[End Use],MATCH(C38,STDHVAC[Measure Name],0))),"Err")</f>
        <v/>
      </c>
      <c r="BA38" s="978" t="str">
        <f>IFERROR(ROUND(
IF(ISNUMBER(SEARCH("DX",C38)),(V38*12)*((1/L38)-(1/N38))*INDEX(STDHVAC[EFLHcool],MATCH(C38,STDHVAC[Measure Name],0)),
IF(ISNUMBER(SEARCH("PTAC",C38)),(V38*12)*((1/L38)-(1/N38))*INDEX(STDHVAC[EFLHcool],MATCH(C38,STDHVAC[Measure Name],0)),
IF(ISNUMBER(SEARCH("PTHP",C38)),((V38*12)*((1/L38)-(1/N38))*INDEX(STDHVAC[EFLHcool],MATCH(C38,STDHVAC[Measure Name],0)))+(((V38*12)/3.412)*((1/R38)-(1/T38))*INDEX(STDHVAC[EFLHheat],MATCH(C38,STDHVAC[Measure Name],0))),
IF(ISNUMBER(SEARCH("ASHP",C38)),((V38*12)*((1/L38)-(1/N38))*INDEX(STDHVAC[EFLHcool],MATCH(C38,STDHVAC[Measure Name],0)))+(IF(P38="HSPF",(V38*12),((V38*12)/3.412))*((1/R38)-(1/T38))*INDEX(STDHVAC[EFLHheat],MATCH(C38,STDHVAC[Measure Name],0))),
"")))),4),"")</f>
        <v/>
      </c>
      <c r="BB38" s="978" t="str">
        <f>IFERROR(ROUND(((V38*12)*((1/L38)-(1/N38))*INDEX(STDHVAC[EFLHcool],MATCH(C38,STDHVAC[Measure Name],0)))*INDEX(ENDUSEALL[Factor],MATCH(AZ38,ENDUSEALL[End Use to Coincident Peak Demand Factors],0)),4),"")</f>
        <v/>
      </c>
      <c r="BC38" s="976" t="str">
        <f>IFERROR(IF(OR(C38="",N38="",V38="",X38="",T38="",AA38="",AC38="",ISNUMBER(AN38)=FALSE,AN38=0),"",INDEX(STDHVAC[Measure Number],MATCH(C38,STDHVAC[Measure Name],0))),"Err")</f>
        <v/>
      </c>
      <c r="BD38" s="976" t="str">
        <f>IFERROR(IF(OR(C38="",N38="",V38="",X38="",T38="",AA38="",AC38=""),"",
IF(BI38&gt;0,"",
IF(L38=N38,"Must Improve Efficiency",
IF(EXPIRATION&lt;&gt;"",PROJSTATEXP,"")))),"")</f>
        <v/>
      </c>
      <c r="BE38" s="928" t="str">
        <f>IFERROR(INDEX(STDHVAC[Measure Life (Years)],MATCH(C38,STDHVAC[Measure Name],0)),"")</f>
        <v/>
      </c>
      <c r="BF38" s="930" t="str">
        <f>IFERROR(IF(OR(C38="",N38="",V38="",X38="",T38="",AA38="",AC38=""),"",
ROUND(((1+ELOSS)*((AV38*INDEX(ELECCB[NPV AEC $/kWh],MATCH(BE38,ELECCB[Year Number],1)))+(AW38*INDEX(ELECCB[NPV ACC $/kW],MATCH(BE38,ELECCB[Year Number],1))))),2)),0)</f>
        <v/>
      </c>
      <c r="BG38" s="937"/>
      <c r="BH38" s="934" t="str">
        <f>IFERROR(IF(OR(C38="",N38="",V38="",X38="",T38="",AA38="",AC38=""),"",INDEX(STDHVAC[Reporting Methodology],MATCH(C38,STDHVAC[Measure Name],0))),"Err")</f>
        <v/>
      </c>
      <c r="BI38" s="939"/>
    </row>
    <row r="39" spans="2:61" customFormat="1" ht="15.95" customHeight="1">
      <c r="B39" s="905"/>
      <c r="C39" s="833"/>
      <c r="D39" s="834"/>
      <c r="E39" s="834"/>
      <c r="F39" s="834"/>
      <c r="G39" s="834"/>
      <c r="H39" s="834"/>
      <c r="I39" s="834"/>
      <c r="J39" s="980"/>
      <c r="K39" s="981"/>
      <c r="L39" s="982"/>
      <c r="M39" s="983"/>
      <c r="N39" s="984"/>
      <c r="O39" s="985"/>
      <c r="P39" s="980"/>
      <c r="Q39" s="981"/>
      <c r="R39" s="982"/>
      <c r="S39" s="983"/>
      <c r="T39" s="990"/>
      <c r="U39" s="991"/>
      <c r="V39" s="992"/>
      <c r="W39" s="992"/>
      <c r="X39" s="833"/>
      <c r="Y39" s="834"/>
      <c r="Z39" s="835"/>
      <c r="AA39" s="867"/>
      <c r="AB39" s="868"/>
      <c r="AC39" s="868"/>
      <c r="AD39" s="869"/>
      <c r="AE39" s="993"/>
      <c r="AF39" s="993"/>
      <c r="AG39" s="993"/>
      <c r="AH39" s="994"/>
      <c r="AI39" s="899"/>
      <c r="AJ39" s="899"/>
      <c r="AK39" s="901"/>
      <c r="AL39" s="901"/>
      <c r="AM39" s="901"/>
      <c r="AN39" s="899"/>
      <c r="AO39" s="903"/>
      <c r="AP39" s="903"/>
      <c r="AQ39" s="903"/>
      <c r="AR39" s="37"/>
      <c r="AS39" s="235"/>
      <c r="AT39" s="973"/>
      <c r="AU39" s="996"/>
      <c r="AV39" s="851"/>
      <c r="AW39" s="851"/>
      <c r="AX39" s="970"/>
      <c r="AY39" s="970"/>
      <c r="AZ39" s="977"/>
      <c r="BA39" s="979"/>
      <c r="BB39" s="979"/>
      <c r="BC39" s="977"/>
      <c r="BD39" s="977"/>
      <c r="BE39" s="929"/>
      <c r="BF39" s="931"/>
      <c r="BG39" s="938"/>
      <c r="BH39" s="934"/>
      <c r="BI39" s="939"/>
    </row>
    <row r="40" spans="2:61" customFormat="1" ht="15.95" customHeight="1">
      <c r="B40" s="905">
        <v>12</v>
      </c>
      <c r="C40" s="830"/>
      <c r="D40" s="831"/>
      <c r="E40" s="831"/>
      <c r="F40" s="831"/>
      <c r="G40" s="831"/>
      <c r="H40" s="831"/>
      <c r="I40" s="831"/>
      <c r="J40" s="980" t="str">
        <f>IF(C40="","",INDEX(STDHVAC[Baseline Definition],MATCH(C40,STDHVAC[Measure Name],0)))</f>
        <v/>
      </c>
      <c r="K40" s="981"/>
      <c r="L40" s="982" t="str">
        <f>IF(C40="","",INDEX(STDHVAC[Baseline Efficiency Value],MATCH(C40,STDHVAC[Measure Name],0)))</f>
        <v/>
      </c>
      <c r="M40" s="983"/>
      <c r="N40" s="984"/>
      <c r="O40" s="985"/>
      <c r="P40" s="986" t="str">
        <f>IF(C40="","",INDEX(STDHVAC[Baseline Definition 2],MATCH(C40,STDHVAC[Measure Name],0)))</f>
        <v/>
      </c>
      <c r="Q40" s="987"/>
      <c r="R40" s="988" t="str">
        <f>IF(C40="","",INDEX(STDHVAC[Baseline Efficiency Value 2],MATCH(C40,STDHVAC[Measure Name],0)))</f>
        <v/>
      </c>
      <c r="S40" s="989"/>
      <c r="T40" s="990" t="str">
        <f t="shared" ref="T40" si="41">IF(AND(ISNUMBER(SEARCH("DX",C40)),ISNUMBER(SEARCH("&lt;65kbtu",C40)),N40&lt;&gt;""),1.12*N40-0.02*N40^2,IF(ISNUMBER(SEARCH("PTAC",C40)),1,""))</f>
        <v/>
      </c>
      <c r="U40" s="991"/>
      <c r="V40" s="992"/>
      <c r="W40" s="992"/>
      <c r="X40" s="830"/>
      <c r="Y40" s="831"/>
      <c r="Z40" s="832"/>
      <c r="AA40" s="867"/>
      <c r="AB40" s="868"/>
      <c r="AC40" s="868"/>
      <c r="AD40" s="869"/>
      <c r="AE40" s="993" t="str">
        <f>IF(C40="","",INDEX(STDHVAC[Current Unit],MATCH(C40,STDHVAC[Measure Name],0)))</f>
        <v/>
      </c>
      <c r="AF40" s="993"/>
      <c r="AG40" s="993"/>
      <c r="AH40" s="994"/>
      <c r="AI40" s="899" t="str">
        <f>IFERROR(IF(C40="","",INDEX(STDHVAC[Current Incentive],MATCH(C40,STDHVAC[Measure Name],0))),"")</f>
        <v/>
      </c>
      <c r="AJ40" s="899"/>
      <c r="AK40" s="900" t="str">
        <f t="shared" ref="AK40" si="42">IFERROR(IF(OR(C40="",N40="",V40="",X40="",T40="",AA40="",AC40=""),"",IF(BH40="Deemed",AV40,IF(BH40="Calculated",BA40,""))),"")</f>
        <v/>
      </c>
      <c r="AL40" s="900"/>
      <c r="AM40" s="900"/>
      <c r="AN40" s="897" t="str">
        <f t="shared" ref="AN40" si="43">IFERROR(IF(OR(C40="",N40="",V40="",X40="",T40="",AA40="",AC40=""),"",IF(BD40&lt;&gt;"",BD40,IF(BI40&gt;0,BI40,ROUND(IF(AK40&lt;=0,0,IF(AE40="$/ton",MIN(AT40,V40*AI40),MIN(AT40,(N40-L40)*V40*AI40))),2)))),"")</f>
        <v/>
      </c>
      <c r="AO40" s="902"/>
      <c r="AP40" s="902"/>
      <c r="AQ40" s="902"/>
      <c r="AR40" s="37"/>
      <c r="AS40" s="235"/>
      <c r="AT40" s="972" t="str">
        <f t="shared" ref="AT40" si="44">IF(OR(C40="",N40="",V40="",X40="",T40="",AA40="",AC40=""),"",IF(AK40=0,"",ROUND(AA40+AC40,2)))</f>
        <v/>
      </c>
      <c r="AU40" s="995" t="str">
        <f>IFERROR(IF(OR(C40="",N40="",V40="",X40="",T40="",AA40="",AC40=""),"",INDEX(STDHVAC[Current Unit],MATCH(C40,STDHVAC[Measure Name],0))),"Err")</f>
        <v/>
      </c>
      <c r="AV40" s="850" t="str">
        <f>IF(OR(C40="",N40="",V40="",X40="",T40="",AA40="",AC40=""),"",ROUND(V40*INDEX(STDHVAC[Electric Energy Savings (Annual kWh/unit)],MATCH(C40,STDHVAC[Measure Name],0)),4))</f>
        <v/>
      </c>
      <c r="AW40" s="850" t="str">
        <f>IF(OR(C40="",N40="",V40="",X40="",T40="",AA40="",AC40=""),"",ROUND(V40*INDEX(STDHVAC[Coincident Peak Demand Savings (kW/unit)],MATCH(C40,STDHVAC[Measure Name],0)),4))</f>
        <v/>
      </c>
      <c r="AX40" s="970"/>
      <c r="AY40" s="970"/>
      <c r="AZ40" s="976" t="str">
        <f>IFERROR(IF(OR(C40="",N40="",V40="",X40="",T40="",AA40="",AC40=""),"",INDEX(STDHVAC[End Use],MATCH(C40,STDHVAC[Measure Name],0))),"Err")</f>
        <v/>
      </c>
      <c r="BA40" s="978" t="str">
        <f>IFERROR(ROUND(
IF(ISNUMBER(SEARCH("DX",C40)),(V40*12)*((1/L40)-(1/N40))*INDEX(STDHVAC[EFLHcool],MATCH(C40,STDHVAC[Measure Name],0)),
IF(ISNUMBER(SEARCH("PTAC",C40)),(V40*12)*((1/L40)-(1/N40))*INDEX(STDHVAC[EFLHcool],MATCH(C40,STDHVAC[Measure Name],0)),
IF(ISNUMBER(SEARCH("PTHP",C40)),((V40*12)*((1/L40)-(1/N40))*INDEX(STDHVAC[EFLHcool],MATCH(C40,STDHVAC[Measure Name],0)))+(((V40*12)/3.412)*((1/R40)-(1/T40))*INDEX(STDHVAC[EFLHheat],MATCH(C40,STDHVAC[Measure Name],0))),
IF(ISNUMBER(SEARCH("ASHP",C40)),((V40*12)*((1/L40)-(1/N40))*INDEX(STDHVAC[EFLHcool],MATCH(C40,STDHVAC[Measure Name],0)))+(IF(P40="HSPF",(V40*12),((V40*12)/3.412))*((1/R40)-(1/T40))*INDEX(STDHVAC[EFLHheat],MATCH(C40,STDHVAC[Measure Name],0))),
"")))),4),"")</f>
        <v/>
      </c>
      <c r="BB40" s="978" t="str">
        <f>IFERROR(ROUND(((V40*12)*((1/L40)-(1/N40))*INDEX(STDHVAC[EFLHcool],MATCH(C40,STDHVAC[Measure Name],0)))*INDEX(ENDUSEALL[Factor],MATCH(AZ40,ENDUSEALL[End Use to Coincident Peak Demand Factors],0)),4),"")</f>
        <v/>
      </c>
      <c r="BC40" s="976" t="str">
        <f>IFERROR(IF(OR(C40="",N40="",V40="",X40="",T40="",AA40="",AC40="",ISNUMBER(AN40)=FALSE,AN40=0),"",INDEX(STDHVAC[Measure Number],MATCH(C40,STDHVAC[Measure Name],0))),"Err")</f>
        <v/>
      </c>
      <c r="BD40" s="976" t="str">
        <f>IFERROR(IF(OR(C40="",N40="",V40="",X40="",T40="",AA40="",AC40=""),"",
IF(BI40&gt;0,"",
IF(L40=N40,"Must Improve Efficiency",
IF(EXPIRATION&lt;&gt;"",PROJSTATEXP,"")))),"")</f>
        <v/>
      </c>
      <c r="BE40" s="928" t="str">
        <f>IFERROR(INDEX(STDHVAC[Measure Life (Years)],MATCH(C40,STDHVAC[Measure Name],0)),"")</f>
        <v/>
      </c>
      <c r="BF40" s="930" t="str">
        <f>IFERROR(IF(OR(C40="",N40="",V40="",X40="",T40="",AA40="",AC40=""),"",
ROUND(((1+ELOSS)*((AV40*INDEX(ELECCB[NPV AEC $/kWh],MATCH(BE40,ELECCB[Year Number],1)))+(AW40*INDEX(ELECCB[NPV ACC $/kW],MATCH(BE40,ELECCB[Year Number],1))))),2)),0)</f>
        <v/>
      </c>
      <c r="BG40" s="937"/>
      <c r="BH40" s="934" t="str">
        <f>IFERROR(IF(OR(C40="",N40="",V40="",X40="",T40="",AA40="",AC40=""),"",INDEX(STDHVAC[Reporting Methodology],MATCH(C40,STDHVAC[Measure Name],0))),"Err")</f>
        <v/>
      </c>
      <c r="BI40" s="939"/>
    </row>
    <row r="41" spans="2:61" customFormat="1" ht="15.95" customHeight="1">
      <c r="B41" s="905"/>
      <c r="C41" s="833"/>
      <c r="D41" s="834"/>
      <c r="E41" s="834"/>
      <c r="F41" s="834"/>
      <c r="G41" s="834"/>
      <c r="H41" s="834"/>
      <c r="I41" s="834"/>
      <c r="J41" s="980"/>
      <c r="K41" s="981"/>
      <c r="L41" s="982"/>
      <c r="M41" s="983"/>
      <c r="N41" s="984"/>
      <c r="O41" s="985"/>
      <c r="P41" s="980"/>
      <c r="Q41" s="981"/>
      <c r="R41" s="982"/>
      <c r="S41" s="983"/>
      <c r="T41" s="990"/>
      <c r="U41" s="991"/>
      <c r="V41" s="992"/>
      <c r="W41" s="992"/>
      <c r="X41" s="833"/>
      <c r="Y41" s="834"/>
      <c r="Z41" s="835"/>
      <c r="AA41" s="867"/>
      <c r="AB41" s="868"/>
      <c r="AC41" s="868"/>
      <c r="AD41" s="869"/>
      <c r="AE41" s="993"/>
      <c r="AF41" s="993"/>
      <c r="AG41" s="993"/>
      <c r="AH41" s="994"/>
      <c r="AI41" s="899"/>
      <c r="AJ41" s="899"/>
      <c r="AK41" s="901"/>
      <c r="AL41" s="901"/>
      <c r="AM41" s="901"/>
      <c r="AN41" s="899"/>
      <c r="AO41" s="903"/>
      <c r="AP41" s="903"/>
      <c r="AQ41" s="903"/>
      <c r="AR41" s="37"/>
      <c r="AS41" s="235"/>
      <c r="AT41" s="973"/>
      <c r="AU41" s="996"/>
      <c r="AV41" s="851"/>
      <c r="AW41" s="851"/>
      <c r="AX41" s="970"/>
      <c r="AY41" s="970"/>
      <c r="AZ41" s="977"/>
      <c r="BA41" s="979"/>
      <c r="BB41" s="979"/>
      <c r="BC41" s="977"/>
      <c r="BD41" s="977"/>
      <c r="BE41" s="929"/>
      <c r="BF41" s="931"/>
      <c r="BG41" s="938"/>
      <c r="BH41" s="934"/>
      <c r="BI41" s="939"/>
    </row>
    <row r="42" spans="2:61" customFormat="1" ht="15.95" customHeight="1">
      <c r="B42" s="905">
        <v>13</v>
      </c>
      <c r="C42" s="830"/>
      <c r="D42" s="831"/>
      <c r="E42" s="831"/>
      <c r="F42" s="831"/>
      <c r="G42" s="831"/>
      <c r="H42" s="831"/>
      <c r="I42" s="831"/>
      <c r="J42" s="980" t="str">
        <f>IF(C42="","",INDEX(STDHVAC[Baseline Definition],MATCH(C42,STDHVAC[Measure Name],0)))</f>
        <v/>
      </c>
      <c r="K42" s="981"/>
      <c r="L42" s="982" t="str">
        <f>IF(C42="","",INDEX(STDHVAC[Baseline Efficiency Value],MATCH(C42,STDHVAC[Measure Name],0)))</f>
        <v/>
      </c>
      <c r="M42" s="983"/>
      <c r="N42" s="984"/>
      <c r="O42" s="985"/>
      <c r="P42" s="986" t="str">
        <f>IF(C42="","",INDEX(STDHVAC[Baseline Definition 2],MATCH(C42,STDHVAC[Measure Name],0)))</f>
        <v/>
      </c>
      <c r="Q42" s="987"/>
      <c r="R42" s="988" t="str">
        <f>IF(C42="","",INDEX(STDHVAC[Baseline Efficiency Value 2],MATCH(C42,STDHVAC[Measure Name],0)))</f>
        <v/>
      </c>
      <c r="S42" s="989"/>
      <c r="T42" s="990" t="str">
        <f t="shared" ref="T42" si="45">IF(AND(ISNUMBER(SEARCH("DX",C42)),ISNUMBER(SEARCH("&lt;65kbtu",C42)),N42&lt;&gt;""),1.12*N42-0.02*N42^2,IF(ISNUMBER(SEARCH("PTAC",C42)),1,""))</f>
        <v/>
      </c>
      <c r="U42" s="991"/>
      <c r="V42" s="992"/>
      <c r="W42" s="992"/>
      <c r="X42" s="830"/>
      <c r="Y42" s="831"/>
      <c r="Z42" s="832"/>
      <c r="AA42" s="867"/>
      <c r="AB42" s="868"/>
      <c r="AC42" s="868"/>
      <c r="AD42" s="869"/>
      <c r="AE42" s="993" t="str">
        <f>IF(C42="","",INDEX(STDHVAC[Current Unit],MATCH(C42,STDHVAC[Measure Name],0)))</f>
        <v/>
      </c>
      <c r="AF42" s="993"/>
      <c r="AG42" s="993"/>
      <c r="AH42" s="994"/>
      <c r="AI42" s="899" t="str">
        <f>IFERROR(IF(C42="","",INDEX(STDHVAC[Current Incentive],MATCH(C42,STDHVAC[Measure Name],0))),"")</f>
        <v/>
      </c>
      <c r="AJ42" s="899"/>
      <c r="AK42" s="900" t="str">
        <f t="shared" ref="AK42" si="46">IFERROR(IF(OR(C42="",N42="",V42="",X42="",T42="",AA42="",AC42=""),"",IF(BH42="Deemed",AV42,IF(BH42="Calculated",BA42,""))),"")</f>
        <v/>
      </c>
      <c r="AL42" s="900"/>
      <c r="AM42" s="900"/>
      <c r="AN42" s="897" t="str">
        <f t="shared" ref="AN42" si="47">IFERROR(IF(OR(C42="",N42="",V42="",X42="",T42="",AA42="",AC42=""),"",IF(BD42&lt;&gt;"",BD42,IF(BI42&gt;0,BI42,ROUND(IF(AK42&lt;=0,0,IF(AE42="$/ton",MIN(AT42,V42*AI42),MIN(AT42,(N42-L42)*V42*AI42))),2)))),"")</f>
        <v/>
      </c>
      <c r="AO42" s="902"/>
      <c r="AP42" s="902"/>
      <c r="AQ42" s="902"/>
      <c r="AR42" s="37"/>
      <c r="AS42" s="235"/>
      <c r="AT42" s="972" t="str">
        <f t="shared" ref="AT42" si="48">IF(OR(C42="",N42="",V42="",X42="",T42="",AA42="",AC42=""),"",IF(AK42=0,"",ROUND(AA42+AC42,2)))</f>
        <v/>
      </c>
      <c r="AU42" s="995" t="str">
        <f>IFERROR(IF(OR(C42="",N42="",V42="",X42="",T42="",AA42="",AC42=""),"",INDEX(STDHVAC[Current Unit],MATCH(C42,STDHVAC[Measure Name],0))),"Err")</f>
        <v/>
      </c>
      <c r="AV42" s="850" t="str">
        <f>IF(OR(C42="",N42="",V42="",X42="",T42="",AA42="",AC42=""),"",ROUND(V42*INDEX(STDHVAC[Electric Energy Savings (Annual kWh/unit)],MATCH(C42,STDHVAC[Measure Name],0)),4))</f>
        <v/>
      </c>
      <c r="AW42" s="850" t="str">
        <f>IF(OR(C42="",N42="",V42="",X42="",T42="",AA42="",AC42=""),"",ROUND(V42*INDEX(STDHVAC[Coincident Peak Demand Savings (kW/unit)],MATCH(C42,STDHVAC[Measure Name],0)),4))</f>
        <v/>
      </c>
      <c r="AX42" s="970"/>
      <c r="AY42" s="970"/>
      <c r="AZ42" s="976" t="str">
        <f>IFERROR(IF(OR(C42="",N42="",V42="",X42="",T42="",AA42="",AC42=""),"",INDEX(STDHVAC[End Use],MATCH(C42,STDHVAC[Measure Name],0))),"Err")</f>
        <v/>
      </c>
      <c r="BA42" s="978" t="str">
        <f>IFERROR(ROUND(
IF(ISNUMBER(SEARCH("DX",C42)),(V42*12)*((1/L42)-(1/N42))*INDEX(STDHVAC[EFLHcool],MATCH(C42,STDHVAC[Measure Name],0)),
IF(ISNUMBER(SEARCH("PTAC",C42)),(V42*12)*((1/L42)-(1/N42))*INDEX(STDHVAC[EFLHcool],MATCH(C42,STDHVAC[Measure Name],0)),
IF(ISNUMBER(SEARCH("PTHP",C42)),((V42*12)*((1/L42)-(1/N42))*INDEX(STDHVAC[EFLHcool],MATCH(C42,STDHVAC[Measure Name],0)))+(((V42*12)/3.412)*((1/R42)-(1/T42))*INDEX(STDHVAC[EFLHheat],MATCH(C42,STDHVAC[Measure Name],0))),
IF(ISNUMBER(SEARCH("ASHP",C42)),((V42*12)*((1/L42)-(1/N42))*INDEX(STDHVAC[EFLHcool],MATCH(C42,STDHVAC[Measure Name],0)))+(IF(P42="HSPF",(V42*12),((V42*12)/3.412))*((1/R42)-(1/T42))*INDEX(STDHVAC[EFLHheat],MATCH(C42,STDHVAC[Measure Name],0))),
"")))),4),"")</f>
        <v/>
      </c>
      <c r="BB42" s="978" t="str">
        <f>IFERROR(ROUND(((V42*12)*((1/L42)-(1/N42))*INDEX(STDHVAC[EFLHcool],MATCH(C42,STDHVAC[Measure Name],0)))*INDEX(ENDUSEALL[Factor],MATCH(AZ42,ENDUSEALL[End Use to Coincident Peak Demand Factors],0)),4),"")</f>
        <v/>
      </c>
      <c r="BC42" s="976" t="str">
        <f>IFERROR(IF(OR(C42="",N42="",V42="",X42="",T42="",AA42="",AC42="",ISNUMBER(AN42)=FALSE,AN42=0),"",INDEX(STDHVAC[Measure Number],MATCH(C42,STDHVAC[Measure Name],0))),"Err")</f>
        <v/>
      </c>
      <c r="BD42" s="976" t="str">
        <f>IFERROR(IF(OR(C42="",N42="",V42="",X42="",T42="",AA42="",AC42=""),"",
IF(BI42&gt;0,"",
IF(L42=N42,"Must Improve Efficiency",
IF(EXPIRATION&lt;&gt;"",PROJSTATEXP,"")))),"")</f>
        <v/>
      </c>
      <c r="BE42" s="928" t="str">
        <f>IFERROR(INDEX(STDHVAC[Measure Life (Years)],MATCH(C42,STDHVAC[Measure Name],0)),"")</f>
        <v/>
      </c>
      <c r="BF42" s="930" t="str">
        <f>IFERROR(IF(OR(C42="",N42="",V42="",X42="",T42="",AA42="",AC42=""),"",
ROUND(((1+ELOSS)*((AV42*INDEX(ELECCB[NPV AEC $/kWh],MATCH(BE42,ELECCB[Year Number],1)))+(AW42*INDEX(ELECCB[NPV ACC $/kW],MATCH(BE42,ELECCB[Year Number],1))))),2)),0)</f>
        <v/>
      </c>
      <c r="BG42" s="937"/>
      <c r="BH42" s="934" t="str">
        <f>IFERROR(IF(OR(C42="",N42="",V42="",X42="",T42="",AA42="",AC42=""),"",INDEX(STDHVAC[Reporting Methodology],MATCH(C42,STDHVAC[Measure Name],0))),"Err")</f>
        <v/>
      </c>
      <c r="BI42" s="939"/>
    </row>
    <row r="43" spans="2:61" customFormat="1" ht="15.95" customHeight="1">
      <c r="B43" s="905"/>
      <c r="C43" s="833"/>
      <c r="D43" s="834"/>
      <c r="E43" s="834"/>
      <c r="F43" s="834"/>
      <c r="G43" s="834"/>
      <c r="H43" s="834"/>
      <c r="I43" s="834"/>
      <c r="J43" s="980"/>
      <c r="K43" s="981"/>
      <c r="L43" s="982"/>
      <c r="M43" s="983"/>
      <c r="N43" s="984"/>
      <c r="O43" s="985"/>
      <c r="P43" s="980"/>
      <c r="Q43" s="981"/>
      <c r="R43" s="982"/>
      <c r="S43" s="983"/>
      <c r="T43" s="990"/>
      <c r="U43" s="991"/>
      <c r="V43" s="992"/>
      <c r="W43" s="992"/>
      <c r="X43" s="833"/>
      <c r="Y43" s="834"/>
      <c r="Z43" s="835"/>
      <c r="AA43" s="867"/>
      <c r="AB43" s="868"/>
      <c r="AC43" s="868"/>
      <c r="AD43" s="869"/>
      <c r="AE43" s="993"/>
      <c r="AF43" s="993"/>
      <c r="AG43" s="993"/>
      <c r="AH43" s="994"/>
      <c r="AI43" s="899"/>
      <c r="AJ43" s="899"/>
      <c r="AK43" s="901"/>
      <c r="AL43" s="901"/>
      <c r="AM43" s="901"/>
      <c r="AN43" s="899"/>
      <c r="AO43" s="903"/>
      <c r="AP43" s="903"/>
      <c r="AQ43" s="903"/>
      <c r="AR43" s="37"/>
      <c r="AS43" s="235"/>
      <c r="AT43" s="973"/>
      <c r="AU43" s="996"/>
      <c r="AV43" s="851"/>
      <c r="AW43" s="851"/>
      <c r="AX43" s="970"/>
      <c r="AY43" s="970"/>
      <c r="AZ43" s="977"/>
      <c r="BA43" s="979"/>
      <c r="BB43" s="979"/>
      <c r="BC43" s="977"/>
      <c r="BD43" s="977"/>
      <c r="BE43" s="929"/>
      <c r="BF43" s="931"/>
      <c r="BG43" s="938"/>
      <c r="BH43" s="934"/>
      <c r="BI43" s="939"/>
    </row>
    <row r="44" spans="2:61" customFormat="1" ht="15.95" customHeight="1">
      <c r="B44" s="905">
        <v>14</v>
      </c>
      <c r="C44" s="830"/>
      <c r="D44" s="831"/>
      <c r="E44" s="831"/>
      <c r="F44" s="831"/>
      <c r="G44" s="831"/>
      <c r="H44" s="831"/>
      <c r="I44" s="831"/>
      <c r="J44" s="980" t="str">
        <f>IF(C44="","",INDEX(STDHVAC[Baseline Definition],MATCH(C44,STDHVAC[Measure Name],0)))</f>
        <v/>
      </c>
      <c r="K44" s="981"/>
      <c r="L44" s="982" t="str">
        <f>IF(C44="","",INDEX(STDHVAC[Baseline Efficiency Value],MATCH(C44,STDHVAC[Measure Name],0)))</f>
        <v/>
      </c>
      <c r="M44" s="983"/>
      <c r="N44" s="984"/>
      <c r="O44" s="985"/>
      <c r="P44" s="986" t="str">
        <f>IF(C44="","",INDEX(STDHVAC[Baseline Definition 2],MATCH(C44,STDHVAC[Measure Name],0)))</f>
        <v/>
      </c>
      <c r="Q44" s="987"/>
      <c r="R44" s="988" t="str">
        <f>IF(C44="","",INDEX(STDHVAC[Baseline Efficiency Value 2],MATCH(C44,STDHVAC[Measure Name],0)))</f>
        <v/>
      </c>
      <c r="S44" s="989"/>
      <c r="T44" s="990" t="str">
        <f t="shared" ref="T44" si="49">IF(AND(ISNUMBER(SEARCH("DX",C44)),ISNUMBER(SEARCH("&lt;65kbtu",C44)),N44&lt;&gt;""),1.12*N44-0.02*N44^2,IF(ISNUMBER(SEARCH("PTAC",C44)),1,""))</f>
        <v/>
      </c>
      <c r="U44" s="991"/>
      <c r="V44" s="992"/>
      <c r="W44" s="992"/>
      <c r="X44" s="830"/>
      <c r="Y44" s="831"/>
      <c r="Z44" s="832"/>
      <c r="AA44" s="867"/>
      <c r="AB44" s="868"/>
      <c r="AC44" s="868"/>
      <c r="AD44" s="869"/>
      <c r="AE44" s="993" t="str">
        <f>IF(C44="","",INDEX(STDHVAC[Current Unit],MATCH(C44,STDHVAC[Measure Name],0)))</f>
        <v/>
      </c>
      <c r="AF44" s="993"/>
      <c r="AG44" s="993"/>
      <c r="AH44" s="994"/>
      <c r="AI44" s="899" t="str">
        <f>IFERROR(IF(C44="","",INDEX(STDHVAC[Current Incentive],MATCH(C44,STDHVAC[Measure Name],0))),"")</f>
        <v/>
      </c>
      <c r="AJ44" s="899"/>
      <c r="AK44" s="900" t="str">
        <f t="shared" ref="AK44" si="50">IFERROR(IF(OR(C44="",N44="",V44="",X44="",T44="",AA44="",AC44=""),"",IF(BH44="Deemed",AV44,IF(BH44="Calculated",BA44,""))),"")</f>
        <v/>
      </c>
      <c r="AL44" s="900"/>
      <c r="AM44" s="900"/>
      <c r="AN44" s="897" t="str">
        <f t="shared" ref="AN44" si="51">IFERROR(IF(OR(C44="",N44="",V44="",X44="",T44="",AA44="",AC44=""),"",IF(BD44&lt;&gt;"",BD44,IF(BI44&gt;0,BI44,ROUND(IF(AK44&lt;=0,0,IF(AE44="$/ton",MIN(AT44,V44*AI44),MIN(AT44,(N44-L44)*V44*AI44))),2)))),"")</f>
        <v/>
      </c>
      <c r="AO44" s="902"/>
      <c r="AP44" s="902"/>
      <c r="AQ44" s="902"/>
      <c r="AR44" s="37"/>
      <c r="AS44" s="235"/>
      <c r="AT44" s="972" t="str">
        <f t="shared" ref="AT44" si="52">IF(OR(C44="",N44="",V44="",X44="",T44="",AA44="",AC44=""),"",IF(AK44=0,"",ROUND(AA44+AC44,2)))</f>
        <v/>
      </c>
      <c r="AU44" s="995" t="str">
        <f>IFERROR(IF(OR(C44="",N44="",V44="",X44="",T44="",AA44="",AC44=""),"",INDEX(STDHVAC[Current Unit],MATCH(C44,STDHVAC[Measure Name],0))),"Err")</f>
        <v/>
      </c>
      <c r="AV44" s="850" t="str">
        <f>IF(OR(C44="",N44="",V44="",X44="",T44="",AA44="",AC44=""),"",ROUND(V44*INDEX(STDHVAC[Electric Energy Savings (Annual kWh/unit)],MATCH(C44,STDHVAC[Measure Name],0)),4))</f>
        <v/>
      </c>
      <c r="AW44" s="850" t="str">
        <f>IF(OR(C44="",N44="",V44="",X44="",T44="",AA44="",AC44=""),"",ROUND(V44*INDEX(STDHVAC[Coincident Peak Demand Savings (kW/unit)],MATCH(C44,STDHVAC[Measure Name],0)),4))</f>
        <v/>
      </c>
      <c r="AX44" s="970"/>
      <c r="AY44" s="970"/>
      <c r="AZ44" s="976" t="str">
        <f>IFERROR(IF(OR(C44="",N44="",V44="",X44="",T44="",AA44="",AC44=""),"",INDEX(STDHVAC[End Use],MATCH(C44,STDHVAC[Measure Name],0))),"Err")</f>
        <v/>
      </c>
      <c r="BA44" s="978" t="str">
        <f>IFERROR(ROUND(
IF(ISNUMBER(SEARCH("DX",C44)),(V44*12)*((1/L44)-(1/N44))*INDEX(STDHVAC[EFLHcool],MATCH(C44,STDHVAC[Measure Name],0)),
IF(ISNUMBER(SEARCH("PTAC",C44)),(V44*12)*((1/L44)-(1/N44))*INDEX(STDHVAC[EFLHcool],MATCH(C44,STDHVAC[Measure Name],0)),
IF(ISNUMBER(SEARCH("PTHP",C44)),((V44*12)*((1/L44)-(1/N44))*INDEX(STDHVAC[EFLHcool],MATCH(C44,STDHVAC[Measure Name],0)))+(((V44*12)/3.412)*((1/R44)-(1/T44))*INDEX(STDHVAC[EFLHheat],MATCH(C44,STDHVAC[Measure Name],0))),
IF(ISNUMBER(SEARCH("ASHP",C44)),((V44*12)*((1/L44)-(1/N44))*INDEX(STDHVAC[EFLHcool],MATCH(C44,STDHVAC[Measure Name],0)))+(IF(P44="HSPF",(V44*12),((V44*12)/3.412))*((1/R44)-(1/T44))*INDEX(STDHVAC[EFLHheat],MATCH(C44,STDHVAC[Measure Name],0))),
"")))),4),"")</f>
        <v/>
      </c>
      <c r="BB44" s="978" t="str">
        <f>IFERROR(ROUND(((V44*12)*((1/L44)-(1/N44))*INDEX(STDHVAC[EFLHcool],MATCH(C44,STDHVAC[Measure Name],0)))*INDEX(ENDUSEALL[Factor],MATCH(AZ44,ENDUSEALL[End Use to Coincident Peak Demand Factors],0)),4),"")</f>
        <v/>
      </c>
      <c r="BC44" s="976" t="str">
        <f>IFERROR(IF(OR(C44="",N44="",V44="",X44="",T44="",AA44="",AC44="",ISNUMBER(AN44)=FALSE,AN44=0),"",INDEX(STDHVAC[Measure Number],MATCH(C44,STDHVAC[Measure Name],0))),"Err")</f>
        <v/>
      </c>
      <c r="BD44" s="976" t="str">
        <f>IFERROR(IF(OR(C44="",N44="",V44="",X44="",T44="",AA44="",AC44=""),"",
IF(BI44&gt;0,"",
IF(L44=N44,"Must Improve Efficiency",
IF(EXPIRATION&lt;&gt;"",PROJSTATEXP,"")))),"")</f>
        <v/>
      </c>
      <c r="BE44" s="928" t="str">
        <f>IFERROR(INDEX(STDHVAC[Measure Life (Years)],MATCH(C44,STDHVAC[Measure Name],0)),"")</f>
        <v/>
      </c>
      <c r="BF44" s="930" t="str">
        <f>IFERROR(IF(OR(C44="",N44="",V44="",X44="",T44="",AA44="",AC44=""),"",
ROUND(((1+ELOSS)*((AV44*INDEX(ELECCB[NPV AEC $/kWh],MATCH(BE44,ELECCB[Year Number],1)))+(AW44*INDEX(ELECCB[NPV ACC $/kW],MATCH(BE44,ELECCB[Year Number],1))))),2)),0)</f>
        <v/>
      </c>
      <c r="BG44" s="937"/>
      <c r="BH44" s="934" t="str">
        <f>IFERROR(IF(OR(C44="",N44="",V44="",X44="",T44="",AA44="",AC44=""),"",INDEX(STDHVAC[Reporting Methodology],MATCH(C44,STDHVAC[Measure Name],0))),"Err")</f>
        <v/>
      </c>
      <c r="BI44" s="939"/>
    </row>
    <row r="45" spans="2:61" customFormat="1" ht="15.95" customHeight="1">
      <c r="B45" s="905"/>
      <c r="C45" s="833"/>
      <c r="D45" s="834"/>
      <c r="E45" s="834"/>
      <c r="F45" s="834"/>
      <c r="G45" s="834"/>
      <c r="H45" s="834"/>
      <c r="I45" s="834"/>
      <c r="J45" s="980"/>
      <c r="K45" s="981"/>
      <c r="L45" s="982"/>
      <c r="M45" s="983"/>
      <c r="N45" s="984"/>
      <c r="O45" s="985"/>
      <c r="P45" s="980"/>
      <c r="Q45" s="981"/>
      <c r="R45" s="982"/>
      <c r="S45" s="983"/>
      <c r="T45" s="990"/>
      <c r="U45" s="991"/>
      <c r="V45" s="992"/>
      <c r="W45" s="992"/>
      <c r="X45" s="833"/>
      <c r="Y45" s="834"/>
      <c r="Z45" s="835"/>
      <c r="AA45" s="867"/>
      <c r="AB45" s="868"/>
      <c r="AC45" s="868"/>
      <c r="AD45" s="869"/>
      <c r="AE45" s="993"/>
      <c r="AF45" s="993"/>
      <c r="AG45" s="993"/>
      <c r="AH45" s="994"/>
      <c r="AI45" s="899"/>
      <c r="AJ45" s="899"/>
      <c r="AK45" s="901"/>
      <c r="AL45" s="901"/>
      <c r="AM45" s="901"/>
      <c r="AN45" s="899"/>
      <c r="AO45" s="903"/>
      <c r="AP45" s="903"/>
      <c r="AQ45" s="903"/>
      <c r="AR45" s="37"/>
      <c r="AS45" s="235"/>
      <c r="AT45" s="973"/>
      <c r="AU45" s="996"/>
      <c r="AV45" s="851"/>
      <c r="AW45" s="851"/>
      <c r="AX45" s="970"/>
      <c r="AY45" s="970"/>
      <c r="AZ45" s="977"/>
      <c r="BA45" s="979"/>
      <c r="BB45" s="979"/>
      <c r="BC45" s="977"/>
      <c r="BD45" s="977"/>
      <c r="BE45" s="929"/>
      <c r="BF45" s="931"/>
      <c r="BG45" s="938"/>
      <c r="BH45" s="934"/>
      <c r="BI45" s="939"/>
    </row>
    <row r="46" spans="2:61" customFormat="1" ht="15.95" customHeight="1">
      <c r="B46" s="905">
        <v>15</v>
      </c>
      <c r="C46" s="830"/>
      <c r="D46" s="831"/>
      <c r="E46" s="831"/>
      <c r="F46" s="831"/>
      <c r="G46" s="831"/>
      <c r="H46" s="831"/>
      <c r="I46" s="831"/>
      <c r="J46" s="980" t="str">
        <f>IF(C46="","",INDEX(STDHVAC[Baseline Definition],MATCH(C46,STDHVAC[Measure Name],0)))</f>
        <v/>
      </c>
      <c r="K46" s="981"/>
      <c r="L46" s="982" t="str">
        <f>IF(C46="","",INDEX(STDHVAC[Baseline Efficiency Value],MATCH(C46,STDHVAC[Measure Name],0)))</f>
        <v/>
      </c>
      <c r="M46" s="983"/>
      <c r="N46" s="984"/>
      <c r="O46" s="985"/>
      <c r="P46" s="986" t="str">
        <f>IF(C46="","",INDEX(STDHVAC[Baseline Definition 2],MATCH(C46,STDHVAC[Measure Name],0)))</f>
        <v/>
      </c>
      <c r="Q46" s="987"/>
      <c r="R46" s="988" t="str">
        <f>IF(C46="","",INDEX(STDHVAC[Baseline Efficiency Value 2],MATCH(C46,STDHVAC[Measure Name],0)))</f>
        <v/>
      </c>
      <c r="S46" s="989"/>
      <c r="T46" s="990" t="str">
        <f t="shared" ref="T46" si="53">IF(AND(ISNUMBER(SEARCH("DX",C46)),ISNUMBER(SEARCH("&lt;65kbtu",C46)),N46&lt;&gt;""),1.12*N46-0.02*N46^2,IF(ISNUMBER(SEARCH("PTAC",C46)),1,""))</f>
        <v/>
      </c>
      <c r="U46" s="991"/>
      <c r="V46" s="992"/>
      <c r="W46" s="992"/>
      <c r="X46" s="830"/>
      <c r="Y46" s="831"/>
      <c r="Z46" s="832"/>
      <c r="AA46" s="867"/>
      <c r="AB46" s="868"/>
      <c r="AC46" s="868"/>
      <c r="AD46" s="869"/>
      <c r="AE46" s="993" t="str">
        <f>IF(C46="","",INDEX(STDHVAC[Current Unit],MATCH(C46,STDHVAC[Measure Name],0)))</f>
        <v/>
      </c>
      <c r="AF46" s="993"/>
      <c r="AG46" s="993"/>
      <c r="AH46" s="994"/>
      <c r="AI46" s="899" t="str">
        <f>IFERROR(IF(C46="","",INDEX(STDHVAC[Current Incentive],MATCH(C46,STDHVAC[Measure Name],0))),"")</f>
        <v/>
      </c>
      <c r="AJ46" s="899"/>
      <c r="AK46" s="900" t="str">
        <f t="shared" ref="AK46" si="54">IFERROR(IF(OR(C46="",N46="",V46="",X46="",T46="",AA46="",AC46=""),"",IF(BH46="Deemed",AV46,IF(BH46="Calculated",BA46,""))),"")</f>
        <v/>
      </c>
      <c r="AL46" s="900"/>
      <c r="AM46" s="900"/>
      <c r="AN46" s="897" t="str">
        <f t="shared" ref="AN46" si="55">IFERROR(IF(OR(C46="",N46="",V46="",X46="",T46="",AA46="",AC46=""),"",IF(BD46&lt;&gt;"",BD46,IF(BI46&gt;0,BI46,ROUND(IF(AK46&lt;=0,0,IF(AE46="$/ton",MIN(AT46,V46*AI46),MIN(AT46,(N46-L46)*V46*AI46))),2)))),"")</f>
        <v/>
      </c>
      <c r="AO46" s="902"/>
      <c r="AP46" s="902"/>
      <c r="AQ46" s="902"/>
      <c r="AR46" s="37"/>
      <c r="AS46" s="235"/>
      <c r="AT46" s="972" t="str">
        <f t="shared" ref="AT46" si="56">IF(OR(C46="",N46="",V46="",X46="",T46="",AA46="",AC46=""),"",IF(AK46=0,"",ROUND(AA46+AC46,2)))</f>
        <v/>
      </c>
      <c r="AU46" s="995" t="str">
        <f>IFERROR(IF(OR(C46="",N46="",V46="",X46="",T46="",AA46="",AC46=""),"",INDEX(STDHVAC[Current Unit],MATCH(C46,STDHVAC[Measure Name],0))),"Err")</f>
        <v/>
      </c>
      <c r="AV46" s="850" t="str">
        <f>IF(OR(C46="",N46="",V46="",X46="",T46="",AA46="",AC46=""),"",ROUND(V46*INDEX(STDHVAC[Electric Energy Savings (Annual kWh/unit)],MATCH(C46,STDHVAC[Measure Name],0)),4))</f>
        <v/>
      </c>
      <c r="AW46" s="850" t="str">
        <f>IF(OR(C46="",N46="",V46="",X46="",T46="",AA46="",AC46=""),"",ROUND(V46*INDEX(STDHVAC[Coincident Peak Demand Savings (kW/unit)],MATCH(C46,STDHVAC[Measure Name],0)),4))</f>
        <v/>
      </c>
      <c r="AX46" s="970"/>
      <c r="AY46" s="970"/>
      <c r="AZ46" s="976" t="str">
        <f>IFERROR(IF(OR(C46="",N46="",V46="",X46="",T46="",AA46="",AC46=""),"",INDEX(STDHVAC[End Use],MATCH(C46,STDHVAC[Measure Name],0))),"Err")</f>
        <v/>
      </c>
      <c r="BA46" s="978" t="str">
        <f>IFERROR(ROUND(
IF(ISNUMBER(SEARCH("DX",C46)),(V46*12)*((1/L46)-(1/N46))*INDEX(STDHVAC[EFLHcool],MATCH(C46,STDHVAC[Measure Name],0)),
IF(ISNUMBER(SEARCH("PTAC",C46)),(V46*12)*((1/L46)-(1/N46))*INDEX(STDHVAC[EFLHcool],MATCH(C46,STDHVAC[Measure Name],0)),
IF(ISNUMBER(SEARCH("PTHP",C46)),((V46*12)*((1/L46)-(1/N46))*INDEX(STDHVAC[EFLHcool],MATCH(C46,STDHVAC[Measure Name],0)))+(((V46*12)/3.412)*((1/R46)-(1/T46))*INDEX(STDHVAC[EFLHheat],MATCH(C46,STDHVAC[Measure Name],0))),
IF(ISNUMBER(SEARCH("ASHP",C46)),((V46*12)*((1/L46)-(1/N46))*INDEX(STDHVAC[EFLHcool],MATCH(C46,STDHVAC[Measure Name],0)))+(IF(P46="HSPF",(V46*12),((V46*12)/3.412))*((1/R46)-(1/T46))*INDEX(STDHVAC[EFLHheat],MATCH(C46,STDHVAC[Measure Name],0))),
"")))),4),"")</f>
        <v/>
      </c>
      <c r="BB46" s="978" t="str">
        <f>IFERROR(ROUND(((V46*12)*((1/L46)-(1/N46))*INDEX(STDHVAC[EFLHcool],MATCH(C46,STDHVAC[Measure Name],0)))*INDEX(ENDUSEALL[Factor],MATCH(AZ46,ENDUSEALL[End Use to Coincident Peak Demand Factors],0)),4),"")</f>
        <v/>
      </c>
      <c r="BC46" s="976" t="str">
        <f>IFERROR(IF(OR(C46="",N46="",V46="",X46="",T46="",AA46="",AC46="",ISNUMBER(AN46)=FALSE,AN46=0),"",INDEX(STDHVAC[Measure Number],MATCH(C46,STDHVAC[Measure Name],0))),"Err")</f>
        <v/>
      </c>
      <c r="BD46" s="976" t="str">
        <f>IFERROR(IF(OR(C46="",N46="",V46="",X46="",T46="",AA46="",AC46=""),"",
IF(BI46&gt;0,"",
IF(L46=N46,"Must Improve Efficiency",
IF(EXPIRATION&lt;&gt;"",PROJSTATEXP,"")))),"")</f>
        <v/>
      </c>
      <c r="BE46" s="928" t="str">
        <f>IFERROR(INDEX(STDHVAC[Measure Life (Years)],MATCH(C46,STDHVAC[Measure Name],0)),"")</f>
        <v/>
      </c>
      <c r="BF46" s="930" t="str">
        <f>IFERROR(IF(OR(C46="",N46="",V46="",X46="",T46="",AA46="",AC46=""),"",
ROUND(((1+ELOSS)*((AV46*INDEX(ELECCB[NPV AEC $/kWh],MATCH(BE46,ELECCB[Year Number],1)))+(AW46*INDEX(ELECCB[NPV ACC $/kW],MATCH(BE46,ELECCB[Year Number],1))))),2)),0)</f>
        <v/>
      </c>
      <c r="BG46" s="937"/>
      <c r="BH46" s="934" t="str">
        <f>IFERROR(IF(OR(C46="",N46="",V46="",X46="",T46="",AA46="",AC46=""),"",INDEX(STDHVAC[Reporting Methodology],MATCH(C46,STDHVAC[Measure Name],0))),"Err")</f>
        <v/>
      </c>
      <c r="BI46" s="939"/>
    </row>
    <row r="47" spans="2:61" customFormat="1" ht="15.95" customHeight="1">
      <c r="B47" s="905"/>
      <c r="C47" s="833"/>
      <c r="D47" s="834"/>
      <c r="E47" s="834"/>
      <c r="F47" s="834"/>
      <c r="G47" s="834"/>
      <c r="H47" s="834"/>
      <c r="I47" s="834"/>
      <c r="J47" s="980"/>
      <c r="K47" s="981"/>
      <c r="L47" s="982"/>
      <c r="M47" s="983"/>
      <c r="N47" s="984"/>
      <c r="O47" s="985"/>
      <c r="P47" s="980"/>
      <c r="Q47" s="981"/>
      <c r="R47" s="982"/>
      <c r="S47" s="983"/>
      <c r="T47" s="990"/>
      <c r="U47" s="991"/>
      <c r="V47" s="992"/>
      <c r="W47" s="992"/>
      <c r="X47" s="833"/>
      <c r="Y47" s="834"/>
      <c r="Z47" s="835"/>
      <c r="AA47" s="867"/>
      <c r="AB47" s="868"/>
      <c r="AC47" s="868"/>
      <c r="AD47" s="869"/>
      <c r="AE47" s="993"/>
      <c r="AF47" s="993"/>
      <c r="AG47" s="993"/>
      <c r="AH47" s="994"/>
      <c r="AI47" s="899"/>
      <c r="AJ47" s="899"/>
      <c r="AK47" s="901"/>
      <c r="AL47" s="901"/>
      <c r="AM47" s="901"/>
      <c r="AN47" s="899"/>
      <c r="AO47" s="903"/>
      <c r="AP47" s="903"/>
      <c r="AQ47" s="903"/>
      <c r="AR47" s="37"/>
      <c r="AS47" s="235"/>
      <c r="AT47" s="973"/>
      <c r="AU47" s="996"/>
      <c r="AV47" s="851"/>
      <c r="AW47" s="851"/>
      <c r="AX47" s="970"/>
      <c r="AY47" s="970"/>
      <c r="AZ47" s="977"/>
      <c r="BA47" s="979"/>
      <c r="BB47" s="979"/>
      <c r="BC47" s="977"/>
      <c r="BD47" s="977"/>
      <c r="BE47" s="929"/>
      <c r="BF47" s="931"/>
      <c r="BG47" s="938"/>
      <c r="BH47" s="934"/>
      <c r="BI47" s="939"/>
    </row>
    <row r="48" spans="2:61" ht="15.95" customHeight="1">
      <c r="B48" s="905">
        <v>16</v>
      </c>
      <c r="C48" s="830"/>
      <c r="D48" s="831"/>
      <c r="E48" s="831"/>
      <c r="F48" s="831"/>
      <c r="G48" s="831"/>
      <c r="H48" s="831"/>
      <c r="I48" s="831"/>
      <c r="J48" s="980" t="str">
        <f>IF(C48="","",INDEX(STDHVAC[Baseline Definition],MATCH(C48,STDHVAC[Measure Name],0)))</f>
        <v/>
      </c>
      <c r="K48" s="981"/>
      <c r="L48" s="982" t="str">
        <f>IF(C48="","",INDEX(STDHVAC[Baseline Efficiency Value],MATCH(C48,STDHVAC[Measure Name],0)))</f>
        <v/>
      </c>
      <c r="M48" s="983"/>
      <c r="N48" s="984"/>
      <c r="O48" s="985"/>
      <c r="P48" s="986" t="str">
        <f>IF(C48="","",INDEX(STDHVAC[Baseline Definition 2],MATCH(C48,STDHVAC[Measure Name],0)))</f>
        <v/>
      </c>
      <c r="Q48" s="987"/>
      <c r="R48" s="988" t="str">
        <f>IF(C48="","",INDEX(STDHVAC[Baseline Efficiency Value 2],MATCH(C48,STDHVAC[Measure Name],0)))</f>
        <v/>
      </c>
      <c r="S48" s="989"/>
      <c r="T48" s="990" t="str">
        <f t="shared" ref="T48" si="57">IF(AND(ISNUMBER(SEARCH("DX",C48)),ISNUMBER(SEARCH("&lt;65kbtu",C48)),N48&lt;&gt;""),1.12*N48-0.02*N48^2,IF(ISNUMBER(SEARCH("PTAC",C48)),1,""))</f>
        <v/>
      </c>
      <c r="U48" s="991"/>
      <c r="V48" s="992"/>
      <c r="W48" s="992"/>
      <c r="X48" s="830"/>
      <c r="Y48" s="831"/>
      <c r="Z48" s="832"/>
      <c r="AA48" s="867"/>
      <c r="AB48" s="868"/>
      <c r="AC48" s="868"/>
      <c r="AD48" s="869"/>
      <c r="AE48" s="993" t="str">
        <f>IF(C48="","",INDEX(STDHVAC[Current Unit],MATCH(C48,STDHVAC[Measure Name],0)))</f>
        <v/>
      </c>
      <c r="AF48" s="993"/>
      <c r="AG48" s="993"/>
      <c r="AH48" s="994"/>
      <c r="AI48" s="899" t="str">
        <f>IFERROR(IF(C48="","",INDEX(STDHVAC[Current Incentive],MATCH(C48,STDHVAC[Measure Name],0))),"")</f>
        <v/>
      </c>
      <c r="AJ48" s="899"/>
      <c r="AK48" s="900" t="str">
        <f t="shared" ref="AK48" si="58">IFERROR(IF(OR(C48="",N48="",V48="",X48="",T48="",AA48="",AC48=""),"",IF(BH48="Deemed",AV48,IF(BH48="Calculated",BA48,""))),"")</f>
        <v/>
      </c>
      <c r="AL48" s="900"/>
      <c r="AM48" s="900"/>
      <c r="AN48" s="897" t="str">
        <f t="shared" ref="AN48" si="59">IFERROR(IF(OR(C48="",N48="",V48="",X48="",T48="",AA48="",AC48=""),"",IF(BD48&lt;&gt;"",BD48,IF(BI48&gt;0,BI48,ROUND(IF(AK48&lt;=0,0,IF(AE48="$/ton",MIN(AT48,V48*AI48),MIN(AT48,(N48-L48)*V48*AI48))),2)))),"")</f>
        <v/>
      </c>
      <c r="AO48" s="902"/>
      <c r="AP48" s="902"/>
      <c r="AQ48" s="902"/>
      <c r="AR48" s="37"/>
      <c r="AS48" s="235"/>
      <c r="AT48" s="972" t="str">
        <f t="shared" ref="AT48" si="60">IF(OR(C48="",N48="",V48="",X48="",T48="",AA48="",AC48=""),"",IF(AK48=0,"",ROUND(AA48+AC48,2)))</f>
        <v/>
      </c>
      <c r="AU48" s="995" t="str">
        <f>IFERROR(IF(OR(C48="",N48="",V48="",X48="",T48="",AA48="",AC48=""),"",INDEX(STDHVAC[Current Unit],MATCH(C48,STDHVAC[Measure Name],0))),"Err")</f>
        <v/>
      </c>
      <c r="AV48" s="850" t="str">
        <f>IF(OR(C48="",N48="",V48="",X48="",T48="",AA48="",AC48=""),"",ROUND(V48*INDEX(STDHVAC[Electric Energy Savings (Annual kWh/unit)],MATCH(C48,STDHVAC[Measure Name],0)),4))</f>
        <v/>
      </c>
      <c r="AW48" s="850" t="str">
        <f>IF(OR(C48="",N48="",V48="",X48="",T48="",AA48="",AC48=""),"",ROUND(V48*INDEX(STDHVAC[Coincident Peak Demand Savings (kW/unit)],MATCH(C48,STDHVAC[Measure Name],0)),4))</f>
        <v/>
      </c>
      <c r="AX48" s="970"/>
      <c r="AY48" s="970"/>
      <c r="AZ48" s="976" t="str">
        <f>IFERROR(IF(OR(C48="",N48="",V48="",X48="",T48="",AA48="",AC48=""),"",INDEX(STDHVAC[End Use],MATCH(C48,STDHVAC[Measure Name],0))),"Err")</f>
        <v/>
      </c>
      <c r="BA48" s="978" t="str">
        <f>IFERROR(ROUND(
IF(ISNUMBER(SEARCH("DX",C48)),(V48*12)*((1/L48)-(1/N48))*INDEX(STDHVAC[EFLHcool],MATCH(C48,STDHVAC[Measure Name],0)),
IF(ISNUMBER(SEARCH("PTAC",C48)),(V48*12)*((1/L48)-(1/N48))*INDEX(STDHVAC[EFLHcool],MATCH(C48,STDHVAC[Measure Name],0)),
IF(ISNUMBER(SEARCH("PTHP",C48)),((V48*12)*((1/L48)-(1/N48))*INDEX(STDHVAC[EFLHcool],MATCH(C48,STDHVAC[Measure Name],0)))+(((V48*12)/3.412)*((1/R48)-(1/T48))*INDEX(STDHVAC[EFLHheat],MATCH(C48,STDHVAC[Measure Name],0))),
IF(ISNUMBER(SEARCH("ASHP",C48)),((V48*12)*((1/L48)-(1/N48))*INDEX(STDHVAC[EFLHcool],MATCH(C48,STDHVAC[Measure Name],0)))+(IF(P48="HSPF",(V48*12),((V48*12)/3.412))*((1/R48)-(1/T48))*INDEX(STDHVAC[EFLHheat],MATCH(C48,STDHVAC[Measure Name],0))),
"")))),4),"")</f>
        <v/>
      </c>
      <c r="BB48" s="978" t="str">
        <f>IFERROR(ROUND(((V48*12)*((1/L48)-(1/N48))*INDEX(STDHVAC[EFLHcool],MATCH(C48,STDHVAC[Measure Name],0)))*INDEX(ENDUSEALL[Factor],MATCH(AZ48,ENDUSEALL[End Use to Coincident Peak Demand Factors],0)),4),"")</f>
        <v/>
      </c>
      <c r="BC48" s="976" t="str">
        <f>IFERROR(IF(OR(C48="",N48="",V48="",X48="",T48="",AA48="",AC48="",ISNUMBER(AN48)=FALSE,AN48=0),"",INDEX(STDHVAC[Measure Number],MATCH(C48,STDHVAC[Measure Name],0))),"Err")</f>
        <v/>
      </c>
      <c r="BD48" s="976" t="str">
        <f>IFERROR(IF(OR(C48="",N48="",V48="",X48="",T48="",AA48="",AC48=""),"",
IF(BI48&gt;0,"",
IF(L48=N48,"Must Improve Efficiency",
IF(EXPIRATION&lt;&gt;"",PROJSTATEXP,"")))),"")</f>
        <v/>
      </c>
      <c r="BE48" s="928" t="str">
        <f>IFERROR(INDEX(STDHVAC[Measure Life (Years)],MATCH(C48,STDHVAC[Measure Name],0)),"")</f>
        <v/>
      </c>
      <c r="BF48" s="930" t="str">
        <f>IFERROR(IF(OR(C48="",N48="",V48="",X48="",T48="",AA48="",AC48=""),"",
ROUND(((1+ELOSS)*((AV48*INDEX(ELECCB[NPV AEC $/kWh],MATCH(BE48,ELECCB[Year Number],1)))+(AW48*INDEX(ELECCB[NPV ACC $/kW],MATCH(BE48,ELECCB[Year Number],1))))),2)),0)</f>
        <v/>
      </c>
      <c r="BG48" s="937"/>
      <c r="BH48" s="934" t="str">
        <f>IFERROR(IF(OR(C48="",N48="",V48="",X48="",T48="",AA48="",AC48=""),"",INDEX(STDHVAC[Reporting Methodology],MATCH(C48,STDHVAC[Measure Name],0))),"Err")</f>
        <v/>
      </c>
      <c r="BI48" s="939"/>
    </row>
    <row r="49" spans="2:61" ht="15.95" customHeight="1">
      <c r="B49" s="905"/>
      <c r="C49" s="833"/>
      <c r="D49" s="834"/>
      <c r="E49" s="834"/>
      <c r="F49" s="834"/>
      <c r="G49" s="834"/>
      <c r="H49" s="834"/>
      <c r="I49" s="834"/>
      <c r="J49" s="980"/>
      <c r="K49" s="981"/>
      <c r="L49" s="982"/>
      <c r="M49" s="983"/>
      <c r="N49" s="984"/>
      <c r="O49" s="985"/>
      <c r="P49" s="980"/>
      <c r="Q49" s="981"/>
      <c r="R49" s="982"/>
      <c r="S49" s="983"/>
      <c r="T49" s="990"/>
      <c r="U49" s="991"/>
      <c r="V49" s="992"/>
      <c r="W49" s="992"/>
      <c r="X49" s="833"/>
      <c r="Y49" s="834"/>
      <c r="Z49" s="835"/>
      <c r="AA49" s="867"/>
      <c r="AB49" s="868"/>
      <c r="AC49" s="868"/>
      <c r="AD49" s="869"/>
      <c r="AE49" s="993"/>
      <c r="AF49" s="993"/>
      <c r="AG49" s="993"/>
      <c r="AH49" s="994"/>
      <c r="AI49" s="899"/>
      <c r="AJ49" s="899"/>
      <c r="AK49" s="901"/>
      <c r="AL49" s="901"/>
      <c r="AM49" s="901"/>
      <c r="AN49" s="899"/>
      <c r="AO49" s="903"/>
      <c r="AP49" s="903"/>
      <c r="AQ49" s="903"/>
      <c r="AR49" s="37"/>
      <c r="AS49" s="235"/>
      <c r="AT49" s="973"/>
      <c r="AU49" s="996"/>
      <c r="AV49" s="851"/>
      <c r="AW49" s="851"/>
      <c r="AX49" s="970"/>
      <c r="AY49" s="970"/>
      <c r="AZ49" s="977"/>
      <c r="BA49" s="979"/>
      <c r="BB49" s="979"/>
      <c r="BC49" s="977"/>
      <c r="BD49" s="977"/>
      <c r="BE49" s="929"/>
      <c r="BF49" s="931"/>
      <c r="BG49" s="938"/>
      <c r="BH49" s="934"/>
      <c r="BI49" s="939"/>
    </row>
    <row r="50" spans="2:61" ht="15.95" customHeight="1">
      <c r="B50" s="905">
        <v>17</v>
      </c>
      <c r="C50" s="830"/>
      <c r="D50" s="831"/>
      <c r="E50" s="831"/>
      <c r="F50" s="831"/>
      <c r="G50" s="831"/>
      <c r="H50" s="831"/>
      <c r="I50" s="831"/>
      <c r="J50" s="980" t="str">
        <f>IF(C50="","",INDEX(STDHVAC[Baseline Definition],MATCH(C50,STDHVAC[Measure Name],0)))</f>
        <v/>
      </c>
      <c r="K50" s="981"/>
      <c r="L50" s="982" t="str">
        <f>IF(C50="","",INDEX(STDHVAC[Baseline Efficiency Value],MATCH(C50,STDHVAC[Measure Name],0)))</f>
        <v/>
      </c>
      <c r="M50" s="983"/>
      <c r="N50" s="984"/>
      <c r="O50" s="985"/>
      <c r="P50" s="986" t="str">
        <f>IF(C50="","",INDEX(STDHVAC[Baseline Definition 2],MATCH(C50,STDHVAC[Measure Name],0)))</f>
        <v/>
      </c>
      <c r="Q50" s="987"/>
      <c r="R50" s="988" t="str">
        <f>IF(C50="","",INDEX(STDHVAC[Baseline Efficiency Value 2],MATCH(C50,STDHVAC[Measure Name],0)))</f>
        <v/>
      </c>
      <c r="S50" s="989"/>
      <c r="T50" s="990" t="str">
        <f t="shared" ref="T50" si="61">IF(AND(ISNUMBER(SEARCH("DX",C50)),ISNUMBER(SEARCH("&lt;65kbtu",C50)),N50&lt;&gt;""),1.12*N50-0.02*N50^2,IF(ISNUMBER(SEARCH("PTAC",C50)),1,""))</f>
        <v/>
      </c>
      <c r="U50" s="991"/>
      <c r="V50" s="992"/>
      <c r="W50" s="992"/>
      <c r="X50" s="830"/>
      <c r="Y50" s="831"/>
      <c r="Z50" s="832"/>
      <c r="AA50" s="867"/>
      <c r="AB50" s="868"/>
      <c r="AC50" s="868"/>
      <c r="AD50" s="869"/>
      <c r="AE50" s="993" t="str">
        <f>IF(C50="","",INDEX(STDHVAC[Current Unit],MATCH(C50,STDHVAC[Measure Name],0)))</f>
        <v/>
      </c>
      <c r="AF50" s="993"/>
      <c r="AG50" s="993"/>
      <c r="AH50" s="994"/>
      <c r="AI50" s="899" t="str">
        <f>IFERROR(IF(C50="","",INDEX(STDHVAC[Current Incentive],MATCH(C50,STDHVAC[Measure Name],0))),"")</f>
        <v/>
      </c>
      <c r="AJ50" s="899"/>
      <c r="AK50" s="900" t="str">
        <f t="shared" ref="AK50" si="62">IFERROR(IF(OR(C50="",N50="",V50="",X50="",T50="",AA50="",AC50=""),"",IF(BH50="Deemed",AV50,IF(BH50="Calculated",BA50,""))),"")</f>
        <v/>
      </c>
      <c r="AL50" s="900"/>
      <c r="AM50" s="900"/>
      <c r="AN50" s="897" t="str">
        <f t="shared" ref="AN50" si="63">IFERROR(IF(OR(C50="",N50="",V50="",X50="",T50="",AA50="",AC50=""),"",IF(BD50&lt;&gt;"",BD50,IF(BI50&gt;0,BI50,ROUND(IF(AK50&lt;=0,0,IF(AE50="$/ton",MIN(AT50,V50*AI50),MIN(AT50,(N50-L50)*V50*AI50))),2)))),"")</f>
        <v/>
      </c>
      <c r="AO50" s="902"/>
      <c r="AP50" s="902"/>
      <c r="AQ50" s="902"/>
      <c r="AR50" s="37"/>
      <c r="AS50" s="235"/>
      <c r="AT50" s="972" t="str">
        <f t="shared" ref="AT50" si="64">IF(OR(C50="",N50="",V50="",X50="",T50="",AA50="",AC50=""),"",IF(AK50=0,"",ROUND(AA50+AC50,2)))</f>
        <v/>
      </c>
      <c r="AU50" s="995" t="str">
        <f>IFERROR(IF(OR(C50="",N50="",V50="",X50="",T50="",AA50="",AC50=""),"",INDEX(STDHVAC[Current Unit],MATCH(C50,STDHVAC[Measure Name],0))),"Err")</f>
        <v/>
      </c>
      <c r="AV50" s="850" t="str">
        <f>IF(OR(C50="",N50="",V50="",X50="",T50="",AA50="",AC50=""),"",ROUND(V50*INDEX(STDHVAC[Electric Energy Savings (Annual kWh/unit)],MATCH(C50,STDHVAC[Measure Name],0)),4))</f>
        <v/>
      </c>
      <c r="AW50" s="850" t="str">
        <f>IF(OR(C50="",N50="",V50="",X50="",T50="",AA50="",AC50=""),"",ROUND(V50*INDEX(STDHVAC[Coincident Peak Demand Savings (kW/unit)],MATCH(C50,STDHVAC[Measure Name],0)),4))</f>
        <v/>
      </c>
      <c r="AX50" s="970"/>
      <c r="AY50" s="970"/>
      <c r="AZ50" s="976" t="str">
        <f>IFERROR(IF(OR(C50="",N50="",V50="",X50="",T50="",AA50="",AC50=""),"",INDEX(STDHVAC[End Use],MATCH(C50,STDHVAC[Measure Name],0))),"Err")</f>
        <v/>
      </c>
      <c r="BA50" s="978" t="str">
        <f>IFERROR(ROUND(
IF(ISNUMBER(SEARCH("DX",C50)),(V50*12)*((1/L50)-(1/N50))*INDEX(STDHVAC[EFLHcool],MATCH(C50,STDHVAC[Measure Name],0)),
IF(ISNUMBER(SEARCH("PTAC",C50)),(V50*12)*((1/L50)-(1/N50))*INDEX(STDHVAC[EFLHcool],MATCH(C50,STDHVAC[Measure Name],0)),
IF(ISNUMBER(SEARCH("PTHP",C50)),((V50*12)*((1/L50)-(1/N50))*INDEX(STDHVAC[EFLHcool],MATCH(C50,STDHVAC[Measure Name],0)))+(((V50*12)/3.412)*((1/R50)-(1/T50))*INDEX(STDHVAC[EFLHheat],MATCH(C50,STDHVAC[Measure Name],0))),
IF(ISNUMBER(SEARCH("ASHP",C50)),((V50*12)*((1/L50)-(1/N50))*INDEX(STDHVAC[EFLHcool],MATCH(C50,STDHVAC[Measure Name],0)))+(IF(P50="HSPF",(V50*12),((V50*12)/3.412))*((1/R50)-(1/T50))*INDEX(STDHVAC[EFLHheat],MATCH(C50,STDHVAC[Measure Name],0))),
"")))),4),"")</f>
        <v/>
      </c>
      <c r="BB50" s="978" t="str">
        <f>IFERROR(ROUND(((V50*12)*((1/L50)-(1/N50))*INDEX(STDHVAC[EFLHcool],MATCH(C50,STDHVAC[Measure Name],0)))*INDEX(ENDUSEALL[Factor],MATCH(AZ50,ENDUSEALL[End Use to Coincident Peak Demand Factors],0)),4),"")</f>
        <v/>
      </c>
      <c r="BC50" s="976" t="str">
        <f>IFERROR(IF(OR(C50="",N50="",V50="",X50="",T50="",AA50="",AC50="",ISNUMBER(AN50)=FALSE,AN50=0),"",INDEX(STDHVAC[Measure Number],MATCH(C50,STDHVAC[Measure Name],0))),"Err")</f>
        <v/>
      </c>
      <c r="BD50" s="976" t="str">
        <f>IFERROR(IF(OR(C50="",N50="",V50="",X50="",T50="",AA50="",AC50=""),"",
IF(BI50&gt;0,"",
IF(L50=N50,"Must Improve Efficiency",
IF(EXPIRATION&lt;&gt;"",PROJSTATEXP,"")))),"")</f>
        <v/>
      </c>
      <c r="BE50" s="928" t="str">
        <f>IFERROR(INDEX(STDHVAC[Measure Life (Years)],MATCH(C50,STDHVAC[Measure Name],0)),"")</f>
        <v/>
      </c>
      <c r="BF50" s="930" t="str">
        <f>IFERROR(IF(OR(C50="",N50="",V50="",X50="",T50="",AA50="",AC50=""),"",
ROUND(((1+ELOSS)*((AV50*INDEX(ELECCB[NPV AEC $/kWh],MATCH(BE50,ELECCB[Year Number],1)))+(AW50*INDEX(ELECCB[NPV ACC $/kW],MATCH(BE50,ELECCB[Year Number],1))))),2)),0)</f>
        <v/>
      </c>
      <c r="BG50" s="937"/>
      <c r="BH50" s="934" t="str">
        <f>IFERROR(IF(OR(C50="",N50="",V50="",X50="",T50="",AA50="",AC50=""),"",INDEX(STDHVAC[Reporting Methodology],MATCH(C50,STDHVAC[Measure Name],0))),"Err")</f>
        <v/>
      </c>
      <c r="BI50" s="939"/>
    </row>
    <row r="51" spans="2:61" ht="15.95" customHeight="1">
      <c r="B51" s="905"/>
      <c r="C51" s="833"/>
      <c r="D51" s="834"/>
      <c r="E51" s="834"/>
      <c r="F51" s="834"/>
      <c r="G51" s="834"/>
      <c r="H51" s="834"/>
      <c r="I51" s="834"/>
      <c r="J51" s="980"/>
      <c r="K51" s="981"/>
      <c r="L51" s="982"/>
      <c r="M51" s="983"/>
      <c r="N51" s="984"/>
      <c r="O51" s="985"/>
      <c r="P51" s="980"/>
      <c r="Q51" s="981"/>
      <c r="R51" s="982"/>
      <c r="S51" s="983"/>
      <c r="T51" s="990"/>
      <c r="U51" s="991"/>
      <c r="V51" s="992"/>
      <c r="W51" s="992"/>
      <c r="X51" s="833"/>
      <c r="Y51" s="834"/>
      <c r="Z51" s="835"/>
      <c r="AA51" s="867"/>
      <c r="AB51" s="868"/>
      <c r="AC51" s="868"/>
      <c r="AD51" s="869"/>
      <c r="AE51" s="993"/>
      <c r="AF51" s="993"/>
      <c r="AG51" s="993"/>
      <c r="AH51" s="994"/>
      <c r="AI51" s="899"/>
      <c r="AJ51" s="899"/>
      <c r="AK51" s="901"/>
      <c r="AL51" s="901"/>
      <c r="AM51" s="901"/>
      <c r="AN51" s="899"/>
      <c r="AO51" s="903"/>
      <c r="AP51" s="903"/>
      <c r="AQ51" s="903"/>
      <c r="AR51" s="37"/>
      <c r="AS51" s="235"/>
      <c r="AT51" s="973"/>
      <c r="AU51" s="996"/>
      <c r="AV51" s="851"/>
      <c r="AW51" s="851"/>
      <c r="AX51" s="970"/>
      <c r="AY51" s="970"/>
      <c r="AZ51" s="977"/>
      <c r="BA51" s="979"/>
      <c r="BB51" s="979"/>
      <c r="BC51" s="977"/>
      <c r="BD51" s="977"/>
      <c r="BE51" s="929"/>
      <c r="BF51" s="931"/>
      <c r="BG51" s="938"/>
      <c r="BH51" s="934"/>
      <c r="BI51" s="939"/>
    </row>
    <row r="52" spans="2:61" ht="15.95" customHeight="1">
      <c r="B52" s="905">
        <v>18</v>
      </c>
      <c r="C52" s="830"/>
      <c r="D52" s="831"/>
      <c r="E52" s="831"/>
      <c r="F52" s="831"/>
      <c r="G52" s="831"/>
      <c r="H52" s="831"/>
      <c r="I52" s="831"/>
      <c r="J52" s="980" t="str">
        <f>IF(C52="","",INDEX(STDHVAC[Baseline Definition],MATCH(C52,STDHVAC[Measure Name],0)))</f>
        <v/>
      </c>
      <c r="K52" s="981"/>
      <c r="L52" s="982" t="str">
        <f>IF(C52="","",INDEX(STDHVAC[Baseline Efficiency Value],MATCH(C52,STDHVAC[Measure Name],0)))</f>
        <v/>
      </c>
      <c r="M52" s="983"/>
      <c r="N52" s="984"/>
      <c r="O52" s="985"/>
      <c r="P52" s="986" t="str">
        <f>IF(C52="","",INDEX(STDHVAC[Baseline Definition 2],MATCH(C52,STDHVAC[Measure Name],0)))</f>
        <v/>
      </c>
      <c r="Q52" s="987"/>
      <c r="R52" s="988" t="str">
        <f>IF(C52="","",INDEX(STDHVAC[Baseline Efficiency Value 2],MATCH(C52,STDHVAC[Measure Name],0)))</f>
        <v/>
      </c>
      <c r="S52" s="989"/>
      <c r="T52" s="990" t="str">
        <f t="shared" ref="T52" si="65">IF(AND(ISNUMBER(SEARCH("DX",C52)),ISNUMBER(SEARCH("&lt;65kbtu",C52)),N52&lt;&gt;""),1.12*N52-0.02*N52^2,IF(ISNUMBER(SEARCH("PTAC",C52)),1,""))</f>
        <v/>
      </c>
      <c r="U52" s="991"/>
      <c r="V52" s="992"/>
      <c r="W52" s="992"/>
      <c r="X52" s="830"/>
      <c r="Y52" s="831"/>
      <c r="Z52" s="832"/>
      <c r="AA52" s="867"/>
      <c r="AB52" s="868"/>
      <c r="AC52" s="868"/>
      <c r="AD52" s="869"/>
      <c r="AE52" s="993" t="str">
        <f>IF(C52="","",INDEX(STDHVAC[Current Unit],MATCH(C52,STDHVAC[Measure Name],0)))</f>
        <v/>
      </c>
      <c r="AF52" s="993"/>
      <c r="AG52" s="993"/>
      <c r="AH52" s="994"/>
      <c r="AI52" s="899" t="str">
        <f>IFERROR(IF(C52="","",INDEX(STDHVAC[Current Incentive],MATCH(C52,STDHVAC[Measure Name],0))),"")</f>
        <v/>
      </c>
      <c r="AJ52" s="899"/>
      <c r="AK52" s="900" t="str">
        <f t="shared" ref="AK52" si="66">IFERROR(IF(OR(C52="",N52="",V52="",X52="",T52="",AA52="",AC52=""),"",IF(BH52="Deemed",AV52,IF(BH52="Calculated",BA52,""))),"")</f>
        <v/>
      </c>
      <c r="AL52" s="900"/>
      <c r="AM52" s="900"/>
      <c r="AN52" s="897" t="str">
        <f t="shared" ref="AN52" si="67">IFERROR(IF(OR(C52="",N52="",V52="",X52="",T52="",AA52="",AC52=""),"",IF(BD52&lt;&gt;"",BD52,IF(BI52&gt;0,BI52,ROUND(IF(AK52&lt;=0,0,IF(AE52="$/ton",MIN(AT52,V52*AI52),MIN(AT52,(N52-L52)*V52*AI52))),2)))),"")</f>
        <v/>
      </c>
      <c r="AO52" s="902"/>
      <c r="AP52" s="902"/>
      <c r="AQ52" s="902"/>
      <c r="AR52" s="37"/>
      <c r="AS52" s="235"/>
      <c r="AT52" s="972" t="str">
        <f t="shared" ref="AT52" si="68">IF(OR(C52="",N52="",V52="",X52="",T52="",AA52="",AC52=""),"",IF(AK52=0,"",ROUND(AA52+AC52,2)))</f>
        <v/>
      </c>
      <c r="AU52" s="995" t="str">
        <f>IFERROR(IF(OR(C52="",N52="",V52="",X52="",T52="",AA52="",AC52=""),"",INDEX(STDHVAC[Current Unit],MATCH(C52,STDHVAC[Measure Name],0))),"Err")</f>
        <v/>
      </c>
      <c r="AV52" s="850" t="str">
        <f>IF(OR(C52="",N52="",V52="",X52="",T52="",AA52="",AC52=""),"",ROUND(V52*INDEX(STDHVAC[Electric Energy Savings (Annual kWh/unit)],MATCH(C52,STDHVAC[Measure Name],0)),4))</f>
        <v/>
      </c>
      <c r="AW52" s="850" t="str">
        <f>IF(OR(C52="",N52="",V52="",X52="",T52="",AA52="",AC52=""),"",ROUND(V52*INDEX(STDHVAC[Coincident Peak Demand Savings (kW/unit)],MATCH(C52,STDHVAC[Measure Name],0)),4))</f>
        <v/>
      </c>
      <c r="AX52" s="970"/>
      <c r="AY52" s="970"/>
      <c r="AZ52" s="976" t="str">
        <f>IFERROR(IF(OR(C52="",N52="",V52="",X52="",T52="",AA52="",AC52=""),"",INDEX(STDHVAC[End Use],MATCH(C52,STDHVAC[Measure Name],0))),"Err")</f>
        <v/>
      </c>
      <c r="BA52" s="978" t="str">
        <f>IFERROR(ROUND(
IF(ISNUMBER(SEARCH("DX",C52)),(V52*12)*((1/L52)-(1/N52))*INDEX(STDHVAC[EFLHcool],MATCH(C52,STDHVAC[Measure Name],0)),
IF(ISNUMBER(SEARCH("PTAC",C52)),(V52*12)*((1/L52)-(1/N52))*INDEX(STDHVAC[EFLHcool],MATCH(C52,STDHVAC[Measure Name],0)),
IF(ISNUMBER(SEARCH("PTHP",C52)),((V52*12)*((1/L52)-(1/N52))*INDEX(STDHVAC[EFLHcool],MATCH(C52,STDHVAC[Measure Name],0)))+(((V52*12)/3.412)*((1/R52)-(1/T52))*INDEX(STDHVAC[EFLHheat],MATCH(C52,STDHVAC[Measure Name],0))),
IF(ISNUMBER(SEARCH("ASHP",C52)),((V52*12)*((1/L52)-(1/N52))*INDEX(STDHVAC[EFLHcool],MATCH(C52,STDHVAC[Measure Name],0)))+(IF(P52="HSPF",(V52*12),((V52*12)/3.412))*((1/R52)-(1/T52))*INDEX(STDHVAC[EFLHheat],MATCH(C52,STDHVAC[Measure Name],0))),
"")))),4),"")</f>
        <v/>
      </c>
      <c r="BB52" s="978" t="str">
        <f>IFERROR(ROUND(((V52*12)*((1/L52)-(1/N52))*INDEX(STDHVAC[EFLHcool],MATCH(C52,STDHVAC[Measure Name],0)))*INDEX(ENDUSEALL[Factor],MATCH(AZ52,ENDUSEALL[End Use to Coincident Peak Demand Factors],0)),4),"")</f>
        <v/>
      </c>
      <c r="BC52" s="976" t="str">
        <f>IFERROR(IF(OR(C52="",N52="",V52="",X52="",T52="",AA52="",AC52="",ISNUMBER(AN52)=FALSE,AN52=0),"",INDEX(STDHVAC[Measure Number],MATCH(C52,STDHVAC[Measure Name],0))),"Err")</f>
        <v/>
      </c>
      <c r="BD52" s="976" t="str">
        <f>IFERROR(IF(OR(C52="",N52="",V52="",X52="",T52="",AA52="",AC52=""),"",
IF(BI52&gt;0,"",
IF(L52=N52,"Must Improve Efficiency",
IF(EXPIRATION&lt;&gt;"",PROJSTATEXP,"")))),"")</f>
        <v/>
      </c>
      <c r="BE52" s="928" t="str">
        <f>IFERROR(INDEX(STDHVAC[Measure Life (Years)],MATCH(C52,STDHVAC[Measure Name],0)),"")</f>
        <v/>
      </c>
      <c r="BF52" s="930" t="str">
        <f>IFERROR(IF(OR(C52="",N52="",V52="",X52="",T52="",AA52="",AC52=""),"",
ROUND(((1+ELOSS)*((AV52*INDEX(ELECCB[NPV AEC $/kWh],MATCH(BE52,ELECCB[Year Number],1)))+(AW52*INDEX(ELECCB[NPV ACC $/kW],MATCH(BE52,ELECCB[Year Number],1))))),2)),0)</f>
        <v/>
      </c>
      <c r="BG52" s="937"/>
      <c r="BH52" s="934" t="str">
        <f>IFERROR(IF(OR(C52="",N52="",V52="",X52="",T52="",AA52="",AC52=""),"",INDEX(STDHVAC[Reporting Methodology],MATCH(C52,STDHVAC[Measure Name],0))),"Err")</f>
        <v/>
      </c>
      <c r="BI52" s="939"/>
    </row>
    <row r="53" spans="2:61" ht="15.95" customHeight="1">
      <c r="B53" s="905"/>
      <c r="C53" s="833"/>
      <c r="D53" s="834"/>
      <c r="E53" s="834"/>
      <c r="F53" s="834"/>
      <c r="G53" s="834"/>
      <c r="H53" s="834"/>
      <c r="I53" s="834"/>
      <c r="J53" s="980"/>
      <c r="K53" s="981"/>
      <c r="L53" s="982"/>
      <c r="M53" s="983"/>
      <c r="N53" s="984"/>
      <c r="O53" s="985"/>
      <c r="P53" s="980"/>
      <c r="Q53" s="981"/>
      <c r="R53" s="982"/>
      <c r="S53" s="983"/>
      <c r="T53" s="990"/>
      <c r="U53" s="991"/>
      <c r="V53" s="992"/>
      <c r="W53" s="992"/>
      <c r="X53" s="833"/>
      <c r="Y53" s="834"/>
      <c r="Z53" s="835"/>
      <c r="AA53" s="867"/>
      <c r="AB53" s="868"/>
      <c r="AC53" s="868"/>
      <c r="AD53" s="869"/>
      <c r="AE53" s="993"/>
      <c r="AF53" s="993"/>
      <c r="AG53" s="993"/>
      <c r="AH53" s="994"/>
      <c r="AI53" s="899"/>
      <c r="AJ53" s="899"/>
      <c r="AK53" s="901"/>
      <c r="AL53" s="901"/>
      <c r="AM53" s="901"/>
      <c r="AN53" s="899"/>
      <c r="AO53" s="903"/>
      <c r="AP53" s="903"/>
      <c r="AQ53" s="903"/>
      <c r="AR53" s="37"/>
      <c r="AS53" s="235"/>
      <c r="AT53" s="973"/>
      <c r="AU53" s="996"/>
      <c r="AV53" s="851"/>
      <c r="AW53" s="851"/>
      <c r="AX53" s="970"/>
      <c r="AY53" s="970"/>
      <c r="AZ53" s="977"/>
      <c r="BA53" s="979"/>
      <c r="BB53" s="979"/>
      <c r="BC53" s="977"/>
      <c r="BD53" s="977"/>
      <c r="BE53" s="929"/>
      <c r="BF53" s="931"/>
      <c r="BG53" s="938"/>
      <c r="BH53" s="934"/>
      <c r="BI53" s="939"/>
    </row>
    <row r="54" spans="2:61" ht="15.95" customHeight="1">
      <c r="B54" s="905">
        <v>19</v>
      </c>
      <c r="C54" s="830"/>
      <c r="D54" s="831"/>
      <c r="E54" s="831"/>
      <c r="F54" s="831"/>
      <c r="G54" s="831"/>
      <c r="H54" s="831"/>
      <c r="I54" s="831"/>
      <c r="J54" s="980" t="str">
        <f>IF(C54="","",INDEX(STDHVAC[Baseline Definition],MATCH(C54,STDHVAC[Measure Name],0)))</f>
        <v/>
      </c>
      <c r="K54" s="981"/>
      <c r="L54" s="982" t="str">
        <f>IF(C54="","",INDEX(STDHVAC[Baseline Efficiency Value],MATCH(C54,STDHVAC[Measure Name],0)))</f>
        <v/>
      </c>
      <c r="M54" s="983"/>
      <c r="N54" s="984"/>
      <c r="O54" s="985"/>
      <c r="P54" s="986" t="str">
        <f>IF(C54="","",INDEX(STDHVAC[Baseline Definition 2],MATCH(C54,STDHVAC[Measure Name],0)))</f>
        <v/>
      </c>
      <c r="Q54" s="987"/>
      <c r="R54" s="988" t="str">
        <f>IF(C54="","",INDEX(STDHVAC[Baseline Efficiency Value 2],MATCH(C54,STDHVAC[Measure Name],0)))</f>
        <v/>
      </c>
      <c r="S54" s="989"/>
      <c r="T54" s="990" t="str">
        <f t="shared" ref="T54" si="69">IF(AND(ISNUMBER(SEARCH("DX",C54)),ISNUMBER(SEARCH("&lt;65kbtu",C54)),N54&lt;&gt;""),1.12*N54-0.02*N54^2,IF(ISNUMBER(SEARCH("PTAC",C54)),1,""))</f>
        <v/>
      </c>
      <c r="U54" s="991"/>
      <c r="V54" s="992"/>
      <c r="W54" s="992"/>
      <c r="X54" s="830"/>
      <c r="Y54" s="831"/>
      <c r="Z54" s="832"/>
      <c r="AA54" s="867"/>
      <c r="AB54" s="868"/>
      <c r="AC54" s="868"/>
      <c r="AD54" s="869"/>
      <c r="AE54" s="993" t="str">
        <f>IF(C54="","",INDEX(STDHVAC[Current Unit],MATCH(C54,STDHVAC[Measure Name],0)))</f>
        <v/>
      </c>
      <c r="AF54" s="993"/>
      <c r="AG54" s="993"/>
      <c r="AH54" s="994"/>
      <c r="AI54" s="899" t="str">
        <f>IFERROR(IF(C54="","",INDEX(STDHVAC[Current Incentive],MATCH(C54,STDHVAC[Measure Name],0))),"")</f>
        <v/>
      </c>
      <c r="AJ54" s="899"/>
      <c r="AK54" s="900" t="str">
        <f t="shared" ref="AK54" si="70">IFERROR(IF(OR(C54="",N54="",V54="",X54="",T54="",AA54="",AC54=""),"",IF(BH54="Deemed",AV54,IF(BH54="Calculated",BA54,""))),"")</f>
        <v/>
      </c>
      <c r="AL54" s="900"/>
      <c r="AM54" s="900"/>
      <c r="AN54" s="897" t="str">
        <f t="shared" ref="AN54" si="71">IFERROR(IF(OR(C54="",N54="",V54="",X54="",T54="",AA54="",AC54=""),"",IF(BD54&lt;&gt;"",BD54,IF(BI54&gt;0,BI54,ROUND(IF(AK54&lt;=0,0,IF(AE54="$/ton",MIN(AT54,V54*AI54),MIN(AT54,(N54-L54)*V54*AI54))),2)))),"")</f>
        <v/>
      </c>
      <c r="AO54" s="902"/>
      <c r="AP54" s="902"/>
      <c r="AQ54" s="902"/>
      <c r="AR54" s="37"/>
      <c r="AS54" s="235"/>
      <c r="AT54" s="972" t="str">
        <f t="shared" ref="AT54" si="72">IF(OR(C54="",N54="",V54="",X54="",T54="",AA54="",AC54=""),"",IF(AK54=0,"",ROUND(AA54+AC54,2)))</f>
        <v/>
      </c>
      <c r="AU54" s="995" t="str">
        <f>IFERROR(IF(OR(C54="",N54="",V54="",X54="",T54="",AA54="",AC54=""),"",INDEX(STDHVAC[Current Unit],MATCH(C54,STDHVAC[Measure Name],0))),"Err")</f>
        <v/>
      </c>
      <c r="AV54" s="850" t="str">
        <f>IF(OR(C54="",N54="",V54="",X54="",T54="",AA54="",AC54=""),"",ROUND(V54*INDEX(STDHVAC[Electric Energy Savings (Annual kWh/unit)],MATCH(C54,STDHVAC[Measure Name],0)),4))</f>
        <v/>
      </c>
      <c r="AW54" s="850" t="str">
        <f>IF(OR(C54="",N54="",V54="",X54="",T54="",AA54="",AC54=""),"",ROUND(V54*INDEX(STDHVAC[Coincident Peak Demand Savings (kW/unit)],MATCH(C54,STDHVAC[Measure Name],0)),4))</f>
        <v/>
      </c>
      <c r="AX54" s="970"/>
      <c r="AY54" s="970"/>
      <c r="AZ54" s="976" t="str">
        <f>IFERROR(IF(OR(C54="",N54="",V54="",X54="",T54="",AA54="",AC54=""),"",INDEX(STDHVAC[End Use],MATCH(C54,STDHVAC[Measure Name],0))),"Err")</f>
        <v/>
      </c>
      <c r="BA54" s="978" t="str">
        <f>IFERROR(ROUND(
IF(ISNUMBER(SEARCH("DX",C54)),(V54*12)*((1/L54)-(1/N54))*INDEX(STDHVAC[EFLHcool],MATCH(C54,STDHVAC[Measure Name],0)),
IF(ISNUMBER(SEARCH("PTAC",C54)),(V54*12)*((1/L54)-(1/N54))*INDEX(STDHVAC[EFLHcool],MATCH(C54,STDHVAC[Measure Name],0)),
IF(ISNUMBER(SEARCH("PTHP",C54)),((V54*12)*((1/L54)-(1/N54))*INDEX(STDHVAC[EFLHcool],MATCH(C54,STDHVAC[Measure Name],0)))+(((V54*12)/3.412)*((1/R54)-(1/T54))*INDEX(STDHVAC[EFLHheat],MATCH(C54,STDHVAC[Measure Name],0))),
IF(ISNUMBER(SEARCH("ASHP",C54)),((V54*12)*((1/L54)-(1/N54))*INDEX(STDHVAC[EFLHcool],MATCH(C54,STDHVAC[Measure Name],0)))+(IF(P54="HSPF",(V54*12),((V54*12)/3.412))*((1/R54)-(1/T54))*INDEX(STDHVAC[EFLHheat],MATCH(C54,STDHVAC[Measure Name],0))),
"")))),4),"")</f>
        <v/>
      </c>
      <c r="BB54" s="978" t="str">
        <f>IFERROR(ROUND(((V54*12)*((1/L54)-(1/N54))*INDEX(STDHVAC[EFLHcool],MATCH(C54,STDHVAC[Measure Name],0)))*INDEX(ENDUSEALL[Factor],MATCH(AZ54,ENDUSEALL[End Use to Coincident Peak Demand Factors],0)),4),"")</f>
        <v/>
      </c>
      <c r="BC54" s="976" t="str">
        <f>IFERROR(IF(OR(C54="",N54="",V54="",X54="",T54="",AA54="",AC54="",ISNUMBER(AN54)=FALSE,AN54=0),"",INDEX(STDHVAC[Measure Number],MATCH(C54,STDHVAC[Measure Name],0))),"Err")</f>
        <v/>
      </c>
      <c r="BD54" s="976" t="str">
        <f>IFERROR(IF(OR(C54="",N54="",V54="",X54="",T54="",AA54="",AC54=""),"",
IF(BI54&gt;0,"",
IF(L54=N54,"Must Improve Efficiency",
IF(EXPIRATION&lt;&gt;"",PROJSTATEXP,"")))),"")</f>
        <v/>
      </c>
      <c r="BE54" s="928" t="str">
        <f>IFERROR(INDEX(STDHVAC[Measure Life (Years)],MATCH(C54,STDHVAC[Measure Name],0)),"")</f>
        <v/>
      </c>
      <c r="BF54" s="930" t="str">
        <f>IFERROR(IF(OR(C54="",N54="",V54="",X54="",T54="",AA54="",AC54=""),"",
ROUND(((1+ELOSS)*((AV54*INDEX(ELECCB[NPV AEC $/kWh],MATCH(BE54,ELECCB[Year Number],1)))+(AW54*INDEX(ELECCB[NPV ACC $/kW],MATCH(BE54,ELECCB[Year Number],1))))),2)),0)</f>
        <v/>
      </c>
      <c r="BG54" s="937"/>
      <c r="BH54" s="934" t="str">
        <f>IFERROR(IF(OR(C54="",N54="",V54="",X54="",T54="",AA54="",AC54=""),"",INDEX(STDHVAC[Reporting Methodology],MATCH(C54,STDHVAC[Measure Name],0))),"Err")</f>
        <v/>
      </c>
      <c r="BI54" s="939"/>
    </row>
    <row r="55" spans="2:61" ht="15.95" customHeight="1">
      <c r="B55" s="905"/>
      <c r="C55" s="833"/>
      <c r="D55" s="834"/>
      <c r="E55" s="834"/>
      <c r="F55" s="834"/>
      <c r="G55" s="834"/>
      <c r="H55" s="834"/>
      <c r="I55" s="834"/>
      <c r="J55" s="980"/>
      <c r="K55" s="981"/>
      <c r="L55" s="982"/>
      <c r="M55" s="983"/>
      <c r="N55" s="984"/>
      <c r="O55" s="985"/>
      <c r="P55" s="980"/>
      <c r="Q55" s="981"/>
      <c r="R55" s="982"/>
      <c r="S55" s="983"/>
      <c r="T55" s="990"/>
      <c r="U55" s="991"/>
      <c r="V55" s="992"/>
      <c r="W55" s="992"/>
      <c r="X55" s="833"/>
      <c r="Y55" s="834"/>
      <c r="Z55" s="835"/>
      <c r="AA55" s="867"/>
      <c r="AB55" s="868"/>
      <c r="AC55" s="868"/>
      <c r="AD55" s="869"/>
      <c r="AE55" s="993"/>
      <c r="AF55" s="993"/>
      <c r="AG55" s="993"/>
      <c r="AH55" s="994"/>
      <c r="AI55" s="899"/>
      <c r="AJ55" s="899"/>
      <c r="AK55" s="901"/>
      <c r="AL55" s="901"/>
      <c r="AM55" s="901"/>
      <c r="AN55" s="899"/>
      <c r="AO55" s="903"/>
      <c r="AP55" s="903"/>
      <c r="AQ55" s="903"/>
      <c r="AR55" s="37"/>
      <c r="AS55" s="235"/>
      <c r="AT55" s="973"/>
      <c r="AU55" s="996"/>
      <c r="AV55" s="851"/>
      <c r="AW55" s="851"/>
      <c r="AX55" s="970"/>
      <c r="AY55" s="970"/>
      <c r="AZ55" s="977"/>
      <c r="BA55" s="979"/>
      <c r="BB55" s="979"/>
      <c r="BC55" s="977"/>
      <c r="BD55" s="977"/>
      <c r="BE55" s="929"/>
      <c r="BF55" s="931"/>
      <c r="BG55" s="938"/>
      <c r="BH55" s="934"/>
      <c r="BI55" s="939"/>
    </row>
    <row r="56" spans="2:61" ht="15.95" customHeight="1">
      <c r="B56" s="905">
        <v>20</v>
      </c>
      <c r="C56" s="830"/>
      <c r="D56" s="831"/>
      <c r="E56" s="831"/>
      <c r="F56" s="831"/>
      <c r="G56" s="831"/>
      <c r="H56" s="831"/>
      <c r="I56" s="831"/>
      <c r="J56" s="980" t="str">
        <f>IF(C56="","",INDEX(STDHVAC[Baseline Definition],MATCH(C56,STDHVAC[Measure Name],0)))</f>
        <v/>
      </c>
      <c r="K56" s="981"/>
      <c r="L56" s="982" t="str">
        <f>IF(C56="","",INDEX(STDHVAC[Baseline Efficiency Value],MATCH(C56,STDHVAC[Measure Name],0)))</f>
        <v/>
      </c>
      <c r="M56" s="983"/>
      <c r="N56" s="984"/>
      <c r="O56" s="985"/>
      <c r="P56" s="986" t="str">
        <f>IF(C56="","",INDEX(STDHVAC[Baseline Definition 2],MATCH(C56,STDHVAC[Measure Name],0)))</f>
        <v/>
      </c>
      <c r="Q56" s="987"/>
      <c r="R56" s="988" t="str">
        <f>IF(C56="","",INDEX(STDHVAC[Baseline Efficiency Value 2],MATCH(C56,STDHVAC[Measure Name],0)))</f>
        <v/>
      </c>
      <c r="S56" s="989"/>
      <c r="T56" s="990" t="str">
        <f t="shared" ref="T56" si="73">IF(AND(ISNUMBER(SEARCH("DX",C56)),ISNUMBER(SEARCH("&lt;65kbtu",C56)),N56&lt;&gt;""),1.12*N56-0.02*N56^2,IF(ISNUMBER(SEARCH("PTAC",C56)),1,""))</f>
        <v/>
      </c>
      <c r="U56" s="991"/>
      <c r="V56" s="992"/>
      <c r="W56" s="992"/>
      <c r="X56" s="830"/>
      <c r="Y56" s="831"/>
      <c r="Z56" s="832"/>
      <c r="AA56" s="867"/>
      <c r="AB56" s="868"/>
      <c r="AC56" s="868"/>
      <c r="AD56" s="869"/>
      <c r="AE56" s="993" t="str">
        <f>IF(C56="","",INDEX(STDHVAC[Current Unit],MATCH(C56,STDHVAC[Measure Name],0)))</f>
        <v/>
      </c>
      <c r="AF56" s="993"/>
      <c r="AG56" s="993"/>
      <c r="AH56" s="994"/>
      <c r="AI56" s="899" t="str">
        <f>IFERROR(IF(C56="","",INDEX(STDHVAC[Current Incentive],MATCH(C56,STDHVAC[Measure Name],0))),"")</f>
        <v/>
      </c>
      <c r="AJ56" s="899"/>
      <c r="AK56" s="900" t="str">
        <f t="shared" ref="AK56" si="74">IFERROR(IF(OR(C56="",N56="",V56="",X56="",T56="",AA56="",AC56=""),"",IF(BH56="Deemed",AV56,IF(BH56="Calculated",BA56,""))),"")</f>
        <v/>
      </c>
      <c r="AL56" s="900"/>
      <c r="AM56" s="900"/>
      <c r="AN56" s="897" t="str">
        <f t="shared" ref="AN56" si="75">IFERROR(IF(OR(C56="",N56="",V56="",X56="",T56="",AA56="",AC56=""),"",IF(BD56&lt;&gt;"",BD56,IF(BI56&gt;0,BI56,ROUND(IF(AK56&lt;=0,0,IF(AE56="$/ton",MIN(AT56,V56*AI56),MIN(AT56,(N56-L56)*V56*AI56))),2)))),"")</f>
        <v/>
      </c>
      <c r="AO56" s="902"/>
      <c r="AP56" s="902"/>
      <c r="AQ56" s="902"/>
      <c r="AR56" s="37"/>
      <c r="AS56" s="235"/>
      <c r="AT56" s="972" t="str">
        <f t="shared" ref="AT56" si="76">IF(OR(C56="",N56="",V56="",X56="",T56="",AA56="",AC56=""),"",IF(AK56=0,"",ROUND(AA56+AC56,2)))</f>
        <v/>
      </c>
      <c r="AU56" s="995" t="str">
        <f>IFERROR(IF(OR(C56="",N56="",V56="",X56="",T56="",AA56="",AC56=""),"",INDEX(STDHVAC[Current Unit],MATCH(C56,STDHVAC[Measure Name],0))),"Err")</f>
        <v/>
      </c>
      <c r="AV56" s="850" t="str">
        <f>IF(OR(C56="",N56="",V56="",X56="",T56="",AA56="",AC56=""),"",ROUND(V56*INDEX(STDHVAC[Electric Energy Savings (Annual kWh/unit)],MATCH(C56,STDHVAC[Measure Name],0)),4))</f>
        <v/>
      </c>
      <c r="AW56" s="850" t="str">
        <f>IF(OR(C56="",N56="",V56="",X56="",T56="",AA56="",AC56=""),"",ROUND(V56*INDEX(STDHVAC[Coincident Peak Demand Savings (kW/unit)],MATCH(C56,STDHVAC[Measure Name],0)),4))</f>
        <v/>
      </c>
      <c r="AX56" s="970"/>
      <c r="AY56" s="970"/>
      <c r="AZ56" s="976" t="str">
        <f>IFERROR(IF(OR(C56="",N56="",V56="",X56="",T56="",AA56="",AC56=""),"",INDEX(STDHVAC[End Use],MATCH(C56,STDHVAC[Measure Name],0))),"Err")</f>
        <v/>
      </c>
      <c r="BA56" s="978" t="str">
        <f>IFERROR(ROUND(
IF(ISNUMBER(SEARCH("DX",C56)),(V56*12)*((1/L56)-(1/N56))*INDEX(STDHVAC[EFLHcool],MATCH(C56,STDHVAC[Measure Name],0)),
IF(ISNUMBER(SEARCH("PTAC",C56)),(V56*12)*((1/L56)-(1/N56))*INDEX(STDHVAC[EFLHcool],MATCH(C56,STDHVAC[Measure Name],0)),
IF(ISNUMBER(SEARCH("PTHP",C56)),((V56*12)*((1/L56)-(1/N56))*INDEX(STDHVAC[EFLHcool],MATCH(C56,STDHVAC[Measure Name],0)))+(((V56*12)/3.412)*((1/R56)-(1/T56))*INDEX(STDHVAC[EFLHheat],MATCH(C56,STDHVAC[Measure Name],0))),
IF(ISNUMBER(SEARCH("ASHP",C56)),((V56*12)*((1/L56)-(1/N56))*INDEX(STDHVAC[EFLHcool],MATCH(C56,STDHVAC[Measure Name],0)))+(IF(P56="HSPF",(V56*12),((V56*12)/3.412))*((1/R56)-(1/T56))*INDEX(STDHVAC[EFLHheat],MATCH(C56,STDHVAC[Measure Name],0))),
"")))),4),"")</f>
        <v/>
      </c>
      <c r="BB56" s="978" t="str">
        <f>IFERROR(ROUND(((V56*12)*((1/L56)-(1/N56))*INDEX(STDHVAC[EFLHcool],MATCH(C56,STDHVAC[Measure Name],0)))*INDEX(ENDUSEALL[Factor],MATCH(AZ56,ENDUSEALL[End Use to Coincident Peak Demand Factors],0)),4),"")</f>
        <v/>
      </c>
      <c r="BC56" s="976" t="str">
        <f>IFERROR(IF(OR(C56="",N56="",V56="",X56="",T56="",AA56="",AC56="",ISNUMBER(AN56)=FALSE,AN56=0),"",INDEX(STDHVAC[Measure Number],MATCH(C56,STDHVAC[Measure Name],0))),"Err")</f>
        <v/>
      </c>
      <c r="BD56" s="976" t="str">
        <f>IFERROR(IF(OR(C56="",N56="",V56="",X56="",T56="",AA56="",AC56=""),"",
IF(BI56&gt;0,"",
IF(L56=N56,"Must Improve Efficiency",
IF(EXPIRATION&lt;&gt;"",PROJSTATEXP,"")))),"")</f>
        <v/>
      </c>
      <c r="BE56" s="928" t="str">
        <f>IFERROR(INDEX(STDHVAC[Measure Life (Years)],MATCH(C56,STDHVAC[Measure Name],0)),"")</f>
        <v/>
      </c>
      <c r="BF56" s="930" t="str">
        <f>IFERROR(IF(OR(C56="",N56="",V56="",X56="",T56="",AA56="",AC56=""),"",
ROUND(((1+ELOSS)*((AV56*INDEX(ELECCB[NPV AEC $/kWh],MATCH(BE56,ELECCB[Year Number],1)))+(AW56*INDEX(ELECCB[NPV ACC $/kW],MATCH(BE56,ELECCB[Year Number],1))))),2)),0)</f>
        <v/>
      </c>
      <c r="BG56" s="937"/>
      <c r="BH56" s="934" t="str">
        <f>IFERROR(IF(OR(C56="",N56="",V56="",X56="",T56="",AA56="",AC56=""),"",INDEX(STDHVAC[Reporting Methodology],MATCH(C56,STDHVAC[Measure Name],0))),"Err")</f>
        <v/>
      </c>
      <c r="BI56" s="939"/>
    </row>
    <row r="57" spans="2:61" ht="15.95" customHeight="1">
      <c r="B57" s="905"/>
      <c r="C57" s="833"/>
      <c r="D57" s="834"/>
      <c r="E57" s="834"/>
      <c r="F57" s="834"/>
      <c r="G57" s="834"/>
      <c r="H57" s="834"/>
      <c r="I57" s="834"/>
      <c r="J57" s="980"/>
      <c r="K57" s="981"/>
      <c r="L57" s="982"/>
      <c r="M57" s="983"/>
      <c r="N57" s="984"/>
      <c r="O57" s="985"/>
      <c r="P57" s="980"/>
      <c r="Q57" s="981"/>
      <c r="R57" s="982"/>
      <c r="S57" s="983"/>
      <c r="T57" s="990"/>
      <c r="U57" s="991"/>
      <c r="V57" s="992"/>
      <c r="W57" s="992"/>
      <c r="X57" s="833"/>
      <c r="Y57" s="834"/>
      <c r="Z57" s="835"/>
      <c r="AA57" s="867"/>
      <c r="AB57" s="868"/>
      <c r="AC57" s="868"/>
      <c r="AD57" s="869"/>
      <c r="AE57" s="993"/>
      <c r="AF57" s="993"/>
      <c r="AG57" s="993"/>
      <c r="AH57" s="994"/>
      <c r="AI57" s="899"/>
      <c r="AJ57" s="899"/>
      <c r="AK57" s="901"/>
      <c r="AL57" s="901"/>
      <c r="AM57" s="901"/>
      <c r="AN57" s="899"/>
      <c r="AO57" s="903"/>
      <c r="AP57" s="903"/>
      <c r="AQ57" s="903"/>
      <c r="AR57" s="37"/>
      <c r="AS57" s="235"/>
      <c r="AT57" s="973"/>
      <c r="AU57" s="996"/>
      <c r="AV57" s="851"/>
      <c r="AW57" s="851"/>
      <c r="AX57" s="970"/>
      <c r="AY57" s="970"/>
      <c r="AZ57" s="977"/>
      <c r="BA57" s="979"/>
      <c r="BB57" s="979"/>
      <c r="BC57" s="977"/>
      <c r="BD57" s="977"/>
      <c r="BE57" s="929"/>
      <c r="BF57" s="931"/>
      <c r="BG57" s="938"/>
      <c r="BH57" s="934"/>
      <c r="BI57" s="939"/>
    </row>
    <row r="58" spans="2:61" s="180" customFormat="1" ht="15.95" customHeight="1">
      <c r="B58" s="905">
        <v>21</v>
      </c>
      <c r="C58" s="830"/>
      <c r="D58" s="831"/>
      <c r="E58" s="831"/>
      <c r="F58" s="831"/>
      <c r="G58" s="831"/>
      <c r="H58" s="831"/>
      <c r="I58" s="831"/>
      <c r="J58" s="980" t="str">
        <f>IF(C58="","",INDEX(STDHVAC[Baseline Definition],MATCH(C58,STDHVAC[Measure Name],0)))</f>
        <v/>
      </c>
      <c r="K58" s="981"/>
      <c r="L58" s="982" t="str">
        <f>IF(C58="","",INDEX(STDHVAC[Baseline Efficiency Value],MATCH(C58,STDHVAC[Measure Name],0)))</f>
        <v/>
      </c>
      <c r="M58" s="983"/>
      <c r="N58" s="984"/>
      <c r="O58" s="985"/>
      <c r="P58" s="986" t="str">
        <f>IF(C58="","",INDEX(STDHVAC[Baseline Definition 2],MATCH(C58,STDHVAC[Measure Name],0)))</f>
        <v/>
      </c>
      <c r="Q58" s="987"/>
      <c r="R58" s="988" t="str">
        <f>IF(C58="","",INDEX(STDHVAC[Baseline Efficiency Value 2],MATCH(C58,STDHVAC[Measure Name],0)))</f>
        <v/>
      </c>
      <c r="S58" s="989"/>
      <c r="T58" s="990" t="str">
        <f t="shared" ref="T58" si="77">IF(AND(ISNUMBER(SEARCH("DX",C58)),ISNUMBER(SEARCH("&lt;65kbtu",C58)),N58&lt;&gt;""),1.12*N58-0.02*N58^2,IF(ISNUMBER(SEARCH("PTAC",C58)),1,""))</f>
        <v/>
      </c>
      <c r="U58" s="991"/>
      <c r="V58" s="992"/>
      <c r="W58" s="992"/>
      <c r="X58" s="830"/>
      <c r="Y58" s="831"/>
      <c r="Z58" s="832"/>
      <c r="AA58" s="867"/>
      <c r="AB58" s="868"/>
      <c r="AC58" s="868"/>
      <c r="AD58" s="869"/>
      <c r="AE58" s="993" t="str">
        <f>IF(C58="","",INDEX(STDHVAC[Current Unit],MATCH(C58,STDHVAC[Measure Name],0)))</f>
        <v/>
      </c>
      <c r="AF58" s="993"/>
      <c r="AG58" s="993"/>
      <c r="AH58" s="994"/>
      <c r="AI58" s="899" t="str">
        <f>IFERROR(IF(C58="","",INDEX(STDHVAC[Current Incentive],MATCH(C58,STDHVAC[Measure Name],0))),"")</f>
        <v/>
      </c>
      <c r="AJ58" s="899"/>
      <c r="AK58" s="900" t="str">
        <f t="shared" ref="AK58" si="78">IFERROR(IF(OR(C58="",N58="",V58="",X58="",T58="",AA58="",AC58=""),"",IF(BH58="Deemed",AV58,IF(BH58="Calculated",BA58,""))),"")</f>
        <v/>
      </c>
      <c r="AL58" s="900"/>
      <c r="AM58" s="900"/>
      <c r="AN58" s="897" t="str">
        <f t="shared" ref="AN58" si="79">IFERROR(IF(OR(C58="",N58="",V58="",X58="",T58="",AA58="",AC58=""),"",IF(BD58&lt;&gt;"",BD58,IF(BI58&gt;0,BI58,ROUND(IF(AK58&lt;=0,0,IF(AE58="$/ton",MIN(AT58,V58*AI58),MIN(AT58,(N58-L58)*V58*AI58))),2)))),"")</f>
        <v/>
      </c>
      <c r="AO58" s="902"/>
      <c r="AP58" s="902"/>
      <c r="AQ58" s="902"/>
      <c r="AR58" s="37"/>
      <c r="AS58" s="235"/>
      <c r="AT58" s="972" t="str">
        <f t="shared" ref="AT58" si="80">IF(OR(C58="",N58="",V58="",X58="",T58="",AA58="",AC58=""),"",IF(AK58=0,"",ROUND(AA58+AC58,2)))</f>
        <v/>
      </c>
      <c r="AU58" s="995" t="str">
        <f>IFERROR(IF(OR(C58="",N58="",V58="",X58="",T58="",AA58="",AC58=""),"",INDEX(STDHVAC[Current Unit],MATCH(C58,STDHVAC[Measure Name],0))),"Err")</f>
        <v/>
      </c>
      <c r="AV58" s="850" t="str">
        <f>IF(OR(C58="",N58="",V58="",X58="",T58="",AA58="",AC58=""),"",ROUND(V58*INDEX(STDHVAC[Electric Energy Savings (Annual kWh/unit)],MATCH(C58,STDHVAC[Measure Name],0)),4))</f>
        <v/>
      </c>
      <c r="AW58" s="850" t="str">
        <f>IF(OR(C58="",N58="",V58="",X58="",T58="",AA58="",AC58=""),"",ROUND(V58*INDEX(STDHVAC[Coincident Peak Demand Savings (kW/unit)],MATCH(C58,STDHVAC[Measure Name],0)),4))</f>
        <v/>
      </c>
      <c r="AX58" s="970"/>
      <c r="AY58" s="970"/>
      <c r="AZ58" s="976" t="str">
        <f>IFERROR(IF(OR(C58="",N58="",V58="",X58="",T58="",AA58="",AC58=""),"",INDEX(STDHVAC[End Use],MATCH(C58,STDHVAC[Measure Name],0))),"Err")</f>
        <v/>
      </c>
      <c r="BA58" s="978" t="str">
        <f>IFERROR(ROUND(
IF(ISNUMBER(SEARCH("DX",C58)),(V58*12)*((1/L58)-(1/N58))*INDEX(STDHVAC[EFLHcool],MATCH(C58,STDHVAC[Measure Name],0)),
IF(ISNUMBER(SEARCH("PTAC",C58)),(V58*12)*((1/L58)-(1/N58))*INDEX(STDHVAC[EFLHcool],MATCH(C58,STDHVAC[Measure Name],0)),
IF(ISNUMBER(SEARCH("PTHP",C58)),((V58*12)*((1/L58)-(1/N58))*INDEX(STDHVAC[EFLHcool],MATCH(C58,STDHVAC[Measure Name],0)))+(((V58*12)/3.412)*((1/R58)-(1/T58))*INDEX(STDHVAC[EFLHheat],MATCH(C58,STDHVAC[Measure Name],0))),
IF(ISNUMBER(SEARCH("ASHP",C58)),((V58*12)*((1/L58)-(1/N58))*INDEX(STDHVAC[EFLHcool],MATCH(C58,STDHVAC[Measure Name],0)))+(IF(P58="HSPF",(V58*12),((V58*12)/3.412))*((1/R58)-(1/T58))*INDEX(STDHVAC[EFLHheat],MATCH(C58,STDHVAC[Measure Name],0))),
"")))),4),"")</f>
        <v/>
      </c>
      <c r="BB58" s="978" t="str">
        <f>IFERROR(ROUND(((V58*12)*((1/L58)-(1/N58))*INDEX(STDHVAC[EFLHcool],MATCH(C58,STDHVAC[Measure Name],0)))*INDEX(ENDUSEALL[Factor],MATCH(AZ58,ENDUSEALL[End Use to Coincident Peak Demand Factors],0)),4),"")</f>
        <v/>
      </c>
      <c r="BC58" s="976" t="str">
        <f>IFERROR(IF(OR(C58="",N58="",V58="",X58="",T58="",AA58="",AC58="",ISNUMBER(AN58)=FALSE,AN58=0),"",INDEX(STDHVAC[Measure Number],MATCH(C58,STDHVAC[Measure Name],0))),"Err")</f>
        <v/>
      </c>
      <c r="BD58" s="976" t="str">
        <f>IFERROR(IF(OR(C58="",N58="",V58="",X58="",T58="",AA58="",AC58=""),"",
IF(BI58&gt;0,"",
IF(L58=N58,"Must Improve Efficiency",
IF(EXPIRATION&lt;&gt;"",PROJSTATEXP,"")))),"")</f>
        <v/>
      </c>
      <c r="BE58" s="928" t="str">
        <f>IFERROR(INDEX(STDHVAC[Measure Life (Years)],MATCH(C58,STDHVAC[Measure Name],0)),"")</f>
        <v/>
      </c>
      <c r="BF58" s="930" t="str">
        <f>IFERROR(IF(OR(C58="",N58="",V58="",X58="",T58="",AA58="",AC58=""),"",
ROUND(((1+ELOSS)*((AV58*INDEX(ELECCB[NPV AEC $/kWh],MATCH(BE58,ELECCB[Year Number],1)))+(AW58*INDEX(ELECCB[NPV ACC $/kW],MATCH(BE58,ELECCB[Year Number],1))))),2)),0)</f>
        <v/>
      </c>
      <c r="BG58" s="937"/>
      <c r="BH58" s="934" t="str">
        <f>IFERROR(IF(OR(C58="",N58="",V58="",X58="",T58="",AA58="",AC58=""),"",INDEX(STDHVAC[Reporting Methodology],MATCH(C58,STDHVAC[Measure Name],0))),"Err")</f>
        <v/>
      </c>
      <c r="BI58" s="939"/>
    </row>
    <row r="59" spans="2:61" s="180" customFormat="1" ht="15.95" customHeight="1">
      <c r="B59" s="905"/>
      <c r="C59" s="833"/>
      <c r="D59" s="834"/>
      <c r="E59" s="834"/>
      <c r="F59" s="834"/>
      <c r="G59" s="834"/>
      <c r="H59" s="834"/>
      <c r="I59" s="834"/>
      <c r="J59" s="980"/>
      <c r="K59" s="981"/>
      <c r="L59" s="982"/>
      <c r="M59" s="983"/>
      <c r="N59" s="984"/>
      <c r="O59" s="985"/>
      <c r="P59" s="980"/>
      <c r="Q59" s="981"/>
      <c r="R59" s="982"/>
      <c r="S59" s="983"/>
      <c r="T59" s="990"/>
      <c r="U59" s="991"/>
      <c r="V59" s="992"/>
      <c r="W59" s="992"/>
      <c r="X59" s="833"/>
      <c r="Y59" s="834"/>
      <c r="Z59" s="835"/>
      <c r="AA59" s="867"/>
      <c r="AB59" s="868"/>
      <c r="AC59" s="868"/>
      <c r="AD59" s="869"/>
      <c r="AE59" s="993"/>
      <c r="AF59" s="993"/>
      <c r="AG59" s="993"/>
      <c r="AH59" s="994"/>
      <c r="AI59" s="899"/>
      <c r="AJ59" s="899"/>
      <c r="AK59" s="901"/>
      <c r="AL59" s="901"/>
      <c r="AM59" s="901"/>
      <c r="AN59" s="899"/>
      <c r="AO59" s="903"/>
      <c r="AP59" s="903"/>
      <c r="AQ59" s="903"/>
      <c r="AR59" s="37"/>
      <c r="AS59" s="235"/>
      <c r="AT59" s="973"/>
      <c r="AU59" s="996"/>
      <c r="AV59" s="851"/>
      <c r="AW59" s="851"/>
      <c r="AX59" s="970"/>
      <c r="AY59" s="970"/>
      <c r="AZ59" s="977"/>
      <c r="BA59" s="979"/>
      <c r="BB59" s="979"/>
      <c r="BC59" s="977"/>
      <c r="BD59" s="977"/>
      <c r="BE59" s="929"/>
      <c r="BF59" s="931"/>
      <c r="BG59" s="938"/>
      <c r="BH59" s="934"/>
      <c r="BI59" s="939"/>
    </row>
    <row r="60" spans="2:61" s="180" customFormat="1" ht="15.95" customHeight="1">
      <c r="B60" s="905">
        <v>22</v>
      </c>
      <c r="C60" s="830"/>
      <c r="D60" s="831"/>
      <c r="E60" s="831"/>
      <c r="F60" s="831"/>
      <c r="G60" s="831"/>
      <c r="H60" s="831"/>
      <c r="I60" s="831"/>
      <c r="J60" s="980" t="str">
        <f>IF(C60="","",INDEX(STDHVAC[Baseline Definition],MATCH(C60,STDHVAC[Measure Name],0)))</f>
        <v/>
      </c>
      <c r="K60" s="981"/>
      <c r="L60" s="982" t="str">
        <f>IF(C60="","",INDEX(STDHVAC[Baseline Efficiency Value],MATCH(C60,STDHVAC[Measure Name],0)))</f>
        <v/>
      </c>
      <c r="M60" s="983"/>
      <c r="N60" s="984"/>
      <c r="O60" s="985"/>
      <c r="P60" s="986" t="str">
        <f>IF(C60="","",INDEX(STDHVAC[Baseline Definition 2],MATCH(C60,STDHVAC[Measure Name],0)))</f>
        <v/>
      </c>
      <c r="Q60" s="987"/>
      <c r="R60" s="988" t="str">
        <f>IF(C60="","",INDEX(STDHVAC[Baseline Efficiency Value 2],MATCH(C60,STDHVAC[Measure Name],0)))</f>
        <v/>
      </c>
      <c r="S60" s="989"/>
      <c r="T60" s="990" t="str">
        <f t="shared" ref="T60" si="81">IF(AND(ISNUMBER(SEARCH("DX",C60)),ISNUMBER(SEARCH("&lt;65kbtu",C60)),N60&lt;&gt;""),1.12*N60-0.02*N60^2,IF(ISNUMBER(SEARCH("PTAC",C60)),1,""))</f>
        <v/>
      </c>
      <c r="U60" s="991"/>
      <c r="V60" s="992"/>
      <c r="W60" s="992"/>
      <c r="X60" s="830"/>
      <c r="Y60" s="831"/>
      <c r="Z60" s="832"/>
      <c r="AA60" s="867"/>
      <c r="AB60" s="868"/>
      <c r="AC60" s="868"/>
      <c r="AD60" s="869"/>
      <c r="AE60" s="993" t="str">
        <f>IF(C60="","",INDEX(STDHVAC[Current Unit],MATCH(C60,STDHVAC[Measure Name],0)))</f>
        <v/>
      </c>
      <c r="AF60" s="993"/>
      <c r="AG60" s="993"/>
      <c r="AH60" s="994"/>
      <c r="AI60" s="899" t="str">
        <f>IFERROR(IF(C60="","",INDEX(STDHVAC[Current Incentive],MATCH(C60,STDHVAC[Measure Name],0))),"")</f>
        <v/>
      </c>
      <c r="AJ60" s="899"/>
      <c r="AK60" s="900" t="str">
        <f t="shared" ref="AK60" si="82">IFERROR(IF(OR(C60="",N60="",V60="",X60="",T60="",AA60="",AC60=""),"",IF(BH60="Deemed",AV60,IF(BH60="Calculated",BA60,""))),"")</f>
        <v/>
      </c>
      <c r="AL60" s="900"/>
      <c r="AM60" s="900"/>
      <c r="AN60" s="897" t="str">
        <f t="shared" ref="AN60" si="83">IFERROR(IF(OR(C60="",N60="",V60="",X60="",T60="",AA60="",AC60=""),"",IF(BD60&lt;&gt;"",BD60,IF(BI60&gt;0,BI60,ROUND(IF(AK60&lt;=0,0,IF(AE60="$/ton",MIN(AT60,V60*AI60),MIN(AT60,(N60-L60)*V60*AI60))),2)))),"")</f>
        <v/>
      </c>
      <c r="AO60" s="902"/>
      <c r="AP60" s="902"/>
      <c r="AQ60" s="902"/>
      <c r="AR60" s="37"/>
      <c r="AS60" s="235"/>
      <c r="AT60" s="972" t="str">
        <f t="shared" ref="AT60" si="84">IF(OR(C60="",N60="",V60="",X60="",T60="",AA60="",AC60=""),"",IF(AK60=0,"",ROUND(AA60+AC60,2)))</f>
        <v/>
      </c>
      <c r="AU60" s="995" t="str">
        <f>IFERROR(IF(OR(C60="",N60="",V60="",X60="",T60="",AA60="",AC60=""),"",INDEX(STDHVAC[Current Unit],MATCH(C60,STDHVAC[Measure Name],0))),"Err")</f>
        <v/>
      </c>
      <c r="AV60" s="850" t="str">
        <f>IF(OR(C60="",N60="",V60="",X60="",T60="",AA60="",AC60=""),"",ROUND(V60*INDEX(STDHVAC[Electric Energy Savings (Annual kWh/unit)],MATCH(C60,STDHVAC[Measure Name],0)),4))</f>
        <v/>
      </c>
      <c r="AW60" s="850" t="str">
        <f>IF(OR(C60="",N60="",V60="",X60="",T60="",AA60="",AC60=""),"",ROUND(V60*INDEX(STDHVAC[Coincident Peak Demand Savings (kW/unit)],MATCH(C60,STDHVAC[Measure Name],0)),4))</f>
        <v/>
      </c>
      <c r="AX60" s="970"/>
      <c r="AY60" s="970"/>
      <c r="AZ60" s="976" t="str">
        <f>IFERROR(IF(OR(C60="",N60="",V60="",X60="",T60="",AA60="",AC60=""),"",INDEX(STDHVAC[End Use],MATCH(C60,STDHVAC[Measure Name],0))),"Err")</f>
        <v/>
      </c>
      <c r="BA60" s="978" t="str">
        <f>IFERROR(ROUND(
IF(ISNUMBER(SEARCH("DX",C60)),(V60*12)*((1/L60)-(1/N60))*INDEX(STDHVAC[EFLHcool],MATCH(C60,STDHVAC[Measure Name],0)),
IF(ISNUMBER(SEARCH("PTAC",C60)),(V60*12)*((1/L60)-(1/N60))*INDEX(STDHVAC[EFLHcool],MATCH(C60,STDHVAC[Measure Name],0)),
IF(ISNUMBER(SEARCH("PTHP",C60)),((V60*12)*((1/L60)-(1/N60))*INDEX(STDHVAC[EFLHcool],MATCH(C60,STDHVAC[Measure Name],0)))+(((V60*12)/3.412)*((1/R60)-(1/T60))*INDEX(STDHVAC[EFLHheat],MATCH(C60,STDHVAC[Measure Name],0))),
IF(ISNUMBER(SEARCH("ASHP",C60)),((V60*12)*((1/L60)-(1/N60))*INDEX(STDHVAC[EFLHcool],MATCH(C60,STDHVAC[Measure Name],0)))+(IF(P60="HSPF",(V60*12),((V60*12)/3.412))*((1/R60)-(1/T60))*INDEX(STDHVAC[EFLHheat],MATCH(C60,STDHVAC[Measure Name],0))),
"")))),4),"")</f>
        <v/>
      </c>
      <c r="BB60" s="978" t="str">
        <f>IFERROR(ROUND(((V60*12)*((1/L60)-(1/N60))*INDEX(STDHVAC[EFLHcool],MATCH(C60,STDHVAC[Measure Name],0)))*INDEX(ENDUSEALL[Factor],MATCH(AZ60,ENDUSEALL[End Use to Coincident Peak Demand Factors],0)),4),"")</f>
        <v/>
      </c>
      <c r="BC60" s="976" t="str">
        <f>IFERROR(IF(OR(C60="",N60="",V60="",X60="",T60="",AA60="",AC60="",ISNUMBER(AN60)=FALSE,AN60=0),"",INDEX(STDHVAC[Measure Number],MATCH(C60,STDHVAC[Measure Name],0))),"Err")</f>
        <v/>
      </c>
      <c r="BD60" s="976" t="str">
        <f>IFERROR(IF(OR(C60="",N60="",V60="",X60="",T60="",AA60="",AC60=""),"",
IF(BI60&gt;0,"",
IF(L60=N60,"Must Improve Efficiency",
IF(EXPIRATION&lt;&gt;"",PROJSTATEXP,"")))),"")</f>
        <v/>
      </c>
      <c r="BE60" s="928" t="str">
        <f>IFERROR(INDEX(STDHVAC[Measure Life (Years)],MATCH(C60,STDHVAC[Measure Name],0)),"")</f>
        <v/>
      </c>
      <c r="BF60" s="930" t="str">
        <f>IFERROR(IF(OR(C60="",N60="",V60="",X60="",T60="",AA60="",AC60=""),"",
ROUND(((1+ELOSS)*((AV60*INDEX(ELECCB[NPV AEC $/kWh],MATCH(BE60,ELECCB[Year Number],1)))+(AW60*INDEX(ELECCB[NPV ACC $/kW],MATCH(BE60,ELECCB[Year Number],1))))),2)),0)</f>
        <v/>
      </c>
      <c r="BG60" s="937"/>
      <c r="BH60" s="934" t="str">
        <f>IFERROR(IF(OR(C60="",N60="",V60="",X60="",T60="",AA60="",AC60=""),"",INDEX(STDHVAC[Reporting Methodology],MATCH(C60,STDHVAC[Measure Name],0))),"Err")</f>
        <v/>
      </c>
      <c r="BI60" s="939"/>
    </row>
    <row r="61" spans="2:61" s="180" customFormat="1" ht="15.95" customHeight="1">
      <c r="B61" s="905"/>
      <c r="C61" s="833"/>
      <c r="D61" s="834"/>
      <c r="E61" s="834"/>
      <c r="F61" s="834"/>
      <c r="G61" s="834"/>
      <c r="H61" s="834"/>
      <c r="I61" s="834"/>
      <c r="J61" s="980"/>
      <c r="K61" s="981"/>
      <c r="L61" s="982"/>
      <c r="M61" s="983"/>
      <c r="N61" s="984"/>
      <c r="O61" s="985"/>
      <c r="P61" s="980"/>
      <c r="Q61" s="981"/>
      <c r="R61" s="982"/>
      <c r="S61" s="983"/>
      <c r="T61" s="990"/>
      <c r="U61" s="991"/>
      <c r="V61" s="992"/>
      <c r="W61" s="992"/>
      <c r="X61" s="833"/>
      <c r="Y61" s="834"/>
      <c r="Z61" s="835"/>
      <c r="AA61" s="867"/>
      <c r="AB61" s="868"/>
      <c r="AC61" s="868"/>
      <c r="AD61" s="869"/>
      <c r="AE61" s="993"/>
      <c r="AF61" s="993"/>
      <c r="AG61" s="993"/>
      <c r="AH61" s="994"/>
      <c r="AI61" s="899"/>
      <c r="AJ61" s="899"/>
      <c r="AK61" s="901"/>
      <c r="AL61" s="901"/>
      <c r="AM61" s="901"/>
      <c r="AN61" s="899"/>
      <c r="AO61" s="903"/>
      <c r="AP61" s="903"/>
      <c r="AQ61" s="903"/>
      <c r="AR61" s="37"/>
      <c r="AS61" s="235"/>
      <c r="AT61" s="973"/>
      <c r="AU61" s="996"/>
      <c r="AV61" s="851"/>
      <c r="AW61" s="851"/>
      <c r="AX61" s="970"/>
      <c r="AY61" s="970"/>
      <c r="AZ61" s="977"/>
      <c r="BA61" s="979"/>
      <c r="BB61" s="979"/>
      <c r="BC61" s="977"/>
      <c r="BD61" s="977"/>
      <c r="BE61" s="929"/>
      <c r="BF61" s="931"/>
      <c r="BG61" s="938"/>
      <c r="BH61" s="934"/>
      <c r="BI61" s="939"/>
    </row>
    <row r="62" spans="2:61" s="180" customFormat="1" ht="15.95" customHeight="1">
      <c r="B62" s="905">
        <v>23</v>
      </c>
      <c r="C62" s="830"/>
      <c r="D62" s="831"/>
      <c r="E62" s="831"/>
      <c r="F62" s="831"/>
      <c r="G62" s="831"/>
      <c r="H62" s="831"/>
      <c r="I62" s="831"/>
      <c r="J62" s="980" t="str">
        <f>IF(C62="","",INDEX(STDHVAC[Baseline Definition],MATCH(C62,STDHVAC[Measure Name],0)))</f>
        <v/>
      </c>
      <c r="K62" s="981"/>
      <c r="L62" s="982" t="str">
        <f>IF(C62="","",INDEX(STDHVAC[Baseline Efficiency Value],MATCH(C62,STDHVAC[Measure Name],0)))</f>
        <v/>
      </c>
      <c r="M62" s="983"/>
      <c r="N62" s="984"/>
      <c r="O62" s="985"/>
      <c r="P62" s="986" t="str">
        <f>IF(C62="","",INDEX(STDHVAC[Baseline Definition 2],MATCH(C62,STDHVAC[Measure Name],0)))</f>
        <v/>
      </c>
      <c r="Q62" s="987"/>
      <c r="R62" s="988" t="str">
        <f>IF(C62="","",INDEX(STDHVAC[Baseline Efficiency Value 2],MATCH(C62,STDHVAC[Measure Name],0)))</f>
        <v/>
      </c>
      <c r="S62" s="989"/>
      <c r="T62" s="990" t="str">
        <f t="shared" ref="T62" si="85">IF(AND(ISNUMBER(SEARCH("DX",C62)),ISNUMBER(SEARCH("&lt;65kbtu",C62)),N62&lt;&gt;""),1.12*N62-0.02*N62^2,IF(ISNUMBER(SEARCH("PTAC",C62)),1,""))</f>
        <v/>
      </c>
      <c r="U62" s="991"/>
      <c r="V62" s="992"/>
      <c r="W62" s="992"/>
      <c r="X62" s="830"/>
      <c r="Y62" s="831"/>
      <c r="Z62" s="832"/>
      <c r="AA62" s="867"/>
      <c r="AB62" s="868"/>
      <c r="AC62" s="868"/>
      <c r="AD62" s="869"/>
      <c r="AE62" s="993" t="str">
        <f>IF(C62="","",INDEX(STDHVAC[Current Unit],MATCH(C62,STDHVAC[Measure Name],0)))</f>
        <v/>
      </c>
      <c r="AF62" s="993"/>
      <c r="AG62" s="993"/>
      <c r="AH62" s="994"/>
      <c r="AI62" s="899" t="str">
        <f>IFERROR(IF(C62="","",INDEX(STDHVAC[Current Incentive],MATCH(C62,STDHVAC[Measure Name],0))),"")</f>
        <v/>
      </c>
      <c r="AJ62" s="899"/>
      <c r="AK62" s="900" t="str">
        <f t="shared" ref="AK62" si="86">IFERROR(IF(OR(C62="",N62="",V62="",X62="",T62="",AA62="",AC62=""),"",IF(BH62="Deemed",AV62,IF(BH62="Calculated",BA62,""))),"")</f>
        <v/>
      </c>
      <c r="AL62" s="900"/>
      <c r="AM62" s="900"/>
      <c r="AN62" s="897" t="str">
        <f t="shared" ref="AN62" si="87">IFERROR(IF(OR(C62="",N62="",V62="",X62="",T62="",AA62="",AC62=""),"",IF(BD62&lt;&gt;"",BD62,IF(BI62&gt;0,BI62,ROUND(IF(AK62&lt;=0,0,IF(AE62="$/ton",MIN(AT62,V62*AI62),MIN(AT62,(N62-L62)*V62*AI62))),2)))),"")</f>
        <v/>
      </c>
      <c r="AO62" s="902"/>
      <c r="AP62" s="902"/>
      <c r="AQ62" s="902"/>
      <c r="AR62" s="37"/>
      <c r="AS62" s="235"/>
      <c r="AT62" s="972" t="str">
        <f t="shared" ref="AT62" si="88">IF(OR(C62="",N62="",V62="",X62="",T62="",AA62="",AC62=""),"",IF(AK62=0,"",ROUND(AA62+AC62,2)))</f>
        <v/>
      </c>
      <c r="AU62" s="995" t="str">
        <f>IFERROR(IF(OR(C62="",N62="",V62="",X62="",T62="",AA62="",AC62=""),"",INDEX(STDHVAC[Current Unit],MATCH(C62,STDHVAC[Measure Name],0))),"Err")</f>
        <v/>
      </c>
      <c r="AV62" s="850" t="str">
        <f>IF(OR(C62="",N62="",V62="",X62="",T62="",AA62="",AC62=""),"",ROUND(V62*INDEX(STDHVAC[Electric Energy Savings (Annual kWh/unit)],MATCH(C62,STDHVAC[Measure Name],0)),4))</f>
        <v/>
      </c>
      <c r="AW62" s="850" t="str">
        <f>IF(OR(C62="",N62="",V62="",X62="",T62="",AA62="",AC62=""),"",ROUND(V62*INDEX(STDHVAC[Coincident Peak Demand Savings (kW/unit)],MATCH(C62,STDHVAC[Measure Name],0)),4))</f>
        <v/>
      </c>
      <c r="AX62" s="970"/>
      <c r="AY62" s="970"/>
      <c r="AZ62" s="976" t="str">
        <f>IFERROR(IF(OR(C62="",N62="",V62="",X62="",T62="",AA62="",AC62=""),"",INDEX(STDHVAC[End Use],MATCH(C62,STDHVAC[Measure Name],0))),"Err")</f>
        <v/>
      </c>
      <c r="BA62" s="978" t="str">
        <f>IFERROR(ROUND(
IF(ISNUMBER(SEARCH("DX",C62)),(V62*12)*((1/L62)-(1/N62))*INDEX(STDHVAC[EFLHcool],MATCH(C62,STDHVAC[Measure Name],0)),
IF(ISNUMBER(SEARCH("PTAC",C62)),(V62*12)*((1/L62)-(1/N62))*INDEX(STDHVAC[EFLHcool],MATCH(C62,STDHVAC[Measure Name],0)),
IF(ISNUMBER(SEARCH("PTHP",C62)),((V62*12)*((1/L62)-(1/N62))*INDEX(STDHVAC[EFLHcool],MATCH(C62,STDHVAC[Measure Name],0)))+(((V62*12)/3.412)*((1/R62)-(1/T62))*INDEX(STDHVAC[EFLHheat],MATCH(C62,STDHVAC[Measure Name],0))),
IF(ISNUMBER(SEARCH("ASHP",C62)),((V62*12)*((1/L62)-(1/N62))*INDEX(STDHVAC[EFLHcool],MATCH(C62,STDHVAC[Measure Name],0)))+(IF(P62="HSPF",(V62*12),((V62*12)/3.412))*((1/R62)-(1/T62))*INDEX(STDHVAC[EFLHheat],MATCH(C62,STDHVAC[Measure Name],0))),
"")))),4),"")</f>
        <v/>
      </c>
      <c r="BB62" s="978" t="str">
        <f>IFERROR(ROUND(((V62*12)*((1/L62)-(1/N62))*INDEX(STDHVAC[EFLHcool],MATCH(C62,STDHVAC[Measure Name],0)))*INDEX(ENDUSEALL[Factor],MATCH(AZ62,ENDUSEALL[End Use to Coincident Peak Demand Factors],0)),4),"")</f>
        <v/>
      </c>
      <c r="BC62" s="976" t="str">
        <f>IFERROR(IF(OR(C62="",N62="",V62="",X62="",T62="",AA62="",AC62="",ISNUMBER(AN62)=FALSE,AN62=0),"",INDEX(STDHVAC[Measure Number],MATCH(C62,STDHVAC[Measure Name],0))),"Err")</f>
        <v/>
      </c>
      <c r="BD62" s="976" t="str">
        <f>IFERROR(IF(OR(C62="",N62="",V62="",X62="",T62="",AA62="",AC62=""),"",
IF(BI62&gt;0,"",
IF(L62=N62,"Must Improve Efficiency",
IF(EXPIRATION&lt;&gt;"",PROJSTATEXP,"")))),"")</f>
        <v/>
      </c>
      <c r="BE62" s="928" t="str">
        <f>IFERROR(INDEX(STDHVAC[Measure Life (Years)],MATCH(C62,STDHVAC[Measure Name],0)),"")</f>
        <v/>
      </c>
      <c r="BF62" s="930" t="str">
        <f>IFERROR(IF(OR(C62="",N62="",V62="",X62="",T62="",AA62="",AC62=""),"",
ROUND(((1+ELOSS)*((AV62*INDEX(ELECCB[NPV AEC $/kWh],MATCH(BE62,ELECCB[Year Number],1)))+(AW62*INDEX(ELECCB[NPV ACC $/kW],MATCH(BE62,ELECCB[Year Number],1))))),2)),0)</f>
        <v/>
      </c>
      <c r="BG62" s="937"/>
      <c r="BH62" s="934" t="str">
        <f>IFERROR(IF(OR(C62="",N62="",V62="",X62="",T62="",AA62="",AC62=""),"",INDEX(STDHVAC[Reporting Methodology],MATCH(C62,STDHVAC[Measure Name],0))),"Err")</f>
        <v/>
      </c>
      <c r="BI62" s="939"/>
    </row>
    <row r="63" spans="2:61" s="180" customFormat="1" ht="15.95" customHeight="1">
      <c r="B63" s="905"/>
      <c r="C63" s="833"/>
      <c r="D63" s="834"/>
      <c r="E63" s="834"/>
      <c r="F63" s="834"/>
      <c r="G63" s="834"/>
      <c r="H63" s="834"/>
      <c r="I63" s="834"/>
      <c r="J63" s="980"/>
      <c r="K63" s="981"/>
      <c r="L63" s="982"/>
      <c r="M63" s="983"/>
      <c r="N63" s="984"/>
      <c r="O63" s="985"/>
      <c r="P63" s="980"/>
      <c r="Q63" s="981"/>
      <c r="R63" s="982"/>
      <c r="S63" s="983"/>
      <c r="T63" s="990"/>
      <c r="U63" s="991"/>
      <c r="V63" s="992"/>
      <c r="W63" s="992"/>
      <c r="X63" s="833"/>
      <c r="Y63" s="834"/>
      <c r="Z63" s="835"/>
      <c r="AA63" s="867"/>
      <c r="AB63" s="868"/>
      <c r="AC63" s="868"/>
      <c r="AD63" s="869"/>
      <c r="AE63" s="993"/>
      <c r="AF63" s="993"/>
      <c r="AG63" s="993"/>
      <c r="AH63" s="994"/>
      <c r="AI63" s="899"/>
      <c r="AJ63" s="899"/>
      <c r="AK63" s="901"/>
      <c r="AL63" s="901"/>
      <c r="AM63" s="901"/>
      <c r="AN63" s="899"/>
      <c r="AO63" s="903"/>
      <c r="AP63" s="903"/>
      <c r="AQ63" s="903"/>
      <c r="AR63" s="37"/>
      <c r="AS63" s="235"/>
      <c r="AT63" s="973"/>
      <c r="AU63" s="996"/>
      <c r="AV63" s="851"/>
      <c r="AW63" s="851"/>
      <c r="AX63" s="970"/>
      <c r="AY63" s="970"/>
      <c r="AZ63" s="977"/>
      <c r="BA63" s="979"/>
      <c r="BB63" s="979"/>
      <c r="BC63" s="977"/>
      <c r="BD63" s="977"/>
      <c r="BE63" s="929"/>
      <c r="BF63" s="931"/>
      <c r="BG63" s="938"/>
      <c r="BH63" s="934"/>
      <c r="BI63" s="939"/>
    </row>
    <row r="64" spans="2:61" s="180" customFormat="1" ht="15.95" customHeight="1">
      <c r="B64" s="905">
        <v>24</v>
      </c>
      <c r="C64" s="830"/>
      <c r="D64" s="831"/>
      <c r="E64" s="831"/>
      <c r="F64" s="831"/>
      <c r="G64" s="831"/>
      <c r="H64" s="831"/>
      <c r="I64" s="831"/>
      <c r="J64" s="980" t="str">
        <f>IF(C64="","",INDEX(STDHVAC[Baseline Definition],MATCH(C64,STDHVAC[Measure Name],0)))</f>
        <v/>
      </c>
      <c r="K64" s="981"/>
      <c r="L64" s="982" t="str">
        <f>IF(C64="","",INDEX(STDHVAC[Baseline Efficiency Value],MATCH(C64,STDHVAC[Measure Name],0)))</f>
        <v/>
      </c>
      <c r="M64" s="983"/>
      <c r="N64" s="984"/>
      <c r="O64" s="985"/>
      <c r="P64" s="986" t="str">
        <f>IF(C64="","",INDEX(STDHVAC[Baseline Definition 2],MATCH(C64,STDHVAC[Measure Name],0)))</f>
        <v/>
      </c>
      <c r="Q64" s="987"/>
      <c r="R64" s="988" t="str">
        <f>IF(C64="","",INDEX(STDHVAC[Baseline Efficiency Value 2],MATCH(C64,STDHVAC[Measure Name],0)))</f>
        <v/>
      </c>
      <c r="S64" s="989"/>
      <c r="T64" s="990" t="str">
        <f t="shared" ref="T64" si="89">IF(AND(ISNUMBER(SEARCH("DX",C64)),ISNUMBER(SEARCH("&lt;65kbtu",C64)),N64&lt;&gt;""),1.12*N64-0.02*N64^2,IF(ISNUMBER(SEARCH("PTAC",C64)),1,""))</f>
        <v/>
      </c>
      <c r="U64" s="991"/>
      <c r="V64" s="992"/>
      <c r="W64" s="992"/>
      <c r="X64" s="830"/>
      <c r="Y64" s="831"/>
      <c r="Z64" s="832"/>
      <c r="AA64" s="867"/>
      <c r="AB64" s="868"/>
      <c r="AC64" s="868"/>
      <c r="AD64" s="869"/>
      <c r="AE64" s="993" t="str">
        <f>IF(C64="","",INDEX(STDHVAC[Current Unit],MATCH(C64,STDHVAC[Measure Name],0)))</f>
        <v/>
      </c>
      <c r="AF64" s="993"/>
      <c r="AG64" s="993"/>
      <c r="AH64" s="994"/>
      <c r="AI64" s="899" t="str">
        <f>IFERROR(IF(C64="","",INDEX(STDHVAC[Current Incentive],MATCH(C64,STDHVAC[Measure Name],0))),"")</f>
        <v/>
      </c>
      <c r="AJ64" s="899"/>
      <c r="AK64" s="900" t="str">
        <f t="shared" ref="AK64" si="90">IFERROR(IF(OR(C64="",N64="",V64="",X64="",T64="",AA64="",AC64=""),"",IF(BH64="Deemed",AV64,IF(BH64="Calculated",BA64,""))),"")</f>
        <v/>
      </c>
      <c r="AL64" s="900"/>
      <c r="AM64" s="900"/>
      <c r="AN64" s="897" t="str">
        <f t="shared" ref="AN64" si="91">IFERROR(IF(OR(C64="",N64="",V64="",X64="",T64="",AA64="",AC64=""),"",IF(BD64&lt;&gt;"",BD64,IF(BI64&gt;0,BI64,ROUND(IF(AK64&lt;=0,0,IF(AE64="$/ton",MIN(AT64,V64*AI64),MIN(AT64,(N64-L64)*V64*AI64))),2)))),"")</f>
        <v/>
      </c>
      <c r="AO64" s="902"/>
      <c r="AP64" s="902"/>
      <c r="AQ64" s="902"/>
      <c r="AR64" s="37"/>
      <c r="AS64" s="235"/>
      <c r="AT64" s="972" t="str">
        <f t="shared" ref="AT64" si="92">IF(OR(C64="",N64="",V64="",X64="",T64="",AA64="",AC64=""),"",IF(AK64=0,"",ROUND(AA64+AC64,2)))</f>
        <v/>
      </c>
      <c r="AU64" s="995" t="str">
        <f>IFERROR(IF(OR(C64="",N64="",V64="",X64="",T64="",AA64="",AC64=""),"",INDEX(STDHVAC[Current Unit],MATCH(C64,STDHVAC[Measure Name],0))),"Err")</f>
        <v/>
      </c>
      <c r="AV64" s="850" t="str">
        <f>IF(OR(C64="",N64="",V64="",X64="",T64="",AA64="",AC64=""),"",ROUND(V64*INDEX(STDHVAC[Electric Energy Savings (Annual kWh/unit)],MATCH(C64,STDHVAC[Measure Name],0)),4))</f>
        <v/>
      </c>
      <c r="AW64" s="850" t="str">
        <f>IF(OR(C64="",N64="",V64="",X64="",T64="",AA64="",AC64=""),"",ROUND(V64*INDEX(STDHVAC[Coincident Peak Demand Savings (kW/unit)],MATCH(C64,STDHVAC[Measure Name],0)),4))</f>
        <v/>
      </c>
      <c r="AX64" s="970"/>
      <c r="AY64" s="970"/>
      <c r="AZ64" s="976" t="str">
        <f>IFERROR(IF(OR(C64="",N64="",V64="",X64="",T64="",AA64="",AC64=""),"",INDEX(STDHVAC[End Use],MATCH(C64,STDHVAC[Measure Name],0))),"Err")</f>
        <v/>
      </c>
      <c r="BA64" s="978" t="str">
        <f>IFERROR(ROUND(
IF(ISNUMBER(SEARCH("DX",C64)),(V64*12)*((1/L64)-(1/N64))*INDEX(STDHVAC[EFLHcool],MATCH(C64,STDHVAC[Measure Name],0)),
IF(ISNUMBER(SEARCH("PTAC",C64)),(V64*12)*((1/L64)-(1/N64))*INDEX(STDHVAC[EFLHcool],MATCH(C64,STDHVAC[Measure Name],0)),
IF(ISNUMBER(SEARCH("PTHP",C64)),((V64*12)*((1/L64)-(1/N64))*INDEX(STDHVAC[EFLHcool],MATCH(C64,STDHVAC[Measure Name],0)))+(((V64*12)/3.412)*((1/R64)-(1/T64))*INDEX(STDHVAC[EFLHheat],MATCH(C64,STDHVAC[Measure Name],0))),
IF(ISNUMBER(SEARCH("ASHP",C64)),((V64*12)*((1/L64)-(1/N64))*INDEX(STDHVAC[EFLHcool],MATCH(C64,STDHVAC[Measure Name],0)))+(IF(P64="HSPF",(V64*12),((V64*12)/3.412))*((1/R64)-(1/T64))*INDEX(STDHVAC[EFLHheat],MATCH(C64,STDHVAC[Measure Name],0))),
"")))),4),"")</f>
        <v/>
      </c>
      <c r="BB64" s="978" t="str">
        <f>IFERROR(ROUND(((V64*12)*((1/L64)-(1/N64))*INDEX(STDHVAC[EFLHcool],MATCH(C64,STDHVAC[Measure Name],0)))*INDEX(ENDUSEALL[Factor],MATCH(AZ64,ENDUSEALL[End Use to Coincident Peak Demand Factors],0)),4),"")</f>
        <v/>
      </c>
      <c r="BC64" s="976" t="str">
        <f>IFERROR(IF(OR(C64="",N64="",V64="",X64="",T64="",AA64="",AC64="",ISNUMBER(AN64)=FALSE,AN64=0),"",INDEX(STDHVAC[Measure Number],MATCH(C64,STDHVAC[Measure Name],0))),"Err")</f>
        <v/>
      </c>
      <c r="BD64" s="976" t="str">
        <f>IFERROR(IF(OR(C64="",N64="",V64="",X64="",T64="",AA64="",AC64=""),"",
IF(BI64&gt;0,"",
IF(L64=N64,"Must Improve Efficiency",
IF(EXPIRATION&lt;&gt;"",PROJSTATEXP,"")))),"")</f>
        <v/>
      </c>
      <c r="BE64" s="928" t="str">
        <f>IFERROR(INDEX(STDHVAC[Measure Life (Years)],MATCH(C64,STDHVAC[Measure Name],0)),"")</f>
        <v/>
      </c>
      <c r="BF64" s="930" t="str">
        <f>IFERROR(IF(OR(C64="",N64="",V64="",X64="",T64="",AA64="",AC64=""),"",
ROUND(((1+ELOSS)*((AV64*INDEX(ELECCB[NPV AEC $/kWh],MATCH(BE64,ELECCB[Year Number],1)))+(AW64*INDEX(ELECCB[NPV ACC $/kW],MATCH(BE64,ELECCB[Year Number],1))))),2)),0)</f>
        <v/>
      </c>
      <c r="BG64" s="937"/>
      <c r="BH64" s="934" t="str">
        <f>IFERROR(IF(OR(C64="",N64="",V64="",X64="",T64="",AA64="",AC64=""),"",INDEX(STDHVAC[Reporting Methodology],MATCH(C64,STDHVAC[Measure Name],0))),"Err")</f>
        <v/>
      </c>
      <c r="BI64" s="939"/>
    </row>
    <row r="65" spans="2:61" s="180" customFormat="1" ht="15.95" customHeight="1">
      <c r="B65" s="905"/>
      <c r="C65" s="833"/>
      <c r="D65" s="834"/>
      <c r="E65" s="834"/>
      <c r="F65" s="834"/>
      <c r="G65" s="834"/>
      <c r="H65" s="834"/>
      <c r="I65" s="834"/>
      <c r="J65" s="980"/>
      <c r="K65" s="981"/>
      <c r="L65" s="982"/>
      <c r="M65" s="983"/>
      <c r="N65" s="984"/>
      <c r="O65" s="985"/>
      <c r="P65" s="980"/>
      <c r="Q65" s="981"/>
      <c r="R65" s="982"/>
      <c r="S65" s="983"/>
      <c r="T65" s="990"/>
      <c r="U65" s="991"/>
      <c r="V65" s="992"/>
      <c r="W65" s="992"/>
      <c r="X65" s="833"/>
      <c r="Y65" s="834"/>
      <c r="Z65" s="835"/>
      <c r="AA65" s="867"/>
      <c r="AB65" s="868"/>
      <c r="AC65" s="868"/>
      <c r="AD65" s="869"/>
      <c r="AE65" s="993"/>
      <c r="AF65" s="993"/>
      <c r="AG65" s="993"/>
      <c r="AH65" s="994"/>
      <c r="AI65" s="899"/>
      <c r="AJ65" s="899"/>
      <c r="AK65" s="901"/>
      <c r="AL65" s="901"/>
      <c r="AM65" s="901"/>
      <c r="AN65" s="899"/>
      <c r="AO65" s="903"/>
      <c r="AP65" s="903"/>
      <c r="AQ65" s="903"/>
      <c r="AR65" s="37"/>
      <c r="AS65" s="235"/>
      <c r="AT65" s="973"/>
      <c r="AU65" s="996"/>
      <c r="AV65" s="851"/>
      <c r="AW65" s="851"/>
      <c r="AX65" s="970"/>
      <c r="AY65" s="970"/>
      <c r="AZ65" s="977"/>
      <c r="BA65" s="979"/>
      <c r="BB65" s="979"/>
      <c r="BC65" s="977"/>
      <c r="BD65" s="977"/>
      <c r="BE65" s="929"/>
      <c r="BF65" s="931"/>
      <c r="BG65" s="938"/>
      <c r="BH65" s="934"/>
      <c r="BI65" s="939"/>
    </row>
    <row r="66" spans="2:61" s="180" customFormat="1" ht="15.95" customHeight="1">
      <c r="B66" s="905">
        <v>25</v>
      </c>
      <c r="C66" s="830"/>
      <c r="D66" s="831"/>
      <c r="E66" s="831"/>
      <c r="F66" s="831"/>
      <c r="G66" s="831"/>
      <c r="H66" s="831"/>
      <c r="I66" s="831"/>
      <c r="J66" s="980" t="str">
        <f>IF(C66="","",INDEX(STDHVAC[Baseline Definition],MATCH(C66,STDHVAC[Measure Name],0)))</f>
        <v/>
      </c>
      <c r="K66" s="981"/>
      <c r="L66" s="982" t="str">
        <f>IF(C66="","",INDEX(STDHVAC[Baseline Efficiency Value],MATCH(C66,STDHVAC[Measure Name],0)))</f>
        <v/>
      </c>
      <c r="M66" s="983"/>
      <c r="N66" s="984"/>
      <c r="O66" s="985"/>
      <c r="P66" s="986" t="str">
        <f>IF(C66="","",INDEX(STDHVAC[Baseline Definition 2],MATCH(C66,STDHVAC[Measure Name],0)))</f>
        <v/>
      </c>
      <c r="Q66" s="987"/>
      <c r="R66" s="988" t="str">
        <f>IF(C66="","",INDEX(STDHVAC[Baseline Efficiency Value 2],MATCH(C66,STDHVAC[Measure Name],0)))</f>
        <v/>
      </c>
      <c r="S66" s="989"/>
      <c r="T66" s="990" t="str">
        <f t="shared" ref="T66" si="93">IF(AND(ISNUMBER(SEARCH("DX",C66)),ISNUMBER(SEARCH("&lt;65kbtu",C66)),N66&lt;&gt;""),1.12*N66-0.02*N66^2,IF(ISNUMBER(SEARCH("PTAC",C66)),1,""))</f>
        <v/>
      </c>
      <c r="U66" s="991"/>
      <c r="V66" s="992"/>
      <c r="W66" s="992"/>
      <c r="X66" s="830"/>
      <c r="Y66" s="831"/>
      <c r="Z66" s="832"/>
      <c r="AA66" s="867"/>
      <c r="AB66" s="868"/>
      <c r="AC66" s="868"/>
      <c r="AD66" s="869"/>
      <c r="AE66" s="993" t="str">
        <f>IF(C66="","",INDEX(STDHVAC[Current Unit],MATCH(C66,STDHVAC[Measure Name],0)))</f>
        <v/>
      </c>
      <c r="AF66" s="993"/>
      <c r="AG66" s="993"/>
      <c r="AH66" s="994"/>
      <c r="AI66" s="899" t="str">
        <f>IFERROR(IF(C66="","",INDEX(STDHVAC[Current Incentive],MATCH(C66,STDHVAC[Measure Name],0))),"")</f>
        <v/>
      </c>
      <c r="AJ66" s="899"/>
      <c r="AK66" s="900" t="str">
        <f t="shared" ref="AK66" si="94">IFERROR(IF(OR(C66="",N66="",V66="",X66="",T66="",AA66="",AC66=""),"",IF(BH66="Deemed",AV66,IF(BH66="Calculated",BA66,""))),"")</f>
        <v/>
      </c>
      <c r="AL66" s="900"/>
      <c r="AM66" s="900"/>
      <c r="AN66" s="897" t="str">
        <f t="shared" ref="AN66" si="95">IFERROR(IF(OR(C66="",N66="",V66="",X66="",T66="",AA66="",AC66=""),"",IF(BD66&lt;&gt;"",BD66,IF(BI66&gt;0,BI66,ROUND(IF(AK66&lt;=0,0,IF(AE66="$/ton",MIN(AT66,V66*AI66),MIN(AT66,(N66-L66)*V66*AI66))),2)))),"")</f>
        <v/>
      </c>
      <c r="AO66" s="902"/>
      <c r="AP66" s="902"/>
      <c r="AQ66" s="902"/>
      <c r="AR66" s="37"/>
      <c r="AS66" s="235"/>
      <c r="AT66" s="972" t="str">
        <f t="shared" ref="AT66" si="96">IF(OR(C66="",N66="",V66="",X66="",T66="",AA66="",AC66=""),"",IF(AK66=0,"",ROUND(AA66+AC66,2)))</f>
        <v/>
      </c>
      <c r="AU66" s="995" t="str">
        <f>IFERROR(IF(OR(C66="",N66="",V66="",X66="",T66="",AA66="",AC66=""),"",INDEX(STDHVAC[Current Unit],MATCH(C66,STDHVAC[Measure Name],0))),"Err")</f>
        <v/>
      </c>
      <c r="AV66" s="850" t="str">
        <f>IF(OR(C66="",N66="",V66="",X66="",T66="",AA66="",AC66=""),"",ROUND(V66*INDEX(STDHVAC[Electric Energy Savings (Annual kWh/unit)],MATCH(C66,STDHVAC[Measure Name],0)),4))</f>
        <v/>
      </c>
      <c r="AW66" s="850" t="str">
        <f>IF(OR(C66="",N66="",V66="",X66="",T66="",AA66="",AC66=""),"",ROUND(V66*INDEX(STDHVAC[Coincident Peak Demand Savings (kW/unit)],MATCH(C66,STDHVAC[Measure Name],0)),4))</f>
        <v/>
      </c>
      <c r="AX66" s="970"/>
      <c r="AY66" s="970"/>
      <c r="AZ66" s="976" t="str">
        <f>IFERROR(IF(OR(C66="",N66="",V66="",X66="",T66="",AA66="",AC66=""),"",INDEX(STDHVAC[End Use],MATCH(C66,STDHVAC[Measure Name],0))),"Err")</f>
        <v/>
      </c>
      <c r="BA66" s="978" t="str">
        <f>IFERROR(ROUND(
IF(ISNUMBER(SEARCH("DX",C66)),(V66*12)*((1/L66)-(1/N66))*INDEX(STDHVAC[EFLHcool],MATCH(C66,STDHVAC[Measure Name],0)),
IF(ISNUMBER(SEARCH("PTAC",C66)),(V66*12)*((1/L66)-(1/N66))*INDEX(STDHVAC[EFLHcool],MATCH(C66,STDHVAC[Measure Name],0)),
IF(ISNUMBER(SEARCH("PTHP",C66)),((V66*12)*((1/L66)-(1/N66))*INDEX(STDHVAC[EFLHcool],MATCH(C66,STDHVAC[Measure Name],0)))+(((V66*12)/3.412)*((1/R66)-(1/T66))*INDEX(STDHVAC[EFLHheat],MATCH(C66,STDHVAC[Measure Name],0))),
IF(ISNUMBER(SEARCH("ASHP",C66)),((V66*12)*((1/L66)-(1/N66))*INDEX(STDHVAC[EFLHcool],MATCH(C66,STDHVAC[Measure Name],0)))+(IF(P66="HSPF",(V66*12),((V66*12)/3.412))*((1/R66)-(1/T66))*INDEX(STDHVAC[EFLHheat],MATCH(C66,STDHVAC[Measure Name],0))),
"")))),4),"")</f>
        <v/>
      </c>
      <c r="BB66" s="978" t="str">
        <f>IFERROR(ROUND(((V66*12)*((1/L66)-(1/N66))*INDEX(STDHVAC[EFLHcool],MATCH(C66,STDHVAC[Measure Name],0)))*INDEX(ENDUSEALL[Factor],MATCH(AZ66,ENDUSEALL[End Use to Coincident Peak Demand Factors],0)),4),"")</f>
        <v/>
      </c>
      <c r="BC66" s="976" t="str">
        <f>IFERROR(IF(OR(C66="",N66="",V66="",X66="",T66="",AA66="",AC66="",ISNUMBER(AN66)=FALSE,AN66=0),"",INDEX(STDHVAC[Measure Number],MATCH(C66,STDHVAC[Measure Name],0))),"Err")</f>
        <v/>
      </c>
      <c r="BD66" s="976" t="str">
        <f>IFERROR(IF(OR(C66="",N66="",V66="",X66="",T66="",AA66="",AC66=""),"",
IF(BI66&gt;0,"",
IF(L66=N66,"Must Improve Efficiency",
IF(EXPIRATION&lt;&gt;"",PROJSTATEXP,"")))),"")</f>
        <v/>
      </c>
      <c r="BE66" s="928" t="str">
        <f>IFERROR(INDEX(STDHVAC[Measure Life (Years)],MATCH(C66,STDHVAC[Measure Name],0)),"")</f>
        <v/>
      </c>
      <c r="BF66" s="930" t="str">
        <f>IFERROR(IF(OR(C66="",N66="",V66="",X66="",T66="",AA66="",AC66=""),"",
ROUND(((1+ELOSS)*((AV66*INDEX(ELECCB[NPV AEC $/kWh],MATCH(BE66,ELECCB[Year Number],1)))+(AW66*INDEX(ELECCB[NPV ACC $/kW],MATCH(BE66,ELECCB[Year Number],1))))),2)),0)</f>
        <v/>
      </c>
      <c r="BG66" s="937"/>
      <c r="BH66" s="934" t="str">
        <f>IFERROR(IF(OR(C66="",N66="",V66="",X66="",T66="",AA66="",AC66=""),"",INDEX(STDHVAC[Reporting Methodology],MATCH(C66,STDHVAC[Measure Name],0))),"Err")</f>
        <v/>
      </c>
      <c r="BI66" s="939"/>
    </row>
    <row r="67" spans="2:61" s="180" customFormat="1" ht="15.95" customHeight="1">
      <c r="B67" s="905"/>
      <c r="C67" s="833"/>
      <c r="D67" s="834"/>
      <c r="E67" s="834"/>
      <c r="F67" s="834"/>
      <c r="G67" s="834"/>
      <c r="H67" s="834"/>
      <c r="I67" s="834"/>
      <c r="J67" s="980"/>
      <c r="K67" s="981"/>
      <c r="L67" s="982"/>
      <c r="M67" s="983"/>
      <c r="N67" s="984"/>
      <c r="O67" s="985"/>
      <c r="P67" s="980"/>
      <c r="Q67" s="981"/>
      <c r="R67" s="982"/>
      <c r="S67" s="983"/>
      <c r="T67" s="990"/>
      <c r="U67" s="991"/>
      <c r="V67" s="992"/>
      <c r="W67" s="992"/>
      <c r="X67" s="833"/>
      <c r="Y67" s="834"/>
      <c r="Z67" s="835"/>
      <c r="AA67" s="867"/>
      <c r="AB67" s="868"/>
      <c r="AC67" s="868"/>
      <c r="AD67" s="869"/>
      <c r="AE67" s="993"/>
      <c r="AF67" s="993"/>
      <c r="AG67" s="993"/>
      <c r="AH67" s="994"/>
      <c r="AI67" s="899"/>
      <c r="AJ67" s="899"/>
      <c r="AK67" s="901"/>
      <c r="AL67" s="901"/>
      <c r="AM67" s="901"/>
      <c r="AN67" s="899"/>
      <c r="AO67" s="903"/>
      <c r="AP67" s="903"/>
      <c r="AQ67" s="903"/>
      <c r="AR67" s="37"/>
      <c r="AS67" s="235"/>
      <c r="AT67" s="973"/>
      <c r="AU67" s="996"/>
      <c r="AV67" s="851"/>
      <c r="AW67" s="851"/>
      <c r="AX67" s="970"/>
      <c r="AY67" s="970"/>
      <c r="AZ67" s="977"/>
      <c r="BA67" s="979"/>
      <c r="BB67" s="979"/>
      <c r="BC67" s="977"/>
      <c r="BD67" s="977"/>
      <c r="BE67" s="929"/>
      <c r="BF67" s="931"/>
      <c r="BG67" s="938"/>
      <c r="BH67" s="934"/>
      <c r="BI67" s="939"/>
    </row>
    <row r="68" spans="2:61" s="180" customFormat="1" ht="15.95" customHeight="1">
      <c r="B68" s="905">
        <v>26</v>
      </c>
      <c r="C68" s="830"/>
      <c r="D68" s="831"/>
      <c r="E68" s="831"/>
      <c r="F68" s="831"/>
      <c r="G68" s="831"/>
      <c r="H68" s="831"/>
      <c r="I68" s="831"/>
      <c r="J68" s="980" t="str">
        <f>IF(C68="","",INDEX(STDHVAC[Baseline Definition],MATCH(C68,STDHVAC[Measure Name],0)))</f>
        <v/>
      </c>
      <c r="K68" s="981"/>
      <c r="L68" s="982" t="str">
        <f>IF(C68="","",INDEX(STDHVAC[Baseline Efficiency Value],MATCH(C68,STDHVAC[Measure Name],0)))</f>
        <v/>
      </c>
      <c r="M68" s="983"/>
      <c r="N68" s="984"/>
      <c r="O68" s="985"/>
      <c r="P68" s="986" t="str">
        <f>IF(C68="","",INDEX(STDHVAC[Baseline Definition 2],MATCH(C68,STDHVAC[Measure Name],0)))</f>
        <v/>
      </c>
      <c r="Q68" s="987"/>
      <c r="R68" s="988" t="str">
        <f>IF(C68="","",INDEX(STDHVAC[Baseline Efficiency Value 2],MATCH(C68,STDHVAC[Measure Name],0)))</f>
        <v/>
      </c>
      <c r="S68" s="989"/>
      <c r="T68" s="990" t="str">
        <f t="shared" ref="T68" si="97">IF(AND(ISNUMBER(SEARCH("DX",C68)),ISNUMBER(SEARCH("&lt;65kbtu",C68)),N68&lt;&gt;""),1.12*N68-0.02*N68^2,IF(ISNUMBER(SEARCH("PTAC",C68)),1,""))</f>
        <v/>
      </c>
      <c r="U68" s="991"/>
      <c r="V68" s="992"/>
      <c r="W68" s="992"/>
      <c r="X68" s="830"/>
      <c r="Y68" s="831"/>
      <c r="Z68" s="832"/>
      <c r="AA68" s="867"/>
      <c r="AB68" s="868"/>
      <c r="AC68" s="868"/>
      <c r="AD68" s="869"/>
      <c r="AE68" s="993" t="str">
        <f>IF(C68="","",INDEX(STDHVAC[Current Unit],MATCH(C68,STDHVAC[Measure Name],0)))</f>
        <v/>
      </c>
      <c r="AF68" s="993"/>
      <c r="AG68" s="993"/>
      <c r="AH68" s="994"/>
      <c r="AI68" s="899" t="str">
        <f>IFERROR(IF(C68="","",INDEX(STDHVAC[Current Incentive],MATCH(C68,STDHVAC[Measure Name],0))),"")</f>
        <v/>
      </c>
      <c r="AJ68" s="899"/>
      <c r="AK68" s="900" t="str">
        <f t="shared" ref="AK68" si="98">IFERROR(IF(OR(C68="",N68="",V68="",X68="",T68="",AA68="",AC68=""),"",IF(BH68="Deemed",AV68,IF(BH68="Calculated",BA68,""))),"")</f>
        <v/>
      </c>
      <c r="AL68" s="900"/>
      <c r="AM68" s="900"/>
      <c r="AN68" s="897" t="str">
        <f t="shared" ref="AN68" si="99">IFERROR(IF(OR(C68="",N68="",V68="",X68="",T68="",AA68="",AC68=""),"",IF(BD68&lt;&gt;"",BD68,IF(BI68&gt;0,BI68,ROUND(IF(AK68&lt;=0,0,IF(AE68="$/ton",MIN(AT68,V68*AI68),MIN(AT68,(N68-L68)*V68*AI68))),2)))),"")</f>
        <v/>
      </c>
      <c r="AO68" s="902"/>
      <c r="AP68" s="902"/>
      <c r="AQ68" s="902"/>
      <c r="AR68" s="37"/>
      <c r="AS68" s="235"/>
      <c r="AT68" s="972" t="str">
        <f t="shared" ref="AT68" si="100">IF(OR(C68="",N68="",V68="",X68="",T68="",AA68="",AC68=""),"",IF(AK68=0,"",ROUND(AA68+AC68,2)))</f>
        <v/>
      </c>
      <c r="AU68" s="995" t="str">
        <f>IFERROR(IF(OR(C68="",N68="",V68="",X68="",T68="",AA68="",AC68=""),"",INDEX(STDHVAC[Current Unit],MATCH(C68,STDHVAC[Measure Name],0))),"Err")</f>
        <v/>
      </c>
      <c r="AV68" s="850" t="str">
        <f>IF(OR(C68="",N68="",V68="",X68="",T68="",AA68="",AC68=""),"",ROUND(V68*INDEX(STDHVAC[Electric Energy Savings (Annual kWh/unit)],MATCH(C68,STDHVAC[Measure Name],0)),4))</f>
        <v/>
      </c>
      <c r="AW68" s="850" t="str">
        <f>IF(OR(C68="",N68="",V68="",X68="",T68="",AA68="",AC68=""),"",ROUND(V68*INDEX(STDHVAC[Coincident Peak Demand Savings (kW/unit)],MATCH(C68,STDHVAC[Measure Name],0)),4))</f>
        <v/>
      </c>
      <c r="AX68" s="970"/>
      <c r="AY68" s="970"/>
      <c r="AZ68" s="976" t="str">
        <f>IFERROR(IF(OR(C68="",N68="",V68="",X68="",T68="",AA68="",AC68=""),"",INDEX(STDHVAC[End Use],MATCH(C68,STDHVAC[Measure Name],0))),"Err")</f>
        <v/>
      </c>
      <c r="BA68" s="978" t="str">
        <f>IFERROR(ROUND(
IF(ISNUMBER(SEARCH("DX",C68)),(V68*12)*((1/L68)-(1/N68))*INDEX(STDHVAC[EFLHcool],MATCH(C68,STDHVAC[Measure Name],0)),
IF(ISNUMBER(SEARCH("PTAC",C68)),(V68*12)*((1/L68)-(1/N68))*INDEX(STDHVAC[EFLHcool],MATCH(C68,STDHVAC[Measure Name],0)),
IF(ISNUMBER(SEARCH("PTHP",C68)),((V68*12)*((1/L68)-(1/N68))*INDEX(STDHVAC[EFLHcool],MATCH(C68,STDHVAC[Measure Name],0)))+(((V68*12)/3.412)*((1/R68)-(1/T68))*INDEX(STDHVAC[EFLHheat],MATCH(C68,STDHVAC[Measure Name],0))),
IF(ISNUMBER(SEARCH("ASHP",C68)),((V68*12)*((1/L68)-(1/N68))*INDEX(STDHVAC[EFLHcool],MATCH(C68,STDHVAC[Measure Name],0)))+(IF(P68="HSPF",(V68*12),((V68*12)/3.412))*((1/R68)-(1/T68))*INDEX(STDHVAC[EFLHheat],MATCH(C68,STDHVAC[Measure Name],0))),
"")))),4),"")</f>
        <v/>
      </c>
      <c r="BB68" s="978" t="str">
        <f>IFERROR(ROUND(((V68*12)*((1/L68)-(1/N68))*INDEX(STDHVAC[EFLHcool],MATCH(C68,STDHVAC[Measure Name],0)))*INDEX(ENDUSEALL[Factor],MATCH(AZ68,ENDUSEALL[End Use to Coincident Peak Demand Factors],0)),4),"")</f>
        <v/>
      </c>
      <c r="BC68" s="976" t="str">
        <f>IFERROR(IF(OR(C68="",N68="",V68="",X68="",T68="",AA68="",AC68="",ISNUMBER(AN68)=FALSE,AN68=0),"",INDEX(STDHVAC[Measure Number],MATCH(C68,STDHVAC[Measure Name],0))),"Err")</f>
        <v/>
      </c>
      <c r="BD68" s="976" t="str">
        <f>IFERROR(IF(OR(C68="",N68="",V68="",X68="",T68="",AA68="",AC68=""),"",
IF(BI68&gt;0,"",
IF(L68=N68,"Must Improve Efficiency",
IF(EXPIRATION&lt;&gt;"",PROJSTATEXP,"")))),"")</f>
        <v/>
      </c>
      <c r="BE68" s="928" t="str">
        <f>IFERROR(INDEX(STDHVAC[Measure Life (Years)],MATCH(C68,STDHVAC[Measure Name],0)),"")</f>
        <v/>
      </c>
      <c r="BF68" s="930" t="str">
        <f>IFERROR(IF(OR(C68="",N68="",V68="",X68="",T68="",AA68="",AC68=""),"",
ROUND(((1+ELOSS)*((AV68*INDEX(ELECCB[NPV AEC $/kWh],MATCH(BE68,ELECCB[Year Number],1)))+(AW68*INDEX(ELECCB[NPV ACC $/kW],MATCH(BE68,ELECCB[Year Number],1))))),2)),0)</f>
        <v/>
      </c>
      <c r="BG68" s="937"/>
      <c r="BH68" s="934" t="str">
        <f>IFERROR(IF(OR(C68="",N68="",V68="",X68="",T68="",AA68="",AC68=""),"",INDEX(STDHVAC[Reporting Methodology],MATCH(C68,STDHVAC[Measure Name],0))),"Err")</f>
        <v/>
      </c>
      <c r="BI68" s="939"/>
    </row>
    <row r="69" spans="2:61" s="180" customFormat="1" ht="15.95" customHeight="1">
      <c r="B69" s="905"/>
      <c r="C69" s="833"/>
      <c r="D69" s="834"/>
      <c r="E69" s="834"/>
      <c r="F69" s="834"/>
      <c r="G69" s="834"/>
      <c r="H69" s="834"/>
      <c r="I69" s="834"/>
      <c r="J69" s="980"/>
      <c r="K69" s="981"/>
      <c r="L69" s="982"/>
      <c r="M69" s="983"/>
      <c r="N69" s="984"/>
      <c r="O69" s="985"/>
      <c r="P69" s="980"/>
      <c r="Q69" s="981"/>
      <c r="R69" s="982"/>
      <c r="S69" s="983"/>
      <c r="T69" s="990"/>
      <c r="U69" s="991"/>
      <c r="V69" s="992"/>
      <c r="W69" s="992"/>
      <c r="X69" s="833"/>
      <c r="Y69" s="834"/>
      <c r="Z69" s="835"/>
      <c r="AA69" s="867"/>
      <c r="AB69" s="868"/>
      <c r="AC69" s="868"/>
      <c r="AD69" s="869"/>
      <c r="AE69" s="993"/>
      <c r="AF69" s="993"/>
      <c r="AG69" s="993"/>
      <c r="AH69" s="994"/>
      <c r="AI69" s="899"/>
      <c r="AJ69" s="899"/>
      <c r="AK69" s="901"/>
      <c r="AL69" s="901"/>
      <c r="AM69" s="901"/>
      <c r="AN69" s="899"/>
      <c r="AO69" s="903"/>
      <c r="AP69" s="903"/>
      <c r="AQ69" s="903"/>
      <c r="AR69" s="37"/>
      <c r="AS69" s="235"/>
      <c r="AT69" s="973"/>
      <c r="AU69" s="996"/>
      <c r="AV69" s="851"/>
      <c r="AW69" s="851"/>
      <c r="AX69" s="970"/>
      <c r="AY69" s="970"/>
      <c r="AZ69" s="977"/>
      <c r="BA69" s="979"/>
      <c r="BB69" s="979"/>
      <c r="BC69" s="977"/>
      <c r="BD69" s="977"/>
      <c r="BE69" s="929"/>
      <c r="BF69" s="931"/>
      <c r="BG69" s="938"/>
      <c r="BH69" s="934"/>
      <c r="BI69" s="939"/>
    </row>
    <row r="70" spans="2:61" s="180" customFormat="1" ht="15.95" customHeight="1">
      <c r="B70" s="905">
        <v>27</v>
      </c>
      <c r="C70" s="830"/>
      <c r="D70" s="831"/>
      <c r="E70" s="831"/>
      <c r="F70" s="831"/>
      <c r="G70" s="831"/>
      <c r="H70" s="831"/>
      <c r="I70" s="831"/>
      <c r="J70" s="980" t="str">
        <f>IF(C70="","",INDEX(STDHVAC[Baseline Definition],MATCH(C70,STDHVAC[Measure Name],0)))</f>
        <v/>
      </c>
      <c r="K70" s="981"/>
      <c r="L70" s="982" t="str">
        <f>IF(C70="","",INDEX(STDHVAC[Baseline Efficiency Value],MATCH(C70,STDHVAC[Measure Name],0)))</f>
        <v/>
      </c>
      <c r="M70" s="983"/>
      <c r="N70" s="984"/>
      <c r="O70" s="985"/>
      <c r="P70" s="986" t="str">
        <f>IF(C70="","",INDEX(STDHVAC[Baseline Definition 2],MATCH(C70,STDHVAC[Measure Name],0)))</f>
        <v/>
      </c>
      <c r="Q70" s="987"/>
      <c r="R70" s="988" t="str">
        <f>IF(C70="","",INDEX(STDHVAC[Baseline Efficiency Value 2],MATCH(C70,STDHVAC[Measure Name],0)))</f>
        <v/>
      </c>
      <c r="S70" s="989"/>
      <c r="T70" s="990" t="str">
        <f t="shared" ref="T70" si="101">IF(AND(ISNUMBER(SEARCH("DX",C70)),ISNUMBER(SEARCH("&lt;65kbtu",C70)),N70&lt;&gt;""),1.12*N70-0.02*N70^2,IF(ISNUMBER(SEARCH("PTAC",C70)),1,""))</f>
        <v/>
      </c>
      <c r="U70" s="991"/>
      <c r="V70" s="992"/>
      <c r="W70" s="992"/>
      <c r="X70" s="830"/>
      <c r="Y70" s="831"/>
      <c r="Z70" s="832"/>
      <c r="AA70" s="867"/>
      <c r="AB70" s="868"/>
      <c r="AC70" s="868"/>
      <c r="AD70" s="869"/>
      <c r="AE70" s="993" t="str">
        <f>IF(C70="","",INDEX(STDHVAC[Current Unit],MATCH(C70,STDHVAC[Measure Name],0)))</f>
        <v/>
      </c>
      <c r="AF70" s="993"/>
      <c r="AG70" s="993"/>
      <c r="AH70" s="994"/>
      <c r="AI70" s="899" t="str">
        <f>IFERROR(IF(C70="","",INDEX(STDHVAC[Current Incentive],MATCH(C70,STDHVAC[Measure Name],0))),"")</f>
        <v/>
      </c>
      <c r="AJ70" s="899"/>
      <c r="AK70" s="900" t="str">
        <f t="shared" ref="AK70" si="102">IFERROR(IF(OR(C70="",N70="",V70="",X70="",T70="",AA70="",AC70=""),"",IF(BH70="Deemed",AV70,IF(BH70="Calculated",BA70,""))),"")</f>
        <v/>
      </c>
      <c r="AL70" s="900"/>
      <c r="AM70" s="900"/>
      <c r="AN70" s="897" t="str">
        <f t="shared" ref="AN70" si="103">IFERROR(IF(OR(C70="",N70="",V70="",X70="",T70="",AA70="",AC70=""),"",IF(BD70&lt;&gt;"",BD70,IF(BI70&gt;0,BI70,ROUND(IF(AK70&lt;=0,0,IF(AE70="$/ton",MIN(AT70,V70*AI70),MIN(AT70,(N70-L70)*V70*AI70))),2)))),"")</f>
        <v/>
      </c>
      <c r="AO70" s="902"/>
      <c r="AP70" s="902"/>
      <c r="AQ70" s="902"/>
      <c r="AR70" s="37"/>
      <c r="AS70" s="235"/>
      <c r="AT70" s="972" t="str">
        <f t="shared" ref="AT70" si="104">IF(OR(C70="",N70="",V70="",X70="",T70="",AA70="",AC70=""),"",IF(AK70=0,"",ROUND(AA70+AC70,2)))</f>
        <v/>
      </c>
      <c r="AU70" s="995" t="str">
        <f>IFERROR(IF(OR(C70="",N70="",V70="",X70="",T70="",AA70="",AC70=""),"",INDEX(STDHVAC[Current Unit],MATCH(C70,STDHVAC[Measure Name],0))),"Err")</f>
        <v/>
      </c>
      <c r="AV70" s="850" t="str">
        <f>IF(OR(C70="",N70="",V70="",X70="",T70="",AA70="",AC70=""),"",ROUND(V70*INDEX(STDHVAC[Electric Energy Savings (Annual kWh/unit)],MATCH(C70,STDHVAC[Measure Name],0)),4))</f>
        <v/>
      </c>
      <c r="AW70" s="850" t="str">
        <f>IF(OR(C70="",N70="",V70="",X70="",T70="",AA70="",AC70=""),"",ROUND(V70*INDEX(STDHVAC[Coincident Peak Demand Savings (kW/unit)],MATCH(C70,STDHVAC[Measure Name],0)),4))</f>
        <v/>
      </c>
      <c r="AX70" s="970"/>
      <c r="AY70" s="970"/>
      <c r="AZ70" s="976" t="str">
        <f>IFERROR(IF(OR(C70="",N70="",V70="",X70="",T70="",AA70="",AC70=""),"",INDEX(STDHVAC[End Use],MATCH(C70,STDHVAC[Measure Name],0))),"Err")</f>
        <v/>
      </c>
      <c r="BA70" s="978" t="str">
        <f>IFERROR(ROUND(
IF(ISNUMBER(SEARCH("DX",C70)),(V70*12)*((1/L70)-(1/N70))*INDEX(STDHVAC[EFLHcool],MATCH(C70,STDHVAC[Measure Name],0)),
IF(ISNUMBER(SEARCH("PTAC",C70)),(V70*12)*((1/L70)-(1/N70))*INDEX(STDHVAC[EFLHcool],MATCH(C70,STDHVAC[Measure Name],0)),
IF(ISNUMBER(SEARCH("PTHP",C70)),((V70*12)*((1/L70)-(1/N70))*INDEX(STDHVAC[EFLHcool],MATCH(C70,STDHVAC[Measure Name],0)))+(((V70*12)/3.412)*((1/R70)-(1/T70))*INDEX(STDHVAC[EFLHheat],MATCH(C70,STDHVAC[Measure Name],0))),
IF(ISNUMBER(SEARCH("ASHP",C70)),((V70*12)*((1/L70)-(1/N70))*INDEX(STDHVAC[EFLHcool],MATCH(C70,STDHVAC[Measure Name],0)))+(IF(P70="HSPF",(V70*12),((V70*12)/3.412))*((1/R70)-(1/T70))*INDEX(STDHVAC[EFLHheat],MATCH(C70,STDHVAC[Measure Name],0))),
"")))),4),"")</f>
        <v/>
      </c>
      <c r="BB70" s="978" t="str">
        <f>IFERROR(ROUND(((V70*12)*((1/L70)-(1/N70))*INDEX(STDHVAC[EFLHcool],MATCH(C70,STDHVAC[Measure Name],0)))*INDEX(ENDUSEALL[Factor],MATCH(AZ70,ENDUSEALL[End Use to Coincident Peak Demand Factors],0)),4),"")</f>
        <v/>
      </c>
      <c r="BC70" s="976" t="str">
        <f>IFERROR(IF(OR(C70="",N70="",V70="",X70="",T70="",AA70="",AC70="",ISNUMBER(AN70)=FALSE,AN70=0),"",INDEX(STDHVAC[Measure Number],MATCH(C70,STDHVAC[Measure Name],0))),"Err")</f>
        <v/>
      </c>
      <c r="BD70" s="976" t="str">
        <f>IFERROR(IF(OR(C70="",N70="",V70="",X70="",T70="",AA70="",AC70=""),"",
IF(BI70&gt;0,"",
IF(L70=N70,"Must Improve Efficiency",
IF(EXPIRATION&lt;&gt;"",PROJSTATEXP,"")))),"")</f>
        <v/>
      </c>
      <c r="BE70" s="928" t="str">
        <f>IFERROR(INDEX(STDHVAC[Measure Life (Years)],MATCH(C70,STDHVAC[Measure Name],0)),"")</f>
        <v/>
      </c>
      <c r="BF70" s="930" t="str">
        <f>IFERROR(IF(OR(C70="",N70="",V70="",X70="",T70="",AA70="",AC70=""),"",
ROUND(((1+ELOSS)*((AV70*INDEX(ELECCB[NPV AEC $/kWh],MATCH(BE70,ELECCB[Year Number],1)))+(AW70*INDEX(ELECCB[NPV ACC $/kW],MATCH(BE70,ELECCB[Year Number],1))))),2)),0)</f>
        <v/>
      </c>
      <c r="BG70" s="937"/>
      <c r="BH70" s="934" t="str">
        <f>IFERROR(IF(OR(C70="",N70="",V70="",X70="",T70="",AA70="",AC70=""),"",INDEX(STDHVAC[Reporting Methodology],MATCH(C70,STDHVAC[Measure Name],0))),"Err")</f>
        <v/>
      </c>
      <c r="BI70" s="939"/>
    </row>
    <row r="71" spans="2:61" s="180" customFormat="1" ht="15.95" customHeight="1">
      <c r="B71" s="905"/>
      <c r="C71" s="833"/>
      <c r="D71" s="834"/>
      <c r="E71" s="834"/>
      <c r="F71" s="834"/>
      <c r="G71" s="834"/>
      <c r="H71" s="834"/>
      <c r="I71" s="834"/>
      <c r="J71" s="980"/>
      <c r="K71" s="981"/>
      <c r="L71" s="982"/>
      <c r="M71" s="983"/>
      <c r="N71" s="984"/>
      <c r="O71" s="985"/>
      <c r="P71" s="980"/>
      <c r="Q71" s="981"/>
      <c r="R71" s="982"/>
      <c r="S71" s="983"/>
      <c r="T71" s="990"/>
      <c r="U71" s="991"/>
      <c r="V71" s="992"/>
      <c r="W71" s="992"/>
      <c r="X71" s="833"/>
      <c r="Y71" s="834"/>
      <c r="Z71" s="835"/>
      <c r="AA71" s="867"/>
      <c r="AB71" s="868"/>
      <c r="AC71" s="868"/>
      <c r="AD71" s="869"/>
      <c r="AE71" s="993"/>
      <c r="AF71" s="993"/>
      <c r="AG71" s="993"/>
      <c r="AH71" s="994"/>
      <c r="AI71" s="899"/>
      <c r="AJ71" s="899"/>
      <c r="AK71" s="901"/>
      <c r="AL71" s="901"/>
      <c r="AM71" s="901"/>
      <c r="AN71" s="899"/>
      <c r="AO71" s="903"/>
      <c r="AP71" s="903"/>
      <c r="AQ71" s="903"/>
      <c r="AR71" s="37"/>
      <c r="AS71" s="235"/>
      <c r="AT71" s="973"/>
      <c r="AU71" s="996"/>
      <c r="AV71" s="851"/>
      <c r="AW71" s="851"/>
      <c r="AX71" s="970"/>
      <c r="AY71" s="970"/>
      <c r="AZ71" s="977"/>
      <c r="BA71" s="979"/>
      <c r="BB71" s="979"/>
      <c r="BC71" s="977"/>
      <c r="BD71" s="977"/>
      <c r="BE71" s="929"/>
      <c r="BF71" s="931"/>
      <c r="BG71" s="938"/>
      <c r="BH71" s="934"/>
      <c r="BI71" s="939"/>
    </row>
    <row r="72" spans="2:61" s="180" customFormat="1" ht="15.95" customHeight="1">
      <c r="B72" s="905">
        <v>28</v>
      </c>
      <c r="C72" s="830"/>
      <c r="D72" s="831"/>
      <c r="E72" s="831"/>
      <c r="F72" s="831"/>
      <c r="G72" s="831"/>
      <c r="H72" s="831"/>
      <c r="I72" s="831"/>
      <c r="J72" s="980" t="str">
        <f>IF(C72="","",INDEX(STDHVAC[Baseline Definition],MATCH(C72,STDHVAC[Measure Name],0)))</f>
        <v/>
      </c>
      <c r="K72" s="981"/>
      <c r="L72" s="982" t="str">
        <f>IF(C72="","",INDEX(STDHVAC[Baseline Efficiency Value],MATCH(C72,STDHVAC[Measure Name],0)))</f>
        <v/>
      </c>
      <c r="M72" s="983"/>
      <c r="N72" s="984"/>
      <c r="O72" s="985"/>
      <c r="P72" s="986" t="str">
        <f>IF(C72="","",INDEX(STDHVAC[Baseline Definition 2],MATCH(C72,STDHVAC[Measure Name],0)))</f>
        <v/>
      </c>
      <c r="Q72" s="987"/>
      <c r="R72" s="988" t="str">
        <f>IF(C72="","",INDEX(STDHVAC[Baseline Efficiency Value 2],MATCH(C72,STDHVAC[Measure Name],0)))</f>
        <v/>
      </c>
      <c r="S72" s="989"/>
      <c r="T72" s="990" t="str">
        <f t="shared" ref="T72" si="105">IF(AND(ISNUMBER(SEARCH("DX",C72)),ISNUMBER(SEARCH("&lt;65kbtu",C72)),N72&lt;&gt;""),1.12*N72-0.02*N72^2,IF(ISNUMBER(SEARCH("PTAC",C72)),1,""))</f>
        <v/>
      </c>
      <c r="U72" s="991"/>
      <c r="V72" s="992"/>
      <c r="W72" s="992"/>
      <c r="X72" s="830"/>
      <c r="Y72" s="831"/>
      <c r="Z72" s="832"/>
      <c r="AA72" s="867"/>
      <c r="AB72" s="868"/>
      <c r="AC72" s="868"/>
      <c r="AD72" s="869"/>
      <c r="AE72" s="993" t="str">
        <f>IF(C72="","",INDEX(STDHVAC[Current Unit],MATCH(C72,STDHVAC[Measure Name],0)))</f>
        <v/>
      </c>
      <c r="AF72" s="993"/>
      <c r="AG72" s="993"/>
      <c r="AH72" s="994"/>
      <c r="AI72" s="899" t="str">
        <f>IFERROR(IF(C72="","",INDEX(STDHVAC[Current Incentive],MATCH(C72,STDHVAC[Measure Name],0))),"")</f>
        <v/>
      </c>
      <c r="AJ72" s="899"/>
      <c r="AK72" s="900" t="str">
        <f t="shared" ref="AK72" si="106">IFERROR(IF(OR(C72="",N72="",V72="",X72="",T72="",AA72="",AC72=""),"",IF(BH72="Deemed",AV72,IF(BH72="Calculated",BA72,""))),"")</f>
        <v/>
      </c>
      <c r="AL72" s="900"/>
      <c r="AM72" s="900"/>
      <c r="AN72" s="897" t="str">
        <f t="shared" ref="AN72" si="107">IFERROR(IF(OR(C72="",N72="",V72="",X72="",T72="",AA72="",AC72=""),"",IF(BD72&lt;&gt;"",BD72,IF(BI72&gt;0,BI72,ROUND(IF(AK72&lt;=0,0,IF(AE72="$/ton",MIN(AT72,V72*AI72),MIN(AT72,(N72-L72)*V72*AI72))),2)))),"")</f>
        <v/>
      </c>
      <c r="AO72" s="902"/>
      <c r="AP72" s="902"/>
      <c r="AQ72" s="902"/>
      <c r="AR72" s="37"/>
      <c r="AS72" s="235"/>
      <c r="AT72" s="972" t="str">
        <f t="shared" ref="AT72" si="108">IF(OR(C72="",N72="",V72="",X72="",T72="",AA72="",AC72=""),"",IF(AK72=0,"",ROUND(AA72+AC72,2)))</f>
        <v/>
      </c>
      <c r="AU72" s="995" t="str">
        <f>IFERROR(IF(OR(C72="",N72="",V72="",X72="",T72="",AA72="",AC72=""),"",INDEX(STDHVAC[Current Unit],MATCH(C72,STDHVAC[Measure Name],0))),"Err")</f>
        <v/>
      </c>
      <c r="AV72" s="850" t="str">
        <f>IF(OR(C72="",N72="",V72="",X72="",T72="",AA72="",AC72=""),"",ROUND(V72*INDEX(STDHVAC[Electric Energy Savings (Annual kWh/unit)],MATCH(C72,STDHVAC[Measure Name],0)),4))</f>
        <v/>
      </c>
      <c r="AW72" s="850" t="str">
        <f>IF(OR(C72="",N72="",V72="",X72="",T72="",AA72="",AC72=""),"",ROUND(V72*INDEX(STDHVAC[Coincident Peak Demand Savings (kW/unit)],MATCH(C72,STDHVAC[Measure Name],0)),4))</f>
        <v/>
      </c>
      <c r="AX72" s="970"/>
      <c r="AY72" s="970"/>
      <c r="AZ72" s="976" t="str">
        <f>IFERROR(IF(OR(C72="",N72="",V72="",X72="",T72="",AA72="",AC72=""),"",INDEX(STDHVAC[End Use],MATCH(C72,STDHVAC[Measure Name],0))),"Err")</f>
        <v/>
      </c>
      <c r="BA72" s="978" t="str">
        <f>IFERROR(ROUND(
IF(ISNUMBER(SEARCH("DX",C72)),(V72*12)*((1/L72)-(1/N72))*INDEX(STDHVAC[EFLHcool],MATCH(C72,STDHVAC[Measure Name],0)),
IF(ISNUMBER(SEARCH("PTAC",C72)),(V72*12)*((1/L72)-(1/N72))*INDEX(STDHVAC[EFLHcool],MATCH(C72,STDHVAC[Measure Name],0)),
IF(ISNUMBER(SEARCH("PTHP",C72)),((V72*12)*((1/L72)-(1/N72))*INDEX(STDHVAC[EFLHcool],MATCH(C72,STDHVAC[Measure Name],0)))+(((V72*12)/3.412)*((1/R72)-(1/T72))*INDEX(STDHVAC[EFLHheat],MATCH(C72,STDHVAC[Measure Name],0))),
IF(ISNUMBER(SEARCH("ASHP",C72)),((V72*12)*((1/L72)-(1/N72))*INDEX(STDHVAC[EFLHcool],MATCH(C72,STDHVAC[Measure Name],0)))+(IF(P72="HSPF",(V72*12),((V72*12)/3.412))*((1/R72)-(1/T72))*INDEX(STDHVAC[EFLHheat],MATCH(C72,STDHVAC[Measure Name],0))),
"")))),4),"")</f>
        <v/>
      </c>
      <c r="BB72" s="978" t="str">
        <f>IFERROR(ROUND(((V72*12)*((1/L72)-(1/N72))*INDEX(STDHVAC[EFLHcool],MATCH(C72,STDHVAC[Measure Name],0)))*INDEX(ENDUSEALL[Factor],MATCH(AZ72,ENDUSEALL[End Use to Coincident Peak Demand Factors],0)),4),"")</f>
        <v/>
      </c>
      <c r="BC72" s="976" t="str">
        <f>IFERROR(IF(OR(C72="",N72="",V72="",X72="",T72="",AA72="",AC72="",ISNUMBER(AN72)=FALSE,AN72=0),"",INDEX(STDHVAC[Measure Number],MATCH(C72,STDHVAC[Measure Name],0))),"Err")</f>
        <v/>
      </c>
      <c r="BD72" s="976" t="str">
        <f>IFERROR(IF(OR(C72="",N72="",V72="",X72="",T72="",AA72="",AC72=""),"",
IF(BI72&gt;0,"",
IF(L72=N72,"Must Improve Efficiency",
IF(EXPIRATION&lt;&gt;"",PROJSTATEXP,"")))),"")</f>
        <v/>
      </c>
      <c r="BE72" s="928" t="str">
        <f>IFERROR(INDEX(STDHVAC[Measure Life (Years)],MATCH(C72,STDHVAC[Measure Name],0)),"")</f>
        <v/>
      </c>
      <c r="BF72" s="930" t="str">
        <f>IFERROR(IF(OR(C72="",N72="",V72="",X72="",T72="",AA72="",AC72=""),"",
ROUND(((1+ELOSS)*((AV72*INDEX(ELECCB[NPV AEC $/kWh],MATCH(BE72,ELECCB[Year Number],1)))+(AW72*INDEX(ELECCB[NPV ACC $/kW],MATCH(BE72,ELECCB[Year Number],1))))),2)),0)</f>
        <v/>
      </c>
      <c r="BG72" s="937"/>
      <c r="BH72" s="934" t="str">
        <f>IFERROR(IF(OR(C72="",N72="",V72="",X72="",T72="",AA72="",AC72=""),"",INDEX(STDHVAC[Reporting Methodology],MATCH(C72,STDHVAC[Measure Name],0))),"Err")</f>
        <v/>
      </c>
      <c r="BI72" s="939"/>
    </row>
    <row r="73" spans="2:61" s="180" customFormat="1" ht="15.95" customHeight="1">
      <c r="B73" s="905"/>
      <c r="C73" s="833"/>
      <c r="D73" s="834"/>
      <c r="E73" s="834"/>
      <c r="F73" s="834"/>
      <c r="G73" s="834"/>
      <c r="H73" s="834"/>
      <c r="I73" s="834"/>
      <c r="J73" s="980"/>
      <c r="K73" s="981"/>
      <c r="L73" s="982"/>
      <c r="M73" s="983"/>
      <c r="N73" s="984"/>
      <c r="O73" s="985"/>
      <c r="P73" s="980"/>
      <c r="Q73" s="981"/>
      <c r="R73" s="982"/>
      <c r="S73" s="983"/>
      <c r="T73" s="990"/>
      <c r="U73" s="991"/>
      <c r="V73" s="992"/>
      <c r="W73" s="992"/>
      <c r="X73" s="833"/>
      <c r="Y73" s="834"/>
      <c r="Z73" s="835"/>
      <c r="AA73" s="867"/>
      <c r="AB73" s="868"/>
      <c r="AC73" s="868"/>
      <c r="AD73" s="869"/>
      <c r="AE73" s="993"/>
      <c r="AF73" s="993"/>
      <c r="AG73" s="993"/>
      <c r="AH73" s="994"/>
      <c r="AI73" s="899"/>
      <c r="AJ73" s="899"/>
      <c r="AK73" s="901"/>
      <c r="AL73" s="901"/>
      <c r="AM73" s="901"/>
      <c r="AN73" s="899"/>
      <c r="AO73" s="903"/>
      <c r="AP73" s="903"/>
      <c r="AQ73" s="903"/>
      <c r="AR73" s="37"/>
      <c r="AS73" s="235"/>
      <c r="AT73" s="973"/>
      <c r="AU73" s="996"/>
      <c r="AV73" s="851"/>
      <c r="AW73" s="851"/>
      <c r="AX73" s="970"/>
      <c r="AY73" s="970"/>
      <c r="AZ73" s="977"/>
      <c r="BA73" s="979"/>
      <c r="BB73" s="979"/>
      <c r="BC73" s="977"/>
      <c r="BD73" s="977"/>
      <c r="BE73" s="929"/>
      <c r="BF73" s="931"/>
      <c r="BG73" s="938"/>
      <c r="BH73" s="934"/>
      <c r="BI73" s="939"/>
    </row>
    <row r="74" spans="2:61" s="180" customFormat="1" ht="15.95" customHeight="1">
      <c r="B74" s="905">
        <v>29</v>
      </c>
      <c r="C74" s="830"/>
      <c r="D74" s="831"/>
      <c r="E74" s="831"/>
      <c r="F74" s="831"/>
      <c r="G74" s="831"/>
      <c r="H74" s="831"/>
      <c r="I74" s="831"/>
      <c r="J74" s="980" t="str">
        <f>IF(C74="","",INDEX(STDHVAC[Baseline Definition],MATCH(C74,STDHVAC[Measure Name],0)))</f>
        <v/>
      </c>
      <c r="K74" s="981"/>
      <c r="L74" s="982" t="str">
        <f>IF(C74="","",INDEX(STDHVAC[Baseline Efficiency Value],MATCH(C74,STDHVAC[Measure Name],0)))</f>
        <v/>
      </c>
      <c r="M74" s="983"/>
      <c r="N74" s="984"/>
      <c r="O74" s="985"/>
      <c r="P74" s="986" t="str">
        <f>IF(C74="","",INDEX(STDHVAC[Baseline Definition 2],MATCH(C74,STDHVAC[Measure Name],0)))</f>
        <v/>
      </c>
      <c r="Q74" s="987"/>
      <c r="R74" s="988" t="str">
        <f>IF(C74="","",INDEX(STDHVAC[Baseline Efficiency Value 2],MATCH(C74,STDHVAC[Measure Name],0)))</f>
        <v/>
      </c>
      <c r="S74" s="989"/>
      <c r="T74" s="990" t="str">
        <f t="shared" ref="T74" si="109">IF(AND(ISNUMBER(SEARCH("DX",C74)),ISNUMBER(SEARCH("&lt;65kbtu",C74)),N74&lt;&gt;""),1.12*N74-0.02*N74^2,IF(ISNUMBER(SEARCH("PTAC",C74)),1,""))</f>
        <v/>
      </c>
      <c r="U74" s="991"/>
      <c r="V74" s="992"/>
      <c r="W74" s="992"/>
      <c r="X74" s="830"/>
      <c r="Y74" s="831"/>
      <c r="Z74" s="832"/>
      <c r="AA74" s="867"/>
      <c r="AB74" s="868"/>
      <c r="AC74" s="868"/>
      <c r="AD74" s="869"/>
      <c r="AE74" s="993" t="str">
        <f>IF(C74="","",INDEX(STDHVAC[Current Unit],MATCH(C74,STDHVAC[Measure Name],0)))</f>
        <v/>
      </c>
      <c r="AF74" s="993"/>
      <c r="AG74" s="993"/>
      <c r="AH74" s="994"/>
      <c r="AI74" s="899" t="str">
        <f>IFERROR(IF(C74="","",INDEX(STDHVAC[Current Incentive],MATCH(C74,STDHVAC[Measure Name],0))),"")</f>
        <v/>
      </c>
      <c r="AJ74" s="899"/>
      <c r="AK74" s="900" t="str">
        <f t="shared" ref="AK74" si="110">IFERROR(IF(OR(C74="",N74="",V74="",X74="",T74="",AA74="",AC74=""),"",IF(BH74="Deemed",AV74,IF(BH74="Calculated",BA74,""))),"")</f>
        <v/>
      </c>
      <c r="AL74" s="900"/>
      <c r="AM74" s="900"/>
      <c r="AN74" s="897" t="str">
        <f t="shared" ref="AN74" si="111">IFERROR(IF(OR(C74="",N74="",V74="",X74="",T74="",AA74="",AC74=""),"",IF(BD74&lt;&gt;"",BD74,IF(BI74&gt;0,BI74,ROUND(IF(AK74&lt;=0,0,IF(AE74="$/ton",MIN(AT74,V74*AI74),MIN(AT74,(N74-L74)*V74*AI74))),2)))),"")</f>
        <v/>
      </c>
      <c r="AO74" s="902"/>
      <c r="AP74" s="902"/>
      <c r="AQ74" s="902"/>
      <c r="AR74" s="37"/>
      <c r="AS74" s="235"/>
      <c r="AT74" s="972" t="str">
        <f t="shared" ref="AT74" si="112">IF(OR(C74="",N74="",V74="",X74="",T74="",AA74="",AC74=""),"",IF(AK74=0,"",ROUND(AA74+AC74,2)))</f>
        <v/>
      </c>
      <c r="AU74" s="995" t="str">
        <f>IFERROR(IF(OR(C74="",N74="",V74="",X74="",T74="",AA74="",AC74=""),"",INDEX(STDHVAC[Current Unit],MATCH(C74,STDHVAC[Measure Name],0))),"Err")</f>
        <v/>
      </c>
      <c r="AV74" s="850" t="str">
        <f>IF(OR(C74="",N74="",V74="",X74="",T74="",AA74="",AC74=""),"",ROUND(V74*INDEX(STDHVAC[Electric Energy Savings (Annual kWh/unit)],MATCH(C74,STDHVAC[Measure Name],0)),4))</f>
        <v/>
      </c>
      <c r="AW74" s="850" t="str">
        <f>IF(OR(C74="",N74="",V74="",X74="",T74="",AA74="",AC74=""),"",ROUND(V74*INDEX(STDHVAC[Coincident Peak Demand Savings (kW/unit)],MATCH(C74,STDHVAC[Measure Name],0)),4))</f>
        <v/>
      </c>
      <c r="AX74" s="970"/>
      <c r="AY74" s="970"/>
      <c r="AZ74" s="976" t="str">
        <f>IFERROR(IF(OR(C74="",N74="",V74="",X74="",T74="",AA74="",AC74=""),"",INDEX(STDHVAC[End Use],MATCH(C74,STDHVAC[Measure Name],0))),"Err")</f>
        <v/>
      </c>
      <c r="BA74" s="978" t="str">
        <f>IFERROR(ROUND(
IF(ISNUMBER(SEARCH("DX",C74)),(V74*12)*((1/L74)-(1/N74))*INDEX(STDHVAC[EFLHcool],MATCH(C74,STDHVAC[Measure Name],0)),
IF(ISNUMBER(SEARCH("PTAC",C74)),(V74*12)*((1/L74)-(1/N74))*INDEX(STDHVAC[EFLHcool],MATCH(C74,STDHVAC[Measure Name],0)),
IF(ISNUMBER(SEARCH("PTHP",C74)),((V74*12)*((1/L74)-(1/N74))*INDEX(STDHVAC[EFLHcool],MATCH(C74,STDHVAC[Measure Name],0)))+(((V74*12)/3.412)*((1/R74)-(1/T74))*INDEX(STDHVAC[EFLHheat],MATCH(C74,STDHVAC[Measure Name],0))),
IF(ISNUMBER(SEARCH("ASHP",C74)),((V74*12)*((1/L74)-(1/N74))*INDEX(STDHVAC[EFLHcool],MATCH(C74,STDHVAC[Measure Name],0)))+(IF(P74="HSPF",(V74*12),((V74*12)/3.412))*((1/R74)-(1/T74))*INDEX(STDHVAC[EFLHheat],MATCH(C74,STDHVAC[Measure Name],0))),
"")))),4),"")</f>
        <v/>
      </c>
      <c r="BB74" s="978" t="str">
        <f>IFERROR(ROUND(((V74*12)*((1/L74)-(1/N74))*INDEX(STDHVAC[EFLHcool],MATCH(C74,STDHVAC[Measure Name],0)))*INDEX(ENDUSEALL[Factor],MATCH(AZ74,ENDUSEALL[End Use to Coincident Peak Demand Factors],0)),4),"")</f>
        <v/>
      </c>
      <c r="BC74" s="976" t="str">
        <f>IFERROR(IF(OR(C74="",N74="",V74="",X74="",T74="",AA74="",AC74="",ISNUMBER(AN74)=FALSE,AN74=0),"",INDEX(STDHVAC[Measure Number],MATCH(C74,STDHVAC[Measure Name],0))),"Err")</f>
        <v/>
      </c>
      <c r="BD74" s="976" t="str">
        <f>IFERROR(IF(OR(C74="",N74="",V74="",X74="",T74="",AA74="",AC74=""),"",
IF(BI74&gt;0,"",
IF(L74=N74,"Must Improve Efficiency",
IF(EXPIRATION&lt;&gt;"",PROJSTATEXP,"")))),"")</f>
        <v/>
      </c>
      <c r="BE74" s="928" t="str">
        <f>IFERROR(INDEX(STDHVAC[Measure Life (Years)],MATCH(C74,STDHVAC[Measure Name],0)),"")</f>
        <v/>
      </c>
      <c r="BF74" s="930" t="str">
        <f>IFERROR(IF(OR(C74="",N74="",V74="",X74="",T74="",AA74="",AC74=""),"",
ROUND(((1+ELOSS)*((AV74*INDEX(ELECCB[NPV AEC $/kWh],MATCH(BE74,ELECCB[Year Number],1)))+(AW74*INDEX(ELECCB[NPV ACC $/kW],MATCH(BE74,ELECCB[Year Number],1))))),2)),0)</f>
        <v/>
      </c>
      <c r="BG74" s="937"/>
      <c r="BH74" s="934" t="str">
        <f>IFERROR(IF(OR(C74="",N74="",V74="",X74="",T74="",AA74="",AC74=""),"",INDEX(STDHVAC[Reporting Methodology],MATCH(C74,STDHVAC[Measure Name],0))),"Err")</f>
        <v/>
      </c>
      <c r="BI74" s="939"/>
    </row>
    <row r="75" spans="2:61" s="180" customFormat="1" ht="15.95" customHeight="1">
      <c r="B75" s="905"/>
      <c r="C75" s="833"/>
      <c r="D75" s="834"/>
      <c r="E75" s="834"/>
      <c r="F75" s="834"/>
      <c r="G75" s="834"/>
      <c r="H75" s="834"/>
      <c r="I75" s="834"/>
      <c r="J75" s="980"/>
      <c r="K75" s="981"/>
      <c r="L75" s="982"/>
      <c r="M75" s="983"/>
      <c r="N75" s="984"/>
      <c r="O75" s="985"/>
      <c r="P75" s="980"/>
      <c r="Q75" s="981"/>
      <c r="R75" s="982"/>
      <c r="S75" s="983"/>
      <c r="T75" s="990"/>
      <c r="U75" s="991"/>
      <c r="V75" s="992"/>
      <c r="W75" s="992"/>
      <c r="X75" s="833"/>
      <c r="Y75" s="834"/>
      <c r="Z75" s="835"/>
      <c r="AA75" s="867"/>
      <c r="AB75" s="868"/>
      <c r="AC75" s="868"/>
      <c r="AD75" s="869"/>
      <c r="AE75" s="993"/>
      <c r="AF75" s="993"/>
      <c r="AG75" s="993"/>
      <c r="AH75" s="994"/>
      <c r="AI75" s="899"/>
      <c r="AJ75" s="899"/>
      <c r="AK75" s="901"/>
      <c r="AL75" s="901"/>
      <c r="AM75" s="901"/>
      <c r="AN75" s="899"/>
      <c r="AO75" s="903"/>
      <c r="AP75" s="903"/>
      <c r="AQ75" s="903"/>
      <c r="AR75" s="37"/>
      <c r="AS75" s="235"/>
      <c r="AT75" s="973"/>
      <c r="AU75" s="996"/>
      <c r="AV75" s="851"/>
      <c r="AW75" s="851"/>
      <c r="AX75" s="970"/>
      <c r="AY75" s="970"/>
      <c r="AZ75" s="977"/>
      <c r="BA75" s="979"/>
      <c r="BB75" s="979"/>
      <c r="BC75" s="977"/>
      <c r="BD75" s="977"/>
      <c r="BE75" s="929"/>
      <c r="BF75" s="931"/>
      <c r="BG75" s="938"/>
      <c r="BH75" s="934"/>
      <c r="BI75" s="939"/>
    </row>
    <row r="76" spans="2:61" s="180" customFormat="1" ht="15.95" customHeight="1">
      <c r="B76" s="905">
        <v>30</v>
      </c>
      <c r="C76" s="830"/>
      <c r="D76" s="831"/>
      <c r="E76" s="831"/>
      <c r="F76" s="831"/>
      <c r="G76" s="831"/>
      <c r="H76" s="831"/>
      <c r="I76" s="831"/>
      <c r="J76" s="980" t="str">
        <f>IF(C76="","",INDEX(STDHVAC[Baseline Definition],MATCH(C76,STDHVAC[Measure Name],0)))</f>
        <v/>
      </c>
      <c r="K76" s="981"/>
      <c r="L76" s="982" t="str">
        <f>IF(C76="","",INDEX(STDHVAC[Baseline Efficiency Value],MATCH(C76,STDHVAC[Measure Name],0)))</f>
        <v/>
      </c>
      <c r="M76" s="983"/>
      <c r="N76" s="984"/>
      <c r="O76" s="985"/>
      <c r="P76" s="986" t="str">
        <f>IF(C76="","",INDEX(STDHVAC[Baseline Definition 2],MATCH(C76,STDHVAC[Measure Name],0)))</f>
        <v/>
      </c>
      <c r="Q76" s="987"/>
      <c r="R76" s="988" t="str">
        <f>IF(C76="","",INDEX(STDHVAC[Baseline Efficiency Value 2],MATCH(C76,STDHVAC[Measure Name],0)))</f>
        <v/>
      </c>
      <c r="S76" s="989"/>
      <c r="T76" s="990" t="str">
        <f t="shared" ref="T76" si="113">IF(AND(ISNUMBER(SEARCH("DX",C76)),ISNUMBER(SEARCH("&lt;65kbtu",C76)),N76&lt;&gt;""),1.12*N76-0.02*N76^2,IF(ISNUMBER(SEARCH("PTAC",C76)),1,""))</f>
        <v/>
      </c>
      <c r="U76" s="991"/>
      <c r="V76" s="992"/>
      <c r="W76" s="992"/>
      <c r="X76" s="830"/>
      <c r="Y76" s="831"/>
      <c r="Z76" s="832"/>
      <c r="AA76" s="867"/>
      <c r="AB76" s="868"/>
      <c r="AC76" s="868"/>
      <c r="AD76" s="869"/>
      <c r="AE76" s="993" t="str">
        <f>IF(C76="","",INDEX(STDHVAC[Current Unit],MATCH(C76,STDHVAC[Measure Name],0)))</f>
        <v/>
      </c>
      <c r="AF76" s="993"/>
      <c r="AG76" s="993"/>
      <c r="AH76" s="994"/>
      <c r="AI76" s="899" t="str">
        <f>IFERROR(IF(C76="","",INDEX(STDHVAC[Current Incentive],MATCH(C76,STDHVAC[Measure Name],0))),"")</f>
        <v/>
      </c>
      <c r="AJ76" s="899"/>
      <c r="AK76" s="900" t="str">
        <f t="shared" ref="AK76" si="114">IFERROR(IF(OR(C76="",N76="",V76="",X76="",T76="",AA76="",AC76=""),"",IF(BH76="Deemed",AV76,IF(BH76="Calculated",BA76,""))),"")</f>
        <v/>
      </c>
      <c r="AL76" s="900"/>
      <c r="AM76" s="900"/>
      <c r="AN76" s="897" t="str">
        <f t="shared" ref="AN76" si="115">IFERROR(IF(OR(C76="",N76="",V76="",X76="",T76="",AA76="",AC76=""),"",IF(BD76&lt;&gt;"",BD76,IF(BI76&gt;0,BI76,ROUND(IF(AK76&lt;=0,0,IF(AE76="$/ton",MIN(AT76,V76*AI76),MIN(AT76,(N76-L76)*V76*AI76))),2)))),"")</f>
        <v/>
      </c>
      <c r="AO76" s="902"/>
      <c r="AP76" s="902"/>
      <c r="AQ76" s="902"/>
      <c r="AR76" s="37"/>
      <c r="AS76" s="235"/>
      <c r="AT76" s="972" t="str">
        <f t="shared" ref="AT76" si="116">IF(OR(C76="",N76="",V76="",X76="",T76="",AA76="",AC76=""),"",IF(AK76=0,"",ROUND(AA76+AC76,2)))</f>
        <v/>
      </c>
      <c r="AU76" s="995" t="str">
        <f>IFERROR(IF(OR(C76="",N76="",V76="",X76="",T76="",AA76="",AC76=""),"",INDEX(STDHVAC[Current Unit],MATCH(C76,STDHVAC[Measure Name],0))),"Err")</f>
        <v/>
      </c>
      <c r="AV76" s="850" t="str">
        <f>IF(OR(C76="",N76="",V76="",X76="",T76="",AA76="",AC76=""),"",ROUND(V76*INDEX(STDHVAC[Electric Energy Savings (Annual kWh/unit)],MATCH(C76,STDHVAC[Measure Name],0)),4))</f>
        <v/>
      </c>
      <c r="AW76" s="850" t="str">
        <f>IF(OR(C76="",N76="",V76="",X76="",T76="",AA76="",AC76=""),"",ROUND(V76*INDEX(STDHVAC[Coincident Peak Demand Savings (kW/unit)],MATCH(C76,STDHVAC[Measure Name],0)),4))</f>
        <v/>
      </c>
      <c r="AX76" s="970"/>
      <c r="AY76" s="970"/>
      <c r="AZ76" s="976" t="str">
        <f>IFERROR(IF(OR(C76="",N76="",V76="",X76="",T76="",AA76="",AC76=""),"",INDEX(STDHVAC[End Use],MATCH(C76,STDHVAC[Measure Name],0))),"Err")</f>
        <v/>
      </c>
      <c r="BA76" s="978" t="str">
        <f>IFERROR(ROUND(
IF(ISNUMBER(SEARCH("DX",C76)),(V76*12)*((1/L76)-(1/N76))*INDEX(STDHVAC[EFLHcool],MATCH(C76,STDHVAC[Measure Name],0)),
IF(ISNUMBER(SEARCH("PTAC",C76)),(V76*12)*((1/L76)-(1/N76))*INDEX(STDHVAC[EFLHcool],MATCH(C76,STDHVAC[Measure Name],0)),
IF(ISNUMBER(SEARCH("PTHP",C76)),((V76*12)*((1/L76)-(1/N76))*INDEX(STDHVAC[EFLHcool],MATCH(C76,STDHVAC[Measure Name],0)))+(((V76*12)/3.412)*((1/R76)-(1/T76))*INDEX(STDHVAC[EFLHheat],MATCH(C76,STDHVAC[Measure Name],0))),
IF(ISNUMBER(SEARCH("ASHP",C76)),((V76*12)*((1/L76)-(1/N76))*INDEX(STDHVAC[EFLHcool],MATCH(C76,STDHVAC[Measure Name],0)))+(IF(P76="HSPF",(V76*12),((V76*12)/3.412))*((1/R76)-(1/T76))*INDEX(STDHVAC[EFLHheat],MATCH(C76,STDHVAC[Measure Name],0))),
"")))),4),"")</f>
        <v/>
      </c>
      <c r="BB76" s="978" t="str">
        <f>IFERROR(ROUND(((V76*12)*((1/L76)-(1/N76))*INDEX(STDHVAC[EFLHcool],MATCH(C76,STDHVAC[Measure Name],0)))*INDEX(ENDUSEALL[Factor],MATCH(AZ76,ENDUSEALL[End Use to Coincident Peak Demand Factors],0)),4),"")</f>
        <v/>
      </c>
      <c r="BC76" s="976" t="str">
        <f>IFERROR(IF(OR(C76="",N76="",V76="",X76="",T76="",AA76="",AC76="",ISNUMBER(AN76)=FALSE,AN76=0),"",INDEX(STDHVAC[Measure Number],MATCH(C76,STDHVAC[Measure Name],0))),"Err")</f>
        <v/>
      </c>
      <c r="BD76" s="976" t="str">
        <f>IFERROR(IF(OR(C76="",N76="",V76="",X76="",T76="",AA76="",AC76=""),"",
IF(BI76&gt;0,"",
IF(L76=N76,"Must Improve Efficiency",
IF(EXPIRATION&lt;&gt;"",PROJSTATEXP,"")))),"")</f>
        <v/>
      </c>
      <c r="BE76" s="928" t="str">
        <f>IFERROR(INDEX(STDHVAC[Measure Life (Years)],MATCH(C76,STDHVAC[Measure Name],0)),"")</f>
        <v/>
      </c>
      <c r="BF76" s="930" t="str">
        <f>IFERROR(IF(OR(C76="",N76="",V76="",X76="",T76="",AA76="",AC76=""),"",
ROUND(((1+ELOSS)*((AV76*INDEX(ELECCB[NPV AEC $/kWh],MATCH(BE76,ELECCB[Year Number],1)))+(AW76*INDEX(ELECCB[NPV ACC $/kW],MATCH(BE76,ELECCB[Year Number],1))))),2)),0)</f>
        <v/>
      </c>
      <c r="BG76" s="937"/>
      <c r="BH76" s="934" t="str">
        <f>IFERROR(IF(OR(C76="",N76="",V76="",X76="",T76="",AA76="",AC76=""),"",INDEX(STDHVAC[Reporting Methodology],MATCH(C76,STDHVAC[Measure Name],0))),"Err")</f>
        <v/>
      </c>
      <c r="BI76" s="939"/>
    </row>
    <row r="77" spans="2:61" s="180" customFormat="1" ht="15.95" customHeight="1">
      <c r="B77" s="905"/>
      <c r="C77" s="833"/>
      <c r="D77" s="834"/>
      <c r="E77" s="834"/>
      <c r="F77" s="834"/>
      <c r="G77" s="834"/>
      <c r="H77" s="834"/>
      <c r="I77" s="834"/>
      <c r="J77" s="980"/>
      <c r="K77" s="981"/>
      <c r="L77" s="982"/>
      <c r="M77" s="983"/>
      <c r="N77" s="984"/>
      <c r="O77" s="985"/>
      <c r="P77" s="980"/>
      <c r="Q77" s="981"/>
      <c r="R77" s="982"/>
      <c r="S77" s="983"/>
      <c r="T77" s="990"/>
      <c r="U77" s="991"/>
      <c r="V77" s="992"/>
      <c r="W77" s="992"/>
      <c r="X77" s="833"/>
      <c r="Y77" s="834"/>
      <c r="Z77" s="835"/>
      <c r="AA77" s="867"/>
      <c r="AB77" s="868"/>
      <c r="AC77" s="868"/>
      <c r="AD77" s="869"/>
      <c r="AE77" s="993"/>
      <c r="AF77" s="993"/>
      <c r="AG77" s="993"/>
      <c r="AH77" s="994"/>
      <c r="AI77" s="899"/>
      <c r="AJ77" s="899"/>
      <c r="AK77" s="901"/>
      <c r="AL77" s="901"/>
      <c r="AM77" s="901"/>
      <c r="AN77" s="899"/>
      <c r="AO77" s="903"/>
      <c r="AP77" s="903"/>
      <c r="AQ77" s="903"/>
      <c r="AR77" s="37"/>
      <c r="AS77" s="235"/>
      <c r="AT77" s="973"/>
      <c r="AU77" s="996"/>
      <c r="AV77" s="851"/>
      <c r="AW77" s="851"/>
      <c r="AX77" s="970"/>
      <c r="AY77" s="970"/>
      <c r="AZ77" s="977"/>
      <c r="BA77" s="979"/>
      <c r="BB77" s="979"/>
      <c r="BC77" s="977"/>
      <c r="BD77" s="977"/>
      <c r="BE77" s="929"/>
      <c r="BF77" s="931"/>
      <c r="BG77" s="938"/>
      <c r="BH77" s="934"/>
      <c r="BI77" s="939"/>
    </row>
    <row r="78" spans="2:61" s="180" customFormat="1" ht="15.95" customHeight="1">
      <c r="B78" s="905">
        <v>31</v>
      </c>
      <c r="C78" s="830"/>
      <c r="D78" s="831"/>
      <c r="E78" s="831"/>
      <c r="F78" s="831"/>
      <c r="G78" s="831"/>
      <c r="H78" s="831"/>
      <c r="I78" s="831"/>
      <c r="J78" s="980" t="str">
        <f>IF(C78="","",INDEX(STDHVAC[Baseline Definition],MATCH(C78,STDHVAC[Measure Name],0)))</f>
        <v/>
      </c>
      <c r="K78" s="981"/>
      <c r="L78" s="982" t="str">
        <f>IF(C78="","",INDEX(STDHVAC[Baseline Efficiency Value],MATCH(C78,STDHVAC[Measure Name],0)))</f>
        <v/>
      </c>
      <c r="M78" s="983"/>
      <c r="N78" s="984"/>
      <c r="O78" s="985"/>
      <c r="P78" s="986" t="str">
        <f>IF(C78="","",INDEX(STDHVAC[Baseline Definition 2],MATCH(C78,STDHVAC[Measure Name],0)))</f>
        <v/>
      </c>
      <c r="Q78" s="987"/>
      <c r="R78" s="988" t="str">
        <f>IF(C78="","",INDEX(STDHVAC[Baseline Efficiency Value 2],MATCH(C78,STDHVAC[Measure Name],0)))</f>
        <v/>
      </c>
      <c r="S78" s="989"/>
      <c r="T78" s="990" t="str">
        <f t="shared" ref="T78" si="117">IF(AND(ISNUMBER(SEARCH("DX",C78)),ISNUMBER(SEARCH("&lt;65kbtu",C78)),N78&lt;&gt;""),1.12*N78-0.02*N78^2,IF(ISNUMBER(SEARCH("PTAC",C78)),1,""))</f>
        <v/>
      </c>
      <c r="U78" s="991"/>
      <c r="V78" s="992"/>
      <c r="W78" s="992"/>
      <c r="X78" s="830"/>
      <c r="Y78" s="831"/>
      <c r="Z78" s="832"/>
      <c r="AA78" s="867"/>
      <c r="AB78" s="868"/>
      <c r="AC78" s="868"/>
      <c r="AD78" s="869"/>
      <c r="AE78" s="993" t="str">
        <f>IF(C78="","",INDEX(STDHVAC[Current Unit],MATCH(C78,STDHVAC[Measure Name],0)))</f>
        <v/>
      </c>
      <c r="AF78" s="993"/>
      <c r="AG78" s="993"/>
      <c r="AH78" s="994"/>
      <c r="AI78" s="899" t="str">
        <f>IFERROR(IF(C78="","",INDEX(STDHVAC[Current Incentive],MATCH(C78,STDHVAC[Measure Name],0))),"")</f>
        <v/>
      </c>
      <c r="AJ78" s="899"/>
      <c r="AK78" s="900" t="str">
        <f t="shared" ref="AK78" si="118">IFERROR(IF(OR(C78="",N78="",V78="",X78="",T78="",AA78="",AC78=""),"",IF(BH78="Deemed",AV78,IF(BH78="Calculated",BA78,""))),"")</f>
        <v/>
      </c>
      <c r="AL78" s="900"/>
      <c r="AM78" s="900"/>
      <c r="AN78" s="897" t="str">
        <f t="shared" ref="AN78" si="119">IFERROR(IF(OR(C78="",N78="",V78="",X78="",T78="",AA78="",AC78=""),"",IF(BD78&lt;&gt;"",BD78,IF(BI78&gt;0,BI78,ROUND(IF(AK78&lt;=0,0,IF(AE78="$/ton",MIN(AT78,V78*AI78),MIN(AT78,(N78-L78)*V78*AI78))),2)))),"")</f>
        <v/>
      </c>
      <c r="AO78" s="902"/>
      <c r="AP78" s="902"/>
      <c r="AQ78" s="902"/>
      <c r="AR78" s="37"/>
      <c r="AS78" s="235"/>
      <c r="AT78" s="972" t="str">
        <f t="shared" ref="AT78" si="120">IF(OR(C78="",N78="",V78="",X78="",T78="",AA78="",AC78=""),"",IF(AK78=0,"",ROUND(AA78+AC78,2)))</f>
        <v/>
      </c>
      <c r="AU78" s="995" t="str">
        <f>IFERROR(IF(OR(C78="",N78="",V78="",X78="",T78="",AA78="",AC78=""),"",INDEX(STDHVAC[Current Unit],MATCH(C78,STDHVAC[Measure Name],0))),"Err")</f>
        <v/>
      </c>
      <c r="AV78" s="850" t="str">
        <f>IF(OR(C78="",N78="",V78="",X78="",T78="",AA78="",AC78=""),"",ROUND(V78*INDEX(STDHVAC[Electric Energy Savings (Annual kWh/unit)],MATCH(C78,STDHVAC[Measure Name],0)),4))</f>
        <v/>
      </c>
      <c r="AW78" s="850" t="str">
        <f>IF(OR(C78="",N78="",V78="",X78="",T78="",AA78="",AC78=""),"",ROUND(V78*INDEX(STDHVAC[Coincident Peak Demand Savings (kW/unit)],MATCH(C78,STDHVAC[Measure Name],0)),4))</f>
        <v/>
      </c>
      <c r="AX78" s="970"/>
      <c r="AY78" s="970"/>
      <c r="AZ78" s="976" t="str">
        <f>IFERROR(IF(OR(C78="",N78="",V78="",X78="",T78="",AA78="",AC78=""),"",INDEX(STDHVAC[End Use],MATCH(C78,STDHVAC[Measure Name],0))),"Err")</f>
        <v/>
      </c>
      <c r="BA78" s="978" t="str">
        <f>IFERROR(ROUND(
IF(ISNUMBER(SEARCH("DX",C78)),(V78*12)*((1/L78)-(1/N78))*INDEX(STDHVAC[EFLHcool],MATCH(C78,STDHVAC[Measure Name],0)),
IF(ISNUMBER(SEARCH("PTAC",C78)),(V78*12)*((1/L78)-(1/N78))*INDEX(STDHVAC[EFLHcool],MATCH(C78,STDHVAC[Measure Name],0)),
IF(ISNUMBER(SEARCH("PTHP",C78)),((V78*12)*((1/L78)-(1/N78))*INDEX(STDHVAC[EFLHcool],MATCH(C78,STDHVAC[Measure Name],0)))+(((V78*12)/3.412)*((1/R78)-(1/T78))*INDEX(STDHVAC[EFLHheat],MATCH(C78,STDHVAC[Measure Name],0))),
IF(ISNUMBER(SEARCH("ASHP",C78)),((V78*12)*((1/L78)-(1/N78))*INDEX(STDHVAC[EFLHcool],MATCH(C78,STDHVAC[Measure Name],0)))+(IF(P78="HSPF",(V78*12),((V78*12)/3.412))*((1/R78)-(1/T78))*INDEX(STDHVAC[EFLHheat],MATCH(C78,STDHVAC[Measure Name],0))),
"")))),4),"")</f>
        <v/>
      </c>
      <c r="BB78" s="978" t="str">
        <f>IFERROR(ROUND(((V78*12)*((1/L78)-(1/N78))*INDEX(STDHVAC[EFLHcool],MATCH(C78,STDHVAC[Measure Name],0)))*INDEX(ENDUSEALL[Factor],MATCH(AZ78,ENDUSEALL[End Use to Coincident Peak Demand Factors],0)),4),"")</f>
        <v/>
      </c>
      <c r="BC78" s="976" t="str">
        <f>IFERROR(IF(OR(C78="",N78="",V78="",X78="",T78="",AA78="",AC78="",ISNUMBER(AN78)=FALSE,AN78=0),"",INDEX(STDHVAC[Measure Number],MATCH(C78,STDHVAC[Measure Name],0))),"Err")</f>
        <v/>
      </c>
      <c r="BD78" s="976" t="str">
        <f>IFERROR(IF(OR(C78="",N78="",V78="",X78="",T78="",AA78="",AC78=""),"",
IF(BI78&gt;0,"",
IF(L78=N78,"Must Improve Efficiency",
IF(EXPIRATION&lt;&gt;"",PROJSTATEXP,"")))),"")</f>
        <v/>
      </c>
      <c r="BE78" s="928" t="str">
        <f>IFERROR(INDEX(STDHVAC[Measure Life (Years)],MATCH(C78,STDHVAC[Measure Name],0)),"")</f>
        <v/>
      </c>
      <c r="BF78" s="930" t="str">
        <f>IFERROR(IF(OR(C78="",N78="",V78="",X78="",T78="",AA78="",AC78=""),"",
ROUND(((1+ELOSS)*((AV78*INDEX(ELECCB[NPV AEC $/kWh],MATCH(BE78,ELECCB[Year Number],1)))+(AW78*INDEX(ELECCB[NPV ACC $/kW],MATCH(BE78,ELECCB[Year Number],1))))),2)),0)</f>
        <v/>
      </c>
      <c r="BG78" s="937"/>
      <c r="BH78" s="934" t="str">
        <f>IFERROR(IF(OR(C78="",N78="",V78="",X78="",T78="",AA78="",AC78=""),"",INDEX(STDHVAC[Reporting Methodology],MATCH(C78,STDHVAC[Measure Name],0))),"Err")</f>
        <v/>
      </c>
      <c r="BI78" s="939"/>
    </row>
    <row r="79" spans="2:61" s="180" customFormat="1" ht="15.95" customHeight="1">
      <c r="B79" s="905"/>
      <c r="C79" s="833"/>
      <c r="D79" s="834"/>
      <c r="E79" s="834"/>
      <c r="F79" s="834"/>
      <c r="G79" s="834"/>
      <c r="H79" s="834"/>
      <c r="I79" s="834"/>
      <c r="J79" s="980"/>
      <c r="K79" s="981"/>
      <c r="L79" s="982"/>
      <c r="M79" s="983"/>
      <c r="N79" s="984"/>
      <c r="O79" s="985"/>
      <c r="P79" s="980"/>
      <c r="Q79" s="981"/>
      <c r="R79" s="982"/>
      <c r="S79" s="983"/>
      <c r="T79" s="990"/>
      <c r="U79" s="991"/>
      <c r="V79" s="992"/>
      <c r="W79" s="992"/>
      <c r="X79" s="833"/>
      <c r="Y79" s="834"/>
      <c r="Z79" s="835"/>
      <c r="AA79" s="867"/>
      <c r="AB79" s="868"/>
      <c r="AC79" s="868"/>
      <c r="AD79" s="869"/>
      <c r="AE79" s="993"/>
      <c r="AF79" s="993"/>
      <c r="AG79" s="993"/>
      <c r="AH79" s="994"/>
      <c r="AI79" s="899"/>
      <c r="AJ79" s="899"/>
      <c r="AK79" s="901"/>
      <c r="AL79" s="901"/>
      <c r="AM79" s="901"/>
      <c r="AN79" s="899"/>
      <c r="AO79" s="903"/>
      <c r="AP79" s="903"/>
      <c r="AQ79" s="903"/>
      <c r="AR79" s="37"/>
      <c r="AS79" s="235"/>
      <c r="AT79" s="973"/>
      <c r="AU79" s="996"/>
      <c r="AV79" s="851"/>
      <c r="AW79" s="851"/>
      <c r="AX79" s="970"/>
      <c r="AY79" s="970"/>
      <c r="AZ79" s="977"/>
      <c r="BA79" s="979"/>
      <c r="BB79" s="979"/>
      <c r="BC79" s="977"/>
      <c r="BD79" s="977"/>
      <c r="BE79" s="929"/>
      <c r="BF79" s="931"/>
      <c r="BG79" s="938"/>
      <c r="BH79" s="934"/>
      <c r="BI79" s="939"/>
    </row>
    <row r="80" spans="2:61" s="180" customFormat="1" ht="15.95" customHeight="1">
      <c r="B80" s="905">
        <v>32</v>
      </c>
      <c r="C80" s="830"/>
      <c r="D80" s="831"/>
      <c r="E80" s="831"/>
      <c r="F80" s="831"/>
      <c r="G80" s="831"/>
      <c r="H80" s="831"/>
      <c r="I80" s="831"/>
      <c r="J80" s="980" t="str">
        <f>IF(C80="","",INDEX(STDHVAC[Baseline Definition],MATCH(C80,STDHVAC[Measure Name],0)))</f>
        <v/>
      </c>
      <c r="K80" s="981"/>
      <c r="L80" s="982" t="str">
        <f>IF(C80="","",INDEX(STDHVAC[Baseline Efficiency Value],MATCH(C80,STDHVAC[Measure Name],0)))</f>
        <v/>
      </c>
      <c r="M80" s="983"/>
      <c r="N80" s="984"/>
      <c r="O80" s="985"/>
      <c r="P80" s="986" t="str">
        <f>IF(C80="","",INDEX(STDHVAC[Baseline Definition 2],MATCH(C80,STDHVAC[Measure Name],0)))</f>
        <v/>
      </c>
      <c r="Q80" s="987"/>
      <c r="R80" s="988" t="str">
        <f>IF(C80="","",INDEX(STDHVAC[Baseline Efficiency Value 2],MATCH(C80,STDHVAC[Measure Name],0)))</f>
        <v/>
      </c>
      <c r="S80" s="989"/>
      <c r="T80" s="990" t="str">
        <f t="shared" ref="T80" si="121">IF(AND(ISNUMBER(SEARCH("DX",C80)),ISNUMBER(SEARCH("&lt;65kbtu",C80)),N80&lt;&gt;""),1.12*N80-0.02*N80^2,IF(ISNUMBER(SEARCH("PTAC",C80)),1,""))</f>
        <v/>
      </c>
      <c r="U80" s="991"/>
      <c r="V80" s="992"/>
      <c r="W80" s="992"/>
      <c r="X80" s="830"/>
      <c r="Y80" s="831"/>
      <c r="Z80" s="832"/>
      <c r="AA80" s="867"/>
      <c r="AB80" s="868"/>
      <c r="AC80" s="868"/>
      <c r="AD80" s="869"/>
      <c r="AE80" s="993" t="str">
        <f>IF(C80="","",INDEX(STDHVAC[Current Unit],MATCH(C80,STDHVAC[Measure Name],0)))</f>
        <v/>
      </c>
      <c r="AF80" s="993"/>
      <c r="AG80" s="993"/>
      <c r="AH80" s="994"/>
      <c r="AI80" s="899" t="str">
        <f>IFERROR(IF(C80="","",INDEX(STDHVAC[Current Incentive],MATCH(C80,STDHVAC[Measure Name],0))),"")</f>
        <v/>
      </c>
      <c r="AJ80" s="899"/>
      <c r="AK80" s="900" t="str">
        <f t="shared" ref="AK80" si="122">IFERROR(IF(OR(C80="",N80="",V80="",X80="",T80="",AA80="",AC80=""),"",IF(BH80="Deemed",AV80,IF(BH80="Calculated",BA80,""))),"")</f>
        <v/>
      </c>
      <c r="AL80" s="900"/>
      <c r="AM80" s="900"/>
      <c r="AN80" s="897" t="str">
        <f t="shared" ref="AN80" si="123">IFERROR(IF(OR(C80="",N80="",V80="",X80="",T80="",AA80="",AC80=""),"",IF(BD80&lt;&gt;"",BD80,IF(BI80&gt;0,BI80,ROUND(IF(AK80&lt;=0,0,IF(AE80="$/ton",MIN(AT80,V80*AI80),MIN(AT80,(N80-L80)*V80*AI80))),2)))),"")</f>
        <v/>
      </c>
      <c r="AO80" s="902"/>
      <c r="AP80" s="902"/>
      <c r="AQ80" s="902"/>
      <c r="AR80" s="37"/>
      <c r="AS80" s="235"/>
      <c r="AT80" s="972" t="str">
        <f t="shared" ref="AT80" si="124">IF(OR(C80="",N80="",V80="",X80="",T80="",AA80="",AC80=""),"",IF(AK80=0,"",ROUND(AA80+AC80,2)))</f>
        <v/>
      </c>
      <c r="AU80" s="995" t="str">
        <f>IFERROR(IF(OR(C80="",N80="",V80="",X80="",T80="",AA80="",AC80=""),"",INDEX(STDHVAC[Current Unit],MATCH(C80,STDHVAC[Measure Name],0))),"Err")</f>
        <v/>
      </c>
      <c r="AV80" s="850" t="str">
        <f>IF(OR(C80="",N80="",V80="",X80="",T80="",AA80="",AC80=""),"",ROUND(V80*INDEX(STDHVAC[Electric Energy Savings (Annual kWh/unit)],MATCH(C80,STDHVAC[Measure Name],0)),4))</f>
        <v/>
      </c>
      <c r="AW80" s="850" t="str">
        <f>IF(OR(C80="",N80="",V80="",X80="",T80="",AA80="",AC80=""),"",ROUND(V80*INDEX(STDHVAC[Coincident Peak Demand Savings (kW/unit)],MATCH(C80,STDHVAC[Measure Name],0)),4))</f>
        <v/>
      </c>
      <c r="AX80" s="970"/>
      <c r="AY80" s="970"/>
      <c r="AZ80" s="976" t="str">
        <f>IFERROR(IF(OR(C80="",N80="",V80="",X80="",T80="",AA80="",AC80=""),"",INDEX(STDHVAC[End Use],MATCH(C80,STDHVAC[Measure Name],0))),"Err")</f>
        <v/>
      </c>
      <c r="BA80" s="978" t="str">
        <f>IFERROR(ROUND(
IF(ISNUMBER(SEARCH("DX",C80)),(V80*12)*((1/L80)-(1/N80))*INDEX(STDHVAC[EFLHcool],MATCH(C80,STDHVAC[Measure Name],0)),
IF(ISNUMBER(SEARCH("PTAC",C80)),(V80*12)*((1/L80)-(1/N80))*INDEX(STDHVAC[EFLHcool],MATCH(C80,STDHVAC[Measure Name],0)),
IF(ISNUMBER(SEARCH("PTHP",C80)),((V80*12)*((1/L80)-(1/N80))*INDEX(STDHVAC[EFLHcool],MATCH(C80,STDHVAC[Measure Name],0)))+(((V80*12)/3.412)*((1/R80)-(1/T80))*INDEX(STDHVAC[EFLHheat],MATCH(C80,STDHVAC[Measure Name],0))),
IF(ISNUMBER(SEARCH("ASHP",C80)),((V80*12)*((1/L80)-(1/N80))*INDEX(STDHVAC[EFLHcool],MATCH(C80,STDHVAC[Measure Name],0)))+(IF(P80="HSPF",(V80*12),((V80*12)/3.412))*((1/R80)-(1/T80))*INDEX(STDHVAC[EFLHheat],MATCH(C80,STDHVAC[Measure Name],0))),
"")))),4),"")</f>
        <v/>
      </c>
      <c r="BB80" s="978" t="str">
        <f>IFERROR(ROUND(((V80*12)*((1/L80)-(1/N80))*INDEX(STDHVAC[EFLHcool],MATCH(C80,STDHVAC[Measure Name],0)))*INDEX(ENDUSEALL[Factor],MATCH(AZ80,ENDUSEALL[End Use to Coincident Peak Demand Factors],0)),4),"")</f>
        <v/>
      </c>
      <c r="BC80" s="976" t="str">
        <f>IFERROR(IF(OR(C80="",N80="",V80="",X80="",T80="",AA80="",AC80="",ISNUMBER(AN80)=FALSE,AN80=0),"",INDEX(STDHVAC[Measure Number],MATCH(C80,STDHVAC[Measure Name],0))),"Err")</f>
        <v/>
      </c>
      <c r="BD80" s="976" t="str">
        <f>IFERROR(IF(OR(C80="",N80="",V80="",X80="",T80="",AA80="",AC80=""),"",
IF(BI80&gt;0,"",
IF(L80=N80,"Must Improve Efficiency",
IF(EXPIRATION&lt;&gt;"",PROJSTATEXP,"")))),"")</f>
        <v/>
      </c>
      <c r="BE80" s="928" t="str">
        <f>IFERROR(INDEX(STDHVAC[Measure Life (Years)],MATCH(C80,STDHVAC[Measure Name],0)),"")</f>
        <v/>
      </c>
      <c r="BF80" s="930" t="str">
        <f>IFERROR(IF(OR(C80="",N80="",V80="",X80="",T80="",AA80="",AC80=""),"",
ROUND(((1+ELOSS)*((AV80*INDEX(ELECCB[NPV AEC $/kWh],MATCH(BE80,ELECCB[Year Number],1)))+(AW80*INDEX(ELECCB[NPV ACC $/kW],MATCH(BE80,ELECCB[Year Number],1))))),2)),0)</f>
        <v/>
      </c>
      <c r="BG80" s="937"/>
      <c r="BH80" s="934" t="str">
        <f>IFERROR(IF(OR(C80="",N80="",V80="",X80="",T80="",AA80="",AC80=""),"",INDEX(STDHVAC[Reporting Methodology],MATCH(C80,STDHVAC[Measure Name],0))),"Err")</f>
        <v/>
      </c>
      <c r="BI80" s="939"/>
    </row>
    <row r="81" spans="2:61" s="180" customFormat="1" ht="15.95" customHeight="1">
      <c r="B81" s="905"/>
      <c r="C81" s="833"/>
      <c r="D81" s="834"/>
      <c r="E81" s="834"/>
      <c r="F81" s="834"/>
      <c r="G81" s="834"/>
      <c r="H81" s="834"/>
      <c r="I81" s="834"/>
      <c r="J81" s="980"/>
      <c r="K81" s="981"/>
      <c r="L81" s="982"/>
      <c r="M81" s="983"/>
      <c r="N81" s="984"/>
      <c r="O81" s="985"/>
      <c r="P81" s="980"/>
      <c r="Q81" s="981"/>
      <c r="R81" s="982"/>
      <c r="S81" s="983"/>
      <c r="T81" s="990"/>
      <c r="U81" s="991"/>
      <c r="V81" s="992"/>
      <c r="W81" s="992"/>
      <c r="X81" s="833"/>
      <c r="Y81" s="834"/>
      <c r="Z81" s="835"/>
      <c r="AA81" s="867"/>
      <c r="AB81" s="868"/>
      <c r="AC81" s="868"/>
      <c r="AD81" s="869"/>
      <c r="AE81" s="993"/>
      <c r="AF81" s="993"/>
      <c r="AG81" s="993"/>
      <c r="AH81" s="994"/>
      <c r="AI81" s="899"/>
      <c r="AJ81" s="899"/>
      <c r="AK81" s="901"/>
      <c r="AL81" s="901"/>
      <c r="AM81" s="901"/>
      <c r="AN81" s="899"/>
      <c r="AO81" s="903"/>
      <c r="AP81" s="903"/>
      <c r="AQ81" s="903"/>
      <c r="AR81" s="37"/>
      <c r="AS81" s="235"/>
      <c r="AT81" s="973"/>
      <c r="AU81" s="996"/>
      <c r="AV81" s="851"/>
      <c r="AW81" s="851"/>
      <c r="AX81" s="970"/>
      <c r="AY81" s="970"/>
      <c r="AZ81" s="977"/>
      <c r="BA81" s="979"/>
      <c r="BB81" s="979"/>
      <c r="BC81" s="977"/>
      <c r="BD81" s="977"/>
      <c r="BE81" s="929"/>
      <c r="BF81" s="931"/>
      <c r="BG81" s="938"/>
      <c r="BH81" s="934"/>
      <c r="BI81" s="939"/>
    </row>
    <row r="82" spans="2:61" s="180" customFormat="1" ht="15.95" customHeight="1">
      <c r="B82" s="905">
        <v>33</v>
      </c>
      <c r="C82" s="830"/>
      <c r="D82" s="831"/>
      <c r="E82" s="831"/>
      <c r="F82" s="831"/>
      <c r="G82" s="831"/>
      <c r="H82" s="831"/>
      <c r="I82" s="831"/>
      <c r="J82" s="980" t="str">
        <f>IF(C82="","",INDEX(STDHVAC[Baseline Definition],MATCH(C82,STDHVAC[Measure Name],0)))</f>
        <v/>
      </c>
      <c r="K82" s="981"/>
      <c r="L82" s="982" t="str">
        <f>IF(C82="","",INDEX(STDHVAC[Baseline Efficiency Value],MATCH(C82,STDHVAC[Measure Name],0)))</f>
        <v/>
      </c>
      <c r="M82" s="983"/>
      <c r="N82" s="984"/>
      <c r="O82" s="985"/>
      <c r="P82" s="986" t="str">
        <f>IF(C82="","",INDEX(STDHVAC[Baseline Definition 2],MATCH(C82,STDHVAC[Measure Name],0)))</f>
        <v/>
      </c>
      <c r="Q82" s="987"/>
      <c r="R82" s="988" t="str">
        <f>IF(C82="","",INDEX(STDHVAC[Baseline Efficiency Value 2],MATCH(C82,STDHVAC[Measure Name],0)))</f>
        <v/>
      </c>
      <c r="S82" s="989"/>
      <c r="T82" s="990" t="str">
        <f t="shared" ref="T82" si="125">IF(AND(ISNUMBER(SEARCH("DX",C82)),ISNUMBER(SEARCH("&lt;65kbtu",C82)),N82&lt;&gt;""),1.12*N82-0.02*N82^2,IF(ISNUMBER(SEARCH("PTAC",C82)),1,""))</f>
        <v/>
      </c>
      <c r="U82" s="991"/>
      <c r="V82" s="992"/>
      <c r="W82" s="992"/>
      <c r="X82" s="830"/>
      <c r="Y82" s="831"/>
      <c r="Z82" s="832"/>
      <c r="AA82" s="867"/>
      <c r="AB82" s="868"/>
      <c r="AC82" s="868"/>
      <c r="AD82" s="869"/>
      <c r="AE82" s="993" t="str">
        <f>IF(C82="","",INDEX(STDHVAC[Current Unit],MATCH(C82,STDHVAC[Measure Name],0)))</f>
        <v/>
      </c>
      <c r="AF82" s="993"/>
      <c r="AG82" s="993"/>
      <c r="AH82" s="994"/>
      <c r="AI82" s="899" t="str">
        <f>IFERROR(IF(C82="","",INDEX(STDHVAC[Current Incentive],MATCH(C82,STDHVAC[Measure Name],0))),"")</f>
        <v/>
      </c>
      <c r="AJ82" s="899"/>
      <c r="AK82" s="900" t="str">
        <f t="shared" ref="AK82" si="126">IFERROR(IF(OR(C82="",N82="",V82="",X82="",T82="",AA82="",AC82=""),"",IF(BH82="Deemed",AV82,IF(BH82="Calculated",BA82,""))),"")</f>
        <v/>
      </c>
      <c r="AL82" s="900"/>
      <c r="AM82" s="900"/>
      <c r="AN82" s="897" t="str">
        <f t="shared" ref="AN82" si="127">IFERROR(IF(OR(C82="",N82="",V82="",X82="",T82="",AA82="",AC82=""),"",IF(BD82&lt;&gt;"",BD82,IF(BI82&gt;0,BI82,ROUND(IF(AK82&lt;=0,0,IF(AE82="$/ton",MIN(AT82,V82*AI82),MIN(AT82,(N82-L82)*V82*AI82))),2)))),"")</f>
        <v/>
      </c>
      <c r="AO82" s="902"/>
      <c r="AP82" s="902"/>
      <c r="AQ82" s="902"/>
      <c r="AR82" s="37"/>
      <c r="AS82" s="235"/>
      <c r="AT82" s="972" t="str">
        <f t="shared" ref="AT82" si="128">IF(OR(C82="",N82="",V82="",X82="",T82="",AA82="",AC82=""),"",IF(AK82=0,"",ROUND(AA82+AC82,2)))</f>
        <v/>
      </c>
      <c r="AU82" s="995" t="str">
        <f>IFERROR(IF(OR(C82="",N82="",V82="",X82="",T82="",AA82="",AC82=""),"",INDEX(STDHVAC[Current Unit],MATCH(C82,STDHVAC[Measure Name],0))),"Err")</f>
        <v/>
      </c>
      <c r="AV82" s="850" t="str">
        <f>IF(OR(C82="",N82="",V82="",X82="",T82="",AA82="",AC82=""),"",ROUND(V82*INDEX(STDHVAC[Electric Energy Savings (Annual kWh/unit)],MATCH(C82,STDHVAC[Measure Name],0)),4))</f>
        <v/>
      </c>
      <c r="AW82" s="850" t="str">
        <f>IF(OR(C82="",N82="",V82="",X82="",T82="",AA82="",AC82=""),"",ROUND(V82*INDEX(STDHVAC[Coincident Peak Demand Savings (kW/unit)],MATCH(C82,STDHVAC[Measure Name],0)),4))</f>
        <v/>
      </c>
      <c r="AX82" s="970"/>
      <c r="AY82" s="970"/>
      <c r="AZ82" s="976" t="str">
        <f>IFERROR(IF(OR(C82="",N82="",V82="",X82="",T82="",AA82="",AC82=""),"",INDEX(STDHVAC[End Use],MATCH(C82,STDHVAC[Measure Name],0))),"Err")</f>
        <v/>
      </c>
      <c r="BA82" s="978" t="str">
        <f>IFERROR(ROUND(
IF(ISNUMBER(SEARCH("DX",C82)),(V82*12)*((1/L82)-(1/N82))*INDEX(STDHVAC[EFLHcool],MATCH(C82,STDHVAC[Measure Name],0)),
IF(ISNUMBER(SEARCH("PTAC",C82)),(V82*12)*((1/L82)-(1/N82))*INDEX(STDHVAC[EFLHcool],MATCH(C82,STDHVAC[Measure Name],0)),
IF(ISNUMBER(SEARCH("PTHP",C82)),((V82*12)*((1/L82)-(1/N82))*INDEX(STDHVAC[EFLHcool],MATCH(C82,STDHVAC[Measure Name],0)))+(((V82*12)/3.412)*((1/R82)-(1/T82))*INDEX(STDHVAC[EFLHheat],MATCH(C82,STDHVAC[Measure Name],0))),
IF(ISNUMBER(SEARCH("ASHP",C82)),((V82*12)*((1/L82)-(1/N82))*INDEX(STDHVAC[EFLHcool],MATCH(C82,STDHVAC[Measure Name],0)))+(IF(P82="HSPF",(V82*12),((V82*12)/3.412))*((1/R82)-(1/T82))*INDEX(STDHVAC[EFLHheat],MATCH(C82,STDHVAC[Measure Name],0))),
"")))),4),"")</f>
        <v/>
      </c>
      <c r="BB82" s="978" t="str">
        <f>IFERROR(ROUND(((V82*12)*((1/L82)-(1/N82))*INDEX(STDHVAC[EFLHcool],MATCH(C82,STDHVAC[Measure Name],0)))*INDEX(ENDUSEALL[Factor],MATCH(AZ82,ENDUSEALL[End Use to Coincident Peak Demand Factors],0)),4),"")</f>
        <v/>
      </c>
      <c r="BC82" s="976" t="str">
        <f>IFERROR(IF(OR(C82="",N82="",V82="",X82="",T82="",AA82="",AC82="",ISNUMBER(AN82)=FALSE,AN82=0),"",INDEX(STDHVAC[Measure Number],MATCH(C82,STDHVAC[Measure Name],0))),"Err")</f>
        <v/>
      </c>
      <c r="BD82" s="976" t="str">
        <f>IFERROR(IF(OR(C82="",N82="",V82="",X82="",T82="",AA82="",AC82=""),"",
IF(BI82&gt;0,"",
IF(L82=N82,"Must Improve Efficiency",
IF(EXPIRATION&lt;&gt;"",PROJSTATEXP,"")))),"")</f>
        <v/>
      </c>
      <c r="BE82" s="928" t="str">
        <f>IFERROR(INDEX(STDHVAC[Measure Life (Years)],MATCH(C82,STDHVAC[Measure Name],0)),"")</f>
        <v/>
      </c>
      <c r="BF82" s="930" t="str">
        <f>IFERROR(IF(OR(C82="",N82="",V82="",X82="",T82="",AA82="",AC82=""),"",
ROUND(((1+ELOSS)*((AV82*INDEX(ELECCB[NPV AEC $/kWh],MATCH(BE82,ELECCB[Year Number],1)))+(AW82*INDEX(ELECCB[NPV ACC $/kW],MATCH(BE82,ELECCB[Year Number],1))))),2)),0)</f>
        <v/>
      </c>
      <c r="BG82" s="937"/>
      <c r="BH82" s="934" t="str">
        <f>IFERROR(IF(OR(C82="",N82="",V82="",X82="",T82="",AA82="",AC82=""),"",INDEX(STDHVAC[Reporting Methodology],MATCH(C82,STDHVAC[Measure Name],0))),"Err")</f>
        <v/>
      </c>
      <c r="BI82" s="939"/>
    </row>
    <row r="83" spans="2:61" s="180" customFormat="1" ht="15.95" customHeight="1">
      <c r="B83" s="905"/>
      <c r="C83" s="833"/>
      <c r="D83" s="834"/>
      <c r="E83" s="834"/>
      <c r="F83" s="834"/>
      <c r="G83" s="834"/>
      <c r="H83" s="834"/>
      <c r="I83" s="834"/>
      <c r="J83" s="980"/>
      <c r="K83" s="981"/>
      <c r="L83" s="982"/>
      <c r="M83" s="983"/>
      <c r="N83" s="984"/>
      <c r="O83" s="985"/>
      <c r="P83" s="980"/>
      <c r="Q83" s="981"/>
      <c r="R83" s="982"/>
      <c r="S83" s="983"/>
      <c r="T83" s="990"/>
      <c r="U83" s="991"/>
      <c r="V83" s="992"/>
      <c r="W83" s="992"/>
      <c r="X83" s="833"/>
      <c r="Y83" s="834"/>
      <c r="Z83" s="835"/>
      <c r="AA83" s="867"/>
      <c r="AB83" s="868"/>
      <c r="AC83" s="868"/>
      <c r="AD83" s="869"/>
      <c r="AE83" s="993"/>
      <c r="AF83" s="993"/>
      <c r="AG83" s="993"/>
      <c r="AH83" s="994"/>
      <c r="AI83" s="899"/>
      <c r="AJ83" s="899"/>
      <c r="AK83" s="901"/>
      <c r="AL83" s="901"/>
      <c r="AM83" s="901"/>
      <c r="AN83" s="899"/>
      <c r="AO83" s="903"/>
      <c r="AP83" s="903"/>
      <c r="AQ83" s="903"/>
      <c r="AR83" s="37"/>
      <c r="AS83" s="235"/>
      <c r="AT83" s="973"/>
      <c r="AU83" s="996"/>
      <c r="AV83" s="851"/>
      <c r="AW83" s="851"/>
      <c r="AX83" s="970"/>
      <c r="AY83" s="970"/>
      <c r="AZ83" s="977"/>
      <c r="BA83" s="979"/>
      <c r="BB83" s="979"/>
      <c r="BC83" s="977"/>
      <c r="BD83" s="977"/>
      <c r="BE83" s="929"/>
      <c r="BF83" s="931"/>
      <c r="BG83" s="938"/>
      <c r="BH83" s="934"/>
      <c r="BI83" s="939"/>
    </row>
    <row r="84" spans="2:61" s="180" customFormat="1" ht="15.95" customHeight="1">
      <c r="B84" s="905">
        <v>34</v>
      </c>
      <c r="C84" s="830"/>
      <c r="D84" s="831"/>
      <c r="E84" s="831"/>
      <c r="F84" s="831"/>
      <c r="G84" s="831"/>
      <c r="H84" s="831"/>
      <c r="I84" s="831"/>
      <c r="J84" s="980" t="str">
        <f>IF(C84="","",INDEX(STDHVAC[Baseline Definition],MATCH(C84,STDHVAC[Measure Name],0)))</f>
        <v/>
      </c>
      <c r="K84" s="981"/>
      <c r="L84" s="982" t="str">
        <f>IF(C84="","",INDEX(STDHVAC[Baseline Efficiency Value],MATCH(C84,STDHVAC[Measure Name],0)))</f>
        <v/>
      </c>
      <c r="M84" s="983"/>
      <c r="N84" s="984"/>
      <c r="O84" s="985"/>
      <c r="P84" s="986" t="str">
        <f>IF(C84="","",INDEX(STDHVAC[Baseline Definition 2],MATCH(C84,STDHVAC[Measure Name],0)))</f>
        <v/>
      </c>
      <c r="Q84" s="987"/>
      <c r="R84" s="988" t="str">
        <f>IF(C84="","",INDEX(STDHVAC[Baseline Efficiency Value 2],MATCH(C84,STDHVAC[Measure Name],0)))</f>
        <v/>
      </c>
      <c r="S84" s="989"/>
      <c r="T84" s="990" t="str">
        <f t="shared" ref="T84" si="129">IF(AND(ISNUMBER(SEARCH("DX",C84)),ISNUMBER(SEARCH("&lt;65kbtu",C84)),N84&lt;&gt;""),1.12*N84-0.02*N84^2,IF(ISNUMBER(SEARCH("PTAC",C84)),1,""))</f>
        <v/>
      </c>
      <c r="U84" s="991"/>
      <c r="V84" s="992"/>
      <c r="W84" s="992"/>
      <c r="X84" s="830"/>
      <c r="Y84" s="831"/>
      <c r="Z84" s="832"/>
      <c r="AA84" s="867"/>
      <c r="AB84" s="868"/>
      <c r="AC84" s="868"/>
      <c r="AD84" s="869"/>
      <c r="AE84" s="993" t="str">
        <f>IF(C84="","",INDEX(STDHVAC[Current Unit],MATCH(C84,STDHVAC[Measure Name],0)))</f>
        <v/>
      </c>
      <c r="AF84" s="993"/>
      <c r="AG84" s="993"/>
      <c r="AH84" s="994"/>
      <c r="AI84" s="899" t="str">
        <f>IFERROR(IF(C84="","",INDEX(STDHVAC[Current Incentive],MATCH(C84,STDHVAC[Measure Name],0))),"")</f>
        <v/>
      </c>
      <c r="AJ84" s="899"/>
      <c r="AK84" s="900" t="str">
        <f t="shared" ref="AK84" si="130">IFERROR(IF(OR(C84="",N84="",V84="",X84="",T84="",AA84="",AC84=""),"",IF(BH84="Deemed",AV84,IF(BH84="Calculated",BA84,""))),"")</f>
        <v/>
      </c>
      <c r="AL84" s="900"/>
      <c r="AM84" s="900"/>
      <c r="AN84" s="897" t="str">
        <f t="shared" ref="AN84" si="131">IFERROR(IF(OR(C84="",N84="",V84="",X84="",T84="",AA84="",AC84=""),"",IF(BD84&lt;&gt;"",BD84,IF(BI84&gt;0,BI84,ROUND(IF(AK84&lt;=0,0,IF(AE84="$/ton",MIN(AT84,V84*AI84),MIN(AT84,(N84-L84)*V84*AI84))),2)))),"")</f>
        <v/>
      </c>
      <c r="AO84" s="902"/>
      <c r="AP84" s="902"/>
      <c r="AQ84" s="902"/>
      <c r="AR84" s="37"/>
      <c r="AS84" s="235"/>
      <c r="AT84" s="972" t="str">
        <f t="shared" ref="AT84" si="132">IF(OR(C84="",N84="",V84="",X84="",T84="",AA84="",AC84=""),"",IF(AK84=0,"",ROUND(AA84+AC84,2)))</f>
        <v/>
      </c>
      <c r="AU84" s="995" t="str">
        <f>IFERROR(IF(OR(C84="",N84="",V84="",X84="",T84="",AA84="",AC84=""),"",INDEX(STDHVAC[Current Unit],MATCH(C84,STDHVAC[Measure Name],0))),"Err")</f>
        <v/>
      </c>
      <c r="AV84" s="850" t="str">
        <f>IF(OR(C84="",N84="",V84="",X84="",T84="",AA84="",AC84=""),"",ROUND(V84*INDEX(STDHVAC[Electric Energy Savings (Annual kWh/unit)],MATCH(C84,STDHVAC[Measure Name],0)),4))</f>
        <v/>
      </c>
      <c r="AW84" s="850" t="str">
        <f>IF(OR(C84="",N84="",V84="",X84="",T84="",AA84="",AC84=""),"",ROUND(V84*INDEX(STDHVAC[Coincident Peak Demand Savings (kW/unit)],MATCH(C84,STDHVAC[Measure Name],0)),4))</f>
        <v/>
      </c>
      <c r="AX84" s="970"/>
      <c r="AY84" s="970"/>
      <c r="AZ84" s="976" t="str">
        <f>IFERROR(IF(OR(C84="",N84="",V84="",X84="",T84="",AA84="",AC84=""),"",INDEX(STDHVAC[End Use],MATCH(C84,STDHVAC[Measure Name],0))),"Err")</f>
        <v/>
      </c>
      <c r="BA84" s="978" t="str">
        <f>IFERROR(ROUND(
IF(ISNUMBER(SEARCH("DX",C84)),(V84*12)*((1/L84)-(1/N84))*INDEX(STDHVAC[EFLHcool],MATCH(C84,STDHVAC[Measure Name],0)),
IF(ISNUMBER(SEARCH("PTAC",C84)),(V84*12)*((1/L84)-(1/N84))*INDEX(STDHVAC[EFLHcool],MATCH(C84,STDHVAC[Measure Name],0)),
IF(ISNUMBER(SEARCH("PTHP",C84)),((V84*12)*((1/L84)-(1/N84))*INDEX(STDHVAC[EFLHcool],MATCH(C84,STDHVAC[Measure Name],0)))+(((V84*12)/3.412)*((1/R84)-(1/T84))*INDEX(STDHVAC[EFLHheat],MATCH(C84,STDHVAC[Measure Name],0))),
IF(ISNUMBER(SEARCH("ASHP",C84)),((V84*12)*((1/L84)-(1/N84))*INDEX(STDHVAC[EFLHcool],MATCH(C84,STDHVAC[Measure Name],0)))+(IF(P84="HSPF",(V84*12),((V84*12)/3.412))*((1/R84)-(1/T84))*INDEX(STDHVAC[EFLHheat],MATCH(C84,STDHVAC[Measure Name],0))),
"")))),4),"")</f>
        <v/>
      </c>
      <c r="BB84" s="978" t="str">
        <f>IFERROR(ROUND(((V84*12)*((1/L84)-(1/N84))*INDEX(STDHVAC[EFLHcool],MATCH(C84,STDHVAC[Measure Name],0)))*INDEX(ENDUSEALL[Factor],MATCH(AZ84,ENDUSEALL[End Use to Coincident Peak Demand Factors],0)),4),"")</f>
        <v/>
      </c>
      <c r="BC84" s="976" t="str">
        <f>IFERROR(IF(OR(C84="",N84="",V84="",X84="",T84="",AA84="",AC84="",ISNUMBER(AN84)=FALSE,AN84=0),"",INDEX(STDHVAC[Measure Number],MATCH(C84,STDHVAC[Measure Name],0))),"Err")</f>
        <v/>
      </c>
      <c r="BD84" s="976" t="str">
        <f>IFERROR(IF(OR(C84="",N84="",V84="",X84="",T84="",AA84="",AC84=""),"",
IF(BI84&gt;0,"",
IF(L84=N84,"Must Improve Efficiency",
IF(EXPIRATION&lt;&gt;"",PROJSTATEXP,"")))),"")</f>
        <v/>
      </c>
      <c r="BE84" s="928" t="str">
        <f>IFERROR(INDEX(STDHVAC[Measure Life (Years)],MATCH(C84,STDHVAC[Measure Name],0)),"")</f>
        <v/>
      </c>
      <c r="BF84" s="930" t="str">
        <f>IFERROR(IF(OR(C84="",N84="",V84="",X84="",T84="",AA84="",AC84=""),"",
ROUND(((1+ELOSS)*((AV84*INDEX(ELECCB[NPV AEC $/kWh],MATCH(BE84,ELECCB[Year Number],1)))+(AW84*INDEX(ELECCB[NPV ACC $/kW],MATCH(BE84,ELECCB[Year Number],1))))),2)),0)</f>
        <v/>
      </c>
      <c r="BG84" s="937"/>
      <c r="BH84" s="934" t="str">
        <f>IFERROR(IF(OR(C84="",N84="",V84="",X84="",T84="",AA84="",AC84=""),"",INDEX(STDHVAC[Reporting Methodology],MATCH(C84,STDHVAC[Measure Name],0))),"Err")</f>
        <v/>
      </c>
      <c r="BI84" s="939"/>
    </row>
    <row r="85" spans="2:61" s="180" customFormat="1" ht="15.95" customHeight="1">
      <c r="B85" s="905"/>
      <c r="C85" s="833"/>
      <c r="D85" s="834"/>
      <c r="E85" s="834"/>
      <c r="F85" s="834"/>
      <c r="G85" s="834"/>
      <c r="H85" s="834"/>
      <c r="I85" s="834"/>
      <c r="J85" s="980"/>
      <c r="K85" s="981"/>
      <c r="L85" s="982"/>
      <c r="M85" s="983"/>
      <c r="N85" s="984"/>
      <c r="O85" s="985"/>
      <c r="P85" s="980"/>
      <c r="Q85" s="981"/>
      <c r="R85" s="982"/>
      <c r="S85" s="983"/>
      <c r="T85" s="990"/>
      <c r="U85" s="991"/>
      <c r="V85" s="992"/>
      <c r="W85" s="992"/>
      <c r="X85" s="833"/>
      <c r="Y85" s="834"/>
      <c r="Z85" s="835"/>
      <c r="AA85" s="867"/>
      <c r="AB85" s="868"/>
      <c r="AC85" s="868"/>
      <c r="AD85" s="869"/>
      <c r="AE85" s="993"/>
      <c r="AF85" s="993"/>
      <c r="AG85" s="993"/>
      <c r="AH85" s="994"/>
      <c r="AI85" s="899"/>
      <c r="AJ85" s="899"/>
      <c r="AK85" s="901"/>
      <c r="AL85" s="901"/>
      <c r="AM85" s="901"/>
      <c r="AN85" s="899"/>
      <c r="AO85" s="903"/>
      <c r="AP85" s="903"/>
      <c r="AQ85" s="903"/>
      <c r="AR85" s="37"/>
      <c r="AS85" s="235"/>
      <c r="AT85" s="973"/>
      <c r="AU85" s="996"/>
      <c r="AV85" s="851"/>
      <c r="AW85" s="851"/>
      <c r="AX85" s="970"/>
      <c r="AY85" s="970"/>
      <c r="AZ85" s="977"/>
      <c r="BA85" s="979"/>
      <c r="BB85" s="979"/>
      <c r="BC85" s="977"/>
      <c r="BD85" s="977"/>
      <c r="BE85" s="929"/>
      <c r="BF85" s="931"/>
      <c r="BG85" s="938"/>
      <c r="BH85" s="934"/>
      <c r="BI85" s="939"/>
    </row>
    <row r="86" spans="2:61" s="180" customFormat="1" ht="15.95" customHeight="1">
      <c r="B86" s="905">
        <v>35</v>
      </c>
      <c r="C86" s="830"/>
      <c r="D86" s="831"/>
      <c r="E86" s="831"/>
      <c r="F86" s="831"/>
      <c r="G86" s="831"/>
      <c r="H86" s="831"/>
      <c r="I86" s="831"/>
      <c r="J86" s="980" t="str">
        <f>IF(C86="","",INDEX(STDHVAC[Baseline Definition],MATCH(C86,STDHVAC[Measure Name],0)))</f>
        <v/>
      </c>
      <c r="K86" s="981"/>
      <c r="L86" s="982" t="str">
        <f>IF(C86="","",INDEX(STDHVAC[Baseline Efficiency Value],MATCH(C86,STDHVAC[Measure Name],0)))</f>
        <v/>
      </c>
      <c r="M86" s="983"/>
      <c r="N86" s="984"/>
      <c r="O86" s="985"/>
      <c r="P86" s="986" t="str">
        <f>IF(C86="","",INDEX(STDHVAC[Baseline Definition 2],MATCH(C86,STDHVAC[Measure Name],0)))</f>
        <v/>
      </c>
      <c r="Q86" s="987"/>
      <c r="R86" s="988" t="str">
        <f>IF(C86="","",INDEX(STDHVAC[Baseline Efficiency Value 2],MATCH(C86,STDHVAC[Measure Name],0)))</f>
        <v/>
      </c>
      <c r="S86" s="989"/>
      <c r="T86" s="990" t="str">
        <f t="shared" ref="T86" si="133">IF(AND(ISNUMBER(SEARCH("DX",C86)),ISNUMBER(SEARCH("&lt;65kbtu",C86)),N86&lt;&gt;""),1.12*N86-0.02*N86^2,IF(ISNUMBER(SEARCH("PTAC",C86)),1,""))</f>
        <v/>
      </c>
      <c r="U86" s="991"/>
      <c r="V86" s="992"/>
      <c r="W86" s="992"/>
      <c r="X86" s="830"/>
      <c r="Y86" s="831"/>
      <c r="Z86" s="832"/>
      <c r="AA86" s="867"/>
      <c r="AB86" s="868"/>
      <c r="AC86" s="868"/>
      <c r="AD86" s="869"/>
      <c r="AE86" s="993" t="str">
        <f>IF(C86="","",INDEX(STDHVAC[Current Unit],MATCH(C86,STDHVAC[Measure Name],0)))</f>
        <v/>
      </c>
      <c r="AF86" s="993"/>
      <c r="AG86" s="993"/>
      <c r="AH86" s="994"/>
      <c r="AI86" s="899" t="str">
        <f>IFERROR(IF(C86="","",INDEX(STDHVAC[Current Incentive],MATCH(C86,STDHVAC[Measure Name],0))),"")</f>
        <v/>
      </c>
      <c r="AJ86" s="899"/>
      <c r="AK86" s="900" t="str">
        <f t="shared" ref="AK86" si="134">IFERROR(IF(OR(C86="",N86="",V86="",X86="",T86="",AA86="",AC86=""),"",IF(BH86="Deemed",AV86,IF(BH86="Calculated",BA86,""))),"")</f>
        <v/>
      </c>
      <c r="AL86" s="900"/>
      <c r="AM86" s="900"/>
      <c r="AN86" s="897" t="str">
        <f t="shared" ref="AN86" si="135">IFERROR(IF(OR(C86="",N86="",V86="",X86="",T86="",AA86="",AC86=""),"",IF(BD86&lt;&gt;"",BD86,IF(BI86&gt;0,BI86,ROUND(IF(AK86&lt;=0,0,IF(AE86="$/ton",MIN(AT86,V86*AI86),MIN(AT86,(N86-L86)*V86*AI86))),2)))),"")</f>
        <v/>
      </c>
      <c r="AO86" s="902"/>
      <c r="AP86" s="902"/>
      <c r="AQ86" s="902"/>
      <c r="AR86" s="37"/>
      <c r="AS86" s="235"/>
      <c r="AT86" s="972" t="str">
        <f t="shared" ref="AT86" si="136">IF(OR(C86="",N86="",V86="",X86="",T86="",AA86="",AC86=""),"",IF(AK86=0,"",ROUND(AA86+AC86,2)))</f>
        <v/>
      </c>
      <c r="AU86" s="995" t="str">
        <f>IFERROR(IF(OR(C86="",N86="",V86="",X86="",T86="",AA86="",AC86=""),"",INDEX(STDHVAC[Current Unit],MATCH(C86,STDHVAC[Measure Name],0))),"Err")</f>
        <v/>
      </c>
      <c r="AV86" s="850" t="str">
        <f>IF(OR(C86="",N86="",V86="",X86="",T86="",AA86="",AC86=""),"",ROUND(V86*INDEX(STDHVAC[Electric Energy Savings (Annual kWh/unit)],MATCH(C86,STDHVAC[Measure Name],0)),4))</f>
        <v/>
      </c>
      <c r="AW86" s="850" t="str">
        <f>IF(OR(C86="",N86="",V86="",X86="",T86="",AA86="",AC86=""),"",ROUND(V86*INDEX(STDHVAC[Coincident Peak Demand Savings (kW/unit)],MATCH(C86,STDHVAC[Measure Name],0)),4))</f>
        <v/>
      </c>
      <c r="AX86" s="970"/>
      <c r="AY86" s="970"/>
      <c r="AZ86" s="976" t="str">
        <f>IFERROR(IF(OR(C86="",N86="",V86="",X86="",T86="",AA86="",AC86=""),"",INDEX(STDHVAC[End Use],MATCH(C86,STDHVAC[Measure Name],0))),"Err")</f>
        <v/>
      </c>
      <c r="BA86" s="978" t="str">
        <f>IFERROR(ROUND(
IF(ISNUMBER(SEARCH("DX",C86)),(V86*12)*((1/L86)-(1/N86))*INDEX(STDHVAC[EFLHcool],MATCH(C86,STDHVAC[Measure Name],0)),
IF(ISNUMBER(SEARCH("PTAC",C86)),(V86*12)*((1/L86)-(1/N86))*INDEX(STDHVAC[EFLHcool],MATCH(C86,STDHVAC[Measure Name],0)),
IF(ISNUMBER(SEARCH("PTHP",C86)),((V86*12)*((1/L86)-(1/N86))*INDEX(STDHVAC[EFLHcool],MATCH(C86,STDHVAC[Measure Name],0)))+(((V86*12)/3.412)*((1/R86)-(1/T86))*INDEX(STDHVAC[EFLHheat],MATCH(C86,STDHVAC[Measure Name],0))),
IF(ISNUMBER(SEARCH("ASHP",C86)),((V86*12)*((1/L86)-(1/N86))*INDEX(STDHVAC[EFLHcool],MATCH(C86,STDHVAC[Measure Name],0)))+(IF(P86="HSPF",(V86*12),((V86*12)/3.412))*((1/R86)-(1/T86))*INDEX(STDHVAC[EFLHheat],MATCH(C86,STDHVAC[Measure Name],0))),
"")))),4),"")</f>
        <v/>
      </c>
      <c r="BB86" s="978" t="str">
        <f>IFERROR(ROUND(((V86*12)*((1/L86)-(1/N86))*INDEX(STDHVAC[EFLHcool],MATCH(C86,STDHVAC[Measure Name],0)))*INDEX(ENDUSEALL[Factor],MATCH(AZ86,ENDUSEALL[End Use to Coincident Peak Demand Factors],0)),4),"")</f>
        <v/>
      </c>
      <c r="BC86" s="976" t="str">
        <f>IFERROR(IF(OR(C86="",N86="",V86="",X86="",T86="",AA86="",AC86="",ISNUMBER(AN86)=FALSE,AN86=0),"",INDEX(STDHVAC[Measure Number],MATCH(C86,STDHVAC[Measure Name],0))),"Err")</f>
        <v/>
      </c>
      <c r="BD86" s="976" t="str">
        <f>IFERROR(IF(OR(C86="",N86="",V86="",X86="",T86="",AA86="",AC86=""),"",
IF(BI86&gt;0,"",
IF(L86=N86,"Must Improve Efficiency",
IF(EXPIRATION&lt;&gt;"",PROJSTATEXP,"")))),"")</f>
        <v/>
      </c>
      <c r="BE86" s="928" t="str">
        <f>IFERROR(INDEX(STDHVAC[Measure Life (Years)],MATCH(C86,STDHVAC[Measure Name],0)),"")</f>
        <v/>
      </c>
      <c r="BF86" s="930" t="str">
        <f>IFERROR(IF(OR(C86="",N86="",V86="",X86="",T86="",AA86="",AC86=""),"",
ROUND(((1+ELOSS)*((AV86*INDEX(ELECCB[NPV AEC $/kWh],MATCH(BE86,ELECCB[Year Number],1)))+(AW86*INDEX(ELECCB[NPV ACC $/kW],MATCH(BE86,ELECCB[Year Number],1))))),2)),0)</f>
        <v/>
      </c>
      <c r="BG86" s="937"/>
      <c r="BH86" s="934" t="str">
        <f>IFERROR(IF(OR(C86="",N86="",V86="",X86="",T86="",AA86="",AC86=""),"",INDEX(STDHVAC[Reporting Methodology],MATCH(C86,STDHVAC[Measure Name],0))),"Err")</f>
        <v/>
      </c>
      <c r="BI86" s="939"/>
    </row>
    <row r="87" spans="2:61" s="180" customFormat="1" ht="15.95" customHeight="1">
      <c r="B87" s="905"/>
      <c r="C87" s="833"/>
      <c r="D87" s="834"/>
      <c r="E87" s="834"/>
      <c r="F87" s="834"/>
      <c r="G87" s="834"/>
      <c r="H87" s="834"/>
      <c r="I87" s="834"/>
      <c r="J87" s="980"/>
      <c r="K87" s="981"/>
      <c r="L87" s="982"/>
      <c r="M87" s="983"/>
      <c r="N87" s="984"/>
      <c r="O87" s="985"/>
      <c r="P87" s="980"/>
      <c r="Q87" s="981"/>
      <c r="R87" s="982"/>
      <c r="S87" s="983"/>
      <c r="T87" s="990"/>
      <c r="U87" s="991"/>
      <c r="V87" s="992"/>
      <c r="W87" s="992"/>
      <c r="X87" s="833"/>
      <c r="Y87" s="834"/>
      <c r="Z87" s="835"/>
      <c r="AA87" s="867"/>
      <c r="AB87" s="868"/>
      <c r="AC87" s="868"/>
      <c r="AD87" s="869"/>
      <c r="AE87" s="993"/>
      <c r="AF87" s="993"/>
      <c r="AG87" s="993"/>
      <c r="AH87" s="994"/>
      <c r="AI87" s="899"/>
      <c r="AJ87" s="899"/>
      <c r="AK87" s="901"/>
      <c r="AL87" s="901"/>
      <c r="AM87" s="901"/>
      <c r="AN87" s="899"/>
      <c r="AO87" s="903"/>
      <c r="AP87" s="903"/>
      <c r="AQ87" s="903"/>
      <c r="AR87" s="37"/>
      <c r="AS87" s="235"/>
      <c r="AT87" s="973"/>
      <c r="AU87" s="996"/>
      <c r="AV87" s="851"/>
      <c r="AW87" s="851"/>
      <c r="AX87" s="970"/>
      <c r="AY87" s="970"/>
      <c r="AZ87" s="977"/>
      <c r="BA87" s="979"/>
      <c r="BB87" s="979"/>
      <c r="BC87" s="977"/>
      <c r="BD87" s="977"/>
      <c r="BE87" s="929"/>
      <c r="BF87" s="931"/>
      <c r="BG87" s="938"/>
      <c r="BH87" s="934"/>
      <c r="BI87" s="939"/>
    </row>
    <row r="88" spans="2:61" s="180" customFormat="1" ht="15.95" hidden="1" customHeight="1">
      <c r="B88"/>
      <c r="C88"/>
      <c r="D88"/>
      <c r="E88"/>
      <c r="F88"/>
      <c r="G88"/>
      <c r="H88"/>
      <c r="I88"/>
      <c r="J88" s="665"/>
      <c r="K88" s="665"/>
      <c r="L88" s="666"/>
      <c r="M88" s="666"/>
      <c r="N88" s="667"/>
      <c r="O88" s="667"/>
      <c r="P88" s="665"/>
      <c r="Q88" s="665"/>
      <c r="R88" s="666"/>
      <c r="S88" s="666"/>
      <c r="T88" s="668"/>
      <c r="U88" s="668"/>
      <c r="V88" s="667"/>
      <c r="W88" s="667"/>
      <c r="X88" s="664"/>
      <c r="Y88" s="664"/>
      <c r="Z88" s="664"/>
      <c r="AA88" s="669"/>
      <c r="AB88" s="669"/>
      <c r="AC88" s="669"/>
      <c r="AD88" s="669"/>
      <c r="AE88" s="670"/>
      <c r="AF88" s="670"/>
      <c r="AG88" s="670"/>
      <c r="AH88" s="670"/>
      <c r="AI88" s="671"/>
      <c r="AJ88" s="671"/>
      <c r="AK88" s="672"/>
      <c r="AL88" s="672"/>
      <c r="AM88" s="672"/>
      <c r="AN88" s="671"/>
      <c r="AO88" s="673"/>
      <c r="AP88" s="673"/>
      <c r="AQ88" s="673"/>
      <c r="AR88" s="37"/>
      <c r="AS88" s="235"/>
      <c r="AT88" s="674"/>
      <c r="AU88" s="675"/>
      <c r="AV88" s="676"/>
      <c r="AW88" s="676"/>
      <c r="AX88" s="677"/>
      <c r="AY88" s="677"/>
      <c r="AZ88" s="678"/>
      <c r="BA88" s="679"/>
      <c r="BB88" s="679"/>
      <c r="BC88" s="678"/>
      <c r="BD88" s="678"/>
      <c r="BE88" s="680"/>
      <c r="BF88" s="681"/>
      <c r="BG88" s="682"/>
      <c r="BH88" s="565"/>
      <c r="BI88" s="683"/>
    </row>
    <row r="89" spans="2:61" s="180" customFormat="1" ht="15.95" hidden="1" customHeight="1">
      <c r="B89"/>
      <c r="C89"/>
      <c r="D89"/>
      <c r="E89"/>
      <c r="F89"/>
      <c r="G89"/>
      <c r="H89"/>
      <c r="I89"/>
      <c r="J89" s="665"/>
      <c r="K89" s="665"/>
      <c r="L89" s="666"/>
      <c r="M89" s="666"/>
      <c r="N89" s="667"/>
      <c r="O89" s="667"/>
      <c r="P89" s="665"/>
      <c r="Q89" s="665"/>
      <c r="R89" s="666"/>
      <c r="S89" s="666"/>
      <c r="T89" s="668"/>
      <c r="U89" s="668"/>
      <c r="V89" s="667"/>
      <c r="W89" s="667"/>
      <c r="X89" s="664"/>
      <c r="Y89" s="664"/>
      <c r="Z89" s="664"/>
      <c r="AA89" s="669"/>
      <c r="AB89" s="669"/>
      <c r="AC89" s="669"/>
      <c r="AD89" s="669"/>
      <c r="AE89" s="670"/>
      <c r="AF89" s="670"/>
      <c r="AG89" s="670"/>
      <c r="AH89" s="670"/>
      <c r="AI89" s="671"/>
      <c r="AJ89" s="671"/>
      <c r="AK89" s="672"/>
      <c r="AL89" s="672"/>
      <c r="AM89" s="672"/>
      <c r="AN89" s="671"/>
      <c r="AO89" s="673"/>
      <c r="AP89" s="673"/>
      <c r="AQ89" s="673"/>
      <c r="AR89" s="37"/>
      <c r="AS89" s="235"/>
      <c r="AT89" s="674"/>
      <c r="AU89" s="675"/>
      <c r="AV89" s="676"/>
      <c r="AW89" s="676"/>
      <c r="AX89" s="677"/>
      <c r="AY89" s="677"/>
      <c r="AZ89" s="678"/>
      <c r="BA89" s="679"/>
      <c r="BB89" s="679"/>
      <c r="BC89" s="678"/>
      <c r="BD89" s="678"/>
      <c r="BE89" s="680"/>
      <c r="BF89" s="681"/>
      <c r="BG89" s="682"/>
      <c r="BH89" s="565"/>
      <c r="BI89" s="683"/>
    </row>
    <row r="90" spans="2:61" s="180" customFormat="1" ht="15.95" hidden="1" customHeight="1">
      <c r="B90"/>
      <c r="C90"/>
      <c r="D90"/>
      <c r="E90"/>
      <c r="F90"/>
      <c r="G90"/>
      <c r="H90"/>
      <c r="I90"/>
      <c r="J90" s="665"/>
      <c r="K90" s="665"/>
      <c r="L90" s="666"/>
      <c r="M90" s="666"/>
      <c r="N90" s="667"/>
      <c r="O90" s="667"/>
      <c r="P90" s="665"/>
      <c r="Q90" s="665"/>
      <c r="R90" s="666"/>
      <c r="S90" s="666"/>
      <c r="T90" s="668"/>
      <c r="U90" s="668"/>
      <c r="V90" s="667"/>
      <c r="W90" s="667"/>
      <c r="X90" s="664"/>
      <c r="Y90" s="664"/>
      <c r="Z90" s="664"/>
      <c r="AA90" s="669"/>
      <c r="AB90" s="669"/>
      <c r="AC90" s="669"/>
      <c r="AD90" s="669"/>
      <c r="AE90" s="670"/>
      <c r="AF90" s="670"/>
      <c r="AG90" s="670"/>
      <c r="AH90" s="670"/>
      <c r="AI90" s="671"/>
      <c r="AJ90" s="671"/>
      <c r="AK90" s="672"/>
      <c r="AL90" s="672"/>
      <c r="AM90" s="672"/>
      <c r="AN90" s="671"/>
      <c r="AO90" s="673"/>
      <c r="AP90" s="673"/>
      <c r="AQ90" s="673"/>
      <c r="AR90" s="37"/>
      <c r="AS90" s="235"/>
      <c r="AT90" s="674"/>
      <c r="AU90" s="675"/>
      <c r="AV90" s="676"/>
      <c r="AW90" s="676"/>
      <c r="AX90" s="677"/>
      <c r="AY90" s="677"/>
      <c r="AZ90" s="678"/>
      <c r="BA90" s="679"/>
      <c r="BB90" s="679"/>
      <c r="BC90" s="678"/>
      <c r="BD90" s="678"/>
      <c r="BE90" s="680"/>
      <c r="BF90" s="681"/>
      <c r="BG90" s="682"/>
      <c r="BH90" s="565"/>
      <c r="BI90" s="683"/>
    </row>
    <row r="91" spans="2:61" s="180" customFormat="1" ht="15.95" hidden="1" customHeight="1">
      <c r="B91"/>
      <c r="C91"/>
      <c r="D91"/>
      <c r="E91"/>
      <c r="F91"/>
      <c r="G91"/>
      <c r="H91"/>
      <c r="I91"/>
      <c r="J91" s="665"/>
      <c r="K91" s="665"/>
      <c r="L91" s="666"/>
      <c r="M91" s="666"/>
      <c r="N91" s="667"/>
      <c r="O91" s="667"/>
      <c r="P91" s="665"/>
      <c r="Q91" s="665"/>
      <c r="R91" s="666"/>
      <c r="S91" s="666"/>
      <c r="T91" s="668"/>
      <c r="U91" s="668"/>
      <c r="V91" s="667"/>
      <c r="W91" s="667"/>
      <c r="X91" s="664"/>
      <c r="Y91" s="664"/>
      <c r="Z91" s="664"/>
      <c r="AA91" s="669"/>
      <c r="AB91" s="669"/>
      <c r="AC91" s="669"/>
      <c r="AD91" s="669"/>
      <c r="AE91" s="670"/>
      <c r="AF91" s="670"/>
      <c r="AG91" s="670"/>
      <c r="AH91" s="670"/>
      <c r="AI91" s="671"/>
      <c r="AJ91" s="671"/>
      <c r="AK91" s="672"/>
      <c r="AL91" s="672"/>
      <c r="AM91" s="672"/>
      <c r="AN91" s="671"/>
      <c r="AO91" s="673"/>
      <c r="AP91" s="673"/>
      <c r="AQ91" s="673"/>
      <c r="AR91" s="37"/>
      <c r="AS91" s="235"/>
      <c r="AT91" s="674"/>
      <c r="AU91" s="675"/>
      <c r="AV91" s="676"/>
      <c r="AW91" s="676"/>
      <c r="AX91" s="677"/>
      <c r="AY91" s="677"/>
      <c r="AZ91" s="678"/>
      <c r="BA91" s="679"/>
      <c r="BB91" s="679"/>
      <c r="BC91" s="678"/>
      <c r="BD91" s="678"/>
      <c r="BE91" s="680"/>
      <c r="BF91" s="681"/>
      <c r="BG91" s="682"/>
      <c r="BH91" s="565"/>
      <c r="BI91" s="683"/>
    </row>
    <row r="92" spans="2:61" s="180" customFormat="1" ht="15.95" hidden="1" customHeight="1">
      <c r="B92"/>
      <c r="C92"/>
      <c r="D92"/>
      <c r="E92"/>
      <c r="F92"/>
      <c r="G92"/>
      <c r="H92"/>
      <c r="I92"/>
      <c r="J92" s="665"/>
      <c r="K92" s="665"/>
      <c r="L92" s="666"/>
      <c r="M92" s="666"/>
      <c r="N92" s="667"/>
      <c r="O92" s="667"/>
      <c r="P92" s="665"/>
      <c r="Q92" s="665"/>
      <c r="R92" s="666"/>
      <c r="S92" s="666"/>
      <c r="T92" s="668"/>
      <c r="U92" s="668"/>
      <c r="V92" s="667"/>
      <c r="W92" s="667"/>
      <c r="X92" s="664"/>
      <c r="Y92" s="664"/>
      <c r="Z92" s="664"/>
      <c r="AA92" s="669"/>
      <c r="AB92" s="669"/>
      <c r="AC92" s="669"/>
      <c r="AD92" s="669"/>
      <c r="AE92" s="670"/>
      <c r="AF92" s="670"/>
      <c r="AG92" s="670"/>
      <c r="AH92" s="670"/>
      <c r="AI92" s="671"/>
      <c r="AJ92" s="671"/>
      <c r="AK92" s="672"/>
      <c r="AL92" s="672"/>
      <c r="AM92" s="672"/>
      <c r="AN92" s="671"/>
      <c r="AO92" s="673"/>
      <c r="AP92" s="673"/>
      <c r="AQ92" s="673"/>
      <c r="AR92" s="37"/>
      <c r="AS92" s="235"/>
      <c r="AT92" s="674"/>
      <c r="AU92" s="675"/>
      <c r="AV92" s="676"/>
      <c r="AW92" s="676"/>
      <c r="AX92" s="677"/>
      <c r="AY92" s="677"/>
      <c r="AZ92" s="678"/>
      <c r="BA92" s="679"/>
      <c r="BB92" s="679"/>
      <c r="BC92" s="678"/>
      <c r="BD92" s="678"/>
      <c r="BE92" s="680"/>
      <c r="BF92" s="681"/>
      <c r="BG92" s="682"/>
      <c r="BH92" s="565"/>
      <c r="BI92" s="683"/>
    </row>
    <row r="93" spans="2:61" s="180" customFormat="1" ht="15.95" hidden="1" customHeight="1">
      <c r="B93"/>
      <c r="C93"/>
      <c r="D93"/>
      <c r="E93"/>
      <c r="F93"/>
      <c r="G93"/>
      <c r="H93"/>
      <c r="I93"/>
      <c r="J93" s="665"/>
      <c r="K93" s="665"/>
      <c r="L93" s="666"/>
      <c r="M93" s="666"/>
      <c r="N93" s="667"/>
      <c r="O93" s="667"/>
      <c r="P93" s="665"/>
      <c r="Q93" s="665"/>
      <c r="R93" s="666"/>
      <c r="S93" s="666"/>
      <c r="T93" s="668"/>
      <c r="U93" s="668"/>
      <c r="V93" s="667"/>
      <c r="W93" s="667"/>
      <c r="X93" s="664"/>
      <c r="Y93" s="664"/>
      <c r="Z93" s="664"/>
      <c r="AA93" s="669"/>
      <c r="AB93" s="669"/>
      <c r="AC93" s="669"/>
      <c r="AD93" s="669"/>
      <c r="AE93" s="670"/>
      <c r="AF93" s="670"/>
      <c r="AG93" s="670"/>
      <c r="AH93" s="670"/>
      <c r="AI93" s="671"/>
      <c r="AJ93" s="671"/>
      <c r="AK93" s="672"/>
      <c r="AL93" s="672"/>
      <c r="AM93" s="672"/>
      <c r="AN93" s="671"/>
      <c r="AO93" s="673"/>
      <c r="AP93" s="673"/>
      <c r="AQ93" s="673"/>
      <c r="AR93" s="37"/>
      <c r="AS93" s="235"/>
      <c r="AT93" s="674"/>
      <c r="AU93" s="675"/>
      <c r="AV93" s="676"/>
      <c r="AW93" s="676"/>
      <c r="AX93" s="677"/>
      <c r="AY93" s="677"/>
      <c r="AZ93" s="678"/>
      <c r="BA93" s="679"/>
      <c r="BB93" s="679"/>
      <c r="BC93" s="678"/>
      <c r="BD93" s="678"/>
      <c r="BE93" s="680"/>
      <c r="BF93" s="681"/>
      <c r="BG93" s="682"/>
      <c r="BH93" s="565"/>
      <c r="BI93" s="683"/>
    </row>
    <row r="94" spans="2:61" s="180" customFormat="1" ht="15.95" hidden="1" customHeight="1">
      <c r="B94"/>
      <c r="C94"/>
      <c r="D94"/>
      <c r="E94"/>
      <c r="F94"/>
      <c r="G94"/>
      <c r="H94"/>
      <c r="I94"/>
      <c r="J94" s="665"/>
      <c r="K94" s="665"/>
      <c r="L94" s="666"/>
      <c r="M94" s="666"/>
      <c r="N94" s="667"/>
      <c r="O94" s="667"/>
      <c r="P94" s="665"/>
      <c r="Q94" s="665"/>
      <c r="R94" s="666"/>
      <c r="S94" s="666"/>
      <c r="T94" s="668"/>
      <c r="U94" s="668"/>
      <c r="V94" s="667"/>
      <c r="W94" s="667"/>
      <c r="X94" s="664"/>
      <c r="Y94" s="664"/>
      <c r="Z94" s="664"/>
      <c r="AA94" s="669"/>
      <c r="AB94" s="669"/>
      <c r="AC94" s="669"/>
      <c r="AD94" s="669"/>
      <c r="AE94" s="670"/>
      <c r="AF94" s="670"/>
      <c r="AG94" s="670"/>
      <c r="AH94" s="670"/>
      <c r="AI94" s="671"/>
      <c r="AJ94" s="671"/>
      <c r="AK94" s="672"/>
      <c r="AL94" s="672"/>
      <c r="AM94" s="672"/>
      <c r="AN94" s="671"/>
      <c r="AO94" s="673"/>
      <c r="AP94" s="673"/>
      <c r="AQ94" s="673"/>
      <c r="AR94" s="37"/>
      <c r="AS94" s="235"/>
      <c r="AT94" s="674"/>
      <c r="AU94" s="675"/>
      <c r="AV94" s="676"/>
      <c r="AW94" s="676"/>
      <c r="AX94" s="677"/>
      <c r="AY94" s="677"/>
      <c r="AZ94" s="678"/>
      <c r="BA94" s="679"/>
      <c r="BB94" s="679"/>
      <c r="BC94" s="678"/>
      <c r="BD94" s="678"/>
      <c r="BE94" s="680"/>
      <c r="BF94" s="681"/>
      <c r="BG94" s="682"/>
      <c r="BH94" s="565"/>
      <c r="BI94" s="683"/>
    </row>
    <row r="95" spans="2:61" s="180" customFormat="1" ht="15.95" hidden="1" customHeight="1">
      <c r="B95"/>
      <c r="C95"/>
      <c r="D95"/>
      <c r="E95"/>
      <c r="F95"/>
      <c r="G95"/>
      <c r="H95"/>
      <c r="I95"/>
      <c r="J95" s="665"/>
      <c r="K95" s="665"/>
      <c r="L95" s="666"/>
      <c r="M95" s="666"/>
      <c r="N95" s="667"/>
      <c r="O95" s="667"/>
      <c r="P95" s="665"/>
      <c r="Q95" s="665"/>
      <c r="R95" s="666"/>
      <c r="S95" s="666"/>
      <c r="T95" s="668"/>
      <c r="U95" s="668"/>
      <c r="V95" s="667"/>
      <c r="W95" s="667"/>
      <c r="X95" s="664"/>
      <c r="Y95" s="664"/>
      <c r="Z95" s="664"/>
      <c r="AA95" s="669"/>
      <c r="AB95" s="669"/>
      <c r="AC95" s="669"/>
      <c r="AD95" s="669"/>
      <c r="AE95" s="670"/>
      <c r="AF95" s="670"/>
      <c r="AG95" s="670"/>
      <c r="AH95" s="670"/>
      <c r="AI95" s="671"/>
      <c r="AJ95" s="671"/>
      <c r="AK95" s="672"/>
      <c r="AL95" s="672"/>
      <c r="AM95" s="672"/>
      <c r="AN95" s="671"/>
      <c r="AO95" s="673"/>
      <c r="AP95" s="673"/>
      <c r="AQ95" s="673"/>
      <c r="AR95" s="37"/>
      <c r="AS95" s="235"/>
      <c r="AT95" s="674"/>
      <c r="AU95" s="675"/>
      <c r="AV95" s="676"/>
      <c r="AW95" s="676"/>
      <c r="AX95" s="677"/>
      <c r="AY95" s="677"/>
      <c r="AZ95" s="678"/>
      <c r="BA95" s="679"/>
      <c r="BB95" s="679"/>
      <c r="BC95" s="678"/>
      <c r="BD95" s="678"/>
      <c r="BE95" s="680"/>
      <c r="BF95" s="681"/>
      <c r="BG95" s="682"/>
      <c r="BH95" s="565"/>
      <c r="BI95" s="683"/>
    </row>
    <row r="96" spans="2:61" s="180" customFormat="1" ht="15.95" hidden="1" customHeight="1">
      <c r="B96"/>
      <c r="C96"/>
      <c r="D96"/>
      <c r="E96"/>
      <c r="F96"/>
      <c r="G96"/>
      <c r="H96"/>
      <c r="I96"/>
      <c r="J96" s="665"/>
      <c r="K96" s="665"/>
      <c r="L96" s="666"/>
      <c r="M96" s="666"/>
      <c r="N96" s="667"/>
      <c r="O96" s="667"/>
      <c r="P96" s="665"/>
      <c r="Q96" s="665"/>
      <c r="R96" s="666"/>
      <c r="S96" s="666"/>
      <c r="T96" s="668"/>
      <c r="U96" s="668"/>
      <c r="V96" s="667"/>
      <c r="W96" s="667"/>
      <c r="X96" s="664"/>
      <c r="Y96" s="664"/>
      <c r="Z96" s="664"/>
      <c r="AA96" s="669"/>
      <c r="AB96" s="669"/>
      <c r="AC96" s="669"/>
      <c r="AD96" s="669"/>
      <c r="AE96" s="670"/>
      <c r="AF96" s="670"/>
      <c r="AG96" s="670"/>
      <c r="AH96" s="670"/>
      <c r="AI96" s="671"/>
      <c r="AJ96" s="671"/>
      <c r="AK96" s="672"/>
      <c r="AL96" s="672"/>
      <c r="AM96" s="672"/>
      <c r="AN96" s="671"/>
      <c r="AO96" s="673"/>
      <c r="AP96" s="673"/>
      <c r="AQ96" s="673"/>
      <c r="AR96" s="37"/>
      <c r="AS96" s="235"/>
      <c r="AT96" s="674"/>
      <c r="AU96" s="675"/>
      <c r="AV96" s="676"/>
      <c r="AW96" s="676"/>
      <c r="AX96" s="677"/>
      <c r="AY96" s="677"/>
      <c r="AZ96" s="678"/>
      <c r="BA96" s="679"/>
      <c r="BB96" s="679"/>
      <c r="BC96" s="678"/>
      <c r="BD96" s="678"/>
      <c r="BE96" s="680"/>
      <c r="BF96" s="681"/>
      <c r="BG96" s="682"/>
      <c r="BH96" s="565"/>
      <c r="BI96" s="683"/>
    </row>
    <row r="97" spans="2:61" s="180" customFormat="1" ht="15.95" hidden="1" customHeight="1">
      <c r="B97"/>
      <c r="C97"/>
      <c r="D97"/>
      <c r="E97"/>
      <c r="F97"/>
      <c r="G97"/>
      <c r="H97"/>
      <c r="I97"/>
      <c r="J97" s="665"/>
      <c r="K97" s="665"/>
      <c r="L97" s="666"/>
      <c r="M97" s="666"/>
      <c r="N97" s="667"/>
      <c r="O97" s="667"/>
      <c r="P97" s="665"/>
      <c r="Q97" s="665"/>
      <c r="R97" s="666"/>
      <c r="S97" s="666"/>
      <c r="T97" s="668"/>
      <c r="U97" s="668"/>
      <c r="V97" s="667"/>
      <c r="W97" s="667"/>
      <c r="X97" s="664"/>
      <c r="Y97" s="664"/>
      <c r="Z97" s="664"/>
      <c r="AA97" s="669"/>
      <c r="AB97" s="669"/>
      <c r="AC97" s="669"/>
      <c r="AD97" s="669"/>
      <c r="AE97" s="670"/>
      <c r="AF97" s="670"/>
      <c r="AG97" s="670"/>
      <c r="AH97" s="670"/>
      <c r="AI97" s="671"/>
      <c r="AJ97" s="671"/>
      <c r="AK97" s="672"/>
      <c r="AL97" s="672"/>
      <c r="AM97" s="672"/>
      <c r="AN97" s="671"/>
      <c r="AO97" s="673"/>
      <c r="AP97" s="673"/>
      <c r="AQ97" s="673"/>
      <c r="AR97" s="37"/>
      <c r="AS97" s="235"/>
      <c r="AT97" s="674"/>
      <c r="AU97" s="675"/>
      <c r="AV97" s="676"/>
      <c r="AW97" s="676"/>
      <c r="AX97" s="677"/>
      <c r="AY97" s="677"/>
      <c r="AZ97" s="678"/>
      <c r="BA97" s="679"/>
      <c r="BB97" s="679"/>
      <c r="BC97" s="678"/>
      <c r="BD97" s="678"/>
      <c r="BE97" s="680"/>
      <c r="BF97" s="681"/>
      <c r="BG97" s="682"/>
      <c r="BH97" s="565"/>
      <c r="BI97" s="683"/>
    </row>
    <row r="98" spans="2:61" s="180" customFormat="1" ht="15.95" hidden="1" customHeight="1">
      <c r="B98"/>
      <c r="C98"/>
      <c r="D98"/>
      <c r="E98"/>
      <c r="F98"/>
      <c r="G98"/>
      <c r="H98"/>
      <c r="I98"/>
      <c r="J98" s="665"/>
      <c r="K98" s="665"/>
      <c r="L98" s="666"/>
      <c r="M98" s="666"/>
      <c r="N98" s="667"/>
      <c r="O98" s="667"/>
      <c r="P98" s="665"/>
      <c r="Q98" s="665"/>
      <c r="R98" s="666"/>
      <c r="S98" s="666"/>
      <c r="T98" s="668"/>
      <c r="U98" s="668"/>
      <c r="V98" s="667"/>
      <c r="W98" s="667"/>
      <c r="X98" s="664"/>
      <c r="Y98" s="664"/>
      <c r="Z98" s="664"/>
      <c r="AA98" s="669"/>
      <c r="AB98" s="669"/>
      <c r="AC98" s="669"/>
      <c r="AD98" s="669"/>
      <c r="AE98" s="670"/>
      <c r="AF98" s="670"/>
      <c r="AG98" s="670"/>
      <c r="AH98" s="670"/>
      <c r="AI98" s="671"/>
      <c r="AJ98" s="671"/>
      <c r="AK98" s="672"/>
      <c r="AL98" s="672"/>
      <c r="AM98" s="672"/>
      <c r="AN98" s="671"/>
      <c r="AO98" s="673"/>
      <c r="AP98" s="673"/>
      <c r="AQ98" s="673"/>
      <c r="AR98" s="37"/>
      <c r="AS98" s="235"/>
      <c r="AT98" s="674"/>
      <c r="AU98" s="675"/>
      <c r="AV98" s="676"/>
      <c r="AW98" s="676"/>
      <c r="AX98" s="677"/>
      <c r="AY98" s="677"/>
      <c r="AZ98" s="678"/>
      <c r="BA98" s="679"/>
      <c r="BB98" s="679"/>
      <c r="BC98" s="678"/>
      <c r="BD98" s="678"/>
      <c r="BE98" s="680"/>
      <c r="BF98" s="681"/>
      <c r="BG98" s="682"/>
      <c r="BH98" s="565"/>
      <c r="BI98" s="683"/>
    </row>
    <row r="99" spans="2:61" s="180" customFormat="1" ht="15.95" hidden="1" customHeight="1">
      <c r="B99"/>
      <c r="C99"/>
      <c r="D99"/>
      <c r="E99"/>
      <c r="F99"/>
      <c r="G99"/>
      <c r="H99"/>
      <c r="I99"/>
      <c r="J99" s="665"/>
      <c r="K99" s="665"/>
      <c r="L99" s="666"/>
      <c r="M99" s="666"/>
      <c r="N99" s="667"/>
      <c r="O99" s="667"/>
      <c r="P99" s="665"/>
      <c r="Q99" s="665"/>
      <c r="R99" s="666"/>
      <c r="S99" s="666"/>
      <c r="T99" s="668"/>
      <c r="U99" s="668"/>
      <c r="V99" s="667"/>
      <c r="W99" s="667"/>
      <c r="X99" s="664"/>
      <c r="Y99" s="664"/>
      <c r="Z99" s="664"/>
      <c r="AA99" s="669"/>
      <c r="AB99" s="669"/>
      <c r="AC99" s="669"/>
      <c r="AD99" s="669"/>
      <c r="AE99" s="670"/>
      <c r="AF99" s="670"/>
      <c r="AG99" s="670"/>
      <c r="AH99" s="670"/>
      <c r="AI99" s="671"/>
      <c r="AJ99" s="671"/>
      <c r="AK99" s="672"/>
      <c r="AL99" s="672"/>
      <c r="AM99" s="672"/>
      <c r="AN99" s="671"/>
      <c r="AO99" s="673"/>
      <c r="AP99" s="673"/>
      <c r="AQ99" s="673"/>
      <c r="AR99" s="37"/>
      <c r="AS99" s="235"/>
      <c r="AT99" s="674"/>
      <c r="AU99" s="675"/>
      <c r="AV99" s="676"/>
      <c r="AW99" s="676"/>
      <c r="AX99" s="677"/>
      <c r="AY99" s="677"/>
      <c r="AZ99" s="678"/>
      <c r="BA99" s="679"/>
      <c r="BB99" s="679"/>
      <c r="BC99" s="678"/>
      <c r="BD99" s="678"/>
      <c r="BE99" s="680"/>
      <c r="BF99" s="681"/>
      <c r="BG99" s="682"/>
      <c r="BH99" s="565"/>
      <c r="BI99" s="683"/>
    </row>
    <row r="100" spans="2:61" s="180" customFormat="1" ht="15.95" hidden="1" customHeight="1">
      <c r="B100" s="663"/>
      <c r="C100" s="664"/>
      <c r="D100" s="664"/>
      <c r="E100" s="664"/>
      <c r="F100" s="664"/>
      <c r="G100" s="664"/>
      <c r="H100" s="664"/>
      <c r="I100" s="664"/>
      <c r="J100" s="665"/>
      <c r="K100" s="665"/>
      <c r="L100" s="666"/>
      <c r="M100" s="666"/>
      <c r="N100" s="667"/>
      <c r="O100" s="667"/>
      <c r="P100" s="665"/>
      <c r="Q100" s="665"/>
      <c r="R100" s="666"/>
      <c r="S100" s="666"/>
      <c r="T100" s="668"/>
      <c r="U100" s="668"/>
      <c r="V100" s="667"/>
      <c r="W100" s="667"/>
      <c r="X100" s="664"/>
      <c r="Y100" s="664"/>
      <c r="Z100" s="664"/>
      <c r="AA100" s="669"/>
      <c r="AB100" s="669"/>
      <c r="AC100" s="669"/>
      <c r="AD100" s="669"/>
      <c r="AE100" s="670"/>
      <c r="AF100" s="670"/>
      <c r="AG100" s="670"/>
      <c r="AH100" s="670"/>
      <c r="AI100" s="671"/>
      <c r="AJ100" s="671"/>
      <c r="AK100" s="672"/>
      <c r="AL100" s="672"/>
      <c r="AM100" s="672"/>
      <c r="AN100" s="671"/>
      <c r="AO100" s="673"/>
      <c r="AP100" s="673"/>
      <c r="AQ100" s="673"/>
      <c r="AR100" s="37"/>
      <c r="AS100" s="235"/>
      <c r="AT100" s="674"/>
      <c r="AU100" s="675"/>
      <c r="AV100" s="676"/>
      <c r="AW100" s="676"/>
      <c r="AX100" s="677"/>
      <c r="AY100" s="677"/>
      <c r="AZ100" s="678"/>
      <c r="BA100" s="679"/>
      <c r="BB100" s="679"/>
      <c r="BC100" s="678"/>
      <c r="BD100" s="678"/>
      <c r="BE100" s="680"/>
      <c r="BF100" s="681"/>
      <c r="BG100" s="682"/>
      <c r="BH100" s="565"/>
      <c r="BI100" s="683"/>
    </row>
    <row r="101" spans="2:61" s="180" customFormat="1" ht="15.95" hidden="1" customHeight="1">
      <c r="B101" s="663"/>
      <c r="C101" s="664"/>
      <c r="D101" s="664"/>
      <c r="E101" s="664"/>
      <c r="F101" s="664"/>
      <c r="G101" s="664"/>
      <c r="H101" s="664"/>
      <c r="I101" s="664"/>
      <c r="J101" s="665"/>
      <c r="K101" s="665"/>
      <c r="L101" s="666"/>
      <c r="M101" s="666"/>
      <c r="N101" s="667"/>
      <c r="O101" s="667"/>
      <c r="P101" s="665"/>
      <c r="Q101" s="665"/>
      <c r="R101" s="666"/>
      <c r="S101" s="666"/>
      <c r="T101" s="668"/>
      <c r="U101" s="668"/>
      <c r="V101" s="667"/>
      <c r="W101" s="667"/>
      <c r="X101" s="664"/>
      <c r="Y101" s="664"/>
      <c r="Z101" s="664"/>
      <c r="AA101" s="669"/>
      <c r="AB101" s="669"/>
      <c r="AC101" s="669"/>
      <c r="AD101" s="669"/>
      <c r="AE101" s="670"/>
      <c r="AF101" s="670"/>
      <c r="AG101" s="670"/>
      <c r="AH101" s="670"/>
      <c r="AI101" s="671"/>
      <c r="AJ101" s="671"/>
      <c r="AK101" s="672"/>
      <c r="AL101" s="672"/>
      <c r="AM101" s="672"/>
      <c r="AN101" s="671"/>
      <c r="AO101" s="673"/>
      <c r="AP101" s="673"/>
      <c r="AQ101" s="673"/>
      <c r="AR101" s="37"/>
      <c r="AS101" s="235"/>
      <c r="AT101" s="674"/>
      <c r="AU101" s="675"/>
      <c r="AV101" s="676"/>
      <c r="AW101" s="676"/>
      <c r="AX101" s="677"/>
      <c r="AY101" s="677"/>
      <c r="AZ101" s="678"/>
      <c r="BA101" s="679"/>
      <c r="BB101" s="679"/>
      <c r="BC101" s="678"/>
      <c r="BD101" s="678"/>
      <c r="BE101" s="680"/>
      <c r="BF101" s="681"/>
      <c r="BG101" s="682"/>
      <c r="BH101" s="565"/>
      <c r="BI101" s="683"/>
    </row>
    <row r="102" spans="2:61" s="180" customFormat="1" ht="15.95" hidden="1" customHeight="1">
      <c r="B102" s="663"/>
      <c r="C102" s="664"/>
      <c r="D102" s="664"/>
      <c r="E102" s="664"/>
      <c r="F102" s="664"/>
      <c r="G102" s="664"/>
      <c r="H102" s="664"/>
      <c r="I102" s="664"/>
      <c r="J102" s="665"/>
      <c r="K102" s="665"/>
      <c r="L102" s="666"/>
      <c r="M102" s="666"/>
      <c r="N102" s="667"/>
      <c r="O102" s="667"/>
      <c r="P102" s="665"/>
      <c r="Q102" s="665"/>
      <c r="R102" s="666"/>
      <c r="S102" s="666"/>
      <c r="T102" s="668"/>
      <c r="U102" s="668"/>
      <c r="V102" s="667"/>
      <c r="W102" s="667"/>
      <c r="X102" s="664"/>
      <c r="Y102" s="664"/>
      <c r="Z102" s="664"/>
      <c r="AA102" s="669"/>
      <c r="AB102" s="669"/>
      <c r="AC102" s="669"/>
      <c r="AD102" s="669"/>
      <c r="AE102" s="670"/>
      <c r="AF102" s="670"/>
      <c r="AG102" s="670"/>
      <c r="AH102" s="670"/>
      <c r="AI102" s="671"/>
      <c r="AJ102" s="671"/>
      <c r="AK102" s="672"/>
      <c r="AL102" s="672"/>
      <c r="AM102" s="672"/>
      <c r="AN102" s="671"/>
      <c r="AO102" s="673"/>
      <c r="AP102" s="673"/>
      <c r="AQ102" s="673"/>
      <c r="AR102" s="37"/>
      <c r="AS102" s="235"/>
      <c r="AT102" s="674"/>
      <c r="AU102" s="675"/>
      <c r="AV102" s="676"/>
      <c r="AW102" s="676"/>
      <c r="AX102" s="677"/>
      <c r="AY102" s="677"/>
      <c r="AZ102" s="678"/>
      <c r="BA102" s="679"/>
      <c r="BB102" s="679"/>
      <c r="BC102" s="678"/>
      <c r="BD102" s="678"/>
      <c r="BE102" s="680"/>
      <c r="BF102" s="681"/>
      <c r="BG102" s="682"/>
      <c r="BH102" s="565"/>
      <c r="BI102" s="683"/>
    </row>
    <row r="103" spans="2:61" s="180" customFormat="1" ht="15.95" hidden="1" customHeight="1">
      <c r="B103" s="663"/>
      <c r="C103" s="664"/>
      <c r="D103" s="664"/>
      <c r="E103" s="664"/>
      <c r="F103" s="664"/>
      <c r="G103" s="664"/>
      <c r="H103" s="664"/>
      <c r="I103" s="664"/>
      <c r="J103" s="665"/>
      <c r="K103" s="665"/>
      <c r="L103" s="666"/>
      <c r="M103" s="666"/>
      <c r="N103" s="667"/>
      <c r="O103" s="667"/>
      <c r="P103" s="665"/>
      <c r="Q103" s="665"/>
      <c r="R103" s="666"/>
      <c r="S103" s="666"/>
      <c r="T103" s="668"/>
      <c r="U103" s="668"/>
      <c r="V103" s="667"/>
      <c r="W103" s="667"/>
      <c r="X103" s="664"/>
      <c r="Y103" s="664"/>
      <c r="Z103" s="664"/>
      <c r="AA103" s="669"/>
      <c r="AB103" s="669"/>
      <c r="AC103" s="669"/>
      <c r="AD103" s="669"/>
      <c r="AE103" s="670"/>
      <c r="AF103" s="670"/>
      <c r="AG103" s="670"/>
      <c r="AH103" s="670"/>
      <c r="AI103" s="671"/>
      <c r="AJ103" s="671"/>
      <c r="AK103" s="672"/>
      <c r="AL103" s="672"/>
      <c r="AM103" s="672"/>
      <c r="AN103" s="671"/>
      <c r="AO103" s="673"/>
      <c r="AP103" s="673"/>
      <c r="AQ103" s="673"/>
      <c r="AR103" s="37"/>
      <c r="AS103" s="235"/>
      <c r="AT103" s="674"/>
      <c r="AU103" s="675"/>
      <c r="AV103" s="676"/>
      <c r="AW103" s="676"/>
      <c r="AX103" s="677"/>
      <c r="AY103" s="677"/>
      <c r="AZ103" s="678"/>
      <c r="BA103" s="679"/>
      <c r="BB103" s="679"/>
      <c r="BC103" s="678"/>
      <c r="BD103" s="678"/>
      <c r="BE103" s="680"/>
      <c r="BF103" s="681"/>
      <c r="BG103" s="682"/>
      <c r="BH103" s="565"/>
      <c r="BI103" s="683"/>
    </row>
    <row r="104" spans="2:61" s="180" customFormat="1" ht="15.95" hidden="1" customHeight="1">
      <c r="B104" s="663"/>
      <c r="C104" s="664"/>
      <c r="D104" s="664"/>
      <c r="E104" s="664"/>
      <c r="F104" s="664"/>
      <c r="G104" s="664"/>
      <c r="H104" s="664"/>
      <c r="I104" s="664"/>
      <c r="J104" s="665"/>
      <c r="K104" s="665"/>
      <c r="L104" s="666"/>
      <c r="M104" s="666"/>
      <c r="N104" s="667"/>
      <c r="O104" s="667"/>
      <c r="P104" s="665"/>
      <c r="Q104" s="665"/>
      <c r="R104" s="666"/>
      <c r="S104" s="666"/>
      <c r="T104" s="668"/>
      <c r="U104" s="668"/>
      <c r="V104" s="667"/>
      <c r="W104" s="667"/>
      <c r="X104" s="664"/>
      <c r="Y104" s="664"/>
      <c r="Z104" s="664"/>
      <c r="AA104" s="669"/>
      <c r="AB104" s="669"/>
      <c r="AC104" s="669"/>
      <c r="AD104" s="669"/>
      <c r="AE104" s="670"/>
      <c r="AF104" s="670"/>
      <c r="AG104" s="670"/>
      <c r="AH104" s="670"/>
      <c r="AI104" s="671"/>
      <c r="AJ104" s="671"/>
      <c r="AK104" s="672"/>
      <c r="AL104" s="672"/>
      <c r="AM104" s="672"/>
      <c r="AN104" s="671"/>
      <c r="AO104" s="673"/>
      <c r="AP104" s="673"/>
      <c r="AQ104" s="673"/>
      <c r="AR104" s="37"/>
      <c r="AS104" s="235"/>
      <c r="AT104" s="674"/>
      <c r="AU104" s="675"/>
      <c r="AV104" s="676"/>
      <c r="AW104" s="676"/>
      <c r="AX104" s="677"/>
      <c r="AY104" s="677"/>
      <c r="AZ104" s="678"/>
      <c r="BA104" s="679"/>
      <c r="BB104" s="679"/>
      <c r="BC104" s="678"/>
      <c r="BD104" s="678"/>
      <c r="BE104" s="680"/>
      <c r="BF104" s="681"/>
      <c r="BG104" s="682"/>
      <c r="BH104" s="565"/>
      <c r="BI104" s="683"/>
    </row>
    <row r="105" spans="2:61" s="180" customFormat="1" ht="15.95" hidden="1" customHeight="1">
      <c r="B105" s="663"/>
      <c r="C105" s="664"/>
      <c r="D105" s="664"/>
      <c r="E105" s="664"/>
      <c r="F105" s="664"/>
      <c r="G105" s="664"/>
      <c r="H105" s="664"/>
      <c r="I105" s="664"/>
      <c r="J105" s="665"/>
      <c r="K105" s="665"/>
      <c r="L105" s="666"/>
      <c r="M105" s="666"/>
      <c r="N105" s="667"/>
      <c r="O105" s="667"/>
      <c r="P105" s="665"/>
      <c r="Q105" s="665"/>
      <c r="R105" s="666"/>
      <c r="S105" s="666"/>
      <c r="T105" s="668"/>
      <c r="U105" s="668"/>
      <c r="V105" s="667"/>
      <c r="W105" s="667"/>
      <c r="X105" s="664"/>
      <c r="Y105" s="664"/>
      <c r="Z105" s="664"/>
      <c r="AA105" s="669"/>
      <c r="AB105" s="669"/>
      <c r="AC105" s="669"/>
      <c r="AD105" s="669"/>
      <c r="AE105" s="670"/>
      <c r="AF105" s="670"/>
      <c r="AG105" s="670"/>
      <c r="AH105" s="670"/>
      <c r="AI105" s="671"/>
      <c r="AJ105" s="671"/>
      <c r="AK105" s="672"/>
      <c r="AL105" s="672"/>
      <c r="AM105" s="672"/>
      <c r="AN105" s="671"/>
      <c r="AO105" s="673"/>
      <c r="AP105" s="673"/>
      <c r="AQ105" s="673"/>
      <c r="AR105" s="37"/>
      <c r="AS105" s="235"/>
      <c r="AT105" s="674"/>
      <c r="AU105" s="675"/>
      <c r="AV105" s="676"/>
      <c r="AW105" s="676"/>
      <c r="AX105" s="677"/>
      <c r="AY105" s="677"/>
      <c r="AZ105" s="678"/>
      <c r="BA105" s="679"/>
      <c r="BB105" s="679"/>
      <c r="BC105" s="678"/>
      <c r="BD105" s="678"/>
      <c r="BE105" s="680"/>
      <c r="BF105" s="681"/>
      <c r="BG105" s="682"/>
      <c r="BH105" s="565"/>
      <c r="BI105" s="683"/>
    </row>
    <row r="106" spans="2:61" s="180" customFormat="1" ht="15.95" hidden="1" customHeight="1">
      <c r="B106" s="663"/>
      <c r="C106" s="664"/>
      <c r="D106" s="664"/>
      <c r="E106" s="664"/>
      <c r="F106" s="664"/>
      <c r="G106" s="664"/>
      <c r="H106" s="664"/>
      <c r="I106" s="664"/>
      <c r="J106" s="665"/>
      <c r="K106" s="665"/>
      <c r="L106" s="666"/>
      <c r="M106" s="666"/>
      <c r="N106" s="667"/>
      <c r="O106" s="667"/>
      <c r="P106" s="665"/>
      <c r="Q106" s="665"/>
      <c r="R106" s="666"/>
      <c r="S106" s="666"/>
      <c r="T106" s="668"/>
      <c r="U106" s="668"/>
      <c r="V106" s="667"/>
      <c r="W106" s="667"/>
      <c r="X106" s="664"/>
      <c r="Y106" s="664"/>
      <c r="Z106" s="664"/>
      <c r="AA106" s="669"/>
      <c r="AB106" s="669"/>
      <c r="AC106" s="669"/>
      <c r="AD106" s="669"/>
      <c r="AE106" s="670"/>
      <c r="AF106" s="670"/>
      <c r="AG106" s="670"/>
      <c r="AH106" s="670"/>
      <c r="AI106" s="671"/>
      <c r="AJ106" s="671"/>
      <c r="AK106" s="672"/>
      <c r="AL106" s="672"/>
      <c r="AM106" s="672"/>
      <c r="AN106" s="671"/>
      <c r="AO106" s="673"/>
      <c r="AP106" s="673"/>
      <c r="AQ106" s="673"/>
      <c r="AR106" s="37"/>
      <c r="AS106" s="235"/>
      <c r="AT106" s="674"/>
      <c r="AU106" s="675"/>
      <c r="AV106" s="676"/>
      <c r="AW106" s="676"/>
      <c r="AX106" s="677"/>
      <c r="AY106" s="677"/>
      <c r="AZ106" s="678"/>
      <c r="BA106" s="679"/>
      <c r="BB106" s="679"/>
      <c r="BC106" s="678"/>
      <c r="BD106" s="678"/>
      <c r="BE106" s="680"/>
      <c r="BF106" s="681"/>
      <c r="BG106" s="682"/>
      <c r="BH106" s="565"/>
      <c r="BI106" s="683"/>
    </row>
    <row r="107" spans="2:61" s="180" customFormat="1" ht="15.95" hidden="1" customHeight="1">
      <c r="B107" s="663"/>
      <c r="C107" s="664"/>
      <c r="D107" s="664"/>
      <c r="E107" s="664"/>
      <c r="F107" s="664"/>
      <c r="G107" s="664"/>
      <c r="H107" s="664"/>
      <c r="I107" s="664"/>
      <c r="J107" s="665"/>
      <c r="K107" s="665"/>
      <c r="L107" s="666"/>
      <c r="M107" s="666"/>
      <c r="N107" s="667"/>
      <c r="O107" s="667"/>
      <c r="P107" s="665"/>
      <c r="Q107" s="665"/>
      <c r="R107" s="666"/>
      <c r="S107" s="666"/>
      <c r="T107" s="668"/>
      <c r="U107" s="668"/>
      <c r="V107" s="667"/>
      <c r="W107" s="667"/>
      <c r="X107" s="664"/>
      <c r="Y107" s="664"/>
      <c r="Z107" s="664"/>
      <c r="AA107" s="669"/>
      <c r="AB107" s="669"/>
      <c r="AC107" s="669"/>
      <c r="AD107" s="669"/>
      <c r="AE107" s="670"/>
      <c r="AF107" s="670"/>
      <c r="AG107" s="670"/>
      <c r="AH107" s="670"/>
      <c r="AI107" s="671"/>
      <c r="AJ107" s="671"/>
      <c r="AK107" s="672"/>
      <c r="AL107" s="672"/>
      <c r="AM107" s="672"/>
      <c r="AN107" s="671"/>
      <c r="AO107" s="673"/>
      <c r="AP107" s="673"/>
      <c r="AQ107" s="673"/>
      <c r="AR107" s="37"/>
      <c r="AS107" s="235"/>
      <c r="AT107" s="674"/>
      <c r="AU107" s="675"/>
      <c r="AV107" s="676"/>
      <c r="AW107" s="676"/>
      <c r="AX107" s="677"/>
      <c r="AY107" s="677"/>
      <c r="AZ107" s="678"/>
      <c r="BA107" s="679"/>
      <c r="BB107" s="679"/>
      <c r="BC107" s="678"/>
      <c r="BD107" s="678"/>
      <c r="BE107" s="680"/>
      <c r="BF107" s="681"/>
      <c r="BG107" s="682"/>
      <c r="BH107" s="565"/>
      <c r="BI107" s="683"/>
    </row>
    <row r="108" spans="2:61" s="180" customFormat="1" ht="15.95" hidden="1" customHeight="1">
      <c r="B108" s="663"/>
      <c r="C108" s="664"/>
      <c r="D108" s="664"/>
      <c r="E108" s="664"/>
      <c r="F108" s="664"/>
      <c r="G108" s="664"/>
      <c r="H108" s="664"/>
      <c r="I108" s="664"/>
      <c r="J108" s="665"/>
      <c r="K108" s="665"/>
      <c r="L108" s="666"/>
      <c r="M108" s="666"/>
      <c r="N108" s="667"/>
      <c r="O108" s="667"/>
      <c r="P108" s="665"/>
      <c r="Q108" s="665"/>
      <c r="R108" s="666"/>
      <c r="S108" s="666"/>
      <c r="T108" s="668"/>
      <c r="U108" s="668"/>
      <c r="V108" s="667"/>
      <c r="W108" s="667"/>
      <c r="X108" s="664"/>
      <c r="Y108" s="664"/>
      <c r="Z108" s="664"/>
      <c r="AA108" s="669"/>
      <c r="AB108" s="669"/>
      <c r="AC108" s="669"/>
      <c r="AD108" s="669"/>
      <c r="AE108" s="670"/>
      <c r="AF108" s="670"/>
      <c r="AG108" s="670"/>
      <c r="AH108" s="670"/>
      <c r="AI108" s="671"/>
      <c r="AJ108" s="671"/>
      <c r="AK108" s="672"/>
      <c r="AL108" s="672"/>
      <c r="AM108" s="672"/>
      <c r="AN108" s="671"/>
      <c r="AO108" s="673"/>
      <c r="AP108" s="673"/>
      <c r="AQ108" s="673"/>
      <c r="AR108" s="37"/>
      <c r="AS108" s="235"/>
      <c r="AT108" s="674"/>
      <c r="AU108" s="675"/>
      <c r="AV108" s="676"/>
      <c r="AW108" s="676"/>
      <c r="AX108" s="677"/>
      <c r="AY108" s="677"/>
      <c r="AZ108" s="678"/>
      <c r="BA108" s="679"/>
      <c r="BB108" s="679"/>
      <c r="BC108" s="678"/>
      <c r="BD108" s="678"/>
      <c r="BE108" s="680"/>
      <c r="BF108" s="681"/>
      <c r="BG108" s="682"/>
      <c r="BH108" s="565"/>
      <c r="BI108" s="683"/>
    </row>
    <row r="109" spans="2:61" s="180" customFormat="1" ht="15.95" hidden="1" customHeight="1">
      <c r="B109" s="663"/>
      <c r="C109" s="664"/>
      <c r="D109" s="664"/>
      <c r="E109" s="664"/>
      <c r="F109" s="664"/>
      <c r="G109" s="664"/>
      <c r="H109" s="664"/>
      <c r="I109" s="664"/>
      <c r="J109" s="665"/>
      <c r="K109" s="665"/>
      <c r="L109" s="666"/>
      <c r="M109" s="666"/>
      <c r="N109" s="667"/>
      <c r="O109" s="667"/>
      <c r="P109" s="665"/>
      <c r="Q109" s="665"/>
      <c r="R109" s="666"/>
      <c r="S109" s="666"/>
      <c r="T109" s="668"/>
      <c r="U109" s="668"/>
      <c r="V109" s="667"/>
      <c r="W109" s="667"/>
      <c r="X109" s="664"/>
      <c r="Y109" s="664"/>
      <c r="Z109" s="664"/>
      <c r="AA109" s="669"/>
      <c r="AB109" s="669"/>
      <c r="AC109" s="669"/>
      <c r="AD109" s="669"/>
      <c r="AE109" s="670"/>
      <c r="AF109" s="670"/>
      <c r="AG109" s="670"/>
      <c r="AH109" s="670"/>
      <c r="AI109" s="671"/>
      <c r="AJ109" s="671"/>
      <c r="AK109" s="672"/>
      <c r="AL109" s="672"/>
      <c r="AM109" s="672"/>
      <c r="AN109" s="671"/>
      <c r="AO109" s="673"/>
      <c r="AP109" s="673"/>
      <c r="AQ109" s="673"/>
      <c r="AR109" s="37"/>
      <c r="AS109" s="235"/>
      <c r="AT109" s="674"/>
      <c r="AU109" s="675"/>
      <c r="AV109" s="676"/>
      <c r="AW109" s="676"/>
      <c r="AX109" s="677"/>
      <c r="AY109" s="677"/>
      <c r="AZ109" s="678"/>
      <c r="BA109" s="679"/>
      <c r="BB109" s="679"/>
      <c r="BC109" s="678"/>
      <c r="BD109" s="678"/>
      <c r="BE109" s="680"/>
      <c r="BF109" s="681"/>
      <c r="BG109" s="682"/>
      <c r="BH109" s="565"/>
      <c r="BI109" s="683"/>
    </row>
    <row r="110" spans="2:61" s="180" customFormat="1" ht="15.95" hidden="1" customHeight="1">
      <c r="B110" s="663"/>
      <c r="C110" s="664"/>
      <c r="D110" s="664"/>
      <c r="E110" s="664"/>
      <c r="F110" s="664"/>
      <c r="G110" s="664"/>
      <c r="H110" s="664"/>
      <c r="I110" s="664"/>
      <c r="J110" s="665"/>
      <c r="K110" s="665"/>
      <c r="L110" s="666"/>
      <c r="M110" s="666"/>
      <c r="N110" s="667"/>
      <c r="O110" s="667"/>
      <c r="P110" s="665"/>
      <c r="Q110" s="665"/>
      <c r="R110" s="666"/>
      <c r="S110" s="666"/>
      <c r="T110" s="668"/>
      <c r="U110" s="668"/>
      <c r="V110" s="667"/>
      <c r="W110" s="667"/>
      <c r="X110" s="664"/>
      <c r="Y110" s="664"/>
      <c r="Z110" s="664"/>
      <c r="AA110" s="669"/>
      <c r="AB110" s="669"/>
      <c r="AC110" s="669"/>
      <c r="AD110" s="669"/>
      <c r="AE110" s="670"/>
      <c r="AF110" s="670"/>
      <c r="AG110" s="670"/>
      <c r="AH110" s="670"/>
      <c r="AI110" s="671"/>
      <c r="AJ110" s="671"/>
      <c r="AK110" s="672"/>
      <c r="AL110" s="672"/>
      <c r="AM110" s="672"/>
      <c r="AN110" s="671"/>
      <c r="AO110" s="673"/>
      <c r="AP110" s="673"/>
      <c r="AQ110" s="673"/>
      <c r="AR110" s="37"/>
      <c r="AS110" s="235"/>
      <c r="AT110" s="674"/>
      <c r="AU110" s="675"/>
      <c r="AV110" s="676"/>
      <c r="AW110" s="676"/>
      <c r="AX110" s="677"/>
      <c r="AY110" s="677"/>
      <c r="AZ110" s="678"/>
      <c r="BA110" s="679"/>
      <c r="BB110" s="679"/>
      <c r="BC110" s="678"/>
      <c r="BD110" s="678"/>
      <c r="BE110" s="680"/>
      <c r="BF110" s="681"/>
      <c r="BG110" s="682"/>
      <c r="BH110" s="565"/>
      <c r="BI110" s="683"/>
    </row>
    <row r="111" spans="2:61" s="180" customFormat="1" ht="15.95" hidden="1" customHeight="1">
      <c r="B111" s="663"/>
      <c r="C111" s="664"/>
      <c r="D111" s="664"/>
      <c r="E111" s="664"/>
      <c r="F111" s="664"/>
      <c r="G111" s="664"/>
      <c r="H111" s="664"/>
      <c r="I111" s="664"/>
      <c r="J111" s="665"/>
      <c r="K111" s="665"/>
      <c r="L111" s="666"/>
      <c r="M111" s="666"/>
      <c r="N111" s="667"/>
      <c r="O111" s="667"/>
      <c r="P111" s="665"/>
      <c r="Q111" s="665"/>
      <c r="R111" s="666"/>
      <c r="S111" s="666"/>
      <c r="T111" s="668"/>
      <c r="U111" s="668"/>
      <c r="V111" s="667"/>
      <c r="W111" s="667"/>
      <c r="X111" s="664"/>
      <c r="Y111" s="664"/>
      <c r="Z111" s="664"/>
      <c r="AA111" s="669"/>
      <c r="AB111" s="669"/>
      <c r="AC111" s="669"/>
      <c r="AD111" s="669"/>
      <c r="AE111" s="670"/>
      <c r="AF111" s="670"/>
      <c r="AG111" s="670"/>
      <c r="AH111" s="670"/>
      <c r="AI111" s="671"/>
      <c r="AJ111" s="671"/>
      <c r="AK111" s="672"/>
      <c r="AL111" s="672"/>
      <c r="AM111" s="672"/>
      <c r="AN111" s="671"/>
      <c r="AO111" s="673"/>
      <c r="AP111" s="673"/>
      <c r="AQ111" s="673"/>
      <c r="AR111" s="37"/>
      <c r="AS111" s="235"/>
      <c r="AT111" s="674"/>
      <c r="AU111" s="675"/>
      <c r="AV111" s="676"/>
      <c r="AW111" s="676"/>
      <c r="AX111" s="677"/>
      <c r="AY111" s="677"/>
      <c r="AZ111" s="678"/>
      <c r="BA111" s="679"/>
      <c r="BB111" s="679"/>
      <c r="BC111" s="678"/>
      <c r="BD111" s="678"/>
      <c r="BE111" s="680"/>
      <c r="BF111" s="681"/>
      <c r="BG111" s="682"/>
      <c r="BH111" s="565"/>
      <c r="BI111" s="683"/>
    </row>
    <row r="112" spans="2:61" s="180" customFormat="1" ht="15.95" hidden="1" customHeight="1">
      <c r="B112" s="663"/>
      <c r="C112" s="664"/>
      <c r="D112" s="664"/>
      <c r="E112" s="664"/>
      <c r="F112" s="664"/>
      <c r="G112" s="664"/>
      <c r="H112" s="664"/>
      <c r="I112" s="664"/>
      <c r="J112" s="665"/>
      <c r="K112" s="665"/>
      <c r="L112" s="666"/>
      <c r="M112" s="666"/>
      <c r="N112" s="667"/>
      <c r="O112" s="667"/>
      <c r="P112" s="665"/>
      <c r="Q112" s="665"/>
      <c r="R112" s="666"/>
      <c r="S112" s="666"/>
      <c r="T112" s="668"/>
      <c r="U112" s="668"/>
      <c r="V112" s="667"/>
      <c r="W112" s="667"/>
      <c r="X112" s="664"/>
      <c r="Y112" s="664"/>
      <c r="Z112" s="664"/>
      <c r="AA112" s="669"/>
      <c r="AB112" s="669"/>
      <c r="AC112" s="669"/>
      <c r="AD112" s="669"/>
      <c r="AE112" s="670"/>
      <c r="AF112" s="670"/>
      <c r="AG112" s="670"/>
      <c r="AH112" s="670"/>
      <c r="AI112" s="671"/>
      <c r="AJ112" s="671"/>
      <c r="AK112" s="672"/>
      <c r="AL112" s="672"/>
      <c r="AM112" s="672"/>
      <c r="AN112" s="671"/>
      <c r="AO112" s="673"/>
      <c r="AP112" s="673"/>
      <c r="AQ112" s="673"/>
      <c r="AR112" s="37"/>
      <c r="AS112" s="235"/>
      <c r="AT112" s="674"/>
      <c r="AU112" s="675"/>
      <c r="AV112" s="676"/>
      <c r="AW112" s="676"/>
      <c r="AX112" s="677"/>
      <c r="AY112" s="677"/>
      <c r="AZ112" s="678"/>
      <c r="BA112" s="679"/>
      <c r="BB112" s="679"/>
      <c r="BC112" s="678"/>
      <c r="BD112" s="678"/>
      <c r="BE112" s="680"/>
      <c r="BF112" s="681"/>
      <c r="BG112" s="682"/>
      <c r="BH112" s="565"/>
      <c r="BI112" s="683"/>
    </row>
    <row r="113" spans="2:61" s="180" customFormat="1" ht="15.95" hidden="1" customHeight="1">
      <c r="B113" s="663"/>
      <c r="C113" s="664"/>
      <c r="D113" s="664"/>
      <c r="E113" s="664"/>
      <c r="F113" s="664"/>
      <c r="G113" s="664"/>
      <c r="H113" s="664"/>
      <c r="I113" s="664"/>
      <c r="J113" s="665"/>
      <c r="K113" s="665"/>
      <c r="L113" s="666"/>
      <c r="M113" s="666"/>
      <c r="N113" s="667"/>
      <c r="O113" s="667"/>
      <c r="P113" s="665"/>
      <c r="Q113" s="665"/>
      <c r="R113" s="666"/>
      <c r="S113" s="666"/>
      <c r="T113" s="668"/>
      <c r="U113" s="668"/>
      <c r="V113" s="667"/>
      <c r="W113" s="667"/>
      <c r="X113" s="664"/>
      <c r="Y113" s="664"/>
      <c r="Z113" s="664"/>
      <c r="AA113" s="669"/>
      <c r="AB113" s="669"/>
      <c r="AC113" s="669"/>
      <c r="AD113" s="669"/>
      <c r="AE113" s="670"/>
      <c r="AF113" s="670"/>
      <c r="AG113" s="670"/>
      <c r="AH113" s="670"/>
      <c r="AI113" s="671"/>
      <c r="AJ113" s="671"/>
      <c r="AK113" s="672"/>
      <c r="AL113" s="672"/>
      <c r="AM113" s="672"/>
      <c r="AN113" s="671"/>
      <c r="AO113" s="673"/>
      <c r="AP113" s="673"/>
      <c r="AQ113" s="673"/>
      <c r="AR113" s="37"/>
      <c r="AS113" s="235"/>
      <c r="AT113" s="674"/>
      <c r="AU113" s="675"/>
      <c r="AV113" s="676"/>
      <c r="AW113" s="676"/>
      <c r="AX113" s="677"/>
      <c r="AY113" s="677"/>
      <c r="AZ113" s="678"/>
      <c r="BA113" s="679"/>
      <c r="BB113" s="679"/>
      <c r="BC113" s="678"/>
      <c r="BD113" s="678"/>
      <c r="BE113" s="680"/>
      <c r="BF113" s="681"/>
      <c r="BG113" s="682"/>
      <c r="BH113" s="565"/>
      <c r="BI113" s="683"/>
    </row>
    <row r="114" spans="2:61" s="180" customFormat="1" ht="15.95" hidden="1" customHeight="1">
      <c r="B114" s="663"/>
      <c r="C114" s="664"/>
      <c r="D114" s="664"/>
      <c r="E114" s="664"/>
      <c r="F114" s="664"/>
      <c r="G114" s="664"/>
      <c r="H114" s="664"/>
      <c r="I114" s="664"/>
      <c r="J114" s="665"/>
      <c r="K114" s="665"/>
      <c r="L114" s="666"/>
      <c r="M114" s="666"/>
      <c r="N114" s="667"/>
      <c r="O114" s="667"/>
      <c r="P114" s="665"/>
      <c r="Q114" s="665"/>
      <c r="R114" s="666"/>
      <c r="S114" s="666"/>
      <c r="T114" s="668"/>
      <c r="U114" s="668"/>
      <c r="V114" s="667"/>
      <c r="W114" s="667"/>
      <c r="X114" s="664"/>
      <c r="Y114" s="664"/>
      <c r="Z114" s="664"/>
      <c r="AA114" s="669"/>
      <c r="AB114" s="669"/>
      <c r="AC114" s="669"/>
      <c r="AD114" s="669"/>
      <c r="AE114" s="670"/>
      <c r="AF114" s="670"/>
      <c r="AG114" s="670"/>
      <c r="AH114" s="670"/>
      <c r="AI114" s="671"/>
      <c r="AJ114" s="671"/>
      <c r="AK114" s="672"/>
      <c r="AL114" s="672"/>
      <c r="AM114" s="672"/>
      <c r="AN114" s="671"/>
      <c r="AO114" s="673"/>
      <c r="AP114" s="673"/>
      <c r="AQ114" s="673"/>
      <c r="AR114" s="37"/>
      <c r="AS114" s="235"/>
      <c r="AT114" s="674"/>
      <c r="AU114" s="675"/>
      <c r="AV114" s="676"/>
      <c r="AW114" s="676"/>
      <c r="AX114" s="677"/>
      <c r="AY114" s="677"/>
      <c r="AZ114" s="678"/>
      <c r="BA114" s="679"/>
      <c r="BB114" s="679"/>
      <c r="BC114" s="678"/>
      <c r="BD114" s="678"/>
      <c r="BE114" s="680"/>
      <c r="BF114" s="681"/>
      <c r="BG114" s="682"/>
      <c r="BH114" s="565"/>
      <c r="BI114" s="683"/>
    </row>
    <row r="115" spans="2:61" s="180" customFormat="1" ht="15.95" hidden="1" customHeight="1">
      <c r="B115" s="663"/>
      <c r="C115" s="664"/>
      <c r="D115" s="664"/>
      <c r="E115" s="664"/>
      <c r="F115" s="664"/>
      <c r="G115" s="664"/>
      <c r="H115" s="664"/>
      <c r="I115" s="664"/>
      <c r="J115" s="665"/>
      <c r="K115" s="665"/>
      <c r="L115" s="666"/>
      <c r="M115" s="666"/>
      <c r="N115" s="667"/>
      <c r="O115" s="667"/>
      <c r="P115" s="665"/>
      <c r="Q115" s="665"/>
      <c r="R115" s="666"/>
      <c r="S115" s="666"/>
      <c r="T115" s="668"/>
      <c r="U115" s="668"/>
      <c r="V115" s="667"/>
      <c r="W115" s="667"/>
      <c r="X115" s="664"/>
      <c r="Y115" s="664"/>
      <c r="Z115" s="664"/>
      <c r="AA115" s="669"/>
      <c r="AB115" s="669"/>
      <c r="AC115" s="669"/>
      <c r="AD115" s="669"/>
      <c r="AE115" s="670"/>
      <c r="AF115" s="670"/>
      <c r="AG115" s="670"/>
      <c r="AH115" s="670"/>
      <c r="AI115" s="671"/>
      <c r="AJ115" s="671"/>
      <c r="AK115" s="672"/>
      <c r="AL115" s="672"/>
      <c r="AM115" s="672"/>
      <c r="AN115" s="671"/>
      <c r="AO115" s="673"/>
      <c r="AP115" s="673"/>
      <c r="AQ115" s="673"/>
      <c r="AR115" s="37"/>
      <c r="AS115" s="235"/>
      <c r="AT115" s="674"/>
      <c r="AU115" s="675"/>
      <c r="AV115" s="676"/>
      <c r="AW115" s="676"/>
      <c r="AX115" s="677"/>
      <c r="AY115" s="677"/>
      <c r="AZ115" s="678"/>
      <c r="BA115" s="679"/>
      <c r="BB115" s="679"/>
      <c r="BC115" s="678"/>
      <c r="BD115" s="678"/>
      <c r="BE115" s="680"/>
      <c r="BF115" s="681"/>
      <c r="BG115" s="682"/>
      <c r="BH115" s="565"/>
      <c r="BI115" s="683"/>
    </row>
    <row r="116" spans="2:61" s="180" customFormat="1" ht="15.95" hidden="1" customHeight="1">
      <c r="B116" s="663"/>
      <c r="C116" s="664"/>
      <c r="D116" s="664"/>
      <c r="E116" s="664"/>
      <c r="F116" s="664"/>
      <c r="G116" s="664"/>
      <c r="H116" s="664"/>
      <c r="I116" s="664"/>
      <c r="J116" s="665"/>
      <c r="K116" s="665"/>
      <c r="L116" s="666"/>
      <c r="M116" s="666"/>
      <c r="N116" s="667"/>
      <c r="O116" s="667"/>
      <c r="P116" s="665"/>
      <c r="Q116" s="665"/>
      <c r="R116" s="666"/>
      <c r="S116" s="666"/>
      <c r="T116" s="668"/>
      <c r="U116" s="668"/>
      <c r="V116" s="667"/>
      <c r="W116" s="667"/>
      <c r="X116" s="664"/>
      <c r="Y116" s="664"/>
      <c r="Z116" s="664"/>
      <c r="AA116" s="669"/>
      <c r="AB116" s="669"/>
      <c r="AC116" s="669"/>
      <c r="AD116" s="669"/>
      <c r="AE116" s="670"/>
      <c r="AF116" s="670"/>
      <c r="AG116" s="670"/>
      <c r="AH116" s="670"/>
      <c r="AI116" s="671"/>
      <c r="AJ116" s="671"/>
      <c r="AK116" s="672"/>
      <c r="AL116" s="672"/>
      <c r="AM116" s="672"/>
      <c r="AN116" s="671"/>
      <c r="AO116" s="673"/>
      <c r="AP116" s="673"/>
      <c r="AQ116" s="673"/>
      <c r="AR116" s="37"/>
      <c r="AS116" s="235"/>
      <c r="AT116" s="674"/>
      <c r="AU116" s="675"/>
      <c r="AV116" s="676"/>
      <c r="AW116" s="676"/>
      <c r="AX116" s="677"/>
      <c r="AY116" s="677"/>
      <c r="AZ116" s="678"/>
      <c r="BA116" s="679"/>
      <c r="BB116" s="679"/>
      <c r="BC116" s="678"/>
      <c r="BD116" s="678"/>
      <c r="BE116" s="680"/>
      <c r="BF116" s="681"/>
      <c r="BG116" s="682"/>
      <c r="BH116" s="565"/>
      <c r="BI116" s="683"/>
    </row>
    <row r="117" spans="2:61" s="180" customFormat="1" ht="15.95" hidden="1" customHeight="1">
      <c r="B117" s="663"/>
      <c r="C117" s="664"/>
      <c r="D117" s="664"/>
      <c r="E117" s="664"/>
      <c r="F117" s="664"/>
      <c r="G117" s="664"/>
      <c r="H117" s="664"/>
      <c r="I117" s="664"/>
      <c r="J117" s="665"/>
      <c r="K117" s="665"/>
      <c r="L117" s="666"/>
      <c r="M117" s="666"/>
      <c r="N117" s="667"/>
      <c r="O117" s="667"/>
      <c r="P117" s="665"/>
      <c r="Q117" s="665"/>
      <c r="R117" s="666"/>
      <c r="S117" s="666"/>
      <c r="T117" s="668"/>
      <c r="U117" s="668"/>
      <c r="V117" s="667"/>
      <c r="W117" s="667"/>
      <c r="X117" s="664"/>
      <c r="Y117" s="664"/>
      <c r="Z117" s="664"/>
      <c r="AA117" s="669"/>
      <c r="AB117" s="669"/>
      <c r="AC117" s="669"/>
      <c r="AD117" s="669"/>
      <c r="AE117" s="670"/>
      <c r="AF117" s="670"/>
      <c r="AG117" s="670"/>
      <c r="AH117" s="670"/>
      <c r="AI117" s="671"/>
      <c r="AJ117" s="671"/>
      <c r="AK117" s="672"/>
      <c r="AL117" s="672"/>
      <c r="AM117" s="672"/>
      <c r="AN117" s="671"/>
      <c r="AO117" s="673"/>
      <c r="AP117" s="673"/>
      <c r="AQ117" s="673"/>
      <c r="AR117" s="37"/>
      <c r="AS117" s="235"/>
      <c r="AT117" s="674"/>
      <c r="AU117" s="675"/>
      <c r="AV117" s="676"/>
      <c r="AW117" s="676"/>
      <c r="AX117" s="677"/>
      <c r="AY117" s="677"/>
      <c r="AZ117" s="678"/>
      <c r="BA117" s="679"/>
      <c r="BB117" s="679"/>
      <c r="BC117" s="678"/>
      <c r="BD117" s="678"/>
      <c r="BE117" s="680"/>
      <c r="BF117" s="681"/>
      <c r="BG117" s="682"/>
      <c r="BH117" s="565"/>
      <c r="BI117" s="683"/>
    </row>
    <row r="118" spans="2:61" s="180" customFormat="1" ht="15.95" hidden="1" customHeight="1">
      <c r="B118" s="663"/>
      <c r="C118" s="664"/>
      <c r="D118" s="664"/>
      <c r="E118" s="664"/>
      <c r="F118" s="664"/>
      <c r="G118" s="664"/>
      <c r="H118" s="664"/>
      <c r="I118" s="664"/>
      <c r="J118" s="665"/>
      <c r="K118" s="665"/>
      <c r="L118" s="666"/>
      <c r="M118" s="666"/>
      <c r="N118" s="667"/>
      <c r="O118" s="667"/>
      <c r="P118" s="665"/>
      <c r="Q118" s="665"/>
      <c r="R118" s="666"/>
      <c r="S118" s="666"/>
      <c r="T118" s="668"/>
      <c r="U118" s="668"/>
      <c r="V118" s="667"/>
      <c r="W118" s="667"/>
      <c r="X118" s="664"/>
      <c r="Y118" s="664"/>
      <c r="Z118" s="664"/>
      <c r="AA118" s="669"/>
      <c r="AB118" s="669"/>
      <c r="AC118" s="669"/>
      <c r="AD118" s="669"/>
      <c r="AE118" s="670"/>
      <c r="AF118" s="670"/>
      <c r="AG118" s="670"/>
      <c r="AH118" s="670"/>
      <c r="AI118" s="671"/>
      <c r="AJ118" s="671"/>
      <c r="AK118" s="672"/>
      <c r="AL118" s="672"/>
      <c r="AM118" s="672"/>
      <c r="AN118" s="671"/>
      <c r="AO118" s="673"/>
      <c r="AP118" s="673"/>
      <c r="AQ118" s="673"/>
      <c r="AR118" s="37"/>
      <c r="AS118" s="235"/>
      <c r="AT118" s="674"/>
      <c r="AU118" s="675"/>
      <c r="AV118" s="676"/>
      <c r="AW118" s="676"/>
      <c r="AX118" s="677"/>
      <c r="AY118" s="677"/>
      <c r="AZ118" s="678"/>
      <c r="BA118" s="679"/>
      <c r="BB118" s="679"/>
      <c r="BC118" s="678"/>
      <c r="BD118" s="678"/>
      <c r="BE118" s="680"/>
      <c r="BF118" s="681"/>
      <c r="BG118" s="682"/>
      <c r="BH118" s="565"/>
      <c r="BI118" s="683"/>
    </row>
    <row r="119" spans="2:61" s="180" customFormat="1" ht="15.95" hidden="1" customHeight="1">
      <c r="B119" s="663"/>
      <c r="C119" s="664"/>
      <c r="D119" s="664"/>
      <c r="E119" s="664"/>
      <c r="F119" s="664"/>
      <c r="G119" s="664"/>
      <c r="H119" s="664"/>
      <c r="I119" s="664"/>
      <c r="J119" s="665"/>
      <c r="K119" s="665"/>
      <c r="L119" s="666"/>
      <c r="M119" s="666"/>
      <c r="N119" s="667"/>
      <c r="O119" s="667"/>
      <c r="P119" s="665"/>
      <c r="Q119" s="665"/>
      <c r="R119" s="666"/>
      <c r="S119" s="666"/>
      <c r="T119" s="668"/>
      <c r="U119" s="668"/>
      <c r="V119" s="667"/>
      <c r="W119" s="667"/>
      <c r="X119" s="664"/>
      <c r="Y119" s="664"/>
      <c r="Z119" s="664"/>
      <c r="AA119" s="669"/>
      <c r="AB119" s="669"/>
      <c r="AC119" s="669"/>
      <c r="AD119" s="669"/>
      <c r="AE119" s="670"/>
      <c r="AF119" s="670"/>
      <c r="AG119" s="670"/>
      <c r="AH119" s="670"/>
      <c r="AI119" s="671"/>
      <c r="AJ119" s="671"/>
      <c r="AK119" s="672"/>
      <c r="AL119" s="672"/>
      <c r="AM119" s="672"/>
      <c r="AN119" s="671"/>
      <c r="AO119" s="673"/>
      <c r="AP119" s="673"/>
      <c r="AQ119" s="673"/>
      <c r="AR119" s="37"/>
      <c r="AS119" s="235"/>
      <c r="AT119" s="674"/>
      <c r="AU119" s="675"/>
      <c r="AV119" s="676"/>
      <c r="AW119" s="676"/>
      <c r="AX119" s="677"/>
      <c r="AY119" s="677"/>
      <c r="AZ119" s="678"/>
      <c r="BA119" s="679"/>
      <c r="BB119" s="679"/>
      <c r="BC119" s="678"/>
      <c r="BD119" s="678"/>
      <c r="BE119" s="680"/>
      <c r="BF119" s="681"/>
      <c r="BG119" s="682"/>
      <c r="BH119" s="565"/>
      <c r="BI119" s="683"/>
    </row>
    <row r="120" spans="2:61" s="180" customFormat="1" ht="15.95" hidden="1" customHeight="1">
      <c r="B120" s="663"/>
      <c r="C120" s="664"/>
      <c r="D120" s="664"/>
      <c r="E120" s="664"/>
      <c r="F120" s="664"/>
      <c r="G120" s="664"/>
      <c r="H120" s="664"/>
      <c r="I120" s="664"/>
      <c r="J120" s="665"/>
      <c r="K120" s="665"/>
      <c r="L120" s="666"/>
      <c r="M120" s="666"/>
      <c r="N120" s="667"/>
      <c r="O120" s="667"/>
      <c r="P120" s="665"/>
      <c r="Q120" s="665"/>
      <c r="R120" s="666"/>
      <c r="S120" s="666"/>
      <c r="T120" s="668"/>
      <c r="U120" s="668"/>
      <c r="V120" s="667"/>
      <c r="W120" s="667"/>
      <c r="X120" s="664"/>
      <c r="Y120" s="664"/>
      <c r="Z120" s="664"/>
      <c r="AA120" s="669"/>
      <c r="AB120" s="669"/>
      <c r="AC120" s="669"/>
      <c r="AD120" s="669"/>
      <c r="AE120" s="670"/>
      <c r="AF120" s="670"/>
      <c r="AG120" s="670"/>
      <c r="AH120" s="670"/>
      <c r="AI120" s="671"/>
      <c r="AJ120" s="671"/>
      <c r="AK120" s="672"/>
      <c r="AL120" s="672"/>
      <c r="AM120" s="672"/>
      <c r="AN120" s="671"/>
      <c r="AO120" s="673"/>
      <c r="AP120" s="673"/>
      <c r="AQ120" s="673"/>
      <c r="AR120" s="37"/>
      <c r="AS120" s="235"/>
      <c r="AT120" s="674"/>
      <c r="AU120" s="675"/>
      <c r="AV120" s="676"/>
      <c r="AW120" s="676"/>
      <c r="AX120" s="677"/>
      <c r="AY120" s="677"/>
      <c r="AZ120" s="678"/>
      <c r="BA120" s="679"/>
      <c r="BB120" s="679"/>
      <c r="BC120" s="678"/>
      <c r="BD120" s="678"/>
      <c r="BE120" s="680"/>
      <c r="BF120" s="681"/>
      <c r="BG120" s="682"/>
      <c r="BH120" s="565"/>
      <c r="BI120" s="683"/>
    </row>
    <row r="121" spans="2:61" s="180" customFormat="1" ht="15.95" hidden="1" customHeight="1">
      <c r="B121" s="663"/>
      <c r="C121" s="664"/>
      <c r="D121" s="664"/>
      <c r="E121" s="664"/>
      <c r="F121" s="664"/>
      <c r="G121" s="664"/>
      <c r="H121" s="664"/>
      <c r="I121" s="664"/>
      <c r="J121" s="665"/>
      <c r="K121" s="665"/>
      <c r="L121" s="666"/>
      <c r="M121" s="666"/>
      <c r="N121" s="667"/>
      <c r="O121" s="667"/>
      <c r="P121" s="665"/>
      <c r="Q121" s="665"/>
      <c r="R121" s="666"/>
      <c r="S121" s="666"/>
      <c r="T121" s="668"/>
      <c r="U121" s="668"/>
      <c r="V121" s="667"/>
      <c r="W121" s="667"/>
      <c r="X121" s="664"/>
      <c r="Y121" s="664"/>
      <c r="Z121" s="664"/>
      <c r="AA121" s="669"/>
      <c r="AB121" s="669"/>
      <c r="AC121" s="669"/>
      <c r="AD121" s="669"/>
      <c r="AE121" s="670"/>
      <c r="AF121" s="670"/>
      <c r="AG121" s="670"/>
      <c r="AH121" s="670"/>
      <c r="AI121" s="671"/>
      <c r="AJ121" s="671"/>
      <c r="AK121" s="672"/>
      <c r="AL121" s="672"/>
      <c r="AM121" s="672"/>
      <c r="AN121" s="671"/>
      <c r="AO121" s="673"/>
      <c r="AP121" s="673"/>
      <c r="AQ121" s="673"/>
      <c r="AR121" s="37"/>
      <c r="AS121" s="235"/>
      <c r="AT121" s="674"/>
      <c r="AU121" s="675"/>
      <c r="AV121" s="676"/>
      <c r="AW121" s="676"/>
      <c r="AX121" s="677"/>
      <c r="AY121" s="677"/>
      <c r="AZ121" s="678"/>
      <c r="BA121" s="679"/>
      <c r="BB121" s="679"/>
      <c r="BC121" s="678"/>
      <c r="BD121" s="678"/>
      <c r="BE121" s="680"/>
      <c r="BF121" s="681"/>
      <c r="BG121" s="682"/>
      <c r="BH121" s="565"/>
      <c r="BI121" s="683"/>
    </row>
    <row r="122" spans="2:61" s="180" customFormat="1" ht="15.95" hidden="1" customHeight="1">
      <c r="B122" s="663"/>
      <c r="C122" s="664"/>
      <c r="D122" s="664"/>
      <c r="E122" s="664"/>
      <c r="F122" s="664"/>
      <c r="G122" s="664"/>
      <c r="H122" s="664"/>
      <c r="I122" s="664"/>
      <c r="J122" s="665"/>
      <c r="K122" s="665"/>
      <c r="L122" s="666"/>
      <c r="M122" s="666"/>
      <c r="N122" s="667"/>
      <c r="O122" s="667"/>
      <c r="P122" s="665"/>
      <c r="Q122" s="665"/>
      <c r="R122" s="666"/>
      <c r="S122" s="666"/>
      <c r="T122" s="668"/>
      <c r="U122" s="668"/>
      <c r="V122" s="667"/>
      <c r="W122" s="667"/>
      <c r="X122" s="664"/>
      <c r="Y122" s="664"/>
      <c r="Z122" s="664"/>
      <c r="AA122" s="669"/>
      <c r="AB122" s="669"/>
      <c r="AC122" s="669"/>
      <c r="AD122" s="669"/>
      <c r="AE122" s="670"/>
      <c r="AF122" s="670"/>
      <c r="AG122" s="670"/>
      <c r="AH122" s="670"/>
      <c r="AI122" s="671"/>
      <c r="AJ122" s="671"/>
      <c r="AK122" s="672"/>
      <c r="AL122" s="672"/>
      <c r="AM122" s="672"/>
      <c r="AN122" s="671"/>
      <c r="AO122" s="673"/>
      <c r="AP122" s="673"/>
      <c r="AQ122" s="673"/>
      <c r="AR122" s="37"/>
      <c r="AS122" s="235"/>
      <c r="AT122" s="674"/>
      <c r="AU122" s="675"/>
      <c r="AV122" s="676"/>
      <c r="AW122" s="676"/>
      <c r="AX122" s="677"/>
      <c r="AY122" s="677"/>
      <c r="AZ122" s="678"/>
      <c r="BA122" s="679"/>
      <c r="BB122" s="679"/>
      <c r="BC122" s="678"/>
      <c r="BD122" s="678"/>
      <c r="BE122" s="680"/>
      <c r="BF122" s="681"/>
      <c r="BG122" s="682"/>
      <c r="BH122" s="565"/>
      <c r="BI122" s="683"/>
    </row>
    <row r="123" spans="2:61" s="180" customFormat="1" ht="15.95" hidden="1" customHeight="1">
      <c r="B123" s="663"/>
      <c r="C123" s="664"/>
      <c r="D123" s="664"/>
      <c r="E123" s="664"/>
      <c r="F123" s="664"/>
      <c r="G123" s="664"/>
      <c r="H123" s="664"/>
      <c r="I123" s="664"/>
      <c r="J123" s="665"/>
      <c r="K123" s="665"/>
      <c r="L123" s="666"/>
      <c r="M123" s="666"/>
      <c r="N123" s="667"/>
      <c r="O123" s="667"/>
      <c r="P123" s="665"/>
      <c r="Q123" s="665"/>
      <c r="R123" s="666"/>
      <c r="S123" s="666"/>
      <c r="T123" s="668"/>
      <c r="U123" s="668"/>
      <c r="V123" s="667"/>
      <c r="W123" s="667"/>
      <c r="X123" s="664"/>
      <c r="Y123" s="664"/>
      <c r="Z123" s="664"/>
      <c r="AA123" s="669"/>
      <c r="AB123" s="669"/>
      <c r="AC123" s="669"/>
      <c r="AD123" s="669"/>
      <c r="AE123" s="670"/>
      <c r="AF123" s="670"/>
      <c r="AG123" s="670"/>
      <c r="AH123" s="670"/>
      <c r="AI123" s="671"/>
      <c r="AJ123" s="671"/>
      <c r="AK123" s="672"/>
      <c r="AL123" s="672"/>
      <c r="AM123" s="672"/>
      <c r="AN123" s="671"/>
      <c r="AO123" s="673"/>
      <c r="AP123" s="673"/>
      <c r="AQ123" s="673"/>
      <c r="AR123" s="37"/>
      <c r="AS123" s="235"/>
      <c r="AT123" s="674"/>
      <c r="AU123" s="675"/>
      <c r="AV123" s="676"/>
      <c r="AW123" s="676"/>
      <c r="AX123" s="677"/>
      <c r="AY123" s="677"/>
      <c r="AZ123" s="678"/>
      <c r="BA123" s="679"/>
      <c r="BB123" s="679"/>
      <c r="BC123" s="678"/>
      <c r="BD123" s="678"/>
      <c r="BE123" s="680"/>
      <c r="BF123" s="681"/>
      <c r="BG123" s="682"/>
      <c r="BH123" s="565"/>
      <c r="BI123" s="683"/>
    </row>
    <row r="124" spans="2:61" s="180" customFormat="1" ht="15.95" hidden="1" customHeight="1">
      <c r="B124" s="663"/>
      <c r="C124" s="664"/>
      <c r="D124" s="664"/>
      <c r="E124" s="664"/>
      <c r="F124" s="664"/>
      <c r="G124" s="664"/>
      <c r="H124" s="664"/>
      <c r="I124" s="664"/>
      <c r="J124" s="665"/>
      <c r="K124" s="665"/>
      <c r="L124" s="666"/>
      <c r="M124" s="666"/>
      <c r="N124" s="667"/>
      <c r="O124" s="667"/>
      <c r="P124" s="665"/>
      <c r="Q124" s="665"/>
      <c r="R124" s="666"/>
      <c r="S124" s="666"/>
      <c r="T124" s="668"/>
      <c r="U124" s="668"/>
      <c r="V124" s="667"/>
      <c r="W124" s="667"/>
      <c r="X124" s="664"/>
      <c r="Y124" s="664"/>
      <c r="Z124" s="664"/>
      <c r="AA124" s="669"/>
      <c r="AB124" s="669"/>
      <c r="AC124" s="669"/>
      <c r="AD124" s="669"/>
      <c r="AE124" s="670"/>
      <c r="AF124" s="670"/>
      <c r="AG124" s="670"/>
      <c r="AH124" s="670"/>
      <c r="AI124" s="671"/>
      <c r="AJ124" s="671"/>
      <c r="AK124" s="672"/>
      <c r="AL124" s="672"/>
      <c r="AM124" s="672"/>
      <c r="AN124" s="671"/>
      <c r="AO124" s="673"/>
      <c r="AP124" s="673"/>
      <c r="AQ124" s="673"/>
      <c r="AR124" s="37"/>
      <c r="AS124" s="235"/>
      <c r="AT124" s="674"/>
      <c r="AU124" s="675"/>
      <c r="AV124" s="676"/>
      <c r="AW124" s="676"/>
      <c r="AX124" s="677"/>
      <c r="AY124" s="677"/>
      <c r="AZ124" s="678"/>
      <c r="BA124" s="679"/>
      <c r="BB124" s="679"/>
      <c r="BC124" s="678"/>
      <c r="BD124" s="678"/>
      <c r="BE124" s="680"/>
      <c r="BF124" s="681"/>
      <c r="BG124" s="682"/>
      <c r="BH124" s="565"/>
      <c r="BI124" s="683"/>
    </row>
    <row r="125" spans="2:61" s="180" customFormat="1" ht="15.95" hidden="1" customHeight="1">
      <c r="B125" s="663"/>
      <c r="C125" s="664"/>
      <c r="D125" s="664"/>
      <c r="E125" s="664"/>
      <c r="F125" s="664"/>
      <c r="G125" s="664"/>
      <c r="H125" s="664"/>
      <c r="I125" s="664"/>
      <c r="J125" s="665"/>
      <c r="K125" s="665"/>
      <c r="L125" s="666"/>
      <c r="M125" s="666"/>
      <c r="N125" s="667"/>
      <c r="O125" s="667"/>
      <c r="P125" s="665"/>
      <c r="Q125" s="665"/>
      <c r="R125" s="666"/>
      <c r="S125" s="666"/>
      <c r="T125" s="668"/>
      <c r="U125" s="668"/>
      <c r="V125" s="667"/>
      <c r="W125" s="667"/>
      <c r="X125" s="664"/>
      <c r="Y125" s="664"/>
      <c r="Z125" s="664"/>
      <c r="AA125" s="669"/>
      <c r="AB125" s="669"/>
      <c r="AC125" s="669"/>
      <c r="AD125" s="669"/>
      <c r="AE125" s="670"/>
      <c r="AF125" s="670"/>
      <c r="AG125" s="670"/>
      <c r="AH125" s="670"/>
      <c r="AI125" s="671"/>
      <c r="AJ125" s="671"/>
      <c r="AK125" s="672"/>
      <c r="AL125" s="672"/>
      <c r="AM125" s="672"/>
      <c r="AN125" s="671"/>
      <c r="AO125" s="673"/>
      <c r="AP125" s="673"/>
      <c r="AQ125" s="673"/>
      <c r="AR125" s="37"/>
      <c r="AS125" s="235"/>
      <c r="AT125" s="674"/>
      <c r="AU125" s="675"/>
      <c r="AV125" s="676"/>
      <c r="AW125" s="676"/>
      <c r="AX125" s="677"/>
      <c r="AY125" s="677"/>
      <c r="AZ125" s="678"/>
      <c r="BA125" s="679"/>
      <c r="BB125" s="679"/>
      <c r="BC125" s="678"/>
      <c r="BD125" s="678"/>
      <c r="BE125" s="680"/>
      <c r="BF125" s="681"/>
      <c r="BG125" s="682"/>
      <c r="BH125" s="565"/>
      <c r="BI125" s="683"/>
    </row>
    <row r="126" spans="2:61" s="180" customFormat="1" ht="15.95" hidden="1" customHeight="1">
      <c r="B126" s="663"/>
      <c r="C126" s="664"/>
      <c r="D126" s="664"/>
      <c r="E126" s="664"/>
      <c r="F126" s="664"/>
      <c r="G126" s="664"/>
      <c r="H126" s="664"/>
      <c r="I126" s="664"/>
      <c r="J126" s="665"/>
      <c r="K126" s="665"/>
      <c r="L126" s="666"/>
      <c r="M126" s="666"/>
      <c r="N126" s="667"/>
      <c r="O126" s="667"/>
      <c r="P126" s="665"/>
      <c r="Q126" s="665"/>
      <c r="R126" s="666"/>
      <c r="S126" s="666"/>
      <c r="T126" s="668"/>
      <c r="U126" s="668"/>
      <c r="V126" s="667"/>
      <c r="W126" s="667"/>
      <c r="X126" s="664"/>
      <c r="Y126" s="664"/>
      <c r="Z126" s="664"/>
      <c r="AA126" s="669"/>
      <c r="AB126" s="669"/>
      <c r="AC126" s="669"/>
      <c r="AD126" s="669"/>
      <c r="AE126" s="670"/>
      <c r="AF126" s="670"/>
      <c r="AG126" s="670"/>
      <c r="AH126" s="670"/>
      <c r="AI126" s="671"/>
      <c r="AJ126" s="671"/>
      <c r="AK126" s="672"/>
      <c r="AL126" s="672"/>
      <c r="AM126" s="672"/>
      <c r="AN126" s="671"/>
      <c r="AO126" s="673"/>
      <c r="AP126" s="673"/>
      <c r="AQ126" s="673"/>
      <c r="AR126" s="37"/>
      <c r="AS126" s="235"/>
      <c r="AT126" s="674"/>
      <c r="AU126" s="675"/>
      <c r="AV126" s="676"/>
      <c r="AW126" s="676"/>
      <c r="AX126" s="677"/>
      <c r="AY126" s="677"/>
      <c r="AZ126" s="678"/>
      <c r="BA126" s="679"/>
      <c r="BB126" s="679"/>
      <c r="BC126" s="678"/>
      <c r="BD126" s="678"/>
      <c r="BE126" s="680"/>
      <c r="BF126" s="681"/>
      <c r="BG126" s="682"/>
      <c r="BH126" s="565"/>
      <c r="BI126" s="683"/>
    </row>
    <row r="127" spans="2:61" s="180" customFormat="1" ht="15.95" hidden="1" customHeight="1">
      <c r="B127" s="663"/>
      <c r="C127" s="664"/>
      <c r="D127" s="664"/>
      <c r="E127" s="664"/>
      <c r="F127" s="664"/>
      <c r="G127" s="664"/>
      <c r="H127" s="664"/>
      <c r="I127" s="664"/>
      <c r="J127" s="665"/>
      <c r="K127" s="665"/>
      <c r="L127" s="666"/>
      <c r="M127" s="666"/>
      <c r="N127" s="667"/>
      <c r="O127" s="667"/>
      <c r="P127" s="665"/>
      <c r="Q127" s="665"/>
      <c r="R127" s="666"/>
      <c r="S127" s="666"/>
      <c r="T127" s="668"/>
      <c r="U127" s="668"/>
      <c r="V127" s="667"/>
      <c r="W127" s="667"/>
      <c r="X127" s="664"/>
      <c r="Y127" s="664"/>
      <c r="Z127" s="664"/>
      <c r="AA127" s="669"/>
      <c r="AB127" s="669"/>
      <c r="AC127" s="669"/>
      <c r="AD127" s="669"/>
      <c r="AE127" s="670"/>
      <c r="AF127" s="670"/>
      <c r="AG127" s="670"/>
      <c r="AH127" s="670"/>
      <c r="AI127" s="671"/>
      <c r="AJ127" s="671"/>
      <c r="AK127" s="672"/>
      <c r="AL127" s="672"/>
      <c r="AM127" s="672"/>
      <c r="AN127" s="671"/>
      <c r="AO127" s="673"/>
      <c r="AP127" s="673"/>
      <c r="AQ127" s="673"/>
      <c r="AR127" s="37"/>
      <c r="AS127" s="235"/>
      <c r="AT127" s="674"/>
      <c r="AU127" s="675"/>
      <c r="AV127" s="676"/>
      <c r="AW127" s="676"/>
      <c r="AX127" s="677"/>
      <c r="AY127" s="677"/>
      <c r="AZ127" s="678"/>
      <c r="BA127" s="679"/>
      <c r="BB127" s="679"/>
      <c r="BC127" s="678"/>
      <c r="BD127" s="678"/>
      <c r="BE127" s="680"/>
      <c r="BF127" s="681"/>
      <c r="BG127" s="682"/>
      <c r="BH127" s="565"/>
      <c r="BI127" s="683"/>
    </row>
    <row r="128" spans="2:61" s="180" customFormat="1" ht="15.95" hidden="1" customHeight="1">
      <c r="B128" s="663"/>
      <c r="C128" s="664"/>
      <c r="D128" s="664"/>
      <c r="E128" s="664"/>
      <c r="F128" s="664"/>
      <c r="G128" s="664"/>
      <c r="H128" s="664"/>
      <c r="I128" s="664"/>
      <c r="J128" s="665"/>
      <c r="K128" s="665"/>
      <c r="L128" s="666"/>
      <c r="M128" s="666"/>
      <c r="N128" s="667"/>
      <c r="O128" s="667"/>
      <c r="P128" s="665"/>
      <c r="Q128" s="665"/>
      <c r="R128" s="666"/>
      <c r="S128" s="666"/>
      <c r="T128" s="668"/>
      <c r="U128" s="668"/>
      <c r="V128" s="667"/>
      <c r="W128" s="667"/>
      <c r="X128" s="664"/>
      <c r="Y128" s="664"/>
      <c r="Z128" s="664"/>
      <c r="AA128" s="669"/>
      <c r="AB128" s="669"/>
      <c r="AC128" s="669"/>
      <c r="AD128" s="669"/>
      <c r="AE128" s="670"/>
      <c r="AF128" s="670"/>
      <c r="AG128" s="670"/>
      <c r="AH128" s="670"/>
      <c r="AI128" s="671"/>
      <c r="AJ128" s="671"/>
      <c r="AK128" s="672"/>
      <c r="AL128" s="672"/>
      <c r="AM128" s="672"/>
      <c r="AN128" s="671"/>
      <c r="AO128" s="673"/>
      <c r="AP128" s="673"/>
      <c r="AQ128" s="673"/>
      <c r="AR128" s="37"/>
      <c r="AS128" s="235"/>
      <c r="AT128" s="674"/>
      <c r="AU128" s="675"/>
      <c r="AV128" s="676"/>
      <c r="AW128" s="676"/>
      <c r="AX128" s="677"/>
      <c r="AY128" s="677"/>
      <c r="AZ128" s="678"/>
      <c r="BA128" s="679"/>
      <c r="BB128" s="679"/>
      <c r="BC128" s="678"/>
      <c r="BD128" s="678"/>
      <c r="BE128" s="680"/>
      <c r="BF128" s="681"/>
      <c r="BG128" s="682"/>
      <c r="BH128" s="565"/>
      <c r="BI128" s="683"/>
    </row>
    <row r="129" spans="2:61" s="180" customFormat="1" ht="15.95" hidden="1" customHeight="1">
      <c r="B129" s="663"/>
      <c r="C129" s="664"/>
      <c r="D129" s="664"/>
      <c r="E129" s="664"/>
      <c r="F129" s="664"/>
      <c r="G129" s="664"/>
      <c r="H129" s="664"/>
      <c r="I129" s="664"/>
      <c r="J129" s="665"/>
      <c r="K129" s="665"/>
      <c r="L129" s="666"/>
      <c r="M129" s="666"/>
      <c r="N129" s="667"/>
      <c r="O129" s="667"/>
      <c r="P129" s="665"/>
      <c r="Q129" s="665"/>
      <c r="R129" s="666"/>
      <c r="S129" s="666"/>
      <c r="T129" s="668"/>
      <c r="U129" s="668"/>
      <c r="V129" s="667"/>
      <c r="W129" s="667"/>
      <c r="X129" s="664"/>
      <c r="Y129" s="664"/>
      <c r="Z129" s="664"/>
      <c r="AA129" s="669"/>
      <c r="AB129" s="669"/>
      <c r="AC129" s="669"/>
      <c r="AD129" s="669"/>
      <c r="AE129" s="670"/>
      <c r="AF129" s="670"/>
      <c r="AG129" s="670"/>
      <c r="AH129" s="670"/>
      <c r="AI129" s="671"/>
      <c r="AJ129" s="671"/>
      <c r="AK129" s="672"/>
      <c r="AL129" s="672"/>
      <c r="AM129" s="672"/>
      <c r="AN129" s="671"/>
      <c r="AO129" s="673"/>
      <c r="AP129" s="673"/>
      <c r="AQ129" s="673"/>
      <c r="AR129" s="37"/>
      <c r="AS129" s="235"/>
      <c r="AT129" s="674"/>
      <c r="AU129" s="675"/>
      <c r="AV129" s="676"/>
      <c r="AW129" s="676"/>
      <c r="AX129" s="677"/>
      <c r="AY129" s="677"/>
      <c r="AZ129" s="678"/>
      <c r="BA129" s="679"/>
      <c r="BB129" s="679"/>
      <c r="BC129" s="678"/>
      <c r="BD129" s="678"/>
      <c r="BE129" s="680"/>
      <c r="BF129" s="681"/>
      <c r="BG129" s="682"/>
      <c r="BH129" s="565"/>
      <c r="BI129" s="683"/>
    </row>
    <row r="130" spans="2:61" s="180" customFormat="1" ht="15.95" hidden="1" customHeight="1">
      <c r="B130" s="663"/>
      <c r="C130" s="664"/>
      <c r="D130" s="664"/>
      <c r="E130" s="664"/>
      <c r="F130" s="664"/>
      <c r="G130" s="664"/>
      <c r="H130" s="664"/>
      <c r="I130" s="664"/>
      <c r="J130" s="665"/>
      <c r="K130" s="665"/>
      <c r="L130" s="666"/>
      <c r="M130" s="666"/>
      <c r="N130" s="667"/>
      <c r="O130" s="667"/>
      <c r="P130" s="665"/>
      <c r="Q130" s="665"/>
      <c r="R130" s="666"/>
      <c r="S130" s="666"/>
      <c r="T130" s="668"/>
      <c r="U130" s="668"/>
      <c r="V130" s="667"/>
      <c r="W130" s="667"/>
      <c r="X130" s="664"/>
      <c r="Y130" s="664"/>
      <c r="Z130" s="664"/>
      <c r="AA130" s="669"/>
      <c r="AB130" s="669"/>
      <c r="AC130" s="669"/>
      <c r="AD130" s="669"/>
      <c r="AE130" s="670"/>
      <c r="AF130" s="670"/>
      <c r="AG130" s="670"/>
      <c r="AH130" s="670"/>
      <c r="AI130" s="671"/>
      <c r="AJ130" s="671"/>
      <c r="AK130" s="672"/>
      <c r="AL130" s="672"/>
      <c r="AM130" s="672"/>
      <c r="AN130" s="671"/>
      <c r="AO130" s="673"/>
      <c r="AP130" s="673"/>
      <c r="AQ130" s="673"/>
      <c r="AR130" s="37"/>
      <c r="AS130" s="235"/>
      <c r="AT130" s="674"/>
      <c r="AU130" s="675"/>
      <c r="AV130" s="676"/>
      <c r="AW130" s="676"/>
      <c r="AX130" s="677"/>
      <c r="AY130" s="677"/>
      <c r="AZ130" s="678"/>
      <c r="BA130" s="679"/>
      <c r="BB130" s="679"/>
      <c r="BC130" s="678"/>
      <c r="BD130" s="678"/>
      <c r="BE130" s="680"/>
      <c r="BF130" s="681"/>
      <c r="BG130" s="682"/>
      <c r="BH130" s="565"/>
      <c r="BI130" s="683"/>
    </row>
    <row r="131" spans="2:61" s="180" customFormat="1" ht="15.95" hidden="1" customHeight="1">
      <c r="B131" s="663"/>
      <c r="C131" s="664"/>
      <c r="D131" s="664"/>
      <c r="E131" s="664"/>
      <c r="F131" s="664"/>
      <c r="G131" s="664"/>
      <c r="H131" s="664"/>
      <c r="I131" s="664"/>
      <c r="J131" s="665"/>
      <c r="K131" s="665"/>
      <c r="L131" s="666"/>
      <c r="M131" s="666"/>
      <c r="N131" s="667"/>
      <c r="O131" s="667"/>
      <c r="P131" s="665"/>
      <c r="Q131" s="665"/>
      <c r="R131" s="666"/>
      <c r="S131" s="666"/>
      <c r="T131" s="668"/>
      <c r="U131" s="668"/>
      <c r="V131" s="667"/>
      <c r="W131" s="667"/>
      <c r="X131" s="664"/>
      <c r="Y131" s="664"/>
      <c r="Z131" s="664"/>
      <c r="AA131" s="669"/>
      <c r="AB131" s="669"/>
      <c r="AC131" s="669"/>
      <c r="AD131" s="669"/>
      <c r="AE131" s="670"/>
      <c r="AF131" s="670"/>
      <c r="AG131" s="670"/>
      <c r="AH131" s="670"/>
      <c r="AI131" s="671"/>
      <c r="AJ131" s="671"/>
      <c r="AK131" s="672"/>
      <c r="AL131" s="672"/>
      <c r="AM131" s="672"/>
      <c r="AN131" s="671"/>
      <c r="AO131" s="673"/>
      <c r="AP131" s="673"/>
      <c r="AQ131" s="673"/>
      <c r="AR131" s="37"/>
      <c r="AS131" s="235"/>
      <c r="AT131" s="674"/>
      <c r="AU131" s="675"/>
      <c r="AV131" s="676"/>
      <c r="AW131" s="676"/>
      <c r="AX131" s="677"/>
      <c r="AY131" s="677"/>
      <c r="AZ131" s="678"/>
      <c r="BA131" s="679"/>
      <c r="BB131" s="679"/>
      <c r="BC131" s="678"/>
      <c r="BD131" s="678"/>
      <c r="BE131" s="680"/>
      <c r="BF131" s="681"/>
      <c r="BG131" s="682"/>
      <c r="BH131" s="565"/>
      <c r="BI131" s="683"/>
    </row>
    <row r="132" spans="2:61" s="180" customFormat="1" ht="15.95" hidden="1" customHeight="1">
      <c r="B132" s="663"/>
      <c r="C132" s="664"/>
      <c r="D132" s="664"/>
      <c r="E132" s="664"/>
      <c r="F132" s="664"/>
      <c r="G132" s="664"/>
      <c r="H132" s="664"/>
      <c r="I132" s="664"/>
      <c r="J132" s="665"/>
      <c r="K132" s="665"/>
      <c r="L132" s="666"/>
      <c r="M132" s="666"/>
      <c r="N132" s="667"/>
      <c r="O132" s="667"/>
      <c r="P132" s="665"/>
      <c r="Q132" s="665"/>
      <c r="R132" s="666"/>
      <c r="S132" s="666"/>
      <c r="T132" s="668"/>
      <c r="U132" s="668"/>
      <c r="V132" s="667"/>
      <c r="W132" s="667"/>
      <c r="X132" s="664"/>
      <c r="Y132" s="664"/>
      <c r="Z132" s="664"/>
      <c r="AA132" s="669"/>
      <c r="AB132" s="669"/>
      <c r="AC132" s="669"/>
      <c r="AD132" s="669"/>
      <c r="AE132" s="670"/>
      <c r="AF132" s="670"/>
      <c r="AG132" s="670"/>
      <c r="AH132" s="670"/>
      <c r="AI132" s="671"/>
      <c r="AJ132" s="671"/>
      <c r="AK132" s="672"/>
      <c r="AL132" s="672"/>
      <c r="AM132" s="672"/>
      <c r="AN132" s="671"/>
      <c r="AO132" s="673"/>
      <c r="AP132" s="673"/>
      <c r="AQ132" s="673"/>
      <c r="AR132" s="37"/>
      <c r="AS132" s="235"/>
      <c r="AT132" s="674"/>
      <c r="AU132" s="675"/>
      <c r="AV132" s="676"/>
      <c r="AW132" s="676"/>
      <c r="AX132" s="677"/>
      <c r="AY132" s="677"/>
      <c r="AZ132" s="678"/>
      <c r="BA132" s="679"/>
      <c r="BB132" s="679"/>
      <c r="BC132" s="678"/>
      <c r="BD132" s="678"/>
      <c r="BE132" s="680"/>
      <c r="BF132" s="681"/>
      <c r="BG132" s="682"/>
      <c r="BH132" s="565"/>
      <c r="BI132" s="683"/>
    </row>
    <row r="133" spans="2:61" s="180" customFormat="1" ht="15.95" hidden="1" customHeight="1">
      <c r="B133" s="663"/>
      <c r="C133" s="664"/>
      <c r="D133" s="664"/>
      <c r="E133" s="664"/>
      <c r="F133" s="664"/>
      <c r="G133" s="664"/>
      <c r="H133" s="664"/>
      <c r="I133" s="664"/>
      <c r="J133" s="665"/>
      <c r="K133" s="665"/>
      <c r="L133" s="666"/>
      <c r="M133" s="666"/>
      <c r="N133" s="667"/>
      <c r="O133" s="667"/>
      <c r="P133" s="665"/>
      <c r="Q133" s="665"/>
      <c r="R133" s="666"/>
      <c r="S133" s="666"/>
      <c r="T133" s="668"/>
      <c r="U133" s="668"/>
      <c r="V133" s="667"/>
      <c r="W133" s="667"/>
      <c r="X133" s="664"/>
      <c r="Y133" s="664"/>
      <c r="Z133" s="664"/>
      <c r="AA133" s="669"/>
      <c r="AB133" s="669"/>
      <c r="AC133" s="669"/>
      <c r="AD133" s="669"/>
      <c r="AE133" s="670"/>
      <c r="AF133" s="670"/>
      <c r="AG133" s="670"/>
      <c r="AH133" s="670"/>
      <c r="AI133" s="671"/>
      <c r="AJ133" s="671"/>
      <c r="AK133" s="672"/>
      <c r="AL133" s="672"/>
      <c r="AM133" s="672"/>
      <c r="AN133" s="671"/>
      <c r="AO133" s="673"/>
      <c r="AP133" s="673"/>
      <c r="AQ133" s="673"/>
      <c r="AR133" s="37"/>
      <c r="AS133" s="235"/>
      <c r="AT133" s="674"/>
      <c r="AU133" s="675"/>
      <c r="AV133" s="676"/>
      <c r="AW133" s="676"/>
      <c r="AX133" s="677"/>
      <c r="AY133" s="677"/>
      <c r="AZ133" s="678"/>
      <c r="BA133" s="679"/>
      <c r="BB133" s="679"/>
      <c r="BC133" s="678"/>
      <c r="BD133" s="678"/>
      <c r="BE133" s="680"/>
      <c r="BF133" s="681"/>
      <c r="BG133" s="682"/>
      <c r="BH133" s="565"/>
      <c r="BI133" s="683"/>
    </row>
    <row r="134" spans="2:61" s="180" customFormat="1" ht="15.95" hidden="1" customHeight="1">
      <c r="B134" s="663"/>
      <c r="C134" s="664"/>
      <c r="D134" s="664"/>
      <c r="E134" s="664"/>
      <c r="F134" s="664"/>
      <c r="G134" s="664"/>
      <c r="H134" s="664"/>
      <c r="I134" s="664"/>
      <c r="J134" s="665"/>
      <c r="K134" s="665"/>
      <c r="L134" s="666"/>
      <c r="M134" s="666"/>
      <c r="N134" s="667"/>
      <c r="O134" s="667"/>
      <c r="P134" s="665"/>
      <c r="Q134" s="665"/>
      <c r="R134" s="666"/>
      <c r="S134" s="666"/>
      <c r="T134" s="668"/>
      <c r="U134" s="668"/>
      <c r="V134" s="667"/>
      <c r="W134" s="667"/>
      <c r="X134" s="664"/>
      <c r="Y134" s="664"/>
      <c r="Z134" s="664"/>
      <c r="AA134" s="669"/>
      <c r="AB134" s="669"/>
      <c r="AC134" s="669"/>
      <c r="AD134" s="669"/>
      <c r="AE134" s="670"/>
      <c r="AF134" s="670"/>
      <c r="AG134" s="670"/>
      <c r="AH134" s="670"/>
      <c r="AI134" s="671"/>
      <c r="AJ134" s="671"/>
      <c r="AK134" s="672"/>
      <c r="AL134" s="672"/>
      <c r="AM134" s="672"/>
      <c r="AN134" s="671"/>
      <c r="AO134" s="673"/>
      <c r="AP134" s="673"/>
      <c r="AQ134" s="673"/>
      <c r="AR134" s="37"/>
      <c r="AS134" s="235"/>
      <c r="AT134" s="674"/>
      <c r="AU134" s="675"/>
      <c r="AV134" s="676"/>
      <c r="AW134" s="676"/>
      <c r="AX134" s="677"/>
      <c r="AY134" s="677"/>
      <c r="AZ134" s="678"/>
      <c r="BA134" s="679"/>
      <c r="BB134" s="679"/>
      <c r="BC134" s="678"/>
      <c r="BD134" s="678"/>
      <c r="BE134" s="680"/>
      <c r="BF134" s="681"/>
      <c r="BG134" s="682"/>
      <c r="BH134" s="565"/>
      <c r="BI134" s="683"/>
    </row>
    <row r="135" spans="2:61" s="180" customFormat="1" ht="15.95" hidden="1" customHeight="1">
      <c r="B135" s="663"/>
      <c r="C135" s="664"/>
      <c r="D135" s="664"/>
      <c r="E135" s="664"/>
      <c r="F135" s="664"/>
      <c r="G135" s="664"/>
      <c r="H135" s="664"/>
      <c r="I135" s="664"/>
      <c r="J135" s="665"/>
      <c r="K135" s="665"/>
      <c r="L135" s="666"/>
      <c r="M135" s="666"/>
      <c r="N135" s="667"/>
      <c r="O135" s="667"/>
      <c r="P135" s="665"/>
      <c r="Q135" s="665"/>
      <c r="R135" s="666"/>
      <c r="S135" s="666"/>
      <c r="T135" s="668"/>
      <c r="U135" s="668"/>
      <c r="V135" s="667"/>
      <c r="W135" s="667"/>
      <c r="X135" s="664"/>
      <c r="Y135" s="664"/>
      <c r="Z135" s="664"/>
      <c r="AA135" s="669"/>
      <c r="AB135" s="669"/>
      <c r="AC135" s="669"/>
      <c r="AD135" s="669"/>
      <c r="AE135" s="670"/>
      <c r="AF135" s="670"/>
      <c r="AG135" s="670"/>
      <c r="AH135" s="670"/>
      <c r="AI135" s="671"/>
      <c r="AJ135" s="671"/>
      <c r="AK135" s="672"/>
      <c r="AL135" s="672"/>
      <c r="AM135" s="672"/>
      <c r="AN135" s="671"/>
      <c r="AO135" s="673"/>
      <c r="AP135" s="673"/>
      <c r="AQ135" s="673"/>
      <c r="AR135" s="37"/>
      <c r="AS135" s="235"/>
      <c r="AT135" s="674"/>
      <c r="AU135" s="675"/>
      <c r="AV135" s="676"/>
      <c r="AW135" s="676"/>
      <c r="AX135" s="677"/>
      <c r="AY135" s="677"/>
      <c r="AZ135" s="678"/>
      <c r="BA135" s="679"/>
      <c r="BB135" s="679"/>
      <c r="BC135" s="678"/>
      <c r="BD135" s="678"/>
      <c r="BE135" s="680"/>
      <c r="BF135" s="681"/>
      <c r="BG135" s="682"/>
      <c r="BH135" s="565"/>
      <c r="BI135" s="683"/>
    </row>
    <row r="136" spans="2:61" s="180" customFormat="1" ht="15.95" hidden="1" customHeight="1">
      <c r="B136" s="663"/>
      <c r="C136" s="664"/>
      <c r="D136" s="664"/>
      <c r="E136" s="664"/>
      <c r="F136" s="664"/>
      <c r="G136" s="664"/>
      <c r="H136" s="664"/>
      <c r="I136" s="664"/>
      <c r="J136" s="665"/>
      <c r="K136" s="665"/>
      <c r="L136" s="666"/>
      <c r="M136" s="666"/>
      <c r="N136" s="667"/>
      <c r="O136" s="667"/>
      <c r="P136" s="665"/>
      <c r="Q136" s="665"/>
      <c r="R136" s="666"/>
      <c r="S136" s="666"/>
      <c r="T136" s="668"/>
      <c r="U136" s="668"/>
      <c r="V136" s="667"/>
      <c r="W136" s="667"/>
      <c r="X136" s="664"/>
      <c r="Y136" s="664"/>
      <c r="Z136" s="664"/>
      <c r="AA136" s="669"/>
      <c r="AB136" s="669"/>
      <c r="AC136" s="669"/>
      <c r="AD136" s="669"/>
      <c r="AE136" s="670"/>
      <c r="AF136" s="670"/>
      <c r="AG136" s="670"/>
      <c r="AH136" s="670"/>
      <c r="AI136" s="671"/>
      <c r="AJ136" s="671"/>
      <c r="AK136" s="672"/>
      <c r="AL136" s="672"/>
      <c r="AM136" s="672"/>
      <c r="AN136" s="671"/>
      <c r="AO136" s="673"/>
      <c r="AP136" s="673"/>
      <c r="AQ136" s="673"/>
      <c r="AR136" s="37"/>
      <c r="AS136" s="235"/>
      <c r="AT136" s="674"/>
      <c r="AU136" s="675"/>
      <c r="AV136" s="676"/>
      <c r="AW136" s="676"/>
      <c r="AX136" s="677"/>
      <c r="AY136" s="677"/>
      <c r="AZ136" s="678"/>
      <c r="BA136" s="679"/>
      <c r="BB136" s="679"/>
      <c r="BC136" s="678"/>
      <c r="BD136" s="678"/>
      <c r="BE136" s="680"/>
      <c r="BF136" s="681"/>
      <c r="BG136" s="682"/>
      <c r="BH136" s="565"/>
      <c r="BI136" s="683"/>
    </row>
    <row r="137" spans="2:61" s="180" customFormat="1" ht="15.95" hidden="1" customHeight="1">
      <c r="B137" s="663"/>
      <c r="C137" s="664"/>
      <c r="D137" s="664"/>
      <c r="E137" s="664"/>
      <c r="F137" s="664"/>
      <c r="G137" s="664"/>
      <c r="H137" s="664"/>
      <c r="I137" s="664"/>
      <c r="J137" s="665"/>
      <c r="K137" s="665"/>
      <c r="L137" s="666"/>
      <c r="M137" s="666"/>
      <c r="N137" s="667"/>
      <c r="O137" s="667"/>
      <c r="P137" s="665"/>
      <c r="Q137" s="665"/>
      <c r="R137" s="666"/>
      <c r="S137" s="666"/>
      <c r="T137" s="668"/>
      <c r="U137" s="668"/>
      <c r="V137" s="667"/>
      <c r="W137" s="667"/>
      <c r="X137" s="664"/>
      <c r="Y137" s="664"/>
      <c r="Z137" s="664"/>
      <c r="AA137" s="669"/>
      <c r="AB137" s="669"/>
      <c r="AC137" s="669"/>
      <c r="AD137" s="669"/>
      <c r="AE137" s="670"/>
      <c r="AF137" s="670"/>
      <c r="AG137" s="670"/>
      <c r="AH137" s="670"/>
      <c r="AI137" s="671"/>
      <c r="AJ137" s="671"/>
      <c r="AK137" s="672"/>
      <c r="AL137" s="672"/>
      <c r="AM137" s="672"/>
      <c r="AN137" s="671"/>
      <c r="AO137" s="673"/>
      <c r="AP137" s="673"/>
      <c r="AQ137" s="673"/>
      <c r="AR137" s="37"/>
      <c r="AS137" s="235"/>
      <c r="AT137" s="674"/>
      <c r="AU137" s="675"/>
      <c r="AV137" s="676"/>
      <c r="AW137" s="676"/>
      <c r="AX137" s="677"/>
      <c r="AY137" s="677"/>
      <c r="AZ137" s="678"/>
      <c r="BA137" s="679"/>
      <c r="BB137" s="679"/>
      <c r="BC137" s="678"/>
      <c r="BD137" s="678"/>
      <c r="BE137" s="680"/>
      <c r="BF137" s="681"/>
      <c r="BG137" s="682"/>
      <c r="BH137" s="565"/>
      <c r="BI137" s="683"/>
    </row>
    <row r="138" spans="2:61" s="180" customFormat="1" ht="15.95" hidden="1" customHeight="1">
      <c r="B138" s="663"/>
      <c r="C138" s="664"/>
      <c r="D138" s="664"/>
      <c r="E138" s="664"/>
      <c r="F138" s="664"/>
      <c r="G138" s="664"/>
      <c r="H138" s="664"/>
      <c r="I138" s="664"/>
      <c r="J138" s="665"/>
      <c r="K138" s="665"/>
      <c r="L138" s="666"/>
      <c r="M138" s="666"/>
      <c r="N138" s="667"/>
      <c r="O138" s="667"/>
      <c r="P138" s="665"/>
      <c r="Q138" s="665"/>
      <c r="R138" s="666"/>
      <c r="S138" s="666"/>
      <c r="T138" s="668"/>
      <c r="U138" s="668"/>
      <c r="V138" s="667"/>
      <c r="W138" s="667"/>
      <c r="X138" s="664"/>
      <c r="Y138" s="664"/>
      <c r="Z138" s="664"/>
      <c r="AA138" s="669"/>
      <c r="AB138" s="669"/>
      <c r="AC138" s="669"/>
      <c r="AD138" s="669"/>
      <c r="AE138" s="670"/>
      <c r="AF138" s="670"/>
      <c r="AG138" s="670"/>
      <c r="AH138" s="670"/>
      <c r="AI138" s="671"/>
      <c r="AJ138" s="671"/>
      <c r="AK138" s="672"/>
      <c r="AL138" s="672"/>
      <c r="AM138" s="672"/>
      <c r="AN138" s="671"/>
      <c r="AO138" s="673"/>
      <c r="AP138" s="673"/>
      <c r="AQ138" s="673"/>
      <c r="AR138" s="37"/>
      <c r="AS138" s="235"/>
      <c r="AT138" s="674"/>
      <c r="AU138" s="675"/>
      <c r="AV138" s="676"/>
      <c r="AW138" s="676"/>
      <c r="AX138" s="677"/>
      <c r="AY138" s="677"/>
      <c r="AZ138" s="678"/>
      <c r="BA138" s="679"/>
      <c r="BB138" s="679"/>
      <c r="BC138" s="678"/>
      <c r="BD138" s="678"/>
      <c r="BE138" s="680"/>
      <c r="BF138" s="681"/>
      <c r="BG138" s="682"/>
      <c r="BH138" s="565"/>
      <c r="BI138" s="683"/>
    </row>
    <row r="139" spans="2:61" s="180" customFormat="1" ht="15.95" hidden="1" customHeight="1">
      <c r="B139" s="663"/>
      <c r="C139" s="664"/>
      <c r="D139" s="664"/>
      <c r="E139" s="664"/>
      <c r="F139" s="664"/>
      <c r="G139" s="664"/>
      <c r="H139" s="664"/>
      <c r="I139" s="664"/>
      <c r="J139" s="665"/>
      <c r="K139" s="665"/>
      <c r="L139" s="666"/>
      <c r="M139" s="666"/>
      <c r="N139" s="667"/>
      <c r="O139" s="667"/>
      <c r="P139" s="665"/>
      <c r="Q139" s="665"/>
      <c r="R139" s="666"/>
      <c r="S139" s="666"/>
      <c r="T139" s="668"/>
      <c r="U139" s="668"/>
      <c r="V139" s="667"/>
      <c r="W139" s="667"/>
      <c r="X139" s="664"/>
      <c r="Y139" s="664"/>
      <c r="Z139" s="664"/>
      <c r="AA139" s="669"/>
      <c r="AB139" s="669"/>
      <c r="AC139" s="669"/>
      <c r="AD139" s="669"/>
      <c r="AE139" s="670"/>
      <c r="AF139" s="670"/>
      <c r="AG139" s="670"/>
      <c r="AH139" s="670"/>
      <c r="AI139" s="671"/>
      <c r="AJ139" s="671"/>
      <c r="AK139" s="672"/>
      <c r="AL139" s="672"/>
      <c r="AM139" s="672"/>
      <c r="AN139" s="671"/>
      <c r="AO139" s="673"/>
      <c r="AP139" s="673"/>
      <c r="AQ139" s="673"/>
      <c r="AR139" s="37"/>
      <c r="AS139" s="235"/>
      <c r="AT139" s="674"/>
      <c r="AU139" s="675"/>
      <c r="AV139" s="676"/>
      <c r="AW139" s="676"/>
      <c r="AX139" s="677"/>
      <c r="AY139" s="677"/>
      <c r="AZ139" s="678"/>
      <c r="BA139" s="679"/>
      <c r="BB139" s="679"/>
      <c r="BC139" s="678"/>
      <c r="BD139" s="678"/>
      <c r="BE139" s="680"/>
      <c r="BF139" s="681"/>
      <c r="BG139" s="682"/>
      <c r="BH139" s="565"/>
      <c r="BI139" s="683"/>
    </row>
    <row r="140" spans="2:61" s="180" customFormat="1" ht="15.95" hidden="1" customHeight="1">
      <c r="B140" s="663"/>
      <c r="C140" s="664"/>
      <c r="D140" s="664"/>
      <c r="E140" s="664"/>
      <c r="F140" s="664"/>
      <c r="G140" s="664"/>
      <c r="H140" s="664"/>
      <c r="I140" s="664"/>
      <c r="J140" s="665"/>
      <c r="K140" s="665"/>
      <c r="L140" s="666"/>
      <c r="M140" s="666"/>
      <c r="N140" s="667"/>
      <c r="O140" s="667"/>
      <c r="P140" s="665"/>
      <c r="Q140" s="665"/>
      <c r="R140" s="666"/>
      <c r="S140" s="666"/>
      <c r="T140" s="668"/>
      <c r="U140" s="668"/>
      <c r="V140" s="667"/>
      <c r="W140" s="667"/>
      <c r="X140" s="664"/>
      <c r="Y140" s="664"/>
      <c r="Z140" s="664"/>
      <c r="AA140" s="669"/>
      <c r="AB140" s="669"/>
      <c r="AC140" s="669"/>
      <c r="AD140" s="669"/>
      <c r="AE140" s="670"/>
      <c r="AF140" s="670"/>
      <c r="AG140" s="670"/>
      <c r="AH140" s="670"/>
      <c r="AI140" s="671"/>
      <c r="AJ140" s="671"/>
      <c r="AK140" s="672"/>
      <c r="AL140" s="672"/>
      <c r="AM140" s="672"/>
      <c r="AN140" s="671"/>
      <c r="AO140" s="673"/>
      <c r="AP140" s="673"/>
      <c r="AQ140" s="673"/>
      <c r="AR140" s="37"/>
      <c r="AS140" s="235"/>
      <c r="AT140" s="674"/>
      <c r="AU140" s="675"/>
      <c r="AV140" s="676"/>
      <c r="AW140" s="676"/>
      <c r="AX140" s="677"/>
      <c r="AY140" s="677"/>
      <c r="AZ140" s="678"/>
      <c r="BA140" s="679"/>
      <c r="BB140" s="679"/>
      <c r="BC140" s="678"/>
      <c r="BD140" s="678"/>
      <c r="BE140" s="680"/>
      <c r="BF140" s="681"/>
      <c r="BG140" s="682"/>
      <c r="BH140" s="565"/>
      <c r="BI140" s="683"/>
    </row>
    <row r="141" spans="2:61" s="180" customFormat="1" ht="15.95" hidden="1" customHeight="1">
      <c r="B141" s="663"/>
      <c r="C141" s="664"/>
      <c r="D141" s="664"/>
      <c r="E141" s="664"/>
      <c r="F141" s="664"/>
      <c r="G141" s="664"/>
      <c r="H141" s="664"/>
      <c r="I141" s="664"/>
      <c r="J141" s="665"/>
      <c r="K141" s="665"/>
      <c r="L141" s="666"/>
      <c r="M141" s="666"/>
      <c r="N141" s="667"/>
      <c r="O141" s="667"/>
      <c r="P141" s="665"/>
      <c r="Q141" s="665"/>
      <c r="R141" s="666"/>
      <c r="S141" s="666"/>
      <c r="T141" s="668"/>
      <c r="U141" s="668"/>
      <c r="V141" s="667"/>
      <c r="W141" s="667"/>
      <c r="X141" s="664"/>
      <c r="Y141" s="664"/>
      <c r="Z141" s="664"/>
      <c r="AA141" s="669"/>
      <c r="AB141" s="669"/>
      <c r="AC141" s="669"/>
      <c r="AD141" s="669"/>
      <c r="AE141" s="670"/>
      <c r="AF141" s="670"/>
      <c r="AG141" s="670"/>
      <c r="AH141" s="670"/>
      <c r="AI141" s="671"/>
      <c r="AJ141" s="671"/>
      <c r="AK141" s="672"/>
      <c r="AL141" s="672"/>
      <c r="AM141" s="672"/>
      <c r="AN141" s="671"/>
      <c r="AO141" s="673"/>
      <c r="AP141" s="673"/>
      <c r="AQ141" s="673"/>
      <c r="AR141" s="37"/>
      <c r="AS141" s="235"/>
      <c r="AT141" s="674"/>
      <c r="AU141" s="675"/>
      <c r="AV141" s="676"/>
      <c r="AW141" s="676"/>
      <c r="AX141" s="677"/>
      <c r="AY141" s="677"/>
      <c r="AZ141" s="678"/>
      <c r="BA141" s="679"/>
      <c r="BB141" s="679"/>
      <c r="BC141" s="678"/>
      <c r="BD141" s="678"/>
      <c r="BE141" s="680"/>
      <c r="BF141" s="681"/>
      <c r="BG141" s="682"/>
      <c r="BH141" s="565"/>
      <c r="BI141" s="683"/>
    </row>
    <row r="142" spans="2:61" s="180" customFormat="1" ht="15.95" hidden="1" customHeight="1">
      <c r="B142" s="663"/>
      <c r="C142" s="664"/>
      <c r="D142" s="664"/>
      <c r="E142" s="664"/>
      <c r="F142" s="664"/>
      <c r="G142" s="664"/>
      <c r="H142" s="664"/>
      <c r="I142" s="664"/>
      <c r="J142" s="665"/>
      <c r="K142" s="665"/>
      <c r="L142" s="666"/>
      <c r="M142" s="666"/>
      <c r="N142" s="667"/>
      <c r="O142" s="667"/>
      <c r="P142" s="665"/>
      <c r="Q142" s="665"/>
      <c r="R142" s="666"/>
      <c r="S142" s="666"/>
      <c r="T142" s="668"/>
      <c r="U142" s="668"/>
      <c r="V142" s="667"/>
      <c r="W142" s="667"/>
      <c r="X142" s="664"/>
      <c r="Y142" s="664"/>
      <c r="Z142" s="664"/>
      <c r="AA142" s="669"/>
      <c r="AB142" s="669"/>
      <c r="AC142" s="669"/>
      <c r="AD142" s="669"/>
      <c r="AE142" s="670"/>
      <c r="AF142" s="670"/>
      <c r="AG142" s="670"/>
      <c r="AH142" s="670"/>
      <c r="AI142" s="671"/>
      <c r="AJ142" s="671"/>
      <c r="AK142" s="672"/>
      <c r="AL142" s="672"/>
      <c r="AM142" s="672"/>
      <c r="AN142" s="671"/>
      <c r="AO142" s="673"/>
      <c r="AP142" s="673"/>
      <c r="AQ142" s="673"/>
      <c r="AR142" s="37"/>
      <c r="AS142" s="235"/>
      <c r="AT142" s="674"/>
      <c r="AU142" s="675"/>
      <c r="AV142" s="676"/>
      <c r="AW142" s="676"/>
      <c r="AX142" s="677"/>
      <c r="AY142" s="677"/>
      <c r="AZ142" s="678"/>
      <c r="BA142" s="679"/>
      <c r="BB142" s="679"/>
      <c r="BC142" s="678"/>
      <c r="BD142" s="678"/>
      <c r="BE142" s="680"/>
      <c r="BF142" s="681"/>
      <c r="BG142" s="682"/>
      <c r="BH142" s="565"/>
      <c r="BI142" s="683"/>
    </row>
    <row r="143" spans="2:61" s="180" customFormat="1" ht="15.95" hidden="1" customHeight="1">
      <c r="B143" s="663"/>
      <c r="C143" s="664"/>
      <c r="D143" s="664"/>
      <c r="E143" s="664"/>
      <c r="F143" s="664"/>
      <c r="G143" s="664"/>
      <c r="H143" s="664"/>
      <c r="I143" s="664"/>
      <c r="J143" s="665"/>
      <c r="K143" s="665"/>
      <c r="L143" s="666"/>
      <c r="M143" s="666"/>
      <c r="N143" s="667"/>
      <c r="O143" s="667"/>
      <c r="P143" s="665"/>
      <c r="Q143" s="665"/>
      <c r="R143" s="666"/>
      <c r="S143" s="666"/>
      <c r="T143" s="668"/>
      <c r="U143" s="668"/>
      <c r="V143" s="667"/>
      <c r="W143" s="667"/>
      <c r="X143" s="664"/>
      <c r="Y143" s="664"/>
      <c r="Z143" s="664"/>
      <c r="AA143" s="669"/>
      <c r="AB143" s="669"/>
      <c r="AC143" s="669"/>
      <c r="AD143" s="669"/>
      <c r="AE143" s="670"/>
      <c r="AF143" s="670"/>
      <c r="AG143" s="670"/>
      <c r="AH143" s="670"/>
      <c r="AI143" s="671"/>
      <c r="AJ143" s="671"/>
      <c r="AK143" s="672"/>
      <c r="AL143" s="672"/>
      <c r="AM143" s="672"/>
      <c r="AN143" s="671"/>
      <c r="AO143" s="673"/>
      <c r="AP143" s="673"/>
      <c r="AQ143" s="673"/>
      <c r="AR143" s="37"/>
      <c r="AS143" s="235"/>
      <c r="AT143" s="674"/>
      <c r="AU143" s="675"/>
      <c r="AV143" s="676"/>
      <c r="AW143" s="676"/>
      <c r="AX143" s="677"/>
      <c r="AY143" s="677"/>
      <c r="AZ143" s="678"/>
      <c r="BA143" s="679"/>
      <c r="BB143" s="679"/>
      <c r="BC143" s="678"/>
      <c r="BD143" s="678"/>
      <c r="BE143" s="680"/>
      <c r="BF143" s="681"/>
      <c r="BG143" s="682"/>
      <c r="BH143" s="565"/>
      <c r="BI143" s="683"/>
    </row>
    <row r="144" spans="2:61" s="180" customFormat="1" ht="15.95" hidden="1" customHeight="1">
      <c r="B144" s="663"/>
      <c r="C144" s="664"/>
      <c r="D144" s="664"/>
      <c r="E144" s="664"/>
      <c r="F144" s="664"/>
      <c r="G144" s="664"/>
      <c r="H144" s="664"/>
      <c r="I144" s="664"/>
      <c r="J144" s="665"/>
      <c r="K144" s="665"/>
      <c r="L144" s="666"/>
      <c r="M144" s="666"/>
      <c r="N144" s="667"/>
      <c r="O144" s="667"/>
      <c r="P144" s="665"/>
      <c r="Q144" s="665"/>
      <c r="R144" s="666"/>
      <c r="S144" s="666"/>
      <c r="T144" s="668"/>
      <c r="U144" s="668"/>
      <c r="V144" s="667"/>
      <c r="W144" s="667"/>
      <c r="X144" s="664"/>
      <c r="Y144" s="664"/>
      <c r="Z144" s="664"/>
      <c r="AA144" s="669"/>
      <c r="AB144" s="669"/>
      <c r="AC144" s="669"/>
      <c r="AD144" s="669"/>
      <c r="AE144" s="670"/>
      <c r="AF144" s="670"/>
      <c r="AG144" s="670"/>
      <c r="AH144" s="670"/>
      <c r="AI144" s="671"/>
      <c r="AJ144" s="671"/>
      <c r="AK144" s="672"/>
      <c r="AL144" s="672"/>
      <c r="AM144" s="672"/>
      <c r="AN144" s="671"/>
      <c r="AO144" s="673"/>
      <c r="AP144" s="673"/>
      <c r="AQ144" s="673"/>
      <c r="AR144" s="37"/>
      <c r="AS144" s="235"/>
      <c r="AT144" s="674"/>
      <c r="AU144" s="675"/>
      <c r="AV144" s="676"/>
      <c r="AW144" s="676"/>
      <c r="AX144" s="677"/>
      <c r="AY144" s="677"/>
      <c r="AZ144" s="678"/>
      <c r="BA144" s="679"/>
      <c r="BB144" s="679"/>
      <c r="BC144" s="678"/>
      <c r="BD144" s="678"/>
      <c r="BE144" s="680"/>
      <c r="BF144" s="681"/>
      <c r="BG144" s="682"/>
      <c r="BH144" s="565"/>
      <c r="BI144" s="683"/>
    </row>
    <row r="145" spans="2:61" s="180" customFormat="1" ht="15.95" hidden="1" customHeight="1">
      <c r="B145" s="663"/>
      <c r="C145" s="664"/>
      <c r="D145" s="664"/>
      <c r="E145" s="664"/>
      <c r="F145" s="664"/>
      <c r="G145" s="664"/>
      <c r="H145" s="664"/>
      <c r="I145" s="664"/>
      <c r="J145" s="665"/>
      <c r="K145" s="665"/>
      <c r="L145" s="666"/>
      <c r="M145" s="666"/>
      <c r="N145" s="667"/>
      <c r="O145" s="667"/>
      <c r="P145" s="665"/>
      <c r="Q145" s="665"/>
      <c r="R145" s="666"/>
      <c r="S145" s="666"/>
      <c r="T145" s="668"/>
      <c r="U145" s="668"/>
      <c r="V145" s="667"/>
      <c r="W145" s="667"/>
      <c r="X145" s="664"/>
      <c r="Y145" s="664"/>
      <c r="Z145" s="664"/>
      <c r="AA145" s="669"/>
      <c r="AB145" s="669"/>
      <c r="AC145" s="669"/>
      <c r="AD145" s="669"/>
      <c r="AE145" s="670"/>
      <c r="AF145" s="670"/>
      <c r="AG145" s="670"/>
      <c r="AH145" s="670"/>
      <c r="AI145" s="671"/>
      <c r="AJ145" s="671"/>
      <c r="AK145" s="672"/>
      <c r="AL145" s="672"/>
      <c r="AM145" s="672"/>
      <c r="AN145" s="671"/>
      <c r="AO145" s="673"/>
      <c r="AP145" s="673"/>
      <c r="AQ145" s="673"/>
      <c r="AR145" s="37"/>
      <c r="AS145" s="235"/>
      <c r="AT145" s="674"/>
      <c r="AU145" s="675"/>
      <c r="AV145" s="676"/>
      <c r="AW145" s="676"/>
      <c r="AX145" s="677"/>
      <c r="AY145" s="677"/>
      <c r="AZ145" s="678"/>
      <c r="BA145" s="679"/>
      <c r="BB145" s="679"/>
      <c r="BC145" s="678"/>
      <c r="BD145" s="678"/>
      <c r="BE145" s="680"/>
      <c r="BF145" s="681"/>
      <c r="BG145" s="682"/>
      <c r="BH145" s="565"/>
      <c r="BI145" s="683"/>
    </row>
    <row r="146" spans="2:61" s="180" customFormat="1" ht="15.95" hidden="1" customHeight="1">
      <c r="B146" s="663"/>
      <c r="C146" s="664"/>
      <c r="D146" s="664"/>
      <c r="E146" s="664"/>
      <c r="F146" s="664"/>
      <c r="G146" s="664"/>
      <c r="H146" s="664"/>
      <c r="I146" s="664"/>
      <c r="J146" s="665"/>
      <c r="K146" s="665"/>
      <c r="L146" s="666"/>
      <c r="M146" s="666"/>
      <c r="N146" s="667"/>
      <c r="O146" s="667"/>
      <c r="P146" s="665"/>
      <c r="Q146" s="665"/>
      <c r="R146" s="666"/>
      <c r="S146" s="666"/>
      <c r="T146" s="668"/>
      <c r="U146" s="668"/>
      <c r="V146" s="667"/>
      <c r="W146" s="667"/>
      <c r="X146" s="664"/>
      <c r="Y146" s="664"/>
      <c r="Z146" s="664"/>
      <c r="AA146" s="669"/>
      <c r="AB146" s="669"/>
      <c r="AC146" s="669"/>
      <c r="AD146" s="669"/>
      <c r="AE146" s="670"/>
      <c r="AF146" s="670"/>
      <c r="AG146" s="670"/>
      <c r="AH146" s="670"/>
      <c r="AI146" s="671"/>
      <c r="AJ146" s="671"/>
      <c r="AK146" s="672"/>
      <c r="AL146" s="672"/>
      <c r="AM146" s="672"/>
      <c r="AN146" s="671"/>
      <c r="AO146" s="673"/>
      <c r="AP146" s="673"/>
      <c r="AQ146" s="673"/>
      <c r="AR146" s="37"/>
      <c r="AS146" s="235"/>
      <c r="AT146" s="674"/>
      <c r="AU146" s="675"/>
      <c r="AV146" s="676"/>
      <c r="AW146" s="676"/>
      <c r="AX146" s="677"/>
      <c r="AY146" s="677"/>
      <c r="AZ146" s="678"/>
      <c r="BA146" s="679"/>
      <c r="BB146" s="679"/>
      <c r="BC146" s="678"/>
      <c r="BD146" s="678"/>
      <c r="BE146" s="680"/>
      <c r="BF146" s="681"/>
      <c r="BG146" s="682"/>
      <c r="BH146" s="565"/>
      <c r="BI146" s="683"/>
    </row>
    <row r="147" spans="2:61" s="180" customFormat="1" ht="15.95" hidden="1" customHeight="1">
      <c r="B147" s="663"/>
      <c r="C147" s="664"/>
      <c r="D147" s="664"/>
      <c r="E147" s="664"/>
      <c r="F147" s="664"/>
      <c r="G147" s="664"/>
      <c r="H147" s="664"/>
      <c r="I147" s="664"/>
      <c r="J147" s="665"/>
      <c r="K147" s="665"/>
      <c r="L147" s="666"/>
      <c r="M147" s="666"/>
      <c r="N147" s="667"/>
      <c r="O147" s="667"/>
      <c r="P147" s="665"/>
      <c r="Q147" s="665"/>
      <c r="R147" s="666"/>
      <c r="S147" s="666"/>
      <c r="T147" s="668"/>
      <c r="U147" s="668"/>
      <c r="V147" s="667"/>
      <c r="W147" s="667"/>
      <c r="X147" s="664"/>
      <c r="Y147" s="664"/>
      <c r="Z147" s="664"/>
      <c r="AA147" s="669"/>
      <c r="AB147" s="669"/>
      <c r="AC147" s="669"/>
      <c r="AD147" s="669"/>
      <c r="AE147" s="670"/>
      <c r="AF147" s="670"/>
      <c r="AG147" s="670"/>
      <c r="AH147" s="670"/>
      <c r="AI147" s="671"/>
      <c r="AJ147" s="671"/>
      <c r="AK147" s="672"/>
      <c r="AL147" s="672"/>
      <c r="AM147" s="672"/>
      <c r="AN147" s="671"/>
      <c r="AO147" s="673"/>
      <c r="AP147" s="673"/>
      <c r="AQ147" s="673"/>
      <c r="AR147" s="37"/>
      <c r="AS147" s="235"/>
      <c r="AT147" s="674"/>
      <c r="AU147" s="675"/>
      <c r="AV147" s="676"/>
      <c r="AW147" s="676"/>
      <c r="AX147" s="677"/>
      <c r="AY147" s="677"/>
      <c r="AZ147" s="678"/>
      <c r="BA147" s="679"/>
      <c r="BB147" s="679"/>
      <c r="BC147" s="678"/>
      <c r="BD147" s="678"/>
      <c r="BE147" s="680"/>
      <c r="BF147" s="681"/>
      <c r="BG147" s="682"/>
      <c r="BH147" s="565"/>
      <c r="BI147" s="683"/>
    </row>
    <row r="148" spans="2:61" s="180" customFormat="1" ht="15.95" hidden="1" customHeight="1">
      <c r="B148" s="663"/>
      <c r="C148" s="664"/>
      <c r="D148" s="664"/>
      <c r="E148" s="664"/>
      <c r="F148" s="664"/>
      <c r="G148" s="664"/>
      <c r="H148" s="664"/>
      <c r="I148" s="664"/>
      <c r="J148" s="665"/>
      <c r="K148" s="665"/>
      <c r="L148" s="666"/>
      <c r="M148" s="666"/>
      <c r="N148" s="667"/>
      <c r="O148" s="667"/>
      <c r="P148" s="665"/>
      <c r="Q148" s="665"/>
      <c r="R148" s="666"/>
      <c r="S148" s="666"/>
      <c r="T148" s="668"/>
      <c r="U148" s="668"/>
      <c r="V148" s="667"/>
      <c r="W148" s="667"/>
      <c r="X148" s="664"/>
      <c r="Y148" s="664"/>
      <c r="Z148" s="664"/>
      <c r="AA148" s="669"/>
      <c r="AB148" s="669"/>
      <c r="AC148" s="669"/>
      <c r="AD148" s="669"/>
      <c r="AE148" s="670"/>
      <c r="AF148" s="670"/>
      <c r="AG148" s="670"/>
      <c r="AH148" s="670"/>
      <c r="AI148" s="671"/>
      <c r="AJ148" s="671"/>
      <c r="AK148" s="672"/>
      <c r="AL148" s="672"/>
      <c r="AM148" s="672"/>
      <c r="AN148" s="671"/>
      <c r="AO148" s="673"/>
      <c r="AP148" s="673"/>
      <c r="AQ148" s="673"/>
      <c r="AR148" s="37"/>
      <c r="AS148" s="235"/>
      <c r="AT148" s="674"/>
      <c r="AU148" s="675"/>
      <c r="AV148" s="676"/>
      <c r="AW148" s="676"/>
      <c r="AX148" s="677"/>
      <c r="AY148" s="677"/>
      <c r="AZ148" s="678"/>
      <c r="BA148" s="679"/>
      <c r="BB148" s="679"/>
      <c r="BC148" s="678"/>
      <c r="BD148" s="678"/>
      <c r="BE148" s="680"/>
      <c r="BF148" s="681"/>
      <c r="BG148" s="682"/>
      <c r="BH148" s="565"/>
      <c r="BI148" s="683"/>
    </row>
    <row r="149" spans="2:61" s="180" customFormat="1" ht="15.95" hidden="1" customHeight="1">
      <c r="B149" s="663"/>
      <c r="C149" s="664"/>
      <c r="D149" s="664"/>
      <c r="E149" s="664"/>
      <c r="F149" s="664"/>
      <c r="G149" s="664"/>
      <c r="H149" s="664"/>
      <c r="I149" s="664"/>
      <c r="J149" s="665"/>
      <c r="K149" s="665"/>
      <c r="L149" s="666"/>
      <c r="M149" s="666"/>
      <c r="N149" s="667"/>
      <c r="O149" s="667"/>
      <c r="P149" s="665"/>
      <c r="Q149" s="665"/>
      <c r="R149" s="666"/>
      <c r="S149" s="666"/>
      <c r="T149" s="668"/>
      <c r="U149" s="668"/>
      <c r="V149" s="667"/>
      <c r="W149" s="667"/>
      <c r="X149" s="664"/>
      <c r="Y149" s="664"/>
      <c r="Z149" s="664"/>
      <c r="AA149" s="669"/>
      <c r="AB149" s="669"/>
      <c r="AC149" s="669"/>
      <c r="AD149" s="669"/>
      <c r="AE149" s="670"/>
      <c r="AF149" s="670"/>
      <c r="AG149" s="670"/>
      <c r="AH149" s="670"/>
      <c r="AI149" s="671"/>
      <c r="AJ149" s="671"/>
      <c r="AK149" s="672"/>
      <c r="AL149" s="672"/>
      <c r="AM149" s="672"/>
      <c r="AN149" s="671"/>
      <c r="AO149" s="673"/>
      <c r="AP149" s="673"/>
      <c r="AQ149" s="673"/>
      <c r="AR149" s="37"/>
      <c r="AS149" s="235"/>
      <c r="AT149" s="674"/>
      <c r="AU149" s="675"/>
      <c r="AV149" s="676"/>
      <c r="AW149" s="676"/>
      <c r="AX149" s="677"/>
      <c r="AY149" s="677"/>
      <c r="AZ149" s="678"/>
      <c r="BA149" s="679"/>
      <c r="BB149" s="679"/>
      <c r="BC149" s="678"/>
      <c r="BD149" s="678"/>
      <c r="BE149" s="680"/>
      <c r="BF149" s="681"/>
      <c r="BG149" s="682"/>
      <c r="BH149" s="565"/>
      <c r="BI149" s="683"/>
    </row>
    <row r="150" spans="2:61" s="180" customFormat="1" ht="15.95" hidden="1" customHeight="1">
      <c r="B150" s="663"/>
      <c r="C150" s="664"/>
      <c r="D150" s="664"/>
      <c r="E150" s="664"/>
      <c r="F150" s="664"/>
      <c r="G150" s="664"/>
      <c r="H150" s="664"/>
      <c r="I150" s="664"/>
      <c r="J150" s="665"/>
      <c r="K150" s="665"/>
      <c r="L150" s="666"/>
      <c r="M150" s="666"/>
      <c r="N150" s="667"/>
      <c r="O150" s="667"/>
      <c r="P150" s="665"/>
      <c r="Q150" s="665"/>
      <c r="R150" s="666"/>
      <c r="S150" s="666"/>
      <c r="T150" s="668"/>
      <c r="U150" s="668"/>
      <c r="V150" s="667"/>
      <c r="W150" s="667"/>
      <c r="X150" s="664"/>
      <c r="Y150" s="664"/>
      <c r="Z150" s="664"/>
      <c r="AA150" s="669"/>
      <c r="AB150" s="669"/>
      <c r="AC150" s="669"/>
      <c r="AD150" s="669"/>
      <c r="AE150" s="670"/>
      <c r="AF150" s="670"/>
      <c r="AG150" s="670"/>
      <c r="AH150" s="670"/>
      <c r="AI150" s="671"/>
      <c r="AJ150" s="671"/>
      <c r="AK150" s="672"/>
      <c r="AL150" s="672"/>
      <c r="AM150" s="672"/>
      <c r="AN150" s="671"/>
      <c r="AO150" s="673"/>
      <c r="AP150" s="673"/>
      <c r="AQ150" s="673"/>
      <c r="AR150" s="37"/>
      <c r="AS150" s="235"/>
      <c r="AT150" s="674"/>
      <c r="AU150" s="675"/>
      <c r="AV150" s="676"/>
      <c r="AW150" s="676"/>
      <c r="AX150" s="677"/>
      <c r="AY150" s="677"/>
      <c r="AZ150" s="678"/>
      <c r="BA150" s="679"/>
      <c r="BB150" s="679"/>
      <c r="BC150" s="678"/>
      <c r="BD150" s="678"/>
      <c r="BE150" s="680"/>
      <c r="BF150" s="681"/>
      <c r="BG150" s="682"/>
      <c r="BH150" s="565"/>
      <c r="BI150" s="683"/>
    </row>
    <row r="151" spans="2:61" s="180" customFormat="1" ht="15.95" hidden="1" customHeight="1">
      <c r="B151" s="663"/>
      <c r="C151" s="664"/>
      <c r="D151" s="664"/>
      <c r="E151" s="664"/>
      <c r="F151" s="664"/>
      <c r="G151" s="664"/>
      <c r="H151" s="664"/>
      <c r="I151" s="664"/>
      <c r="J151" s="665"/>
      <c r="K151" s="665"/>
      <c r="L151" s="666"/>
      <c r="M151" s="666"/>
      <c r="N151" s="667"/>
      <c r="O151" s="667"/>
      <c r="P151" s="665"/>
      <c r="Q151" s="665"/>
      <c r="R151" s="666"/>
      <c r="S151" s="666"/>
      <c r="T151" s="668"/>
      <c r="U151" s="668"/>
      <c r="V151" s="667"/>
      <c r="W151" s="667"/>
      <c r="X151" s="664"/>
      <c r="Y151" s="664"/>
      <c r="Z151" s="664"/>
      <c r="AA151" s="669"/>
      <c r="AB151" s="669"/>
      <c r="AC151" s="669"/>
      <c r="AD151" s="669"/>
      <c r="AE151" s="670"/>
      <c r="AF151" s="670"/>
      <c r="AG151" s="670"/>
      <c r="AH151" s="670"/>
      <c r="AI151" s="671"/>
      <c r="AJ151" s="671"/>
      <c r="AK151" s="672"/>
      <c r="AL151" s="672"/>
      <c r="AM151" s="672"/>
      <c r="AN151" s="671"/>
      <c r="AO151" s="673"/>
      <c r="AP151" s="673"/>
      <c r="AQ151" s="673"/>
      <c r="AR151" s="37"/>
      <c r="AS151" s="235"/>
      <c r="AT151" s="674"/>
      <c r="AU151" s="675"/>
      <c r="AV151" s="676"/>
      <c r="AW151" s="676"/>
      <c r="AX151" s="677"/>
      <c r="AY151" s="677"/>
      <c r="AZ151" s="678"/>
      <c r="BA151" s="679"/>
      <c r="BB151" s="679"/>
      <c r="BC151" s="678"/>
      <c r="BD151" s="678"/>
      <c r="BE151" s="680"/>
      <c r="BF151" s="681"/>
      <c r="BG151" s="682"/>
      <c r="BH151" s="565"/>
      <c r="BI151" s="683"/>
    </row>
    <row r="152" spans="2:61" s="180" customFormat="1" ht="15.95" hidden="1" customHeight="1">
      <c r="B152" s="663"/>
      <c r="C152" s="664"/>
      <c r="D152" s="664"/>
      <c r="E152" s="664"/>
      <c r="F152" s="664"/>
      <c r="G152" s="664"/>
      <c r="H152" s="664"/>
      <c r="I152" s="664"/>
      <c r="J152" s="665"/>
      <c r="K152" s="665"/>
      <c r="L152" s="666"/>
      <c r="M152" s="666"/>
      <c r="N152" s="667"/>
      <c r="O152" s="667"/>
      <c r="P152" s="665"/>
      <c r="Q152" s="665"/>
      <c r="R152" s="666"/>
      <c r="S152" s="666"/>
      <c r="T152" s="668"/>
      <c r="U152" s="668"/>
      <c r="V152" s="667"/>
      <c r="W152" s="667"/>
      <c r="X152" s="664"/>
      <c r="Y152" s="664"/>
      <c r="Z152" s="664"/>
      <c r="AA152" s="669"/>
      <c r="AB152" s="669"/>
      <c r="AC152" s="669"/>
      <c r="AD152" s="669"/>
      <c r="AE152" s="670"/>
      <c r="AF152" s="670"/>
      <c r="AG152" s="670"/>
      <c r="AH152" s="670"/>
      <c r="AI152" s="671"/>
      <c r="AJ152" s="671"/>
      <c r="AK152" s="672"/>
      <c r="AL152" s="672"/>
      <c r="AM152" s="672"/>
      <c r="AN152" s="671"/>
      <c r="AO152" s="673"/>
      <c r="AP152" s="673"/>
      <c r="AQ152" s="673"/>
      <c r="AR152" s="37"/>
      <c r="AS152" s="235"/>
      <c r="AT152" s="674"/>
      <c r="AU152" s="675"/>
      <c r="AV152" s="676"/>
      <c r="AW152" s="676"/>
      <c r="AX152" s="677"/>
      <c r="AY152" s="677"/>
      <c r="AZ152" s="678"/>
      <c r="BA152" s="679"/>
      <c r="BB152" s="679"/>
      <c r="BC152" s="678"/>
      <c r="BD152" s="678"/>
      <c r="BE152" s="680"/>
      <c r="BF152" s="681"/>
      <c r="BG152" s="682"/>
      <c r="BH152" s="565"/>
      <c r="BI152" s="683"/>
    </row>
    <row r="153" spans="2:61" s="180" customFormat="1" ht="15.95" hidden="1" customHeight="1">
      <c r="B153" s="663"/>
      <c r="C153" s="664"/>
      <c r="D153" s="664"/>
      <c r="E153" s="664"/>
      <c r="F153" s="664"/>
      <c r="G153" s="664"/>
      <c r="H153" s="664"/>
      <c r="I153" s="664"/>
      <c r="J153" s="665"/>
      <c r="K153" s="665"/>
      <c r="L153" s="666"/>
      <c r="M153" s="666"/>
      <c r="N153" s="667"/>
      <c r="O153" s="667"/>
      <c r="P153" s="665"/>
      <c r="Q153" s="665"/>
      <c r="R153" s="666"/>
      <c r="S153" s="666"/>
      <c r="T153" s="668"/>
      <c r="U153" s="668"/>
      <c r="V153" s="667"/>
      <c r="W153" s="667"/>
      <c r="X153" s="664"/>
      <c r="Y153" s="664"/>
      <c r="Z153" s="664"/>
      <c r="AA153" s="669"/>
      <c r="AB153" s="669"/>
      <c r="AC153" s="669"/>
      <c r="AD153" s="669"/>
      <c r="AE153" s="670"/>
      <c r="AF153" s="670"/>
      <c r="AG153" s="670"/>
      <c r="AH153" s="670"/>
      <c r="AI153" s="671"/>
      <c r="AJ153" s="671"/>
      <c r="AK153" s="672"/>
      <c r="AL153" s="672"/>
      <c r="AM153" s="672"/>
      <c r="AN153" s="671"/>
      <c r="AO153" s="673"/>
      <c r="AP153" s="673"/>
      <c r="AQ153" s="673"/>
      <c r="AR153" s="37"/>
      <c r="AS153" s="235"/>
      <c r="AT153" s="674"/>
      <c r="AU153" s="675"/>
      <c r="AV153" s="676"/>
      <c r="AW153" s="676"/>
      <c r="AX153" s="677"/>
      <c r="AY153" s="677"/>
      <c r="AZ153" s="678"/>
      <c r="BA153" s="679"/>
      <c r="BB153" s="679"/>
      <c r="BC153" s="678"/>
      <c r="BD153" s="678"/>
      <c r="BE153" s="680"/>
      <c r="BF153" s="681"/>
      <c r="BG153" s="682"/>
      <c r="BH153" s="565"/>
      <c r="BI153" s="683"/>
    </row>
    <row r="154" spans="2:61" s="180" customFormat="1" ht="15.95" hidden="1" customHeight="1">
      <c r="B154" s="663"/>
      <c r="C154" s="664"/>
      <c r="D154" s="664"/>
      <c r="E154" s="664"/>
      <c r="F154" s="664"/>
      <c r="G154" s="664"/>
      <c r="H154" s="664"/>
      <c r="I154" s="664"/>
      <c r="J154" s="665"/>
      <c r="K154" s="665"/>
      <c r="L154" s="666"/>
      <c r="M154" s="666"/>
      <c r="N154" s="667"/>
      <c r="O154" s="667"/>
      <c r="P154" s="665"/>
      <c r="Q154" s="665"/>
      <c r="R154" s="666"/>
      <c r="S154" s="666"/>
      <c r="T154" s="668"/>
      <c r="U154" s="668"/>
      <c r="V154" s="667"/>
      <c r="W154" s="667"/>
      <c r="X154" s="664"/>
      <c r="Y154" s="664"/>
      <c r="Z154" s="664"/>
      <c r="AA154" s="669"/>
      <c r="AB154" s="669"/>
      <c r="AC154" s="669"/>
      <c r="AD154" s="669"/>
      <c r="AE154" s="670"/>
      <c r="AF154" s="670"/>
      <c r="AG154" s="670"/>
      <c r="AH154" s="670"/>
      <c r="AI154" s="671"/>
      <c r="AJ154" s="671"/>
      <c r="AK154" s="672"/>
      <c r="AL154" s="672"/>
      <c r="AM154" s="672"/>
      <c r="AN154" s="671"/>
      <c r="AO154" s="673"/>
      <c r="AP154" s="673"/>
      <c r="AQ154" s="673"/>
      <c r="AR154" s="37"/>
      <c r="AS154" s="235"/>
      <c r="AT154" s="674"/>
      <c r="AU154" s="675"/>
      <c r="AV154" s="676"/>
      <c r="AW154" s="676"/>
      <c r="AX154" s="677"/>
      <c r="AY154" s="677"/>
      <c r="AZ154" s="678"/>
      <c r="BA154" s="679"/>
      <c r="BB154" s="679"/>
      <c r="BC154" s="678"/>
      <c r="BD154" s="678"/>
      <c r="BE154" s="680"/>
      <c r="BF154" s="681"/>
      <c r="BG154" s="682"/>
      <c r="BH154" s="565"/>
      <c r="BI154" s="683"/>
    </row>
    <row r="155" spans="2:61" s="180" customFormat="1" ht="15.95" hidden="1" customHeight="1">
      <c r="B155" s="663"/>
      <c r="C155" s="664"/>
      <c r="D155" s="664"/>
      <c r="E155" s="664"/>
      <c r="F155" s="664"/>
      <c r="G155" s="664"/>
      <c r="H155" s="664"/>
      <c r="I155" s="664"/>
      <c r="J155" s="665"/>
      <c r="K155" s="665"/>
      <c r="L155" s="666"/>
      <c r="M155" s="666"/>
      <c r="N155" s="667"/>
      <c r="O155" s="667"/>
      <c r="P155" s="665"/>
      <c r="Q155" s="665"/>
      <c r="R155" s="666"/>
      <c r="S155" s="666"/>
      <c r="T155" s="668"/>
      <c r="U155" s="668"/>
      <c r="V155" s="667"/>
      <c r="W155" s="667"/>
      <c r="X155" s="664"/>
      <c r="Y155" s="664"/>
      <c r="Z155" s="664"/>
      <c r="AA155" s="669"/>
      <c r="AB155" s="669"/>
      <c r="AC155" s="669"/>
      <c r="AD155" s="669"/>
      <c r="AE155" s="670"/>
      <c r="AF155" s="670"/>
      <c r="AG155" s="670"/>
      <c r="AH155" s="670"/>
      <c r="AI155" s="671"/>
      <c r="AJ155" s="671"/>
      <c r="AK155" s="672"/>
      <c r="AL155" s="672"/>
      <c r="AM155" s="672"/>
      <c r="AN155" s="671"/>
      <c r="AO155" s="673"/>
      <c r="AP155" s="673"/>
      <c r="AQ155" s="673"/>
      <c r="AR155" s="37"/>
      <c r="AS155" s="235"/>
      <c r="AT155" s="674"/>
      <c r="AU155" s="675"/>
      <c r="AV155" s="676"/>
      <c r="AW155" s="676"/>
      <c r="AX155" s="677"/>
      <c r="AY155" s="677"/>
      <c r="AZ155" s="678"/>
      <c r="BA155" s="679"/>
      <c r="BB155" s="679"/>
      <c r="BC155" s="678"/>
      <c r="BD155" s="678"/>
      <c r="BE155" s="680"/>
      <c r="BF155" s="681"/>
      <c r="BG155" s="682"/>
      <c r="BH155" s="565"/>
      <c r="BI155" s="683"/>
    </row>
    <row r="156" spans="2:61" s="180" customFormat="1" ht="15.95" hidden="1" customHeight="1">
      <c r="B156" s="663"/>
      <c r="C156" s="664"/>
      <c r="D156" s="664"/>
      <c r="E156" s="664"/>
      <c r="F156" s="664"/>
      <c r="G156" s="664"/>
      <c r="H156" s="664"/>
      <c r="I156" s="664"/>
      <c r="J156" s="665"/>
      <c r="K156" s="665"/>
      <c r="L156" s="666"/>
      <c r="M156" s="666"/>
      <c r="N156" s="667"/>
      <c r="O156" s="667"/>
      <c r="P156" s="665"/>
      <c r="Q156" s="665"/>
      <c r="R156" s="666"/>
      <c r="S156" s="666"/>
      <c r="T156" s="668"/>
      <c r="U156" s="668"/>
      <c r="V156" s="667"/>
      <c r="W156" s="667"/>
      <c r="X156" s="664"/>
      <c r="Y156" s="664"/>
      <c r="Z156" s="664"/>
      <c r="AA156" s="669"/>
      <c r="AB156" s="669"/>
      <c r="AC156" s="669"/>
      <c r="AD156" s="669"/>
      <c r="AE156" s="670"/>
      <c r="AF156" s="670"/>
      <c r="AG156" s="670"/>
      <c r="AH156" s="670"/>
      <c r="AI156" s="671"/>
      <c r="AJ156" s="671"/>
      <c r="AK156" s="672"/>
      <c r="AL156" s="672"/>
      <c r="AM156" s="672"/>
      <c r="AN156" s="671"/>
      <c r="AO156" s="673"/>
      <c r="AP156" s="673"/>
      <c r="AQ156" s="673"/>
      <c r="AR156" s="37"/>
      <c r="AS156" s="235"/>
      <c r="AT156" s="674"/>
      <c r="AU156" s="675"/>
      <c r="AV156" s="676"/>
      <c r="AW156" s="676"/>
      <c r="AX156" s="677"/>
      <c r="AY156" s="677"/>
      <c r="AZ156" s="678"/>
      <c r="BA156" s="679"/>
      <c r="BB156" s="679"/>
      <c r="BC156" s="678"/>
      <c r="BD156" s="678"/>
      <c r="BE156" s="680"/>
      <c r="BF156" s="681"/>
      <c r="BG156" s="682"/>
      <c r="BH156" s="565"/>
      <c r="BI156" s="683"/>
    </row>
    <row r="157" spans="2:61" s="180" customFormat="1" ht="15.95" hidden="1" customHeight="1">
      <c r="B157" s="663"/>
      <c r="C157" s="664"/>
      <c r="D157" s="664"/>
      <c r="E157" s="664"/>
      <c r="F157" s="664"/>
      <c r="G157" s="664"/>
      <c r="H157" s="664"/>
      <c r="I157" s="664"/>
      <c r="J157" s="665"/>
      <c r="K157" s="665"/>
      <c r="L157" s="666"/>
      <c r="M157" s="666"/>
      <c r="N157" s="667"/>
      <c r="O157" s="667"/>
      <c r="P157" s="665"/>
      <c r="Q157" s="665"/>
      <c r="R157" s="666"/>
      <c r="S157" s="666"/>
      <c r="T157" s="668"/>
      <c r="U157" s="668"/>
      <c r="V157" s="667"/>
      <c r="W157" s="667"/>
      <c r="X157" s="664"/>
      <c r="Y157" s="664"/>
      <c r="Z157" s="664"/>
      <c r="AA157" s="669"/>
      <c r="AB157" s="669"/>
      <c r="AC157" s="669"/>
      <c r="AD157" s="669"/>
      <c r="AE157" s="670"/>
      <c r="AF157" s="670"/>
      <c r="AG157" s="670"/>
      <c r="AH157" s="670"/>
      <c r="AI157" s="671"/>
      <c r="AJ157" s="671"/>
      <c r="AK157" s="672"/>
      <c r="AL157" s="672"/>
      <c r="AM157" s="672"/>
      <c r="AN157" s="671"/>
      <c r="AO157" s="673"/>
      <c r="AP157" s="673"/>
      <c r="AQ157" s="673"/>
      <c r="AR157" s="37"/>
      <c r="AS157" s="235"/>
      <c r="AT157" s="674"/>
      <c r="AU157" s="675"/>
      <c r="AV157" s="676"/>
      <c r="AW157" s="676"/>
      <c r="AX157" s="677"/>
      <c r="AY157" s="677"/>
      <c r="AZ157" s="678"/>
      <c r="BA157" s="679"/>
      <c r="BB157" s="679"/>
      <c r="BC157" s="678"/>
      <c r="BD157" s="678"/>
      <c r="BE157" s="680"/>
      <c r="BF157" s="681"/>
      <c r="BG157" s="682"/>
      <c r="BH157" s="565"/>
      <c r="BI157" s="683"/>
    </row>
    <row r="158" spans="2:61" s="180" customFormat="1" ht="15.95" hidden="1" customHeight="1">
      <c r="B158" s="663"/>
      <c r="C158" s="664"/>
      <c r="D158" s="664"/>
      <c r="E158" s="664"/>
      <c r="F158" s="664"/>
      <c r="G158" s="664"/>
      <c r="H158" s="664"/>
      <c r="I158" s="664"/>
      <c r="J158" s="665"/>
      <c r="K158" s="665"/>
      <c r="L158" s="666"/>
      <c r="M158" s="666"/>
      <c r="N158" s="667"/>
      <c r="O158" s="667"/>
      <c r="P158" s="665"/>
      <c r="Q158" s="665"/>
      <c r="R158" s="666"/>
      <c r="S158" s="666"/>
      <c r="T158" s="668"/>
      <c r="U158" s="668"/>
      <c r="V158" s="667"/>
      <c r="W158" s="667"/>
      <c r="X158" s="664"/>
      <c r="Y158" s="664"/>
      <c r="Z158" s="664"/>
      <c r="AA158" s="669"/>
      <c r="AB158" s="669"/>
      <c r="AC158" s="669"/>
      <c r="AD158" s="669"/>
      <c r="AE158" s="670"/>
      <c r="AF158" s="670"/>
      <c r="AG158" s="670"/>
      <c r="AH158" s="670"/>
      <c r="AI158" s="671"/>
      <c r="AJ158" s="671"/>
      <c r="AK158" s="672"/>
      <c r="AL158" s="672"/>
      <c r="AM158" s="672"/>
      <c r="AN158" s="671"/>
      <c r="AO158" s="673"/>
      <c r="AP158" s="673"/>
      <c r="AQ158" s="673"/>
      <c r="AR158" s="37"/>
      <c r="AS158" s="235"/>
      <c r="AT158" s="674"/>
      <c r="AU158" s="675"/>
      <c r="AV158" s="676"/>
      <c r="AW158" s="676"/>
      <c r="AX158" s="677"/>
      <c r="AY158" s="677"/>
      <c r="AZ158" s="678"/>
      <c r="BA158" s="679"/>
      <c r="BB158" s="679"/>
      <c r="BC158" s="678"/>
      <c r="BD158" s="678"/>
      <c r="BE158" s="680"/>
      <c r="BF158" s="681"/>
      <c r="BG158" s="682"/>
      <c r="BH158" s="565"/>
      <c r="BI158" s="683"/>
    </row>
    <row r="159" spans="2:61" s="180" customFormat="1" ht="15.95" hidden="1" customHeight="1">
      <c r="B159" s="663"/>
      <c r="C159" s="664"/>
      <c r="D159" s="664"/>
      <c r="E159" s="664"/>
      <c r="F159" s="664"/>
      <c r="G159" s="664"/>
      <c r="H159" s="664"/>
      <c r="I159" s="664"/>
      <c r="J159" s="665"/>
      <c r="K159" s="665"/>
      <c r="L159" s="666"/>
      <c r="M159" s="666"/>
      <c r="N159" s="667"/>
      <c r="O159" s="667"/>
      <c r="P159" s="665"/>
      <c r="Q159" s="665"/>
      <c r="R159" s="666"/>
      <c r="S159" s="666"/>
      <c r="T159" s="668"/>
      <c r="U159" s="668"/>
      <c r="V159" s="667"/>
      <c r="W159" s="667"/>
      <c r="X159" s="664"/>
      <c r="Y159" s="664"/>
      <c r="Z159" s="664"/>
      <c r="AA159" s="669"/>
      <c r="AB159" s="669"/>
      <c r="AC159" s="669"/>
      <c r="AD159" s="669"/>
      <c r="AE159" s="670"/>
      <c r="AF159" s="670"/>
      <c r="AG159" s="670"/>
      <c r="AH159" s="670"/>
      <c r="AI159" s="671"/>
      <c r="AJ159" s="671"/>
      <c r="AK159" s="672"/>
      <c r="AL159" s="672"/>
      <c r="AM159" s="672"/>
      <c r="AN159" s="671"/>
      <c r="AO159" s="673"/>
      <c r="AP159" s="673"/>
      <c r="AQ159" s="673"/>
      <c r="AR159" s="37"/>
      <c r="AS159" s="235"/>
      <c r="AT159" s="674"/>
      <c r="AU159" s="675"/>
      <c r="AV159" s="676"/>
      <c r="AW159" s="676"/>
      <c r="AX159" s="677"/>
      <c r="AY159" s="677"/>
      <c r="AZ159" s="678"/>
      <c r="BA159" s="679"/>
      <c r="BB159" s="679"/>
      <c r="BC159" s="678"/>
      <c r="BD159" s="678"/>
      <c r="BE159" s="680"/>
      <c r="BF159" s="681"/>
      <c r="BG159" s="682"/>
      <c r="BH159" s="565"/>
      <c r="BI159" s="683"/>
    </row>
    <row r="160" spans="2:61" s="180" customFormat="1" ht="15.95" hidden="1" customHeight="1">
      <c r="B160" s="663"/>
      <c r="C160" s="664"/>
      <c r="D160" s="664"/>
      <c r="E160" s="664"/>
      <c r="F160" s="664"/>
      <c r="G160" s="664"/>
      <c r="H160" s="664"/>
      <c r="I160" s="664"/>
      <c r="J160" s="665"/>
      <c r="K160" s="665"/>
      <c r="L160" s="666"/>
      <c r="M160" s="666"/>
      <c r="N160" s="667"/>
      <c r="O160" s="667"/>
      <c r="P160" s="665"/>
      <c r="Q160" s="665"/>
      <c r="R160" s="666"/>
      <c r="S160" s="666"/>
      <c r="T160" s="668"/>
      <c r="U160" s="668"/>
      <c r="V160" s="667"/>
      <c r="W160" s="667"/>
      <c r="X160" s="664"/>
      <c r="Y160" s="664"/>
      <c r="Z160" s="664"/>
      <c r="AA160" s="669"/>
      <c r="AB160" s="669"/>
      <c r="AC160" s="669"/>
      <c r="AD160" s="669"/>
      <c r="AE160" s="670"/>
      <c r="AF160" s="670"/>
      <c r="AG160" s="670"/>
      <c r="AH160" s="670"/>
      <c r="AI160" s="671"/>
      <c r="AJ160" s="671"/>
      <c r="AK160" s="672"/>
      <c r="AL160" s="672"/>
      <c r="AM160" s="672"/>
      <c r="AN160" s="671"/>
      <c r="AO160" s="673"/>
      <c r="AP160" s="673"/>
      <c r="AQ160" s="673"/>
      <c r="AR160" s="37"/>
      <c r="AS160" s="235"/>
      <c r="AT160" s="674"/>
      <c r="AU160" s="675"/>
      <c r="AV160" s="676"/>
      <c r="AW160" s="676"/>
      <c r="AX160" s="677"/>
      <c r="AY160" s="677"/>
      <c r="AZ160" s="678"/>
      <c r="BA160" s="679"/>
      <c r="BB160" s="679"/>
      <c r="BC160" s="678"/>
      <c r="BD160" s="678"/>
      <c r="BE160" s="680"/>
      <c r="BF160" s="681"/>
      <c r="BG160" s="682"/>
      <c r="BH160" s="565"/>
      <c r="BI160" s="683"/>
    </row>
    <row r="161" spans="2:61" s="180" customFormat="1" ht="15.95" hidden="1" customHeight="1">
      <c r="B161" s="663"/>
      <c r="C161" s="664"/>
      <c r="D161" s="664"/>
      <c r="E161" s="664"/>
      <c r="F161" s="664"/>
      <c r="G161" s="664"/>
      <c r="H161" s="664"/>
      <c r="I161" s="664"/>
      <c r="J161" s="665"/>
      <c r="K161" s="665"/>
      <c r="L161" s="666"/>
      <c r="M161" s="666"/>
      <c r="N161" s="667"/>
      <c r="O161" s="667"/>
      <c r="P161" s="665"/>
      <c r="Q161" s="665"/>
      <c r="R161" s="666"/>
      <c r="S161" s="666"/>
      <c r="T161" s="668"/>
      <c r="U161" s="668"/>
      <c r="V161" s="667"/>
      <c r="W161" s="667"/>
      <c r="X161" s="664"/>
      <c r="Y161" s="664"/>
      <c r="Z161" s="664"/>
      <c r="AA161" s="669"/>
      <c r="AB161" s="669"/>
      <c r="AC161" s="669"/>
      <c r="AD161" s="669"/>
      <c r="AE161" s="670"/>
      <c r="AF161" s="670"/>
      <c r="AG161" s="670"/>
      <c r="AH161" s="670"/>
      <c r="AI161" s="671"/>
      <c r="AJ161" s="671"/>
      <c r="AK161" s="672"/>
      <c r="AL161" s="672"/>
      <c r="AM161" s="672"/>
      <c r="AN161" s="671"/>
      <c r="AO161" s="673"/>
      <c r="AP161" s="673"/>
      <c r="AQ161" s="673"/>
      <c r="AR161" s="37"/>
      <c r="AS161" s="235"/>
      <c r="AT161" s="674"/>
      <c r="AU161" s="675"/>
      <c r="AV161" s="676"/>
      <c r="AW161" s="676"/>
      <c r="AX161" s="677"/>
      <c r="AY161" s="677"/>
      <c r="AZ161" s="678"/>
      <c r="BA161" s="679"/>
      <c r="BB161" s="679"/>
      <c r="BC161" s="678"/>
      <c r="BD161" s="678"/>
      <c r="BE161" s="680"/>
      <c r="BF161" s="681"/>
      <c r="BG161" s="682"/>
      <c r="BH161" s="565"/>
      <c r="BI161" s="683"/>
    </row>
    <row r="162" spans="2:61" s="180" customFormat="1" ht="15.95" hidden="1" customHeight="1">
      <c r="B162" s="663"/>
      <c r="C162" s="664"/>
      <c r="D162" s="664"/>
      <c r="E162" s="664"/>
      <c r="F162" s="664"/>
      <c r="G162" s="664"/>
      <c r="H162" s="664"/>
      <c r="I162" s="664"/>
      <c r="J162" s="665"/>
      <c r="K162" s="665"/>
      <c r="L162" s="666"/>
      <c r="M162" s="666"/>
      <c r="N162" s="667"/>
      <c r="O162" s="667"/>
      <c r="P162" s="665"/>
      <c r="Q162" s="665"/>
      <c r="R162" s="666"/>
      <c r="S162" s="666"/>
      <c r="T162" s="668"/>
      <c r="U162" s="668"/>
      <c r="V162" s="667"/>
      <c r="W162" s="667"/>
      <c r="X162" s="664"/>
      <c r="Y162" s="664"/>
      <c r="Z162" s="664"/>
      <c r="AA162" s="669"/>
      <c r="AB162" s="669"/>
      <c r="AC162" s="669"/>
      <c r="AD162" s="669"/>
      <c r="AE162" s="670"/>
      <c r="AF162" s="670"/>
      <c r="AG162" s="670"/>
      <c r="AH162" s="670"/>
      <c r="AI162" s="671"/>
      <c r="AJ162" s="671"/>
      <c r="AK162" s="672"/>
      <c r="AL162" s="672"/>
      <c r="AM162" s="672"/>
      <c r="AN162" s="671"/>
      <c r="AO162" s="673"/>
      <c r="AP162" s="673"/>
      <c r="AQ162" s="673"/>
      <c r="AR162" s="37"/>
      <c r="AS162" s="235"/>
      <c r="AT162" s="674"/>
      <c r="AU162" s="675"/>
      <c r="AV162" s="676"/>
      <c r="AW162" s="676"/>
      <c r="AX162" s="677"/>
      <c r="AY162" s="677"/>
      <c r="AZ162" s="678"/>
      <c r="BA162" s="679"/>
      <c r="BB162" s="679"/>
      <c r="BC162" s="678"/>
      <c r="BD162" s="678"/>
      <c r="BE162" s="680"/>
      <c r="BF162" s="681"/>
      <c r="BG162" s="682"/>
      <c r="BH162" s="565"/>
      <c r="BI162" s="683"/>
    </row>
    <row r="163" spans="2:61" s="180" customFormat="1" ht="15.95" hidden="1" customHeight="1">
      <c r="B163" s="663"/>
      <c r="C163" s="664"/>
      <c r="D163" s="664"/>
      <c r="E163" s="664"/>
      <c r="F163" s="664"/>
      <c r="G163" s="664"/>
      <c r="H163" s="664"/>
      <c r="I163" s="664"/>
      <c r="J163" s="665"/>
      <c r="K163" s="665"/>
      <c r="L163" s="666"/>
      <c r="M163" s="666"/>
      <c r="N163" s="667"/>
      <c r="O163" s="667"/>
      <c r="P163" s="665"/>
      <c r="Q163" s="665"/>
      <c r="R163" s="666"/>
      <c r="S163" s="666"/>
      <c r="T163" s="668"/>
      <c r="U163" s="668"/>
      <c r="V163" s="667"/>
      <c r="W163" s="667"/>
      <c r="X163" s="664"/>
      <c r="Y163" s="664"/>
      <c r="Z163" s="664"/>
      <c r="AA163" s="669"/>
      <c r="AB163" s="669"/>
      <c r="AC163" s="669"/>
      <c r="AD163" s="669"/>
      <c r="AE163" s="670"/>
      <c r="AF163" s="670"/>
      <c r="AG163" s="670"/>
      <c r="AH163" s="670"/>
      <c r="AI163" s="671"/>
      <c r="AJ163" s="671"/>
      <c r="AK163" s="672"/>
      <c r="AL163" s="672"/>
      <c r="AM163" s="672"/>
      <c r="AN163" s="671"/>
      <c r="AO163" s="673"/>
      <c r="AP163" s="673"/>
      <c r="AQ163" s="673"/>
      <c r="AR163" s="37"/>
      <c r="AS163" s="235"/>
      <c r="AT163" s="674"/>
      <c r="AU163" s="675"/>
      <c r="AV163" s="676"/>
      <c r="AW163" s="676"/>
      <c r="AX163" s="677"/>
      <c r="AY163" s="677"/>
      <c r="AZ163" s="678"/>
      <c r="BA163" s="679"/>
      <c r="BB163" s="679"/>
      <c r="BC163" s="678"/>
      <c r="BD163" s="678"/>
      <c r="BE163" s="680"/>
      <c r="BF163" s="681"/>
      <c r="BG163" s="682"/>
      <c r="BH163" s="565"/>
      <c r="BI163" s="683"/>
    </row>
    <row r="164" spans="2:61" s="180" customFormat="1" ht="15.95" hidden="1" customHeight="1">
      <c r="B164" s="663"/>
      <c r="C164" s="664"/>
      <c r="D164" s="664"/>
      <c r="E164" s="664"/>
      <c r="F164" s="664"/>
      <c r="G164" s="664"/>
      <c r="H164" s="664"/>
      <c r="I164" s="664"/>
      <c r="J164" s="665"/>
      <c r="K164" s="665"/>
      <c r="L164" s="666"/>
      <c r="M164" s="666"/>
      <c r="N164" s="667"/>
      <c r="O164" s="667"/>
      <c r="P164" s="665"/>
      <c r="Q164" s="665"/>
      <c r="R164" s="666"/>
      <c r="S164" s="666"/>
      <c r="T164" s="668"/>
      <c r="U164" s="668"/>
      <c r="V164" s="667"/>
      <c r="W164" s="667"/>
      <c r="X164" s="664"/>
      <c r="Y164" s="664"/>
      <c r="Z164" s="664"/>
      <c r="AA164" s="669"/>
      <c r="AB164" s="669"/>
      <c r="AC164" s="669"/>
      <c r="AD164" s="669"/>
      <c r="AE164" s="670"/>
      <c r="AF164" s="670"/>
      <c r="AG164" s="670"/>
      <c r="AH164" s="670"/>
      <c r="AI164" s="671"/>
      <c r="AJ164" s="671"/>
      <c r="AK164" s="672"/>
      <c r="AL164" s="672"/>
      <c r="AM164" s="672"/>
      <c r="AN164" s="671"/>
      <c r="AO164" s="673"/>
      <c r="AP164" s="673"/>
      <c r="AQ164" s="673"/>
      <c r="AR164" s="37"/>
      <c r="AS164" s="235"/>
      <c r="AT164" s="674"/>
      <c r="AU164" s="675"/>
      <c r="AV164" s="676"/>
      <c r="AW164" s="676"/>
      <c r="AX164" s="677"/>
      <c r="AY164" s="677"/>
      <c r="AZ164" s="678"/>
      <c r="BA164" s="679"/>
      <c r="BB164" s="679"/>
      <c r="BC164" s="678"/>
      <c r="BD164" s="678"/>
      <c r="BE164" s="680"/>
      <c r="BF164" s="681"/>
      <c r="BG164" s="682"/>
      <c r="BH164" s="565"/>
      <c r="BI164" s="683"/>
    </row>
    <row r="165" spans="2:61" s="180" customFormat="1" ht="15.95" hidden="1" customHeight="1">
      <c r="B165" s="663"/>
      <c r="C165" s="664"/>
      <c r="D165" s="664"/>
      <c r="E165" s="664"/>
      <c r="F165" s="664"/>
      <c r="G165" s="664"/>
      <c r="H165" s="664"/>
      <c r="I165" s="664"/>
      <c r="J165" s="665"/>
      <c r="K165" s="665"/>
      <c r="L165" s="666"/>
      <c r="M165" s="666"/>
      <c r="N165" s="667"/>
      <c r="O165" s="667"/>
      <c r="P165" s="665"/>
      <c r="Q165" s="665"/>
      <c r="R165" s="666"/>
      <c r="S165" s="666"/>
      <c r="T165" s="668"/>
      <c r="U165" s="668"/>
      <c r="V165" s="667"/>
      <c r="W165" s="667"/>
      <c r="X165" s="664"/>
      <c r="Y165" s="664"/>
      <c r="Z165" s="664"/>
      <c r="AA165" s="669"/>
      <c r="AB165" s="669"/>
      <c r="AC165" s="669"/>
      <c r="AD165" s="669"/>
      <c r="AE165" s="670"/>
      <c r="AF165" s="670"/>
      <c r="AG165" s="670"/>
      <c r="AH165" s="670"/>
      <c r="AI165" s="671"/>
      <c r="AJ165" s="671"/>
      <c r="AK165" s="672"/>
      <c r="AL165" s="672"/>
      <c r="AM165" s="672"/>
      <c r="AN165" s="671"/>
      <c r="AO165" s="673"/>
      <c r="AP165" s="673"/>
      <c r="AQ165" s="673"/>
      <c r="AR165" s="37"/>
      <c r="AS165" s="235"/>
      <c r="AT165" s="674"/>
      <c r="AU165" s="675"/>
      <c r="AV165" s="676"/>
      <c r="AW165" s="676"/>
      <c r="AX165" s="677"/>
      <c r="AY165" s="677"/>
      <c r="AZ165" s="678"/>
      <c r="BA165" s="679"/>
      <c r="BB165" s="679"/>
      <c r="BC165" s="678"/>
      <c r="BD165" s="678"/>
      <c r="BE165" s="680"/>
      <c r="BF165" s="681"/>
      <c r="BG165" s="682"/>
      <c r="BH165" s="565"/>
      <c r="BI165" s="683"/>
    </row>
    <row r="166" spans="2:61" s="180" customFormat="1" ht="15.95" hidden="1" customHeight="1">
      <c r="B166" s="663"/>
      <c r="C166" s="664"/>
      <c r="D166" s="664"/>
      <c r="E166" s="664"/>
      <c r="F166" s="664"/>
      <c r="G166" s="664"/>
      <c r="H166" s="664"/>
      <c r="I166" s="664"/>
      <c r="J166" s="665"/>
      <c r="K166" s="665"/>
      <c r="L166" s="666"/>
      <c r="M166" s="666"/>
      <c r="N166" s="667"/>
      <c r="O166" s="667"/>
      <c r="P166" s="665"/>
      <c r="Q166" s="665"/>
      <c r="R166" s="666"/>
      <c r="S166" s="666"/>
      <c r="T166" s="668"/>
      <c r="U166" s="668"/>
      <c r="V166" s="667"/>
      <c r="W166" s="667"/>
      <c r="X166" s="664"/>
      <c r="Y166" s="664"/>
      <c r="Z166" s="664"/>
      <c r="AA166" s="669"/>
      <c r="AB166" s="669"/>
      <c r="AC166" s="669"/>
      <c r="AD166" s="669"/>
      <c r="AE166" s="670"/>
      <c r="AF166" s="670"/>
      <c r="AG166" s="670"/>
      <c r="AH166" s="670"/>
      <c r="AI166" s="671"/>
      <c r="AJ166" s="671"/>
      <c r="AK166" s="672"/>
      <c r="AL166" s="672"/>
      <c r="AM166" s="672"/>
      <c r="AN166" s="671"/>
      <c r="AO166" s="673"/>
      <c r="AP166" s="673"/>
      <c r="AQ166" s="673"/>
      <c r="AR166" s="37"/>
      <c r="AS166" s="235"/>
      <c r="AT166" s="674"/>
      <c r="AU166" s="675"/>
      <c r="AV166" s="676"/>
      <c r="AW166" s="676"/>
      <c r="AX166" s="677"/>
      <c r="AY166" s="677"/>
      <c r="AZ166" s="678"/>
      <c r="BA166" s="679"/>
      <c r="BB166" s="679"/>
      <c r="BC166" s="678"/>
      <c r="BD166" s="678"/>
      <c r="BE166" s="680"/>
      <c r="BF166" s="681"/>
      <c r="BG166" s="682"/>
      <c r="BH166" s="565"/>
      <c r="BI166" s="683"/>
    </row>
    <row r="167" spans="2:61" s="180" customFormat="1" ht="15.95" hidden="1" customHeight="1">
      <c r="B167" s="663"/>
      <c r="C167" s="664"/>
      <c r="D167" s="664"/>
      <c r="E167" s="664"/>
      <c r="F167" s="664"/>
      <c r="G167" s="664"/>
      <c r="H167" s="664"/>
      <c r="I167" s="664"/>
      <c r="J167" s="665"/>
      <c r="K167" s="665"/>
      <c r="L167" s="666"/>
      <c r="M167" s="666"/>
      <c r="N167" s="667"/>
      <c r="O167" s="667"/>
      <c r="P167" s="665"/>
      <c r="Q167" s="665"/>
      <c r="R167" s="666"/>
      <c r="S167" s="666"/>
      <c r="T167" s="668"/>
      <c r="U167" s="668"/>
      <c r="V167" s="667"/>
      <c r="W167" s="667"/>
      <c r="X167" s="664"/>
      <c r="Y167" s="664"/>
      <c r="Z167" s="664"/>
      <c r="AA167" s="669"/>
      <c r="AB167" s="669"/>
      <c r="AC167" s="669"/>
      <c r="AD167" s="669"/>
      <c r="AE167" s="670"/>
      <c r="AF167" s="670"/>
      <c r="AG167" s="670"/>
      <c r="AH167" s="670"/>
      <c r="AI167" s="671"/>
      <c r="AJ167" s="671"/>
      <c r="AK167" s="672"/>
      <c r="AL167" s="672"/>
      <c r="AM167" s="672"/>
      <c r="AN167" s="671"/>
      <c r="AO167" s="673"/>
      <c r="AP167" s="673"/>
      <c r="AQ167" s="673"/>
      <c r="AR167" s="37"/>
      <c r="AS167" s="235"/>
      <c r="AT167" s="674"/>
      <c r="AU167" s="675"/>
      <c r="AV167" s="676"/>
      <c r="AW167" s="676"/>
      <c r="AX167" s="677"/>
      <c r="AY167" s="677"/>
      <c r="AZ167" s="678"/>
      <c r="BA167" s="679"/>
      <c r="BB167" s="679"/>
      <c r="BC167" s="678"/>
      <c r="BD167" s="678"/>
      <c r="BE167" s="680"/>
      <c r="BF167" s="681"/>
      <c r="BG167" s="682"/>
      <c r="BH167" s="565"/>
      <c r="BI167" s="683"/>
    </row>
    <row r="168" spans="2:61" s="180" customFormat="1" ht="15.95" hidden="1" customHeight="1">
      <c r="B168" s="663"/>
      <c r="C168" s="664"/>
      <c r="D168" s="664"/>
      <c r="E168" s="664"/>
      <c r="F168" s="664"/>
      <c r="G168" s="664"/>
      <c r="H168" s="664"/>
      <c r="I168" s="664"/>
      <c r="J168" s="665"/>
      <c r="K168" s="665"/>
      <c r="L168" s="666"/>
      <c r="M168" s="666"/>
      <c r="N168" s="667"/>
      <c r="O168" s="667"/>
      <c r="P168" s="665"/>
      <c r="Q168" s="665"/>
      <c r="R168" s="666"/>
      <c r="S168" s="666"/>
      <c r="T168" s="668"/>
      <c r="U168" s="668"/>
      <c r="V168" s="667"/>
      <c r="W168" s="667"/>
      <c r="X168" s="664"/>
      <c r="Y168" s="664"/>
      <c r="Z168" s="664"/>
      <c r="AA168" s="669"/>
      <c r="AB168" s="669"/>
      <c r="AC168" s="669"/>
      <c r="AD168" s="669"/>
      <c r="AE168" s="670"/>
      <c r="AF168" s="670"/>
      <c r="AG168" s="670"/>
      <c r="AH168" s="670"/>
      <c r="AI168" s="671"/>
      <c r="AJ168" s="671"/>
      <c r="AK168" s="672"/>
      <c r="AL168" s="672"/>
      <c r="AM168" s="672"/>
      <c r="AN168" s="671"/>
      <c r="AO168" s="673"/>
      <c r="AP168" s="673"/>
      <c r="AQ168" s="673"/>
      <c r="AR168" s="37"/>
      <c r="AS168" s="235"/>
      <c r="AT168" s="674"/>
      <c r="AU168" s="675"/>
      <c r="AV168" s="676"/>
      <c r="AW168" s="676"/>
      <c r="AX168" s="677"/>
      <c r="AY168" s="677"/>
      <c r="AZ168" s="678"/>
      <c r="BA168" s="679"/>
      <c r="BB168" s="679"/>
      <c r="BC168" s="678"/>
      <c r="BD168" s="678"/>
      <c r="BE168" s="680"/>
      <c r="BF168" s="681"/>
      <c r="BG168" s="682"/>
      <c r="BH168" s="565"/>
      <c r="BI168" s="683"/>
    </row>
    <row r="169" spans="2:61" s="180" customFormat="1" ht="15.95" hidden="1" customHeight="1">
      <c r="B169" s="663"/>
      <c r="C169" s="664"/>
      <c r="D169" s="664"/>
      <c r="E169" s="664"/>
      <c r="F169" s="664"/>
      <c r="G169" s="664"/>
      <c r="H169" s="664"/>
      <c r="I169" s="664"/>
      <c r="J169" s="665"/>
      <c r="K169" s="665"/>
      <c r="L169" s="666"/>
      <c r="M169" s="666"/>
      <c r="N169" s="667"/>
      <c r="O169" s="667"/>
      <c r="P169" s="665"/>
      <c r="Q169" s="665"/>
      <c r="R169" s="666"/>
      <c r="S169" s="666"/>
      <c r="T169" s="668"/>
      <c r="U169" s="668"/>
      <c r="V169" s="667"/>
      <c r="W169" s="667"/>
      <c r="X169" s="664"/>
      <c r="Y169" s="664"/>
      <c r="Z169" s="664"/>
      <c r="AA169" s="669"/>
      <c r="AB169" s="669"/>
      <c r="AC169" s="669"/>
      <c r="AD169" s="669"/>
      <c r="AE169" s="670"/>
      <c r="AF169" s="670"/>
      <c r="AG169" s="670"/>
      <c r="AH169" s="670"/>
      <c r="AI169" s="671"/>
      <c r="AJ169" s="671"/>
      <c r="AK169" s="672"/>
      <c r="AL169" s="672"/>
      <c r="AM169" s="672"/>
      <c r="AN169" s="671"/>
      <c r="AO169" s="673"/>
      <c r="AP169" s="673"/>
      <c r="AQ169" s="673"/>
      <c r="AR169" s="37"/>
      <c r="AS169" s="235"/>
      <c r="AT169" s="674"/>
      <c r="AU169" s="675"/>
      <c r="AV169" s="676"/>
      <c r="AW169" s="676"/>
      <c r="AX169" s="677"/>
      <c r="AY169" s="677"/>
      <c r="AZ169" s="678"/>
      <c r="BA169" s="679"/>
      <c r="BB169" s="679"/>
      <c r="BC169" s="678"/>
      <c r="BD169" s="678"/>
      <c r="BE169" s="680"/>
      <c r="BF169" s="681"/>
      <c r="BG169" s="682"/>
      <c r="BH169" s="565"/>
      <c r="BI169" s="683"/>
    </row>
    <row r="170" spans="2:61" s="180" customFormat="1" ht="15.95" hidden="1" customHeight="1">
      <c r="B170" s="663"/>
      <c r="C170" s="664"/>
      <c r="D170" s="664"/>
      <c r="E170" s="664"/>
      <c r="F170" s="664"/>
      <c r="G170" s="664"/>
      <c r="H170" s="664"/>
      <c r="I170" s="664"/>
      <c r="J170" s="665"/>
      <c r="K170" s="665"/>
      <c r="L170" s="666"/>
      <c r="M170" s="666"/>
      <c r="N170" s="667"/>
      <c r="O170" s="667"/>
      <c r="P170" s="665"/>
      <c r="Q170" s="665"/>
      <c r="R170" s="666"/>
      <c r="S170" s="666"/>
      <c r="T170" s="668"/>
      <c r="U170" s="668"/>
      <c r="V170" s="667"/>
      <c r="W170" s="667"/>
      <c r="X170" s="664"/>
      <c r="Y170" s="664"/>
      <c r="Z170" s="664"/>
      <c r="AA170" s="669"/>
      <c r="AB170" s="669"/>
      <c r="AC170" s="669"/>
      <c r="AD170" s="669"/>
      <c r="AE170" s="670"/>
      <c r="AF170" s="670"/>
      <c r="AG170" s="670"/>
      <c r="AH170" s="670"/>
      <c r="AI170" s="671"/>
      <c r="AJ170" s="671"/>
      <c r="AK170" s="672"/>
      <c r="AL170" s="672"/>
      <c r="AM170" s="672"/>
      <c r="AN170" s="671"/>
      <c r="AO170" s="673"/>
      <c r="AP170" s="673"/>
      <c r="AQ170" s="673"/>
      <c r="AR170" s="37"/>
      <c r="AS170" s="235"/>
      <c r="AT170" s="674"/>
      <c r="AU170" s="675"/>
      <c r="AV170" s="676"/>
      <c r="AW170" s="676"/>
      <c r="AX170" s="677"/>
      <c r="AY170" s="677"/>
      <c r="AZ170" s="678"/>
      <c r="BA170" s="679"/>
      <c r="BB170" s="679"/>
      <c r="BC170" s="678"/>
      <c r="BD170" s="678"/>
      <c r="BE170" s="680"/>
      <c r="BF170" s="681"/>
      <c r="BG170" s="682"/>
      <c r="BH170" s="565"/>
      <c r="BI170" s="683"/>
    </row>
    <row r="171" spans="2:61" s="180" customFormat="1" ht="15.95" hidden="1" customHeight="1">
      <c r="B171" s="663"/>
      <c r="C171" s="664"/>
      <c r="D171" s="664"/>
      <c r="E171" s="664"/>
      <c r="F171" s="664"/>
      <c r="G171" s="664"/>
      <c r="H171" s="664"/>
      <c r="I171" s="664"/>
      <c r="J171" s="665"/>
      <c r="K171" s="665"/>
      <c r="L171" s="666"/>
      <c r="M171" s="666"/>
      <c r="N171" s="667"/>
      <c r="O171" s="667"/>
      <c r="P171" s="665"/>
      <c r="Q171" s="665"/>
      <c r="R171" s="666"/>
      <c r="S171" s="666"/>
      <c r="T171" s="668"/>
      <c r="U171" s="668"/>
      <c r="V171" s="667"/>
      <c r="W171" s="667"/>
      <c r="X171" s="664"/>
      <c r="Y171" s="664"/>
      <c r="Z171" s="664"/>
      <c r="AA171" s="669"/>
      <c r="AB171" s="669"/>
      <c r="AC171" s="669"/>
      <c r="AD171" s="669"/>
      <c r="AE171" s="670"/>
      <c r="AF171" s="670"/>
      <c r="AG171" s="670"/>
      <c r="AH171" s="670"/>
      <c r="AI171" s="671"/>
      <c r="AJ171" s="671"/>
      <c r="AK171" s="672"/>
      <c r="AL171" s="672"/>
      <c r="AM171" s="672"/>
      <c r="AN171" s="671"/>
      <c r="AO171" s="673"/>
      <c r="AP171" s="673"/>
      <c r="AQ171" s="673"/>
      <c r="AR171" s="37"/>
      <c r="AS171" s="235"/>
      <c r="AT171" s="674"/>
      <c r="AU171" s="675"/>
      <c r="AV171" s="676"/>
      <c r="AW171" s="676"/>
      <c r="AX171" s="677"/>
      <c r="AY171" s="677"/>
      <c r="AZ171" s="678"/>
      <c r="BA171" s="679"/>
      <c r="BB171" s="679"/>
      <c r="BC171" s="678"/>
      <c r="BD171" s="678"/>
      <c r="BE171" s="680"/>
      <c r="BF171" s="681"/>
      <c r="BG171" s="682"/>
      <c r="BH171" s="565"/>
      <c r="BI171" s="683"/>
    </row>
    <row r="172" spans="2:61" s="180" customFormat="1" ht="15.95" hidden="1" customHeight="1">
      <c r="B172" s="663"/>
      <c r="C172" s="664"/>
      <c r="D172" s="664"/>
      <c r="E172" s="664"/>
      <c r="F172" s="664"/>
      <c r="G172" s="664"/>
      <c r="H172" s="664"/>
      <c r="I172" s="664"/>
      <c r="J172" s="665"/>
      <c r="K172" s="665"/>
      <c r="L172" s="666"/>
      <c r="M172" s="666"/>
      <c r="N172" s="667"/>
      <c r="O172" s="667"/>
      <c r="P172" s="665"/>
      <c r="Q172" s="665"/>
      <c r="R172" s="666"/>
      <c r="S172" s="666"/>
      <c r="T172" s="668"/>
      <c r="U172" s="668"/>
      <c r="V172" s="667"/>
      <c r="W172" s="667"/>
      <c r="X172" s="664"/>
      <c r="Y172" s="664"/>
      <c r="Z172" s="664"/>
      <c r="AA172" s="669"/>
      <c r="AB172" s="669"/>
      <c r="AC172" s="669"/>
      <c r="AD172" s="669"/>
      <c r="AE172" s="670"/>
      <c r="AF172" s="670"/>
      <c r="AG172" s="670"/>
      <c r="AH172" s="670"/>
      <c r="AI172" s="671"/>
      <c r="AJ172" s="671"/>
      <c r="AK172" s="672"/>
      <c r="AL172" s="672"/>
      <c r="AM172" s="672"/>
      <c r="AN172" s="671"/>
      <c r="AO172" s="673"/>
      <c r="AP172" s="673"/>
      <c r="AQ172" s="673"/>
      <c r="AR172" s="37"/>
      <c r="AS172" s="235"/>
      <c r="AT172" s="674"/>
      <c r="AU172" s="675"/>
      <c r="AV172" s="676"/>
      <c r="AW172" s="676"/>
      <c r="AX172" s="677"/>
      <c r="AY172" s="677"/>
      <c r="AZ172" s="678"/>
      <c r="BA172" s="679"/>
      <c r="BB172" s="679"/>
      <c r="BC172" s="678"/>
      <c r="BD172" s="678"/>
      <c r="BE172" s="680"/>
      <c r="BF172" s="681"/>
      <c r="BG172" s="682"/>
      <c r="BH172" s="565"/>
      <c r="BI172" s="683"/>
    </row>
    <row r="173" spans="2:61" s="180" customFormat="1" ht="15.95" hidden="1" customHeight="1">
      <c r="B173" s="663"/>
      <c r="C173" s="664"/>
      <c r="D173" s="664"/>
      <c r="E173" s="664"/>
      <c r="F173" s="664"/>
      <c r="G173" s="664"/>
      <c r="H173" s="664"/>
      <c r="I173" s="664"/>
      <c r="J173" s="665"/>
      <c r="K173" s="665"/>
      <c r="L173" s="666"/>
      <c r="M173" s="666"/>
      <c r="N173" s="667"/>
      <c r="O173" s="667"/>
      <c r="P173" s="665"/>
      <c r="Q173" s="665"/>
      <c r="R173" s="666"/>
      <c r="S173" s="666"/>
      <c r="T173" s="668"/>
      <c r="U173" s="668"/>
      <c r="V173" s="667"/>
      <c r="W173" s="667"/>
      <c r="X173" s="664"/>
      <c r="Y173" s="664"/>
      <c r="Z173" s="664"/>
      <c r="AA173" s="669"/>
      <c r="AB173" s="669"/>
      <c r="AC173" s="669"/>
      <c r="AD173" s="669"/>
      <c r="AE173" s="670"/>
      <c r="AF173" s="670"/>
      <c r="AG173" s="670"/>
      <c r="AH173" s="670"/>
      <c r="AI173" s="671"/>
      <c r="AJ173" s="671"/>
      <c r="AK173" s="672"/>
      <c r="AL173" s="672"/>
      <c r="AM173" s="672"/>
      <c r="AN173" s="671"/>
      <c r="AO173" s="673"/>
      <c r="AP173" s="673"/>
      <c r="AQ173" s="673"/>
      <c r="AR173" s="37"/>
      <c r="AS173" s="235"/>
      <c r="AT173" s="674"/>
      <c r="AU173" s="675"/>
      <c r="AV173" s="676"/>
      <c r="AW173" s="676"/>
      <c r="AX173" s="677"/>
      <c r="AY173" s="677"/>
      <c r="AZ173" s="678"/>
      <c r="BA173" s="679"/>
      <c r="BB173" s="679"/>
      <c r="BC173" s="678"/>
      <c r="BD173" s="678"/>
      <c r="BE173" s="680"/>
      <c r="BF173" s="681"/>
      <c r="BG173" s="682"/>
      <c r="BH173" s="565"/>
      <c r="BI173" s="683"/>
    </row>
    <row r="174" spans="2:61" s="180" customFormat="1" ht="15.95" hidden="1" customHeight="1">
      <c r="B174" s="663"/>
      <c r="C174" s="664"/>
      <c r="D174" s="664"/>
      <c r="E174" s="664"/>
      <c r="F174" s="664"/>
      <c r="G174" s="664"/>
      <c r="H174" s="664"/>
      <c r="I174" s="664"/>
      <c r="J174" s="665"/>
      <c r="K174" s="665"/>
      <c r="L174" s="666"/>
      <c r="M174" s="666"/>
      <c r="N174" s="667"/>
      <c r="O174" s="667"/>
      <c r="P174" s="665"/>
      <c r="Q174" s="665"/>
      <c r="R174" s="666"/>
      <c r="S174" s="666"/>
      <c r="T174" s="668"/>
      <c r="U174" s="668"/>
      <c r="V174" s="667"/>
      <c r="W174" s="667"/>
      <c r="X174" s="664"/>
      <c r="Y174" s="664"/>
      <c r="Z174" s="664"/>
      <c r="AA174" s="669"/>
      <c r="AB174" s="669"/>
      <c r="AC174" s="669"/>
      <c r="AD174" s="669"/>
      <c r="AE174" s="670"/>
      <c r="AF174" s="670"/>
      <c r="AG174" s="670"/>
      <c r="AH174" s="670"/>
      <c r="AI174" s="671"/>
      <c r="AJ174" s="671"/>
      <c r="AK174" s="672"/>
      <c r="AL174" s="672"/>
      <c r="AM174" s="672"/>
      <c r="AN174" s="671"/>
      <c r="AO174" s="673"/>
      <c r="AP174" s="673"/>
      <c r="AQ174" s="673"/>
      <c r="AR174" s="37"/>
      <c r="AS174" s="235"/>
      <c r="AT174" s="674"/>
      <c r="AU174" s="675"/>
      <c r="AV174" s="676"/>
      <c r="AW174" s="676"/>
      <c r="AX174" s="677"/>
      <c r="AY174" s="677"/>
      <c r="AZ174" s="678"/>
      <c r="BA174" s="679"/>
      <c r="BB174" s="679"/>
      <c r="BC174" s="678"/>
      <c r="BD174" s="678"/>
      <c r="BE174" s="680"/>
      <c r="BF174" s="681"/>
      <c r="BG174" s="682"/>
      <c r="BH174" s="565"/>
      <c r="BI174" s="683"/>
    </row>
    <row r="175" spans="2:61" s="180" customFormat="1" ht="15.95" hidden="1" customHeight="1">
      <c r="B175" s="663"/>
      <c r="C175" s="664"/>
      <c r="D175" s="664"/>
      <c r="E175" s="664"/>
      <c r="F175" s="664"/>
      <c r="G175" s="664"/>
      <c r="H175" s="664"/>
      <c r="I175" s="664"/>
      <c r="J175" s="665"/>
      <c r="K175" s="665"/>
      <c r="L175" s="666"/>
      <c r="M175" s="666"/>
      <c r="N175" s="667"/>
      <c r="O175" s="667"/>
      <c r="P175" s="665"/>
      <c r="Q175" s="665"/>
      <c r="R175" s="666"/>
      <c r="S175" s="666"/>
      <c r="T175" s="668"/>
      <c r="U175" s="668"/>
      <c r="V175" s="667"/>
      <c r="W175" s="667"/>
      <c r="X175" s="664"/>
      <c r="Y175" s="664"/>
      <c r="Z175" s="664"/>
      <c r="AA175" s="669"/>
      <c r="AB175" s="669"/>
      <c r="AC175" s="669"/>
      <c r="AD175" s="669"/>
      <c r="AE175" s="670"/>
      <c r="AF175" s="670"/>
      <c r="AG175" s="670"/>
      <c r="AH175" s="670"/>
      <c r="AI175" s="671"/>
      <c r="AJ175" s="671"/>
      <c r="AK175" s="672"/>
      <c r="AL175" s="672"/>
      <c r="AM175" s="672"/>
      <c r="AN175" s="671"/>
      <c r="AO175" s="673"/>
      <c r="AP175" s="673"/>
      <c r="AQ175" s="673"/>
      <c r="AR175" s="37"/>
      <c r="AS175" s="235"/>
      <c r="AT175" s="674"/>
      <c r="AU175" s="675"/>
      <c r="AV175" s="676"/>
      <c r="AW175" s="676"/>
      <c r="AX175" s="677"/>
      <c r="AY175" s="677"/>
      <c r="AZ175" s="678"/>
      <c r="BA175" s="679"/>
      <c r="BB175" s="679"/>
      <c r="BC175" s="678"/>
      <c r="BD175" s="678"/>
      <c r="BE175" s="680"/>
      <c r="BF175" s="681"/>
      <c r="BG175" s="682"/>
      <c r="BH175" s="565"/>
      <c r="BI175" s="683"/>
    </row>
    <row r="176" spans="2:61" s="180" customFormat="1" ht="15.95" hidden="1" customHeight="1">
      <c r="B176" s="663"/>
      <c r="C176" s="664"/>
      <c r="D176" s="664"/>
      <c r="E176" s="664"/>
      <c r="F176" s="664"/>
      <c r="G176" s="664"/>
      <c r="H176" s="664"/>
      <c r="I176" s="664"/>
      <c r="J176" s="665"/>
      <c r="K176" s="665"/>
      <c r="L176" s="666"/>
      <c r="M176" s="666"/>
      <c r="N176" s="667"/>
      <c r="O176" s="667"/>
      <c r="P176" s="665"/>
      <c r="Q176" s="665"/>
      <c r="R176" s="666"/>
      <c r="S176" s="666"/>
      <c r="T176" s="668"/>
      <c r="U176" s="668"/>
      <c r="V176" s="667"/>
      <c r="W176" s="667"/>
      <c r="X176" s="664"/>
      <c r="Y176" s="664"/>
      <c r="Z176" s="664"/>
      <c r="AA176" s="669"/>
      <c r="AB176" s="669"/>
      <c r="AC176" s="669"/>
      <c r="AD176" s="669"/>
      <c r="AE176" s="670"/>
      <c r="AF176" s="670"/>
      <c r="AG176" s="670"/>
      <c r="AH176" s="670"/>
      <c r="AI176" s="671"/>
      <c r="AJ176" s="671"/>
      <c r="AK176" s="672"/>
      <c r="AL176" s="672"/>
      <c r="AM176" s="672"/>
      <c r="AN176" s="671"/>
      <c r="AO176" s="673"/>
      <c r="AP176" s="673"/>
      <c r="AQ176" s="673"/>
      <c r="AR176" s="37"/>
      <c r="AS176" s="235"/>
      <c r="AT176" s="674"/>
      <c r="AU176" s="675"/>
      <c r="AV176" s="676"/>
      <c r="AW176" s="676"/>
      <c r="AX176" s="677"/>
      <c r="AY176" s="677"/>
      <c r="AZ176" s="678"/>
      <c r="BA176" s="679"/>
      <c r="BB176" s="679"/>
      <c r="BC176" s="678"/>
      <c r="BD176" s="678"/>
      <c r="BE176" s="680"/>
      <c r="BF176" s="681"/>
      <c r="BG176" s="682"/>
      <c r="BH176" s="565"/>
      <c r="BI176" s="683"/>
    </row>
    <row r="177" spans="2:61" s="180" customFormat="1" ht="15.95" hidden="1" customHeight="1">
      <c r="B177" s="663"/>
      <c r="C177" s="664"/>
      <c r="D177" s="664"/>
      <c r="E177" s="664"/>
      <c r="F177" s="664"/>
      <c r="G177" s="664"/>
      <c r="H177" s="664"/>
      <c r="I177" s="664"/>
      <c r="J177" s="665"/>
      <c r="K177" s="665"/>
      <c r="L177" s="666"/>
      <c r="M177" s="666"/>
      <c r="N177" s="667"/>
      <c r="O177" s="667"/>
      <c r="P177" s="665"/>
      <c r="Q177" s="665"/>
      <c r="R177" s="666"/>
      <c r="S177" s="666"/>
      <c r="T177" s="668"/>
      <c r="U177" s="668"/>
      <c r="V177" s="667"/>
      <c r="W177" s="667"/>
      <c r="X177" s="664"/>
      <c r="Y177" s="664"/>
      <c r="Z177" s="664"/>
      <c r="AA177" s="669"/>
      <c r="AB177" s="669"/>
      <c r="AC177" s="669"/>
      <c r="AD177" s="669"/>
      <c r="AE177" s="670"/>
      <c r="AF177" s="670"/>
      <c r="AG177" s="670"/>
      <c r="AH177" s="670"/>
      <c r="AI177" s="671"/>
      <c r="AJ177" s="671"/>
      <c r="AK177" s="672"/>
      <c r="AL177" s="672"/>
      <c r="AM177" s="672"/>
      <c r="AN177" s="671"/>
      <c r="AO177" s="673"/>
      <c r="AP177" s="673"/>
      <c r="AQ177" s="673"/>
      <c r="AR177" s="37"/>
      <c r="AS177" s="235"/>
      <c r="AT177" s="674"/>
      <c r="AU177" s="675"/>
      <c r="AV177" s="676"/>
      <c r="AW177" s="676"/>
      <c r="AX177" s="677"/>
      <c r="AY177" s="677"/>
      <c r="AZ177" s="678"/>
      <c r="BA177" s="679"/>
      <c r="BB177" s="679"/>
      <c r="BC177" s="678"/>
      <c r="BD177" s="678"/>
      <c r="BE177" s="680"/>
      <c r="BF177" s="681"/>
      <c r="BG177" s="682"/>
      <c r="BH177" s="565"/>
      <c r="BI177" s="683"/>
    </row>
    <row r="178" spans="2:61" s="180" customFormat="1" ht="15.95" hidden="1" customHeight="1">
      <c r="B178" s="663"/>
      <c r="C178" s="664"/>
      <c r="D178" s="664"/>
      <c r="E178" s="664"/>
      <c r="F178" s="664"/>
      <c r="G178" s="664"/>
      <c r="H178" s="664"/>
      <c r="I178" s="664"/>
      <c r="J178" s="665"/>
      <c r="K178" s="665"/>
      <c r="L178" s="666"/>
      <c r="M178" s="666"/>
      <c r="N178" s="667"/>
      <c r="O178" s="667"/>
      <c r="P178" s="665"/>
      <c r="Q178" s="665"/>
      <c r="R178" s="666"/>
      <c r="S178" s="666"/>
      <c r="T178" s="668"/>
      <c r="U178" s="668"/>
      <c r="V178" s="667"/>
      <c r="W178" s="667"/>
      <c r="X178" s="664"/>
      <c r="Y178" s="664"/>
      <c r="Z178" s="664"/>
      <c r="AA178" s="669"/>
      <c r="AB178" s="669"/>
      <c r="AC178" s="669"/>
      <c r="AD178" s="669"/>
      <c r="AE178" s="670"/>
      <c r="AF178" s="670"/>
      <c r="AG178" s="670"/>
      <c r="AH178" s="670"/>
      <c r="AI178" s="671"/>
      <c r="AJ178" s="671"/>
      <c r="AK178" s="672"/>
      <c r="AL178" s="672"/>
      <c r="AM178" s="672"/>
      <c r="AN178" s="671"/>
      <c r="AO178" s="673"/>
      <c r="AP178" s="673"/>
      <c r="AQ178" s="673"/>
      <c r="AR178" s="37"/>
      <c r="AS178" s="235"/>
      <c r="AT178" s="674"/>
      <c r="AU178" s="675"/>
      <c r="AV178" s="676"/>
      <c r="AW178" s="676"/>
      <c r="AX178" s="677"/>
      <c r="AY178" s="677"/>
      <c r="AZ178" s="678"/>
      <c r="BA178" s="679"/>
      <c r="BB178" s="679"/>
      <c r="BC178" s="678"/>
      <c r="BD178" s="678"/>
      <c r="BE178" s="680"/>
      <c r="BF178" s="681"/>
      <c r="BG178" s="682"/>
      <c r="BH178" s="565"/>
      <c r="BI178" s="683"/>
    </row>
    <row r="179" spans="2:61" s="180" customFormat="1" ht="15.95" hidden="1" customHeight="1">
      <c r="B179" s="663"/>
      <c r="C179" s="664"/>
      <c r="D179" s="664"/>
      <c r="E179" s="664"/>
      <c r="F179" s="664"/>
      <c r="G179" s="664"/>
      <c r="H179" s="664"/>
      <c r="I179" s="664"/>
      <c r="J179" s="665"/>
      <c r="K179" s="665"/>
      <c r="L179" s="666"/>
      <c r="M179" s="666"/>
      <c r="N179" s="667"/>
      <c r="O179" s="667"/>
      <c r="P179" s="665"/>
      <c r="Q179" s="665"/>
      <c r="R179" s="666"/>
      <c r="S179" s="666"/>
      <c r="T179" s="668"/>
      <c r="U179" s="668"/>
      <c r="V179" s="667"/>
      <c r="W179" s="667"/>
      <c r="X179" s="664"/>
      <c r="Y179" s="664"/>
      <c r="Z179" s="664"/>
      <c r="AA179" s="669"/>
      <c r="AB179" s="669"/>
      <c r="AC179" s="669"/>
      <c r="AD179" s="669"/>
      <c r="AE179" s="670"/>
      <c r="AF179" s="670"/>
      <c r="AG179" s="670"/>
      <c r="AH179" s="670"/>
      <c r="AI179" s="671"/>
      <c r="AJ179" s="671"/>
      <c r="AK179" s="672"/>
      <c r="AL179" s="672"/>
      <c r="AM179" s="672"/>
      <c r="AN179" s="671"/>
      <c r="AO179" s="673"/>
      <c r="AP179" s="673"/>
      <c r="AQ179" s="673"/>
      <c r="AR179" s="37"/>
      <c r="AS179" s="235"/>
      <c r="AT179" s="674"/>
      <c r="AU179" s="675"/>
      <c r="AV179" s="676"/>
      <c r="AW179" s="676"/>
      <c r="AX179" s="677"/>
      <c r="AY179" s="677"/>
      <c r="AZ179" s="678"/>
      <c r="BA179" s="679"/>
      <c r="BB179" s="679"/>
      <c r="BC179" s="678"/>
      <c r="BD179" s="678"/>
      <c r="BE179" s="680"/>
      <c r="BF179" s="681"/>
      <c r="BG179" s="682"/>
      <c r="BH179" s="565"/>
      <c r="BI179" s="683"/>
    </row>
    <row r="180" spans="2:61" s="180" customFormat="1" ht="15.95" hidden="1" customHeight="1">
      <c r="B180" s="663"/>
      <c r="C180" s="664"/>
      <c r="D180" s="664"/>
      <c r="E180" s="664"/>
      <c r="F180" s="664"/>
      <c r="G180" s="664"/>
      <c r="H180" s="664"/>
      <c r="I180" s="664"/>
      <c r="J180" s="665"/>
      <c r="K180" s="665"/>
      <c r="L180" s="666"/>
      <c r="M180" s="666"/>
      <c r="N180" s="667"/>
      <c r="O180" s="667"/>
      <c r="P180" s="665"/>
      <c r="Q180" s="665"/>
      <c r="R180" s="666"/>
      <c r="S180" s="666"/>
      <c r="T180" s="668"/>
      <c r="U180" s="668"/>
      <c r="V180" s="667"/>
      <c r="W180" s="667"/>
      <c r="X180" s="664"/>
      <c r="Y180" s="664"/>
      <c r="Z180" s="664"/>
      <c r="AA180" s="669"/>
      <c r="AB180" s="669"/>
      <c r="AC180" s="669"/>
      <c r="AD180" s="669"/>
      <c r="AE180" s="670"/>
      <c r="AF180" s="670"/>
      <c r="AG180" s="670"/>
      <c r="AH180" s="670"/>
      <c r="AI180" s="671"/>
      <c r="AJ180" s="671"/>
      <c r="AK180" s="672"/>
      <c r="AL180" s="672"/>
      <c r="AM180" s="672"/>
      <c r="AN180" s="671"/>
      <c r="AO180" s="673"/>
      <c r="AP180" s="673"/>
      <c r="AQ180" s="673"/>
      <c r="AR180" s="37"/>
      <c r="AS180" s="235"/>
      <c r="AT180" s="674"/>
      <c r="AU180" s="675"/>
      <c r="AV180" s="676"/>
      <c r="AW180" s="676"/>
      <c r="AX180" s="677"/>
      <c r="AY180" s="677"/>
      <c r="AZ180" s="678"/>
      <c r="BA180" s="679"/>
      <c r="BB180" s="679"/>
      <c r="BC180" s="678"/>
      <c r="BD180" s="678"/>
      <c r="BE180" s="680"/>
      <c r="BF180" s="681"/>
      <c r="BG180" s="682"/>
      <c r="BH180" s="565"/>
      <c r="BI180" s="683"/>
    </row>
    <row r="181" spans="2:61" s="180" customFormat="1" ht="15.95" hidden="1" customHeight="1">
      <c r="B181" s="663"/>
      <c r="C181" s="664"/>
      <c r="D181" s="664"/>
      <c r="E181" s="664"/>
      <c r="F181" s="664"/>
      <c r="G181" s="664"/>
      <c r="H181" s="664"/>
      <c r="I181" s="664"/>
      <c r="J181" s="665"/>
      <c r="K181" s="665"/>
      <c r="L181" s="666"/>
      <c r="M181" s="666"/>
      <c r="N181" s="667"/>
      <c r="O181" s="667"/>
      <c r="P181" s="665"/>
      <c r="Q181" s="665"/>
      <c r="R181" s="666"/>
      <c r="S181" s="666"/>
      <c r="T181" s="668"/>
      <c r="U181" s="668"/>
      <c r="V181" s="667"/>
      <c r="W181" s="667"/>
      <c r="X181" s="664"/>
      <c r="Y181" s="664"/>
      <c r="Z181" s="664"/>
      <c r="AA181" s="669"/>
      <c r="AB181" s="669"/>
      <c r="AC181" s="669"/>
      <c r="AD181" s="669"/>
      <c r="AE181" s="670"/>
      <c r="AF181" s="670"/>
      <c r="AG181" s="670"/>
      <c r="AH181" s="670"/>
      <c r="AI181" s="671"/>
      <c r="AJ181" s="671"/>
      <c r="AK181" s="672"/>
      <c r="AL181" s="672"/>
      <c r="AM181" s="672"/>
      <c r="AN181" s="671"/>
      <c r="AO181" s="673"/>
      <c r="AP181" s="673"/>
      <c r="AQ181" s="673"/>
      <c r="AR181" s="37"/>
      <c r="AS181" s="235"/>
      <c r="AT181" s="674"/>
      <c r="AU181" s="675"/>
      <c r="AV181" s="676"/>
      <c r="AW181" s="676"/>
      <c r="AX181" s="677"/>
      <c r="AY181" s="677"/>
      <c r="AZ181" s="678"/>
      <c r="BA181" s="679"/>
      <c r="BB181" s="679"/>
      <c r="BC181" s="678"/>
      <c r="BD181" s="678"/>
      <c r="BE181" s="680"/>
      <c r="BF181" s="681"/>
      <c r="BG181" s="682"/>
      <c r="BH181" s="565"/>
      <c r="BI181" s="683"/>
    </row>
    <row r="182" spans="2:61" s="180" customFormat="1" ht="15.95" hidden="1" customHeight="1">
      <c r="B182" s="663"/>
      <c r="C182" s="664"/>
      <c r="D182" s="664"/>
      <c r="E182" s="664"/>
      <c r="F182" s="664"/>
      <c r="G182" s="664"/>
      <c r="H182" s="664"/>
      <c r="I182" s="664"/>
      <c r="J182" s="665"/>
      <c r="K182" s="665"/>
      <c r="L182" s="666"/>
      <c r="M182" s="666"/>
      <c r="N182" s="667"/>
      <c r="O182" s="667"/>
      <c r="P182" s="665"/>
      <c r="Q182" s="665"/>
      <c r="R182" s="666"/>
      <c r="S182" s="666"/>
      <c r="T182" s="668"/>
      <c r="U182" s="668"/>
      <c r="V182" s="667"/>
      <c r="W182" s="667"/>
      <c r="X182" s="664"/>
      <c r="Y182" s="664"/>
      <c r="Z182" s="664"/>
      <c r="AA182" s="669"/>
      <c r="AB182" s="669"/>
      <c r="AC182" s="669"/>
      <c r="AD182" s="669"/>
      <c r="AE182" s="670"/>
      <c r="AF182" s="670"/>
      <c r="AG182" s="670"/>
      <c r="AH182" s="670"/>
      <c r="AI182" s="671"/>
      <c r="AJ182" s="671"/>
      <c r="AK182" s="672"/>
      <c r="AL182" s="672"/>
      <c r="AM182" s="672"/>
      <c r="AN182" s="671"/>
      <c r="AO182" s="673"/>
      <c r="AP182" s="673"/>
      <c r="AQ182" s="673"/>
      <c r="AR182" s="37"/>
      <c r="AS182" s="235"/>
      <c r="AT182" s="674"/>
      <c r="AU182" s="675"/>
      <c r="AV182" s="676"/>
      <c r="AW182" s="676"/>
      <c r="AX182" s="677"/>
      <c r="AY182" s="677"/>
      <c r="AZ182" s="678"/>
      <c r="BA182" s="679"/>
      <c r="BB182" s="679"/>
      <c r="BC182" s="678"/>
      <c r="BD182" s="678"/>
      <c r="BE182" s="680"/>
      <c r="BF182" s="681"/>
      <c r="BG182" s="682"/>
      <c r="BH182" s="565"/>
      <c r="BI182" s="683"/>
    </row>
    <row r="183" spans="2:61" s="180" customFormat="1" ht="15.95" hidden="1" customHeight="1">
      <c r="B183" s="663"/>
      <c r="C183" s="664"/>
      <c r="D183" s="664"/>
      <c r="E183" s="664"/>
      <c r="F183" s="664"/>
      <c r="G183" s="664"/>
      <c r="H183" s="664"/>
      <c r="I183" s="664"/>
      <c r="J183" s="665"/>
      <c r="K183" s="665"/>
      <c r="L183" s="666"/>
      <c r="M183" s="666"/>
      <c r="N183" s="667"/>
      <c r="O183" s="667"/>
      <c r="P183" s="665"/>
      <c r="Q183" s="665"/>
      <c r="R183" s="666"/>
      <c r="S183" s="666"/>
      <c r="T183" s="668"/>
      <c r="U183" s="668"/>
      <c r="V183" s="667"/>
      <c r="W183" s="667"/>
      <c r="X183" s="664"/>
      <c r="Y183" s="664"/>
      <c r="Z183" s="664"/>
      <c r="AA183" s="669"/>
      <c r="AB183" s="669"/>
      <c r="AC183" s="669"/>
      <c r="AD183" s="669"/>
      <c r="AE183" s="670"/>
      <c r="AF183" s="670"/>
      <c r="AG183" s="670"/>
      <c r="AH183" s="670"/>
      <c r="AI183" s="671"/>
      <c r="AJ183" s="671"/>
      <c r="AK183" s="672"/>
      <c r="AL183" s="672"/>
      <c r="AM183" s="672"/>
      <c r="AN183" s="671"/>
      <c r="AO183" s="673"/>
      <c r="AP183" s="673"/>
      <c r="AQ183" s="673"/>
      <c r="AR183" s="37"/>
      <c r="AS183" s="235"/>
      <c r="AT183" s="674"/>
      <c r="AU183" s="675"/>
      <c r="AV183" s="676"/>
      <c r="AW183" s="676"/>
      <c r="AX183" s="677"/>
      <c r="AY183" s="677"/>
      <c r="AZ183" s="678"/>
      <c r="BA183" s="679"/>
      <c r="BB183" s="679"/>
      <c r="BC183" s="678"/>
      <c r="BD183" s="678"/>
      <c r="BE183" s="680"/>
      <c r="BF183" s="681"/>
      <c r="BG183" s="682"/>
      <c r="BH183" s="565"/>
      <c r="BI183" s="683"/>
    </row>
    <row r="184" spans="2:61" s="180" customFormat="1" ht="15.95" hidden="1" customHeight="1">
      <c r="B184" s="663"/>
      <c r="C184" s="664"/>
      <c r="D184" s="664"/>
      <c r="E184" s="664"/>
      <c r="F184" s="664"/>
      <c r="G184" s="664"/>
      <c r="H184" s="664"/>
      <c r="I184" s="664"/>
      <c r="J184" s="665"/>
      <c r="K184" s="665"/>
      <c r="L184" s="666"/>
      <c r="M184" s="666"/>
      <c r="N184" s="667"/>
      <c r="O184" s="667"/>
      <c r="P184" s="665"/>
      <c r="Q184" s="665"/>
      <c r="R184" s="666"/>
      <c r="S184" s="666"/>
      <c r="T184" s="668"/>
      <c r="U184" s="668"/>
      <c r="V184" s="667"/>
      <c r="W184" s="667"/>
      <c r="X184" s="664"/>
      <c r="Y184" s="664"/>
      <c r="Z184" s="664"/>
      <c r="AA184" s="669"/>
      <c r="AB184" s="669"/>
      <c r="AC184" s="669"/>
      <c r="AD184" s="669"/>
      <c r="AE184" s="670"/>
      <c r="AF184" s="670"/>
      <c r="AG184" s="670"/>
      <c r="AH184" s="670"/>
      <c r="AI184" s="671"/>
      <c r="AJ184" s="671"/>
      <c r="AK184" s="672"/>
      <c r="AL184" s="672"/>
      <c r="AM184" s="672"/>
      <c r="AN184" s="671"/>
      <c r="AO184" s="673"/>
      <c r="AP184" s="673"/>
      <c r="AQ184" s="673"/>
      <c r="AR184" s="37"/>
      <c r="AS184" s="235"/>
      <c r="AT184" s="674"/>
      <c r="AU184" s="675"/>
      <c r="AV184" s="676"/>
      <c r="AW184" s="676"/>
      <c r="AX184" s="677"/>
      <c r="AY184" s="677"/>
      <c r="AZ184" s="678"/>
      <c r="BA184" s="679"/>
      <c r="BB184" s="679"/>
      <c r="BC184" s="678"/>
      <c r="BD184" s="678"/>
      <c r="BE184" s="680"/>
      <c r="BF184" s="681"/>
      <c r="BG184" s="682"/>
      <c r="BH184" s="565"/>
      <c r="BI184" s="683"/>
    </row>
    <row r="185" spans="2:61" s="180" customFormat="1" ht="15.95" hidden="1" customHeight="1">
      <c r="B185" s="663"/>
      <c r="C185" s="664"/>
      <c r="D185" s="664"/>
      <c r="E185" s="664"/>
      <c r="F185" s="664"/>
      <c r="G185" s="664"/>
      <c r="H185" s="664"/>
      <c r="I185" s="664"/>
      <c r="J185" s="665"/>
      <c r="K185" s="665"/>
      <c r="L185" s="666"/>
      <c r="M185" s="666"/>
      <c r="N185" s="667"/>
      <c r="O185" s="667"/>
      <c r="P185" s="665"/>
      <c r="Q185" s="665"/>
      <c r="R185" s="666"/>
      <c r="S185" s="666"/>
      <c r="T185" s="668"/>
      <c r="U185" s="668"/>
      <c r="V185" s="667"/>
      <c r="W185" s="667"/>
      <c r="X185" s="664"/>
      <c r="Y185" s="664"/>
      <c r="Z185" s="664"/>
      <c r="AA185" s="669"/>
      <c r="AB185" s="669"/>
      <c r="AC185" s="669"/>
      <c r="AD185" s="669"/>
      <c r="AE185" s="670"/>
      <c r="AF185" s="670"/>
      <c r="AG185" s="670"/>
      <c r="AH185" s="670"/>
      <c r="AI185" s="671"/>
      <c r="AJ185" s="671"/>
      <c r="AK185" s="672"/>
      <c r="AL185" s="672"/>
      <c r="AM185" s="672"/>
      <c r="AN185" s="671"/>
      <c r="AO185" s="673"/>
      <c r="AP185" s="673"/>
      <c r="AQ185" s="673"/>
      <c r="AR185" s="37"/>
      <c r="AS185" s="235"/>
      <c r="AT185" s="674"/>
      <c r="AU185" s="675"/>
      <c r="AV185" s="676"/>
      <c r="AW185" s="676"/>
      <c r="AX185" s="677"/>
      <c r="AY185" s="677"/>
      <c r="AZ185" s="678"/>
      <c r="BA185" s="679"/>
      <c r="BB185" s="679"/>
      <c r="BC185" s="678"/>
      <c r="BD185" s="678"/>
      <c r="BE185" s="680"/>
      <c r="BF185" s="681"/>
      <c r="BG185" s="682"/>
      <c r="BH185" s="565"/>
      <c r="BI185" s="683"/>
    </row>
    <row r="186" spans="2:61" s="180" customFormat="1" ht="15.95" hidden="1" customHeight="1">
      <c r="B186" s="663"/>
      <c r="C186" s="664"/>
      <c r="D186" s="664"/>
      <c r="E186" s="664"/>
      <c r="F186" s="664"/>
      <c r="G186" s="664"/>
      <c r="H186" s="664"/>
      <c r="I186" s="664"/>
      <c r="J186" s="665"/>
      <c r="K186" s="665"/>
      <c r="L186" s="666"/>
      <c r="M186" s="666"/>
      <c r="N186" s="667"/>
      <c r="O186" s="667"/>
      <c r="P186" s="665"/>
      <c r="Q186" s="665"/>
      <c r="R186" s="666"/>
      <c r="S186" s="666"/>
      <c r="T186" s="668"/>
      <c r="U186" s="668"/>
      <c r="V186" s="667"/>
      <c r="W186" s="667"/>
      <c r="X186" s="664"/>
      <c r="Y186" s="664"/>
      <c r="Z186" s="664"/>
      <c r="AA186" s="669"/>
      <c r="AB186" s="669"/>
      <c r="AC186" s="669"/>
      <c r="AD186" s="669"/>
      <c r="AE186" s="670"/>
      <c r="AF186" s="670"/>
      <c r="AG186" s="670"/>
      <c r="AH186" s="670"/>
      <c r="AI186" s="671"/>
      <c r="AJ186" s="671"/>
      <c r="AK186" s="672"/>
      <c r="AL186" s="672"/>
      <c r="AM186" s="672"/>
      <c r="AN186" s="671"/>
      <c r="AO186" s="673"/>
      <c r="AP186" s="673"/>
      <c r="AQ186" s="673"/>
      <c r="AR186" s="37"/>
      <c r="AS186" s="235"/>
      <c r="AT186" s="674"/>
      <c r="AU186" s="675"/>
      <c r="AV186" s="676"/>
      <c r="AW186" s="676"/>
      <c r="AX186" s="677"/>
      <c r="AY186" s="677"/>
      <c r="AZ186" s="678"/>
      <c r="BA186" s="679"/>
      <c r="BB186" s="679"/>
      <c r="BC186" s="678"/>
      <c r="BD186" s="678"/>
      <c r="BE186" s="680"/>
      <c r="BF186" s="681"/>
      <c r="BG186" s="682"/>
      <c r="BH186" s="565"/>
      <c r="BI186" s="683"/>
    </row>
    <row r="187" spans="2:61" s="180" customFormat="1" ht="15.95" hidden="1" customHeight="1">
      <c r="B187" s="663"/>
      <c r="C187" s="664"/>
      <c r="D187" s="664"/>
      <c r="E187" s="664"/>
      <c r="F187" s="664"/>
      <c r="G187" s="664"/>
      <c r="H187" s="664"/>
      <c r="I187" s="664"/>
      <c r="J187" s="665"/>
      <c r="K187" s="665"/>
      <c r="L187" s="666"/>
      <c r="M187" s="666"/>
      <c r="N187" s="667"/>
      <c r="O187" s="667"/>
      <c r="P187" s="665"/>
      <c r="Q187" s="665"/>
      <c r="R187" s="666"/>
      <c r="S187" s="666"/>
      <c r="T187" s="668"/>
      <c r="U187" s="668"/>
      <c r="V187" s="667"/>
      <c r="W187" s="667"/>
      <c r="X187" s="664"/>
      <c r="Y187" s="664"/>
      <c r="Z187" s="664"/>
      <c r="AA187" s="669"/>
      <c r="AB187" s="669"/>
      <c r="AC187" s="669"/>
      <c r="AD187" s="669"/>
      <c r="AE187" s="670"/>
      <c r="AF187" s="670"/>
      <c r="AG187" s="670"/>
      <c r="AH187" s="670"/>
      <c r="AI187" s="671"/>
      <c r="AJ187" s="671"/>
      <c r="AK187" s="672"/>
      <c r="AL187" s="672"/>
      <c r="AM187" s="672"/>
      <c r="AN187" s="671"/>
      <c r="AO187" s="673"/>
      <c r="AP187" s="673"/>
      <c r="AQ187" s="673"/>
      <c r="AR187" s="37"/>
      <c r="AS187" s="235"/>
      <c r="AT187" s="674"/>
      <c r="AU187" s="675"/>
      <c r="AV187" s="676"/>
      <c r="AW187" s="676"/>
      <c r="AX187" s="677"/>
      <c r="AY187" s="677"/>
      <c r="AZ187" s="678"/>
      <c r="BA187" s="679"/>
      <c r="BB187" s="679"/>
      <c r="BC187" s="678"/>
      <c r="BD187" s="678"/>
      <c r="BE187" s="680"/>
      <c r="BF187" s="681"/>
      <c r="BG187" s="682"/>
      <c r="BH187" s="565"/>
      <c r="BI187" s="683"/>
    </row>
    <row r="188" spans="2:61" s="180" customFormat="1" ht="15.95" hidden="1" customHeight="1">
      <c r="B188" s="663"/>
      <c r="C188" s="664"/>
      <c r="D188" s="664"/>
      <c r="E188" s="664"/>
      <c r="F188" s="664"/>
      <c r="G188" s="664"/>
      <c r="H188" s="664"/>
      <c r="I188" s="664"/>
      <c r="J188" s="665"/>
      <c r="K188" s="665"/>
      <c r="L188" s="666"/>
      <c r="M188" s="666"/>
      <c r="N188" s="667"/>
      <c r="O188" s="667"/>
      <c r="P188" s="665"/>
      <c r="Q188" s="665"/>
      <c r="R188" s="666"/>
      <c r="S188" s="666"/>
      <c r="T188" s="668"/>
      <c r="U188" s="668"/>
      <c r="V188" s="667"/>
      <c r="W188" s="667"/>
      <c r="X188" s="664"/>
      <c r="Y188" s="664"/>
      <c r="Z188" s="664"/>
      <c r="AA188" s="669"/>
      <c r="AB188" s="669"/>
      <c r="AC188" s="669"/>
      <c r="AD188" s="669"/>
      <c r="AE188" s="670"/>
      <c r="AF188" s="670"/>
      <c r="AG188" s="670"/>
      <c r="AH188" s="670"/>
      <c r="AI188" s="671"/>
      <c r="AJ188" s="671"/>
      <c r="AK188" s="672"/>
      <c r="AL188" s="672"/>
      <c r="AM188" s="672"/>
      <c r="AN188" s="671"/>
      <c r="AO188" s="673"/>
      <c r="AP188" s="673"/>
      <c r="AQ188" s="673"/>
      <c r="AR188" s="37"/>
      <c r="AS188" s="235"/>
      <c r="AT188" s="674"/>
      <c r="AU188" s="675"/>
      <c r="AV188" s="676"/>
      <c r="AW188" s="676"/>
      <c r="AX188" s="677"/>
      <c r="AY188" s="677"/>
      <c r="AZ188" s="678"/>
      <c r="BA188" s="679"/>
      <c r="BB188" s="679"/>
      <c r="BC188" s="678"/>
      <c r="BD188" s="678"/>
      <c r="BE188" s="680"/>
      <c r="BF188" s="681"/>
      <c r="BG188" s="682"/>
      <c r="BH188" s="565"/>
      <c r="BI188" s="683"/>
    </row>
    <row r="189" spans="2:61" s="180" customFormat="1" ht="15.95" hidden="1" customHeight="1">
      <c r="B189" s="663"/>
      <c r="C189" s="664"/>
      <c r="D189" s="664"/>
      <c r="E189" s="664"/>
      <c r="F189" s="664"/>
      <c r="G189" s="664"/>
      <c r="H189" s="664"/>
      <c r="I189" s="664"/>
      <c r="J189" s="665"/>
      <c r="K189" s="665"/>
      <c r="L189" s="666"/>
      <c r="M189" s="666"/>
      <c r="N189" s="667"/>
      <c r="O189" s="667"/>
      <c r="P189" s="665"/>
      <c r="Q189" s="665"/>
      <c r="R189" s="666"/>
      <c r="S189" s="666"/>
      <c r="T189" s="668"/>
      <c r="U189" s="668"/>
      <c r="V189" s="667"/>
      <c r="W189" s="667"/>
      <c r="X189" s="664"/>
      <c r="Y189" s="664"/>
      <c r="Z189" s="664"/>
      <c r="AA189" s="669"/>
      <c r="AB189" s="669"/>
      <c r="AC189" s="669"/>
      <c r="AD189" s="669"/>
      <c r="AE189" s="670"/>
      <c r="AF189" s="670"/>
      <c r="AG189" s="670"/>
      <c r="AH189" s="670"/>
      <c r="AI189" s="671"/>
      <c r="AJ189" s="671"/>
      <c r="AK189" s="672"/>
      <c r="AL189" s="672"/>
      <c r="AM189" s="672"/>
      <c r="AN189" s="671"/>
      <c r="AO189" s="673"/>
      <c r="AP189" s="673"/>
      <c r="AQ189" s="673"/>
      <c r="AR189" s="37"/>
      <c r="AS189" s="235"/>
      <c r="AT189" s="674"/>
      <c r="AU189" s="675"/>
      <c r="AV189" s="676"/>
      <c r="AW189" s="676"/>
      <c r="AX189" s="677"/>
      <c r="AY189" s="677"/>
      <c r="AZ189" s="678"/>
      <c r="BA189" s="679"/>
      <c r="BB189" s="679"/>
      <c r="BC189" s="678"/>
      <c r="BD189" s="678"/>
      <c r="BE189" s="680"/>
      <c r="BF189" s="681"/>
      <c r="BG189" s="682"/>
      <c r="BH189" s="565"/>
      <c r="BI189" s="683"/>
    </row>
    <row r="190" spans="2:61" s="180" customFormat="1" ht="15.95" hidden="1" customHeight="1">
      <c r="B190" s="663"/>
      <c r="C190" s="664"/>
      <c r="D190" s="664"/>
      <c r="E190" s="664"/>
      <c r="F190" s="664"/>
      <c r="G190" s="664"/>
      <c r="H190" s="664"/>
      <c r="I190" s="664"/>
      <c r="J190" s="665"/>
      <c r="K190" s="665"/>
      <c r="L190" s="666"/>
      <c r="M190" s="666"/>
      <c r="N190" s="667"/>
      <c r="O190" s="667"/>
      <c r="P190" s="665"/>
      <c r="Q190" s="665"/>
      <c r="R190" s="666"/>
      <c r="S190" s="666"/>
      <c r="T190" s="668"/>
      <c r="U190" s="668"/>
      <c r="V190" s="667"/>
      <c r="W190" s="667"/>
      <c r="X190" s="664"/>
      <c r="Y190" s="664"/>
      <c r="Z190" s="664"/>
      <c r="AA190" s="669"/>
      <c r="AB190" s="669"/>
      <c r="AC190" s="669"/>
      <c r="AD190" s="669"/>
      <c r="AE190" s="670"/>
      <c r="AF190" s="670"/>
      <c r="AG190" s="670"/>
      <c r="AH190" s="670"/>
      <c r="AI190" s="671"/>
      <c r="AJ190" s="671"/>
      <c r="AK190" s="672"/>
      <c r="AL190" s="672"/>
      <c r="AM190" s="672"/>
      <c r="AN190" s="671"/>
      <c r="AO190" s="673"/>
      <c r="AP190" s="673"/>
      <c r="AQ190" s="673"/>
      <c r="AR190" s="37"/>
      <c r="AS190" s="235"/>
      <c r="AT190" s="674"/>
      <c r="AU190" s="675"/>
      <c r="AV190" s="676"/>
      <c r="AW190" s="676"/>
      <c r="AX190" s="677"/>
      <c r="AY190" s="677"/>
      <c r="AZ190" s="678"/>
      <c r="BA190" s="679"/>
      <c r="BB190" s="679"/>
      <c r="BC190" s="678"/>
      <c r="BD190" s="678"/>
      <c r="BE190" s="680"/>
      <c r="BF190" s="681"/>
      <c r="BG190" s="682"/>
      <c r="BH190" s="565"/>
      <c r="BI190" s="683"/>
    </row>
    <row r="191" spans="2:61" s="180" customFormat="1" ht="15.95" hidden="1" customHeight="1">
      <c r="B191" s="663"/>
      <c r="C191" s="664"/>
      <c r="D191" s="664"/>
      <c r="E191" s="664"/>
      <c r="F191" s="664"/>
      <c r="G191" s="664"/>
      <c r="H191" s="664"/>
      <c r="I191" s="664"/>
      <c r="J191" s="665"/>
      <c r="K191" s="665"/>
      <c r="L191" s="666"/>
      <c r="M191" s="666"/>
      <c r="N191" s="667"/>
      <c r="O191" s="667"/>
      <c r="P191" s="665"/>
      <c r="Q191" s="665"/>
      <c r="R191" s="666"/>
      <c r="S191" s="666"/>
      <c r="T191" s="668"/>
      <c r="U191" s="668"/>
      <c r="V191" s="667"/>
      <c r="W191" s="667"/>
      <c r="X191" s="664"/>
      <c r="Y191" s="664"/>
      <c r="Z191" s="664"/>
      <c r="AA191" s="669"/>
      <c r="AB191" s="669"/>
      <c r="AC191" s="669"/>
      <c r="AD191" s="669"/>
      <c r="AE191" s="670"/>
      <c r="AF191" s="670"/>
      <c r="AG191" s="670"/>
      <c r="AH191" s="670"/>
      <c r="AI191" s="671"/>
      <c r="AJ191" s="671"/>
      <c r="AK191" s="672"/>
      <c r="AL191" s="672"/>
      <c r="AM191" s="672"/>
      <c r="AN191" s="671"/>
      <c r="AO191" s="673"/>
      <c r="AP191" s="673"/>
      <c r="AQ191" s="673"/>
      <c r="AR191" s="37"/>
      <c r="AS191" s="235"/>
      <c r="AT191" s="674"/>
      <c r="AU191" s="675"/>
      <c r="AV191" s="676"/>
      <c r="AW191" s="676"/>
      <c r="AX191" s="677"/>
      <c r="AY191" s="677"/>
      <c r="AZ191" s="678"/>
      <c r="BA191" s="679"/>
      <c r="BB191" s="679"/>
      <c r="BC191" s="678"/>
      <c r="BD191" s="678"/>
      <c r="BE191" s="680"/>
      <c r="BF191" s="681"/>
      <c r="BG191" s="682"/>
      <c r="BH191" s="565"/>
      <c r="BI191" s="683"/>
    </row>
    <row r="192" spans="2:61" s="180" customFormat="1" ht="15.95" hidden="1" customHeight="1">
      <c r="B192" s="663"/>
      <c r="C192" s="664"/>
      <c r="D192" s="664"/>
      <c r="E192" s="664"/>
      <c r="F192" s="664"/>
      <c r="G192" s="664"/>
      <c r="H192" s="664"/>
      <c r="I192" s="664"/>
      <c r="J192" s="665"/>
      <c r="K192" s="665"/>
      <c r="L192" s="666"/>
      <c r="M192" s="666"/>
      <c r="N192" s="667"/>
      <c r="O192" s="667"/>
      <c r="P192" s="665"/>
      <c r="Q192" s="665"/>
      <c r="R192" s="666"/>
      <c r="S192" s="666"/>
      <c r="T192" s="668"/>
      <c r="U192" s="668"/>
      <c r="V192" s="667"/>
      <c r="W192" s="667"/>
      <c r="X192" s="664"/>
      <c r="Y192" s="664"/>
      <c r="Z192" s="664"/>
      <c r="AA192" s="669"/>
      <c r="AB192" s="669"/>
      <c r="AC192" s="669"/>
      <c r="AD192" s="669"/>
      <c r="AE192" s="670"/>
      <c r="AF192" s="670"/>
      <c r="AG192" s="670"/>
      <c r="AH192" s="670"/>
      <c r="AI192" s="671"/>
      <c r="AJ192" s="671"/>
      <c r="AK192" s="672"/>
      <c r="AL192" s="672"/>
      <c r="AM192" s="672"/>
      <c r="AN192" s="671"/>
      <c r="AO192" s="673"/>
      <c r="AP192" s="673"/>
      <c r="AQ192" s="673"/>
      <c r="AR192" s="37"/>
      <c r="AS192" s="235"/>
      <c r="AT192" s="674"/>
      <c r="AU192" s="675"/>
      <c r="AV192" s="676"/>
      <c r="AW192" s="676"/>
      <c r="AX192" s="677"/>
      <c r="AY192" s="677"/>
      <c r="AZ192" s="678"/>
      <c r="BA192" s="679"/>
      <c r="BB192" s="679"/>
      <c r="BC192" s="678"/>
      <c r="BD192" s="678"/>
      <c r="BE192" s="680"/>
      <c r="BF192" s="681"/>
      <c r="BG192" s="682"/>
      <c r="BH192" s="565"/>
      <c r="BI192" s="683"/>
    </row>
    <row r="193" spans="2:61" s="180" customFormat="1" ht="15.95" hidden="1" customHeight="1">
      <c r="B193" s="663"/>
      <c r="C193" s="664"/>
      <c r="D193" s="664"/>
      <c r="E193" s="664"/>
      <c r="F193" s="664"/>
      <c r="G193" s="664"/>
      <c r="H193" s="664"/>
      <c r="I193" s="664"/>
      <c r="J193" s="665"/>
      <c r="K193" s="665"/>
      <c r="L193" s="666"/>
      <c r="M193" s="666"/>
      <c r="N193" s="667"/>
      <c r="O193" s="667"/>
      <c r="P193" s="665"/>
      <c r="Q193" s="665"/>
      <c r="R193" s="666"/>
      <c r="S193" s="666"/>
      <c r="T193" s="668"/>
      <c r="U193" s="668"/>
      <c r="V193" s="667"/>
      <c r="W193" s="667"/>
      <c r="X193" s="664"/>
      <c r="Y193" s="664"/>
      <c r="Z193" s="664"/>
      <c r="AA193" s="669"/>
      <c r="AB193" s="669"/>
      <c r="AC193" s="669"/>
      <c r="AD193" s="669"/>
      <c r="AE193" s="670"/>
      <c r="AF193" s="670"/>
      <c r="AG193" s="670"/>
      <c r="AH193" s="670"/>
      <c r="AI193" s="671"/>
      <c r="AJ193" s="671"/>
      <c r="AK193" s="672"/>
      <c r="AL193" s="672"/>
      <c r="AM193" s="672"/>
      <c r="AN193" s="671"/>
      <c r="AO193" s="673"/>
      <c r="AP193" s="673"/>
      <c r="AQ193" s="673"/>
      <c r="AR193" s="37"/>
      <c r="AS193" s="235"/>
      <c r="AT193" s="674"/>
      <c r="AU193" s="675"/>
      <c r="AV193" s="676"/>
      <c r="AW193" s="676"/>
      <c r="AX193" s="677"/>
      <c r="AY193" s="677"/>
      <c r="AZ193" s="678"/>
      <c r="BA193" s="679"/>
      <c r="BB193" s="679"/>
      <c r="BC193" s="678"/>
      <c r="BD193" s="678"/>
      <c r="BE193" s="680"/>
      <c r="BF193" s="681"/>
      <c r="BG193" s="682"/>
      <c r="BH193" s="565"/>
      <c r="BI193" s="683"/>
    </row>
    <row r="194" spans="2:61" s="180" customFormat="1" ht="15.95" hidden="1" customHeight="1">
      <c r="B194" s="663"/>
      <c r="C194" s="664"/>
      <c r="D194" s="664"/>
      <c r="E194" s="664"/>
      <c r="F194" s="664"/>
      <c r="G194" s="664"/>
      <c r="H194" s="664"/>
      <c r="I194" s="664"/>
      <c r="J194" s="665"/>
      <c r="K194" s="665"/>
      <c r="L194" s="666"/>
      <c r="M194" s="666"/>
      <c r="N194" s="667"/>
      <c r="O194" s="667"/>
      <c r="P194" s="665"/>
      <c r="Q194" s="665"/>
      <c r="R194" s="666"/>
      <c r="S194" s="666"/>
      <c r="T194" s="668"/>
      <c r="U194" s="668"/>
      <c r="V194" s="667"/>
      <c r="W194" s="667"/>
      <c r="X194" s="664"/>
      <c r="Y194" s="664"/>
      <c r="Z194" s="664"/>
      <c r="AA194" s="669"/>
      <c r="AB194" s="669"/>
      <c r="AC194" s="669"/>
      <c r="AD194" s="669"/>
      <c r="AE194" s="670"/>
      <c r="AF194" s="670"/>
      <c r="AG194" s="670"/>
      <c r="AH194" s="670"/>
      <c r="AI194" s="671"/>
      <c r="AJ194" s="671"/>
      <c r="AK194" s="672"/>
      <c r="AL194" s="672"/>
      <c r="AM194" s="672"/>
      <c r="AN194" s="671"/>
      <c r="AO194" s="673"/>
      <c r="AP194" s="673"/>
      <c r="AQ194" s="673"/>
      <c r="AR194" s="37"/>
      <c r="AS194" s="235"/>
      <c r="AT194" s="674"/>
      <c r="AU194" s="675"/>
      <c r="AV194" s="676"/>
      <c r="AW194" s="676"/>
      <c r="AX194" s="677"/>
      <c r="AY194" s="677"/>
      <c r="AZ194" s="678"/>
      <c r="BA194" s="679"/>
      <c r="BB194" s="679"/>
      <c r="BC194" s="678"/>
      <c r="BD194" s="678"/>
      <c r="BE194" s="680"/>
      <c r="BF194" s="681"/>
      <c r="BG194" s="682"/>
      <c r="BH194" s="565"/>
      <c r="BI194" s="683"/>
    </row>
    <row r="195" spans="2:61" s="180" customFormat="1" ht="15.95" hidden="1" customHeight="1">
      <c r="B195" s="663"/>
      <c r="C195" s="664"/>
      <c r="D195" s="664"/>
      <c r="E195" s="664"/>
      <c r="F195" s="664"/>
      <c r="G195" s="664"/>
      <c r="H195" s="664"/>
      <c r="I195" s="664"/>
      <c r="J195" s="665"/>
      <c r="K195" s="665"/>
      <c r="L195" s="666"/>
      <c r="M195" s="666"/>
      <c r="N195" s="667"/>
      <c r="O195" s="667"/>
      <c r="P195" s="665"/>
      <c r="Q195" s="665"/>
      <c r="R195" s="666"/>
      <c r="S195" s="666"/>
      <c r="T195" s="668"/>
      <c r="U195" s="668"/>
      <c r="V195" s="667"/>
      <c r="W195" s="667"/>
      <c r="X195" s="664"/>
      <c r="Y195" s="664"/>
      <c r="Z195" s="664"/>
      <c r="AA195" s="669"/>
      <c r="AB195" s="669"/>
      <c r="AC195" s="669"/>
      <c r="AD195" s="669"/>
      <c r="AE195" s="670"/>
      <c r="AF195" s="670"/>
      <c r="AG195" s="670"/>
      <c r="AH195" s="670"/>
      <c r="AI195" s="671"/>
      <c r="AJ195" s="671"/>
      <c r="AK195" s="672"/>
      <c r="AL195" s="672"/>
      <c r="AM195" s="672"/>
      <c r="AN195" s="671"/>
      <c r="AO195" s="673"/>
      <c r="AP195" s="673"/>
      <c r="AQ195" s="673"/>
      <c r="AR195" s="37"/>
      <c r="AS195" s="235"/>
      <c r="AT195" s="674"/>
      <c r="AU195" s="675"/>
      <c r="AV195" s="676"/>
      <c r="AW195" s="676"/>
      <c r="AX195" s="677"/>
      <c r="AY195" s="677"/>
      <c r="AZ195" s="678"/>
      <c r="BA195" s="679"/>
      <c r="BB195" s="679"/>
      <c r="BC195" s="678"/>
      <c r="BD195" s="678"/>
      <c r="BE195" s="680"/>
      <c r="BF195" s="681"/>
      <c r="BG195" s="682"/>
      <c r="BH195" s="565"/>
      <c r="BI195" s="683"/>
    </row>
    <row r="196" spans="2:61" s="180" customFormat="1" ht="15.95" hidden="1" customHeight="1">
      <c r="B196" s="663"/>
      <c r="C196" s="664"/>
      <c r="D196" s="664"/>
      <c r="E196" s="664"/>
      <c r="F196" s="664"/>
      <c r="G196" s="664"/>
      <c r="H196" s="664"/>
      <c r="I196" s="664"/>
      <c r="J196" s="665"/>
      <c r="K196" s="665"/>
      <c r="L196" s="666"/>
      <c r="M196" s="666"/>
      <c r="N196" s="667"/>
      <c r="O196" s="667"/>
      <c r="P196" s="665"/>
      <c r="Q196" s="665"/>
      <c r="R196" s="666"/>
      <c r="S196" s="666"/>
      <c r="T196" s="668"/>
      <c r="U196" s="668"/>
      <c r="V196" s="667"/>
      <c r="W196" s="667"/>
      <c r="X196" s="664"/>
      <c r="Y196" s="664"/>
      <c r="Z196" s="664"/>
      <c r="AA196" s="669"/>
      <c r="AB196" s="669"/>
      <c r="AC196" s="669"/>
      <c r="AD196" s="669"/>
      <c r="AE196" s="670"/>
      <c r="AF196" s="670"/>
      <c r="AG196" s="670"/>
      <c r="AH196" s="670"/>
      <c r="AI196" s="671"/>
      <c r="AJ196" s="671"/>
      <c r="AK196" s="672"/>
      <c r="AL196" s="672"/>
      <c r="AM196" s="672"/>
      <c r="AN196" s="671"/>
      <c r="AO196" s="673"/>
      <c r="AP196" s="673"/>
      <c r="AQ196" s="673"/>
      <c r="AR196" s="37"/>
      <c r="AS196" s="235"/>
      <c r="AT196" s="674"/>
      <c r="AU196" s="675"/>
      <c r="AV196" s="676"/>
      <c r="AW196" s="676"/>
      <c r="AX196" s="677"/>
      <c r="AY196" s="677"/>
      <c r="AZ196" s="678"/>
      <c r="BA196" s="679"/>
      <c r="BB196" s="679"/>
      <c r="BC196" s="678"/>
      <c r="BD196" s="678"/>
      <c r="BE196" s="680"/>
      <c r="BF196" s="681"/>
      <c r="BG196" s="682"/>
      <c r="BH196" s="565"/>
      <c r="BI196" s="683"/>
    </row>
    <row r="197" spans="2:61" s="180" customFormat="1" ht="15.95" hidden="1" customHeight="1">
      <c r="B197" s="663"/>
      <c r="C197" s="664"/>
      <c r="D197" s="664"/>
      <c r="E197" s="664"/>
      <c r="F197" s="664"/>
      <c r="G197" s="664"/>
      <c r="H197" s="664"/>
      <c r="I197" s="664"/>
      <c r="J197" s="665"/>
      <c r="K197" s="665"/>
      <c r="L197" s="666"/>
      <c r="M197" s="666"/>
      <c r="N197" s="667"/>
      <c r="O197" s="667"/>
      <c r="P197" s="665"/>
      <c r="Q197" s="665"/>
      <c r="R197" s="666"/>
      <c r="S197" s="666"/>
      <c r="T197" s="668"/>
      <c r="U197" s="668"/>
      <c r="V197" s="667"/>
      <c r="W197" s="667"/>
      <c r="X197" s="664"/>
      <c r="Y197" s="664"/>
      <c r="Z197" s="664"/>
      <c r="AA197" s="669"/>
      <c r="AB197" s="669"/>
      <c r="AC197" s="669"/>
      <c r="AD197" s="669"/>
      <c r="AE197" s="670"/>
      <c r="AF197" s="670"/>
      <c r="AG197" s="670"/>
      <c r="AH197" s="670"/>
      <c r="AI197" s="671"/>
      <c r="AJ197" s="671"/>
      <c r="AK197" s="672"/>
      <c r="AL197" s="672"/>
      <c r="AM197" s="672"/>
      <c r="AN197" s="671"/>
      <c r="AO197" s="673"/>
      <c r="AP197" s="673"/>
      <c r="AQ197" s="673"/>
      <c r="AR197" s="37"/>
      <c r="AS197" s="235"/>
      <c r="AT197" s="674"/>
      <c r="AU197" s="675"/>
      <c r="AV197" s="676"/>
      <c r="AW197" s="676"/>
      <c r="AX197" s="677"/>
      <c r="AY197" s="677"/>
      <c r="AZ197" s="678"/>
      <c r="BA197" s="679"/>
      <c r="BB197" s="679"/>
      <c r="BC197" s="678"/>
      <c r="BD197" s="678"/>
      <c r="BE197" s="680"/>
      <c r="BF197" s="681"/>
      <c r="BG197" s="682"/>
      <c r="BH197" s="565"/>
      <c r="BI197" s="683"/>
    </row>
    <row r="198" spans="2:61" s="180" customFormat="1" ht="15.95" hidden="1" customHeight="1">
      <c r="B198" s="663"/>
      <c r="C198" s="664"/>
      <c r="D198" s="664"/>
      <c r="E198" s="664"/>
      <c r="F198" s="664"/>
      <c r="G198" s="664"/>
      <c r="H198" s="664"/>
      <c r="I198" s="664"/>
      <c r="J198" s="665"/>
      <c r="K198" s="665"/>
      <c r="L198" s="666"/>
      <c r="M198" s="666"/>
      <c r="N198" s="667"/>
      <c r="O198" s="667"/>
      <c r="P198" s="665"/>
      <c r="Q198" s="665"/>
      <c r="R198" s="666"/>
      <c r="S198" s="666"/>
      <c r="T198" s="668"/>
      <c r="U198" s="668"/>
      <c r="V198" s="667"/>
      <c r="W198" s="667"/>
      <c r="X198" s="664"/>
      <c r="Y198" s="664"/>
      <c r="Z198" s="664"/>
      <c r="AA198" s="669"/>
      <c r="AB198" s="669"/>
      <c r="AC198" s="669"/>
      <c r="AD198" s="669"/>
      <c r="AE198" s="670"/>
      <c r="AF198" s="670"/>
      <c r="AG198" s="670"/>
      <c r="AH198" s="670"/>
      <c r="AI198" s="671"/>
      <c r="AJ198" s="671"/>
      <c r="AK198" s="672"/>
      <c r="AL198" s="672"/>
      <c r="AM198" s="672"/>
      <c r="AN198" s="671"/>
      <c r="AO198" s="673"/>
      <c r="AP198" s="673"/>
      <c r="AQ198" s="673"/>
      <c r="AR198" s="37"/>
      <c r="AS198" s="235"/>
      <c r="AT198" s="674"/>
      <c r="AU198" s="675"/>
      <c r="AV198" s="676"/>
      <c r="AW198" s="676"/>
      <c r="AX198" s="677"/>
      <c r="AY198" s="677"/>
      <c r="AZ198" s="678"/>
      <c r="BA198" s="679"/>
      <c r="BB198" s="679"/>
      <c r="BC198" s="678"/>
      <c r="BD198" s="678"/>
      <c r="BE198" s="680"/>
      <c r="BF198" s="681"/>
      <c r="BG198" s="682"/>
      <c r="BH198" s="565"/>
      <c r="BI198" s="683"/>
    </row>
    <row r="199" spans="2:61" s="180" customFormat="1" ht="15.95" hidden="1" customHeight="1">
      <c r="B199" s="663"/>
      <c r="C199" s="664"/>
      <c r="D199" s="664"/>
      <c r="E199" s="664"/>
      <c r="F199" s="664"/>
      <c r="G199" s="664"/>
      <c r="H199" s="664"/>
      <c r="I199" s="664"/>
      <c r="J199" s="665"/>
      <c r="K199" s="665"/>
      <c r="L199" s="666"/>
      <c r="M199" s="666"/>
      <c r="N199" s="667"/>
      <c r="O199" s="667"/>
      <c r="P199" s="665"/>
      <c r="Q199" s="665"/>
      <c r="R199" s="666"/>
      <c r="S199" s="666"/>
      <c r="T199" s="668"/>
      <c r="U199" s="668"/>
      <c r="V199" s="667"/>
      <c r="W199" s="667"/>
      <c r="X199" s="664"/>
      <c r="Y199" s="664"/>
      <c r="Z199" s="664"/>
      <c r="AA199" s="669"/>
      <c r="AB199" s="669"/>
      <c r="AC199" s="669"/>
      <c r="AD199" s="669"/>
      <c r="AE199" s="670"/>
      <c r="AF199" s="670"/>
      <c r="AG199" s="670"/>
      <c r="AH199" s="670"/>
      <c r="AI199" s="671"/>
      <c r="AJ199" s="671"/>
      <c r="AK199" s="672"/>
      <c r="AL199" s="672"/>
      <c r="AM199" s="672"/>
      <c r="AN199" s="671"/>
      <c r="AO199" s="673"/>
      <c r="AP199" s="673"/>
      <c r="AQ199" s="673"/>
      <c r="AR199" s="37"/>
      <c r="AS199" s="235"/>
      <c r="AT199" s="674"/>
      <c r="AU199" s="675"/>
      <c r="AV199" s="676"/>
      <c r="AW199" s="676"/>
      <c r="AX199" s="677"/>
      <c r="AY199" s="677"/>
      <c r="AZ199" s="678"/>
      <c r="BA199" s="679"/>
      <c r="BB199" s="679"/>
      <c r="BC199" s="678"/>
      <c r="BD199" s="678"/>
      <c r="BE199" s="680"/>
      <c r="BF199" s="681"/>
      <c r="BG199" s="682"/>
      <c r="BH199" s="565"/>
      <c r="BI199" s="683"/>
    </row>
    <row r="200" spans="2:61" s="180" customFormat="1" ht="15.95" hidden="1" customHeight="1">
      <c r="B200" s="663"/>
      <c r="C200" s="664"/>
      <c r="D200" s="664"/>
      <c r="E200" s="664"/>
      <c r="F200" s="664"/>
      <c r="G200" s="664"/>
      <c r="H200" s="664"/>
      <c r="I200" s="664"/>
      <c r="J200" s="665"/>
      <c r="K200" s="665"/>
      <c r="L200" s="666"/>
      <c r="M200" s="666"/>
      <c r="N200" s="667"/>
      <c r="O200" s="667"/>
      <c r="P200" s="665"/>
      <c r="Q200" s="665"/>
      <c r="R200" s="666"/>
      <c r="S200" s="666"/>
      <c r="T200" s="668"/>
      <c r="U200" s="668"/>
      <c r="V200" s="667"/>
      <c r="W200" s="667"/>
      <c r="X200" s="664"/>
      <c r="Y200" s="664"/>
      <c r="Z200" s="664"/>
      <c r="AA200" s="669"/>
      <c r="AB200" s="669"/>
      <c r="AC200" s="669"/>
      <c r="AD200" s="669"/>
      <c r="AE200" s="670"/>
      <c r="AF200" s="670"/>
      <c r="AG200" s="670"/>
      <c r="AH200" s="670"/>
      <c r="AI200" s="671"/>
      <c r="AJ200" s="671"/>
      <c r="AK200" s="672"/>
      <c r="AL200" s="672"/>
      <c r="AM200" s="672"/>
      <c r="AN200" s="671"/>
      <c r="AO200" s="673"/>
      <c r="AP200" s="673"/>
      <c r="AQ200" s="673"/>
      <c r="AR200" s="37"/>
      <c r="AS200" s="235"/>
      <c r="AT200" s="674"/>
      <c r="AU200" s="675"/>
      <c r="AV200" s="676"/>
      <c r="AW200" s="676"/>
      <c r="AX200" s="677"/>
      <c r="AY200" s="677"/>
      <c r="AZ200" s="678"/>
      <c r="BA200" s="679"/>
      <c r="BB200" s="679"/>
      <c r="BC200" s="678"/>
      <c r="BD200" s="678"/>
      <c r="BE200" s="680"/>
      <c r="BF200" s="681"/>
      <c r="BG200" s="682"/>
      <c r="BH200" s="565"/>
      <c r="BI200" s="683"/>
    </row>
    <row r="201" spans="2:61" customFormat="1" ht="15.95" hidden="1" customHeight="1"/>
    <row r="202" spans="2:61" customFormat="1" ht="15.95" hidden="1" customHeight="1"/>
    <row r="203" spans="2:61" customFormat="1" ht="15.95" hidden="1" customHeight="1"/>
    <row r="204" spans="2:61" customFormat="1" ht="15.95" hidden="1" customHeight="1"/>
    <row r="205" spans="2:61" ht="15.95" hidden="1" customHeight="1">
      <c r="AV205" s="57"/>
      <c r="AW205" s="64"/>
    </row>
    <row r="206" spans="2:61" ht="15.95" hidden="1" customHeight="1">
      <c r="AV206" s="57"/>
      <c r="AW206" s="64"/>
    </row>
    <row r="207" spans="2:61" ht="15.95" hidden="1" customHeight="1">
      <c r="AV207" s="57"/>
      <c r="AW207" s="64"/>
    </row>
    <row r="208" spans="2:61" ht="15.95" hidden="1" customHeight="1">
      <c r="AV208" s="57"/>
      <c r="AW208" s="64"/>
    </row>
    <row r="209" spans="48:49" ht="15.95" hidden="1" customHeight="1">
      <c r="AV209" s="57"/>
      <c r="AW209" s="64"/>
    </row>
    <row r="210" spans="48:49" ht="15.95" hidden="1" customHeight="1">
      <c r="AV210" s="57"/>
      <c r="AW210" s="64"/>
    </row>
    <row r="211" spans="48:49" ht="15.95" hidden="1" customHeight="1">
      <c r="AV211" s="57"/>
      <c r="AW211" s="64"/>
    </row>
    <row r="212" spans="48:49" ht="15.95" hidden="1" customHeight="1">
      <c r="AV212" s="57"/>
      <c r="AW212" s="64"/>
    </row>
    <row r="213" spans="48:49" ht="15.95" hidden="1" customHeight="1">
      <c r="AV213" s="57"/>
      <c r="AW213" s="64"/>
    </row>
    <row r="214" spans="48:49" ht="15.95" hidden="1" customHeight="1">
      <c r="AV214" s="57"/>
      <c r="AW214" s="64"/>
    </row>
    <row r="215" spans="48:49" ht="15.95" hidden="1" customHeight="1">
      <c r="AV215" s="57"/>
      <c r="AW215" s="64"/>
    </row>
    <row r="216" spans="48:49" ht="15.95" hidden="1" customHeight="1">
      <c r="AV216" s="57"/>
      <c r="AW216" s="64"/>
    </row>
    <row r="217" spans="48:49" ht="15.95" hidden="1" customHeight="1">
      <c r="AV217" s="57"/>
      <c r="AW217" s="64"/>
    </row>
    <row r="218" spans="48:49" ht="15.95" hidden="1" customHeight="1">
      <c r="AV218" s="57"/>
      <c r="AW218" s="64"/>
    </row>
    <row r="219" spans="48:49" ht="15.95" hidden="1" customHeight="1">
      <c r="AV219" s="57"/>
      <c r="AW219" s="64"/>
    </row>
    <row r="220" spans="48:49" ht="15.95" hidden="1" customHeight="1">
      <c r="AV220" s="57"/>
      <c r="AW220" s="64"/>
    </row>
    <row r="221" spans="48:49" ht="15.95" hidden="1" customHeight="1">
      <c r="AV221" s="57"/>
      <c r="AW221" s="64"/>
    </row>
    <row r="222" spans="48:49" ht="15.95" hidden="1" customHeight="1">
      <c r="AV222" s="57"/>
      <c r="AW222" s="64"/>
    </row>
    <row r="223" spans="48:49" ht="15.95" hidden="1" customHeight="1">
      <c r="AV223" s="57"/>
      <c r="AW223" s="64"/>
    </row>
    <row r="224" spans="48:49" ht="15.95" hidden="1" customHeight="1">
      <c r="AV224" s="57"/>
      <c r="AW224" s="64"/>
    </row>
    <row r="225" spans="48:49" ht="15.95" hidden="1" customHeight="1">
      <c r="AV225" s="57"/>
      <c r="AW225" s="64"/>
    </row>
    <row r="226" spans="48:49" ht="15.95" hidden="1" customHeight="1">
      <c r="AV226" s="57"/>
      <c r="AW226" s="64"/>
    </row>
    <row r="227" spans="48:49" ht="15.95" hidden="1" customHeight="1">
      <c r="AV227" s="57"/>
      <c r="AW227" s="64"/>
    </row>
    <row r="228" spans="48:49" ht="15.95" hidden="1" customHeight="1">
      <c r="AV228" s="57"/>
      <c r="AW228" s="64"/>
    </row>
    <row r="229" spans="48:49" ht="15.95" hidden="1" customHeight="1">
      <c r="AV229" s="57"/>
      <c r="AW229" s="64"/>
    </row>
    <row r="230" spans="48:49" ht="15.95" hidden="1" customHeight="1">
      <c r="AV230" s="57"/>
      <c r="AW230" s="64"/>
    </row>
    <row r="231" spans="48:49" ht="15.95" hidden="1" customHeight="1">
      <c r="AV231" s="57"/>
      <c r="AW231" s="64"/>
    </row>
    <row r="232" spans="48:49" ht="15.95" hidden="1" customHeight="1">
      <c r="AV232" s="57"/>
      <c r="AW232" s="64"/>
    </row>
    <row r="233" spans="48:49" ht="15.95" hidden="1" customHeight="1">
      <c r="AV233" s="57"/>
      <c r="AW233" s="64"/>
    </row>
    <row r="234" spans="48:49" ht="15.95" hidden="1" customHeight="1">
      <c r="AV234" s="57"/>
      <c r="AW234" s="64"/>
    </row>
    <row r="235" spans="48:49" ht="15.95" hidden="1" customHeight="1">
      <c r="AV235" s="57"/>
      <c r="AW235" s="64"/>
    </row>
    <row r="236" spans="48:49" ht="15.95" hidden="1" customHeight="1">
      <c r="AV236" s="57"/>
      <c r="AW236" s="64"/>
    </row>
    <row r="237" spans="48:49" ht="15.95" hidden="1" customHeight="1">
      <c r="AV237" s="57"/>
      <c r="AW237" s="64"/>
    </row>
    <row r="238" spans="48:49" ht="15.95" hidden="1" customHeight="1">
      <c r="AV238" s="57"/>
      <c r="AW238" s="64"/>
    </row>
    <row r="239" spans="48:49" ht="15.95" hidden="1" customHeight="1">
      <c r="AV239" s="57"/>
      <c r="AW239" s="64"/>
    </row>
    <row r="240" spans="48:49" ht="15.95" hidden="1" customHeight="1">
      <c r="AV240" s="57"/>
      <c r="AW240" s="64"/>
    </row>
    <row r="241" spans="48:49" ht="15.95" hidden="1" customHeight="1">
      <c r="AV241" s="57"/>
      <c r="AW241" s="64"/>
    </row>
    <row r="242" spans="48:49" ht="15.95" hidden="1" customHeight="1">
      <c r="AV242" s="57"/>
      <c r="AW242" s="64"/>
    </row>
    <row r="243" spans="48:49" ht="15.95" hidden="1" customHeight="1">
      <c r="AV243" s="57"/>
      <c r="AW243" s="64"/>
    </row>
    <row r="244" spans="48:49" ht="15.95" hidden="1" customHeight="1">
      <c r="AV244" s="57"/>
      <c r="AW244" s="64"/>
    </row>
    <row r="245" spans="48:49" ht="15.95" hidden="1" customHeight="1">
      <c r="AV245" s="57"/>
      <c r="AW245" s="64"/>
    </row>
    <row r="246" spans="48:49" ht="15.95" hidden="1" customHeight="1">
      <c r="AV246" s="57"/>
      <c r="AW246" s="64"/>
    </row>
    <row r="247" spans="48:49" ht="15.95" hidden="1" customHeight="1">
      <c r="AV247" s="57"/>
      <c r="AW247" s="64"/>
    </row>
    <row r="248" spans="48:49" ht="15.95" hidden="1" customHeight="1">
      <c r="AV248" s="57"/>
      <c r="AW248" s="64"/>
    </row>
    <row r="249" spans="48:49" ht="15.95" hidden="1" customHeight="1">
      <c r="AV249" s="57"/>
      <c r="AW249" s="64"/>
    </row>
    <row r="250" spans="48:49" ht="15.95" hidden="1" customHeight="1">
      <c r="AV250" s="57"/>
      <c r="AW250" s="64"/>
    </row>
    <row r="251" spans="48:49" ht="15.95" hidden="1" customHeight="1">
      <c r="AV251" s="57"/>
      <c r="AW251" s="64"/>
    </row>
    <row r="252" spans="48:49" ht="15.95" hidden="1" customHeight="1">
      <c r="AV252" s="57"/>
      <c r="AW252" s="64"/>
    </row>
    <row r="253" spans="48:49" ht="15.95" hidden="1" customHeight="1">
      <c r="AV253" s="57"/>
      <c r="AW253" s="64"/>
    </row>
    <row r="254" spans="48:49" ht="15.95" hidden="1" customHeight="1">
      <c r="AV254" s="57"/>
      <c r="AW254" s="64"/>
    </row>
    <row r="255" spans="48:49" ht="15.95" hidden="1" customHeight="1">
      <c r="AV255" s="57"/>
      <c r="AW255" s="64"/>
    </row>
    <row r="256" spans="48:49" ht="15.95" hidden="1" customHeight="1">
      <c r="AV256" s="57"/>
      <c r="AW256" s="64"/>
    </row>
    <row r="257" spans="48:49" ht="15.95" hidden="1" customHeight="1">
      <c r="AV257" s="57"/>
      <c r="AW257" s="64"/>
    </row>
    <row r="258" spans="48:49" ht="15.95" hidden="1" customHeight="1">
      <c r="AV258" s="57"/>
      <c r="AW258" s="64"/>
    </row>
    <row r="259" spans="48:49" ht="15.95" hidden="1" customHeight="1">
      <c r="AV259" s="57"/>
      <c r="AW259" s="64"/>
    </row>
    <row r="260" spans="48:49" ht="15.95" hidden="1" customHeight="1">
      <c r="AV260" s="57"/>
      <c r="AW260" s="64"/>
    </row>
    <row r="261" spans="48:49" ht="15.95" hidden="1" customHeight="1">
      <c r="AV261" s="57"/>
      <c r="AW261" s="64"/>
    </row>
    <row r="262" spans="48:49" ht="15.95" hidden="1" customHeight="1">
      <c r="AV262" s="57"/>
      <c r="AW262" s="64"/>
    </row>
    <row r="263" spans="48:49" ht="15.95" hidden="1" customHeight="1">
      <c r="AV263" s="57"/>
      <c r="AW263" s="64"/>
    </row>
    <row r="264" spans="48:49" ht="15.95" hidden="1" customHeight="1">
      <c r="AV264" s="57"/>
      <c r="AW264" s="64"/>
    </row>
    <row r="265" spans="48:49" ht="15.95" hidden="1" customHeight="1">
      <c r="AV265" s="57"/>
      <c r="AW265" s="64"/>
    </row>
    <row r="266" spans="48:49" ht="15.95" hidden="1" customHeight="1">
      <c r="AV266" s="57"/>
      <c r="AW266" s="64"/>
    </row>
    <row r="267" spans="48:49" ht="15.95" hidden="1" customHeight="1">
      <c r="AV267" s="57"/>
      <c r="AW267" s="64"/>
    </row>
    <row r="268" spans="48:49" ht="15.95" hidden="1" customHeight="1">
      <c r="AV268" s="57"/>
      <c r="AW268" s="64"/>
    </row>
    <row r="269" spans="48:49" ht="15.95" hidden="1" customHeight="1">
      <c r="AV269" s="57"/>
      <c r="AW269" s="64"/>
    </row>
    <row r="270" spans="48:49" ht="15.95" hidden="1" customHeight="1">
      <c r="AV270" s="57"/>
      <c r="AW270" s="64"/>
    </row>
    <row r="271" spans="48:49" ht="15.95" hidden="1" customHeight="1">
      <c r="AV271" s="57"/>
      <c r="AW271" s="64"/>
    </row>
    <row r="272" spans="48:49" ht="15.95" hidden="1" customHeight="1">
      <c r="AV272" s="57"/>
      <c r="AW272" s="64"/>
    </row>
    <row r="273" spans="48:49" ht="15.95" hidden="1" customHeight="1">
      <c r="AV273" s="57"/>
      <c r="AW273" s="64"/>
    </row>
    <row r="274" spans="48:49" ht="15.95" hidden="1" customHeight="1">
      <c r="AV274" s="57"/>
      <c r="AW274" s="64"/>
    </row>
    <row r="275" spans="48:49" ht="15.95" hidden="1" customHeight="1">
      <c r="AV275" s="57"/>
      <c r="AW275" s="64"/>
    </row>
    <row r="276" spans="48:49" ht="15.95" hidden="1" customHeight="1">
      <c r="AV276" s="57"/>
      <c r="AW276" s="64"/>
    </row>
    <row r="277" spans="48:49" ht="15.95" hidden="1" customHeight="1">
      <c r="AV277" s="57"/>
      <c r="AW277" s="64"/>
    </row>
    <row r="278" spans="48:49" ht="15.95" hidden="1" customHeight="1">
      <c r="AV278" s="57"/>
      <c r="AW278" s="64"/>
    </row>
    <row r="279" spans="48:49" ht="15.95" hidden="1" customHeight="1">
      <c r="AV279" s="57"/>
      <c r="AW279" s="64"/>
    </row>
    <row r="280" spans="48:49" ht="15.95" hidden="1" customHeight="1">
      <c r="AV280" s="57"/>
      <c r="AW280" s="64"/>
    </row>
    <row r="281" spans="48:49" ht="15.95" hidden="1" customHeight="1">
      <c r="AV281" s="57"/>
      <c r="AW281" s="64"/>
    </row>
    <row r="282" spans="48:49" ht="15.95" hidden="1" customHeight="1">
      <c r="AV282" s="57"/>
      <c r="AW282" s="64"/>
    </row>
    <row r="283" spans="48:49" ht="15.95" hidden="1" customHeight="1">
      <c r="AV283" s="57"/>
      <c r="AW283" s="64"/>
    </row>
    <row r="284" spans="48:49" ht="15.95" hidden="1" customHeight="1">
      <c r="AV284" s="57"/>
      <c r="AW284" s="64"/>
    </row>
    <row r="285" spans="48:49" ht="15.95" hidden="1" customHeight="1">
      <c r="AV285" s="57"/>
      <c r="AW285" s="64"/>
    </row>
    <row r="286" spans="48:49" ht="15.95" hidden="1" customHeight="1">
      <c r="AV286" s="57"/>
      <c r="AW286" s="64"/>
    </row>
    <row r="287" spans="48:49" ht="15.95" hidden="1" customHeight="1">
      <c r="AV287" s="57"/>
      <c r="AW287" s="64"/>
    </row>
    <row r="288" spans="48:49" ht="15.95" hidden="1" customHeight="1">
      <c r="AV288" s="57"/>
      <c r="AW288" s="64"/>
    </row>
    <row r="289" spans="48:49" ht="15.95" hidden="1" customHeight="1">
      <c r="AV289" s="57"/>
      <c r="AW289" s="64"/>
    </row>
    <row r="290" spans="48:49" ht="15.95" hidden="1" customHeight="1">
      <c r="AV290" s="57"/>
      <c r="AW290" s="64"/>
    </row>
    <row r="291" spans="48:49" ht="15.95" hidden="1" customHeight="1">
      <c r="AV291" s="57"/>
      <c r="AW291" s="64"/>
    </row>
    <row r="292" spans="48:49" ht="15.95" hidden="1" customHeight="1">
      <c r="AV292" s="57"/>
      <c r="AW292" s="64"/>
    </row>
    <row r="293" spans="48:49" ht="15.95" hidden="1" customHeight="1">
      <c r="AV293" s="57"/>
      <c r="AW293" s="64"/>
    </row>
    <row r="294" spans="48:49" ht="15.95" hidden="1" customHeight="1">
      <c r="AV294" s="57"/>
      <c r="AW294" s="64"/>
    </row>
    <row r="295" spans="48:49" ht="15.95" hidden="1" customHeight="1">
      <c r="AV295" s="57"/>
      <c r="AW295" s="64"/>
    </row>
    <row r="296" spans="48:49" ht="15.95" hidden="1" customHeight="1">
      <c r="AV296" s="57"/>
      <c r="AW296" s="64"/>
    </row>
    <row r="297" spans="48:49" ht="15.95" hidden="1" customHeight="1">
      <c r="AV297" s="57"/>
      <c r="AW297" s="64"/>
    </row>
    <row r="298" spans="48:49" ht="15.95" hidden="1" customHeight="1">
      <c r="AV298" s="57"/>
      <c r="AW298" s="64"/>
    </row>
    <row r="299" spans="48:49" ht="15.95" hidden="1" customHeight="1">
      <c r="AV299" s="57"/>
      <c r="AW299" s="64"/>
    </row>
    <row r="300" spans="48:49" ht="15.95" hidden="1" customHeight="1">
      <c r="AV300" s="57"/>
      <c r="AW300" s="64"/>
    </row>
    <row r="301" spans="48:49" ht="15.95" hidden="1" customHeight="1">
      <c r="AV301" s="57"/>
      <c r="AW301" s="64"/>
    </row>
    <row r="302" spans="48:49" ht="15.95" hidden="1" customHeight="1">
      <c r="AV302" s="57"/>
      <c r="AW302" s="64"/>
    </row>
    <row r="303" spans="48:49" ht="15.95" hidden="1" customHeight="1">
      <c r="AV303" s="57"/>
      <c r="AW303" s="64"/>
    </row>
    <row r="304" spans="48:49" ht="15.95" hidden="1" customHeight="1">
      <c r="AV304" s="57"/>
      <c r="AW304" s="64"/>
    </row>
    <row r="305" spans="48:49" ht="15.95" hidden="1" customHeight="1">
      <c r="AV305" s="57"/>
      <c r="AW305" s="64"/>
    </row>
    <row r="306" spans="48:49" ht="15.95" hidden="1" customHeight="1">
      <c r="AV306" s="57"/>
      <c r="AW306" s="64"/>
    </row>
    <row r="307" spans="48:49" ht="15.95" hidden="1" customHeight="1">
      <c r="AV307" s="57"/>
      <c r="AW307" s="64"/>
    </row>
    <row r="308" spans="48:49" ht="15.95" hidden="1" customHeight="1">
      <c r="AV308" s="57"/>
      <c r="AW308" s="64"/>
    </row>
    <row r="309" spans="48:49" ht="15.95" hidden="1" customHeight="1">
      <c r="AV309" s="57"/>
      <c r="AW309" s="64"/>
    </row>
    <row r="310" spans="48:49" ht="15.95" hidden="1" customHeight="1">
      <c r="AV310" s="57"/>
      <c r="AW310" s="64"/>
    </row>
    <row r="311" spans="48:49" ht="15.95" hidden="1" customHeight="1">
      <c r="AV311" s="57"/>
      <c r="AW311" s="64"/>
    </row>
    <row r="312" spans="48:49" ht="15.95" hidden="1" customHeight="1">
      <c r="AV312" s="57"/>
      <c r="AW312" s="64"/>
    </row>
    <row r="313" spans="48:49" ht="15.95" hidden="1" customHeight="1">
      <c r="AV313" s="57"/>
      <c r="AW313" s="64"/>
    </row>
    <row r="314" spans="48:49" ht="15.95" hidden="1" customHeight="1">
      <c r="AV314" s="57"/>
      <c r="AW314" s="64"/>
    </row>
    <row r="315" spans="48:49" ht="15.95" hidden="1" customHeight="1">
      <c r="AV315" s="57"/>
      <c r="AW315" s="64"/>
    </row>
    <row r="316" spans="48:49" ht="15.95" hidden="1" customHeight="1">
      <c r="AV316" s="57"/>
      <c r="AW316" s="64"/>
    </row>
    <row r="317" spans="48:49" ht="15.95" hidden="1" customHeight="1">
      <c r="AV317" s="57"/>
      <c r="AW317" s="64"/>
    </row>
    <row r="318" spans="48:49" ht="15.95" hidden="1" customHeight="1">
      <c r="AV318" s="57"/>
      <c r="AW318" s="64"/>
    </row>
    <row r="319" spans="48:49" ht="15.95" hidden="1" customHeight="1">
      <c r="AV319" s="57"/>
      <c r="AW319" s="64"/>
    </row>
    <row r="320" spans="48:49" ht="15.95" hidden="1" customHeight="1">
      <c r="AV320" s="57"/>
      <c r="AW320" s="64"/>
    </row>
    <row r="321" spans="48:49" ht="15.95" hidden="1" customHeight="1">
      <c r="AV321" s="57"/>
      <c r="AW321" s="64"/>
    </row>
    <row r="322" spans="48:49" ht="15.95" hidden="1" customHeight="1">
      <c r="AV322" s="57"/>
      <c r="AW322" s="64"/>
    </row>
    <row r="323" spans="48:49" ht="15.95" hidden="1" customHeight="1">
      <c r="AV323" s="57"/>
      <c r="AW323" s="64"/>
    </row>
    <row r="324" spans="48:49" ht="15.95" hidden="1" customHeight="1">
      <c r="AV324" s="57"/>
      <c r="AW324" s="64"/>
    </row>
    <row r="325" spans="48:49" ht="15.95" hidden="1" customHeight="1">
      <c r="AV325" s="57"/>
      <c r="AW325" s="64"/>
    </row>
    <row r="326" spans="48:49" ht="15.95" hidden="1" customHeight="1">
      <c r="AV326" s="57"/>
      <c r="AW326" s="64"/>
    </row>
    <row r="327" spans="48:49" ht="15.95" hidden="1" customHeight="1">
      <c r="AV327" s="57"/>
      <c r="AW327" s="64"/>
    </row>
    <row r="328" spans="48:49" ht="15.95" hidden="1" customHeight="1">
      <c r="AV328" s="57"/>
      <c r="AW328" s="64"/>
    </row>
    <row r="329" spans="48:49" ht="15.95" hidden="1" customHeight="1">
      <c r="AV329" s="57"/>
      <c r="AW329" s="64"/>
    </row>
    <row r="330" spans="48:49" ht="15.95" hidden="1" customHeight="1">
      <c r="AV330" s="57"/>
      <c r="AW330" s="64"/>
    </row>
    <row r="331" spans="48:49" ht="15.95" hidden="1" customHeight="1">
      <c r="AV331" s="57"/>
      <c r="AW331" s="64"/>
    </row>
    <row r="332" spans="48:49" ht="15.95" hidden="1" customHeight="1">
      <c r="AV332" s="57"/>
      <c r="AW332" s="64"/>
    </row>
    <row r="333" spans="48:49" ht="15.95" hidden="1" customHeight="1">
      <c r="AV333" s="57"/>
      <c r="AW333" s="64"/>
    </row>
    <row r="334" spans="48:49" ht="15.95" hidden="1" customHeight="1">
      <c r="AV334" s="57"/>
      <c r="AW334" s="64"/>
    </row>
    <row r="335" spans="48:49" ht="15.95" hidden="1" customHeight="1">
      <c r="AV335" s="57"/>
      <c r="AW335" s="64"/>
    </row>
    <row r="336" spans="48:49" ht="15.95" hidden="1" customHeight="1">
      <c r="AV336" s="57"/>
      <c r="AW336" s="64"/>
    </row>
    <row r="337" spans="1:54" ht="15.95" hidden="1" customHeight="1">
      <c r="AV337" s="57"/>
      <c r="AW337" s="64"/>
    </row>
    <row r="338" spans="1:54" ht="15.95" hidden="1" customHeight="1">
      <c r="AV338" s="57"/>
      <c r="AW338" s="64"/>
    </row>
    <row r="339" spans="1:54" ht="15.95" hidden="1" customHeight="1">
      <c r="AV339" s="57"/>
      <c r="AW339" s="64"/>
    </row>
    <row r="340" spans="1:54" ht="15.95" hidden="1" customHeight="1">
      <c r="AV340" s="57"/>
      <c r="AW340" s="64"/>
    </row>
    <row r="341" spans="1:54" ht="15.95" hidden="1" customHeight="1">
      <c r="AV341" s="57"/>
      <c r="AW341" s="64"/>
    </row>
    <row r="342" spans="1:54" ht="15.95" hidden="1" customHeight="1">
      <c r="AV342" s="57"/>
      <c r="AW342" s="64"/>
    </row>
    <row r="343" spans="1:54" ht="15.95" customHeight="1">
      <c r="A343" s="443"/>
      <c r="B343" s="444" t="str">
        <f>FOOT1</f>
        <v>Evergy Business Energy Savings Program</v>
      </c>
      <c r="C343" s="444"/>
      <c r="D343" s="444"/>
      <c r="E343" s="444"/>
      <c r="F343" s="444"/>
      <c r="G343" s="444"/>
      <c r="H343" s="444"/>
      <c r="I343" s="444"/>
      <c r="J343" s="444"/>
      <c r="K343" s="444"/>
      <c r="L343" s="444"/>
      <c r="M343" s="703" t="str">
        <f>FOOTDISCLAIM</f>
        <v/>
      </c>
      <c r="N343" s="703"/>
      <c r="O343" s="703"/>
      <c r="P343" s="703"/>
      <c r="Q343" s="703"/>
      <c r="R343" s="703"/>
      <c r="S343" s="703"/>
      <c r="T343" s="703"/>
      <c r="U343" s="703"/>
      <c r="V343" s="703"/>
      <c r="W343" s="703"/>
      <c r="X343" s="703"/>
      <c r="Y343" s="703"/>
      <c r="Z343" s="703"/>
      <c r="AA343" s="703"/>
      <c r="AB343" s="703"/>
      <c r="AC343" s="703"/>
      <c r="AD343" s="703"/>
      <c r="AE343" s="703"/>
      <c r="AF343" s="703"/>
      <c r="AG343" s="703"/>
      <c r="AH343" s="444"/>
      <c r="AI343" s="444"/>
      <c r="AJ343" s="444"/>
      <c r="AK343" s="444"/>
      <c r="AL343" s="444"/>
      <c r="AM343" s="444"/>
      <c r="AN343" s="444"/>
      <c r="AO343" s="444"/>
      <c r="AP343" s="444"/>
      <c r="AQ343" s="444"/>
      <c r="AR343" s="445" t="str">
        <f>FOOT4</f>
        <v/>
      </c>
      <c r="AS343" s="443"/>
      <c r="AT343" s="862">
        <f>SUM(AT18:AT342)</f>
        <v>0</v>
      </c>
      <c r="AU343"/>
      <c r="AV343" s="863">
        <f>SUM(AV18:AV342)</f>
        <v>0</v>
      </c>
      <c r="AW343" s="864">
        <f>SUM(AW18:AW342)</f>
        <v>0</v>
      </c>
      <c r="AZ343"/>
      <c r="BB343" s="180"/>
    </row>
    <row r="344" spans="1:54" ht="15.95" customHeight="1">
      <c r="A344" s="443"/>
      <c r="B344" s="444" t="str">
        <f>FOOT2</f>
        <v>(866) 847-5228</v>
      </c>
      <c r="C344" s="444"/>
      <c r="D344" s="444"/>
      <c r="E344" s="444"/>
      <c r="F344" s="444"/>
      <c r="G344" s="444"/>
      <c r="H344" s="444"/>
      <c r="I344" s="444"/>
      <c r="J344" s="444"/>
      <c r="K344" s="444"/>
      <c r="L344" s="444"/>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444"/>
      <c r="AI344" s="444"/>
      <c r="AJ344" s="444"/>
      <c r="AK344" s="444"/>
      <c r="AL344" s="444"/>
      <c r="AM344" s="444"/>
      <c r="AN344" s="444"/>
      <c r="AO344" s="444"/>
      <c r="AP344" s="444"/>
      <c r="AQ344" s="444"/>
      <c r="AR344" s="445" t="str">
        <f>FOOT5</f>
        <v/>
      </c>
      <c r="AS344" s="443"/>
      <c r="AT344" s="862"/>
      <c r="AU344"/>
      <c r="AV344" s="863"/>
      <c r="AW344" s="864"/>
      <c r="AZ344"/>
      <c r="BB344" s="180"/>
    </row>
    <row r="345" spans="1:54" ht="15.95" customHeight="1">
      <c r="A345" s="443"/>
      <c r="B345" s="444" t="s">
        <v>2068</v>
      </c>
      <c r="C345" s="444"/>
      <c r="D345" s="444"/>
      <c r="E345" s="444"/>
      <c r="F345" s="444"/>
      <c r="G345" s="444"/>
      <c r="H345" s="444"/>
      <c r="I345" s="444"/>
      <c r="J345" s="444"/>
      <c r="K345" s="444"/>
      <c r="L345" s="444"/>
      <c r="M345" s="446"/>
      <c r="N345" s="444"/>
      <c r="O345" s="444"/>
      <c r="P345" s="446"/>
      <c r="Q345" s="446"/>
      <c r="R345" s="446"/>
      <c r="S345" s="446"/>
      <c r="T345" s="446"/>
      <c r="U345" s="446"/>
      <c r="V345" s="446"/>
      <c r="W345" s="447" t="str">
        <f>VERSION</f>
        <v>v2.1.2</v>
      </c>
      <c r="X345" s="446"/>
      <c r="Y345" s="446"/>
      <c r="Z345" s="446"/>
      <c r="AA345" s="446"/>
      <c r="AB345" s="446"/>
      <c r="AC345" s="446"/>
      <c r="AD345" s="446"/>
      <c r="AE345" s="444"/>
      <c r="AF345" s="444"/>
      <c r="AG345" s="444"/>
      <c r="AH345" s="444"/>
      <c r="AI345" s="444"/>
      <c r="AJ345" s="444"/>
      <c r="AK345" s="444"/>
      <c r="AL345" s="444"/>
      <c r="AM345" s="444"/>
      <c r="AN345" s="444"/>
      <c r="AO345" s="444"/>
      <c r="AP345" s="444"/>
      <c r="AQ345" s="444"/>
      <c r="AR345" s="448" t="str">
        <f>FOOT6</f>
        <v>This is a TRC tool</v>
      </c>
      <c r="AS345" s="443"/>
    </row>
    <row r="346" spans="1:54" ht="15.95" hidden="1" customHeight="1"/>
    <row r="347" spans="1:54" ht="15.95" hidden="1" customHeight="1"/>
  </sheetData>
  <sheetProtection algorithmName="SHA-512" hashValue="5YXh3IOsjHyhebI2XqjPqIQ6M9Zr9sDj94Lo68UctTGQeLQJRpxeEIpLTe5xNvnfWD1Kd5OL//bT9AaY3WeKjQ==" saltValue="yzg+K9BmeBG8OxJacJx/Gw==" spinCount="100000" sheet="1" objects="1" scenarios="1" selectLockedCells="1"/>
  <mergeCells count="1182">
    <mergeCell ref="BI16:BI17"/>
    <mergeCell ref="BI18:BI19"/>
    <mergeCell ref="BI20:BI21"/>
    <mergeCell ref="BI22:BI23"/>
    <mergeCell ref="BI24:BI25"/>
    <mergeCell ref="BI26:BI27"/>
    <mergeCell ref="BI28:BI29"/>
    <mergeCell ref="BI30:BI31"/>
    <mergeCell ref="BI32:BI33"/>
    <mergeCell ref="BI52:BI53"/>
    <mergeCell ref="BI54:BI55"/>
    <mergeCell ref="BI56:BI57"/>
    <mergeCell ref="BI34:BI35"/>
    <mergeCell ref="BI36:BI37"/>
    <mergeCell ref="BI38:BI39"/>
    <mergeCell ref="BI40:BI41"/>
    <mergeCell ref="BI42:BI43"/>
    <mergeCell ref="BI44:BI45"/>
    <mergeCell ref="BI46:BI47"/>
    <mergeCell ref="BI48:BI49"/>
    <mergeCell ref="BI50:BI51"/>
    <mergeCell ref="BG34:BG35"/>
    <mergeCell ref="BH34:BH35"/>
    <mergeCell ref="BG36:BG37"/>
    <mergeCell ref="BH36:BH37"/>
    <mergeCell ref="BG38:BG39"/>
    <mergeCell ref="BH38:BH39"/>
    <mergeCell ref="BG40:BG41"/>
    <mergeCell ref="BH40:BH41"/>
    <mergeCell ref="BG42:BG43"/>
    <mergeCell ref="BH42:BH43"/>
    <mergeCell ref="BG44:BG45"/>
    <mergeCell ref="BH44:BH45"/>
    <mergeCell ref="BG56:BG57"/>
    <mergeCell ref="BH56:BH57"/>
    <mergeCell ref="BG46:BG47"/>
    <mergeCell ref="BH46:BH47"/>
    <mergeCell ref="BG48:BG49"/>
    <mergeCell ref="BH48:BH49"/>
    <mergeCell ref="BG50:BG51"/>
    <mergeCell ref="BH50:BH51"/>
    <mergeCell ref="BG52:BG53"/>
    <mergeCell ref="BH52:BH53"/>
    <mergeCell ref="BG54:BG55"/>
    <mergeCell ref="BH54:BH55"/>
    <mergeCell ref="BG16:BG17"/>
    <mergeCell ref="BH16:BH17"/>
    <mergeCell ref="BG18:BG19"/>
    <mergeCell ref="BH18:BH19"/>
    <mergeCell ref="BG20:BG21"/>
    <mergeCell ref="BH20:BH21"/>
    <mergeCell ref="BG22:BG23"/>
    <mergeCell ref="BH22:BH23"/>
    <mergeCell ref="BG24:BG25"/>
    <mergeCell ref="BH24:BH25"/>
    <mergeCell ref="BG26:BG27"/>
    <mergeCell ref="BH26:BH27"/>
    <mergeCell ref="BG28:BG29"/>
    <mergeCell ref="BH28:BH29"/>
    <mergeCell ref="BG30:BG31"/>
    <mergeCell ref="BH30:BH31"/>
    <mergeCell ref="BG32:BG33"/>
    <mergeCell ref="BH32:BH33"/>
    <mergeCell ref="BE46:BE47"/>
    <mergeCell ref="BE48:BE49"/>
    <mergeCell ref="BE50:BE51"/>
    <mergeCell ref="BE52:BE53"/>
    <mergeCell ref="BE54:BE55"/>
    <mergeCell ref="BE56:BE57"/>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BF46:BF47"/>
    <mergeCell ref="BF48:BF49"/>
    <mergeCell ref="BF50:BF51"/>
    <mergeCell ref="BF52:BF53"/>
    <mergeCell ref="BF54:BF55"/>
    <mergeCell ref="BF56:BF57"/>
    <mergeCell ref="BE16:BE17"/>
    <mergeCell ref="BF16:BF17"/>
    <mergeCell ref="BE18:BE19"/>
    <mergeCell ref="BF18:BF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BE44:BE45"/>
    <mergeCell ref="BB54:BB55"/>
    <mergeCell ref="BC54:BC55"/>
    <mergeCell ref="BD54:BD55"/>
    <mergeCell ref="AZ54:AZ55"/>
    <mergeCell ref="N52:O53"/>
    <mergeCell ref="V52:W53"/>
    <mergeCell ref="X52:Z53"/>
    <mergeCell ref="AA52:AB53"/>
    <mergeCell ref="AC52:AD53"/>
    <mergeCell ref="AA56:AB57"/>
    <mergeCell ref="AC56:AD57"/>
    <mergeCell ref="AX56:AX57"/>
    <mergeCell ref="AY56:AY57"/>
    <mergeCell ref="AZ56:AZ57"/>
    <mergeCell ref="BA56:BA57"/>
    <mergeCell ref="BB56:BB57"/>
    <mergeCell ref="BC56:BC57"/>
    <mergeCell ref="AE56:AH57"/>
    <mergeCell ref="AI56:AJ57"/>
    <mergeCell ref="AK56:AM57"/>
    <mergeCell ref="AN56:AQ57"/>
    <mergeCell ref="AT56:AT57"/>
    <mergeCell ref="AU56:AU57"/>
    <mergeCell ref="AV56:AV57"/>
    <mergeCell ref="AW56:AW57"/>
    <mergeCell ref="BD56:BD57"/>
    <mergeCell ref="AE52:AH53"/>
    <mergeCell ref="AI52:AJ53"/>
    <mergeCell ref="AK52:AM53"/>
    <mergeCell ref="AN52:AQ53"/>
    <mergeCell ref="AT52:AT53"/>
    <mergeCell ref="N54:O55"/>
    <mergeCell ref="V54:W55"/>
    <mergeCell ref="X54:Z55"/>
    <mergeCell ref="AA54:AB55"/>
    <mergeCell ref="AC54:AD55"/>
    <mergeCell ref="AE54:AH55"/>
    <mergeCell ref="AI54:AJ55"/>
    <mergeCell ref="AK54:AM55"/>
    <mergeCell ref="AN54:AQ55"/>
    <mergeCell ref="AT54:AT55"/>
    <mergeCell ref="AU54:AU55"/>
    <mergeCell ref="AV54:AV55"/>
    <mergeCell ref="AX54:AX55"/>
    <mergeCell ref="AW54:AW55"/>
    <mergeCell ref="AY54:AY55"/>
    <mergeCell ref="T54:U55"/>
    <mergeCell ref="BA54:BA55"/>
    <mergeCell ref="AX52:AX53"/>
    <mergeCell ref="AY52:AY53"/>
    <mergeCell ref="AZ48:AZ49"/>
    <mergeCell ref="BA48:BA49"/>
    <mergeCell ref="BB48:BB49"/>
    <mergeCell ref="BC48:BC49"/>
    <mergeCell ref="BD48:BD49"/>
    <mergeCell ref="AX50:AX51"/>
    <mergeCell ref="AY50:AY51"/>
    <mergeCell ref="AZ50:AZ51"/>
    <mergeCell ref="BA50:BA51"/>
    <mergeCell ref="BB50:BB51"/>
    <mergeCell ref="BC50:BC51"/>
    <mergeCell ref="BD50:BD51"/>
    <mergeCell ref="AZ52:AZ53"/>
    <mergeCell ref="BA52:BA53"/>
    <mergeCell ref="BB52:BB53"/>
    <mergeCell ref="BC52:BC53"/>
    <mergeCell ref="BD52:BD53"/>
    <mergeCell ref="N50:O51"/>
    <mergeCell ref="V50:W51"/>
    <mergeCell ref="X50:Z51"/>
    <mergeCell ref="AA50:AB51"/>
    <mergeCell ref="AC50:AD51"/>
    <mergeCell ref="AE50:AH51"/>
    <mergeCell ref="AI50:AJ51"/>
    <mergeCell ref="AK50:AM51"/>
    <mergeCell ref="AN50:AQ51"/>
    <mergeCell ref="AT50:AT51"/>
    <mergeCell ref="AU50:AU51"/>
    <mergeCell ref="AV50:AV51"/>
    <mergeCell ref="AW50:AW51"/>
    <mergeCell ref="P50:Q51"/>
    <mergeCell ref="R50:S51"/>
    <mergeCell ref="T50:U51"/>
    <mergeCell ref="AU52:AU53"/>
    <mergeCell ref="AV52:AV53"/>
    <mergeCell ref="AW52:AW53"/>
    <mergeCell ref="P52:Q53"/>
    <mergeCell ref="R52:S53"/>
    <mergeCell ref="T52:U53"/>
    <mergeCell ref="N48:O49"/>
    <mergeCell ref="V48:W49"/>
    <mergeCell ref="X48:Z49"/>
    <mergeCell ref="AA48:AB49"/>
    <mergeCell ref="AC48:AD49"/>
    <mergeCell ref="AE48:AH49"/>
    <mergeCell ref="AI48:AJ49"/>
    <mergeCell ref="AK48:AM49"/>
    <mergeCell ref="AN48:AQ49"/>
    <mergeCell ref="AT48:AT49"/>
    <mergeCell ref="AU48:AU49"/>
    <mergeCell ref="AV48:AV49"/>
    <mergeCell ref="AW48:AW49"/>
    <mergeCell ref="P48:Q49"/>
    <mergeCell ref="R48:S49"/>
    <mergeCell ref="AX48:AX49"/>
    <mergeCell ref="AY48:AY49"/>
    <mergeCell ref="T48:U49"/>
    <mergeCell ref="AZ46:AZ47"/>
    <mergeCell ref="BA46:BA47"/>
    <mergeCell ref="BB46:BB47"/>
    <mergeCell ref="BC46:BC47"/>
    <mergeCell ref="BD46:BD47"/>
    <mergeCell ref="AC42:AD43"/>
    <mergeCell ref="AE42:AH43"/>
    <mergeCell ref="AI42:AJ43"/>
    <mergeCell ref="AK42:AM43"/>
    <mergeCell ref="AN42:AQ43"/>
    <mergeCell ref="AT42:AT43"/>
    <mergeCell ref="AU42:AU43"/>
    <mergeCell ref="AV42:AV43"/>
    <mergeCell ref="AW42:AW43"/>
    <mergeCell ref="AX42:AX43"/>
    <mergeCell ref="AY42:AY43"/>
    <mergeCell ref="AZ42:AZ43"/>
    <mergeCell ref="BA42:BA43"/>
    <mergeCell ref="BB42:BB43"/>
    <mergeCell ref="BC42:BC43"/>
    <mergeCell ref="BD42:BD43"/>
    <mergeCell ref="AZ44:AZ45"/>
    <mergeCell ref="BA44:BA45"/>
    <mergeCell ref="BB44:BB45"/>
    <mergeCell ref="BC44:BC45"/>
    <mergeCell ref="BD44:BD45"/>
    <mergeCell ref="N44:O45"/>
    <mergeCell ref="V44:W45"/>
    <mergeCell ref="X44:Z45"/>
    <mergeCell ref="AA44:AB45"/>
    <mergeCell ref="AC44:AD45"/>
    <mergeCell ref="AE44:AH45"/>
    <mergeCell ref="AI44:AJ45"/>
    <mergeCell ref="AK44:AM45"/>
    <mergeCell ref="AN44:AQ45"/>
    <mergeCell ref="AT44:AT45"/>
    <mergeCell ref="AU44:AU45"/>
    <mergeCell ref="AV44:AV45"/>
    <mergeCell ref="AW44:AW45"/>
    <mergeCell ref="AX44:AX45"/>
    <mergeCell ref="AY44:AY45"/>
    <mergeCell ref="AC46:AD47"/>
    <mergeCell ref="AE46:AH47"/>
    <mergeCell ref="AI46:AJ47"/>
    <mergeCell ref="AK46:AM47"/>
    <mergeCell ref="AN46:AQ47"/>
    <mergeCell ref="AT46:AT47"/>
    <mergeCell ref="AU46:AU47"/>
    <mergeCell ref="AV46:AV47"/>
    <mergeCell ref="AW46:AW47"/>
    <mergeCell ref="AX46:AX47"/>
    <mergeCell ref="AY46:AY47"/>
    <mergeCell ref="P44:Q45"/>
    <mergeCell ref="R44:S45"/>
    <mergeCell ref="T42:U43"/>
    <mergeCell ref="BB38:BB39"/>
    <mergeCell ref="BC38:BC39"/>
    <mergeCell ref="BD38:BD39"/>
    <mergeCell ref="J40:K41"/>
    <mergeCell ref="L40:M41"/>
    <mergeCell ref="N40:O41"/>
    <mergeCell ref="V40:W41"/>
    <mergeCell ref="X40:Z41"/>
    <mergeCell ref="AA40:AB41"/>
    <mergeCell ref="AC40:AD41"/>
    <mergeCell ref="AE40:AH41"/>
    <mergeCell ref="AI40:AJ41"/>
    <mergeCell ref="AK40:AM41"/>
    <mergeCell ref="AN40:AQ41"/>
    <mergeCell ref="AT40:AT41"/>
    <mergeCell ref="AU40:AU41"/>
    <mergeCell ref="AV40:AV41"/>
    <mergeCell ref="AW40:AW41"/>
    <mergeCell ref="AC38:AD39"/>
    <mergeCell ref="AE38:AH39"/>
    <mergeCell ref="AX40:AX41"/>
    <mergeCell ref="AY40:AY41"/>
    <mergeCell ref="AZ40:AZ41"/>
    <mergeCell ref="BA40:BA41"/>
    <mergeCell ref="BB40:BB41"/>
    <mergeCell ref="BC40:BC41"/>
    <mergeCell ref="BD40:BD41"/>
    <mergeCell ref="BA38:BA39"/>
    <mergeCell ref="B56:B57"/>
    <mergeCell ref="J38:K39"/>
    <mergeCell ref="L38:M39"/>
    <mergeCell ref="N38:O39"/>
    <mergeCell ref="V38:W39"/>
    <mergeCell ref="X38:Z39"/>
    <mergeCell ref="AA38:AB39"/>
    <mergeCell ref="B38:B39"/>
    <mergeCell ref="B40:B41"/>
    <mergeCell ref="B42:B43"/>
    <mergeCell ref="B44:B45"/>
    <mergeCell ref="B46:B47"/>
    <mergeCell ref="B48:B49"/>
    <mergeCell ref="B50:B51"/>
    <mergeCell ref="B52:B53"/>
    <mergeCell ref="B54:B55"/>
    <mergeCell ref="J56:K57"/>
    <mergeCell ref="J46:K47"/>
    <mergeCell ref="L46:M47"/>
    <mergeCell ref="N46:O47"/>
    <mergeCell ref="V46:W47"/>
    <mergeCell ref="X46:Z47"/>
    <mergeCell ref="AA46:AB47"/>
    <mergeCell ref="P46:Q47"/>
    <mergeCell ref="J42:K43"/>
    <mergeCell ref="L42:M43"/>
    <mergeCell ref="N42:O43"/>
    <mergeCell ref="V42:W43"/>
    <mergeCell ref="X42:Z43"/>
    <mergeCell ref="AA42:AB43"/>
    <mergeCell ref="L56:M57"/>
    <mergeCell ref="N56:O57"/>
    <mergeCell ref="AE26:AH27"/>
    <mergeCell ref="AI38:AJ39"/>
    <mergeCell ref="AK38:AM39"/>
    <mergeCell ref="AE18:AH19"/>
    <mergeCell ref="AA26:AB27"/>
    <mergeCell ref="AA24:AB25"/>
    <mergeCell ref="V26:W27"/>
    <mergeCell ref="AC24:AD25"/>
    <mergeCell ref="N36:O37"/>
    <mergeCell ref="N24:O25"/>
    <mergeCell ref="N26:O27"/>
    <mergeCell ref="P36:Q37"/>
    <mergeCell ref="R36:S37"/>
    <mergeCell ref="P38:Q39"/>
    <mergeCell ref="R38:S39"/>
    <mergeCell ref="T18:U19"/>
    <mergeCell ref="T20:U21"/>
    <mergeCell ref="T22:U23"/>
    <mergeCell ref="N30:O31"/>
    <mergeCell ref="X24:Z25"/>
    <mergeCell ref="X26:Z27"/>
    <mergeCell ref="AK22:AM23"/>
    <mergeCell ref="X30:Z31"/>
    <mergeCell ref="V30:W31"/>
    <mergeCell ref="AA30:AB31"/>
    <mergeCell ref="AI30:AJ31"/>
    <mergeCell ref="AK28:AM29"/>
    <mergeCell ref="N28:O29"/>
    <mergeCell ref="X22:Z23"/>
    <mergeCell ref="V24:W25"/>
    <mergeCell ref="AE22:AH23"/>
    <mergeCell ref="AE24:AH25"/>
    <mergeCell ref="AI13:AQ13"/>
    <mergeCell ref="R12:U13"/>
    <mergeCell ref="V12:Y13"/>
    <mergeCell ref="Z12:AC13"/>
    <mergeCell ref="C13:P13"/>
    <mergeCell ref="R14:U14"/>
    <mergeCell ref="V14:Y14"/>
    <mergeCell ref="AU18:AU19"/>
    <mergeCell ref="AU20:AU21"/>
    <mergeCell ref="AC18:AD19"/>
    <mergeCell ref="AU16:AU17"/>
    <mergeCell ref="Z14:AC14"/>
    <mergeCell ref="X18:Z19"/>
    <mergeCell ref="X20:Z21"/>
    <mergeCell ref="AE16:AH17"/>
    <mergeCell ref="AE20:AH21"/>
    <mergeCell ref="C18:I19"/>
    <mergeCell ref="L17:M17"/>
    <mergeCell ref="N17:O17"/>
    <mergeCell ref="N18:O19"/>
    <mergeCell ref="A4:E6"/>
    <mergeCell ref="A7:E8"/>
    <mergeCell ref="F1:I3"/>
    <mergeCell ref="J1:M3"/>
    <mergeCell ref="AH1:AK3"/>
    <mergeCell ref="AL1:AO3"/>
    <mergeCell ref="AP1:AS3"/>
    <mergeCell ref="H9:K11"/>
    <mergeCell ref="L9:O11"/>
    <mergeCell ref="P9:S11"/>
    <mergeCell ref="T9:W11"/>
    <mergeCell ref="X9:AA11"/>
    <mergeCell ref="AB9:AE11"/>
    <mergeCell ref="AO5:AS6"/>
    <mergeCell ref="AO7:AS7"/>
    <mergeCell ref="AO8:AS8"/>
    <mergeCell ref="O1:AE3"/>
    <mergeCell ref="AF9:AI11"/>
    <mergeCell ref="AJ9:AM11"/>
    <mergeCell ref="BD16:BD17"/>
    <mergeCell ref="AA17:AB17"/>
    <mergeCell ref="AC17:AD17"/>
    <mergeCell ref="B18:B19"/>
    <mergeCell ref="V18:W19"/>
    <mergeCell ref="AA18:AB19"/>
    <mergeCell ref="AA16:AD16"/>
    <mergeCell ref="AI16:AJ17"/>
    <mergeCell ref="AK16:AM17"/>
    <mergeCell ref="AN16:AQ17"/>
    <mergeCell ref="AT16:AT17"/>
    <mergeCell ref="AV16:AW16"/>
    <mergeCell ref="AW18:AW19"/>
    <mergeCell ref="BD18:BD19"/>
    <mergeCell ref="AI18:AJ19"/>
    <mergeCell ref="AK18:AM19"/>
    <mergeCell ref="AN18:AQ19"/>
    <mergeCell ref="AT18:AT19"/>
    <mergeCell ref="AV18:AV19"/>
    <mergeCell ref="V16:W17"/>
    <mergeCell ref="BA16:BB16"/>
    <mergeCell ref="AX18:AX19"/>
    <mergeCell ref="AY18:AY19"/>
    <mergeCell ref="BA18:BA19"/>
    <mergeCell ref="J17:K17"/>
    <mergeCell ref="J18:K19"/>
    <mergeCell ref="AY16:AY17"/>
    <mergeCell ref="X16:Z17"/>
    <mergeCell ref="AZ16:AZ17"/>
    <mergeCell ref="AZ18:AZ19"/>
    <mergeCell ref="AX16:AX17"/>
    <mergeCell ref="BC16:BC17"/>
    <mergeCell ref="BD20:BD21"/>
    <mergeCell ref="B22:B23"/>
    <mergeCell ref="V22:W23"/>
    <mergeCell ref="AA22:AB23"/>
    <mergeCell ref="AC22:AD23"/>
    <mergeCell ref="AI22:AJ23"/>
    <mergeCell ref="AI20:AJ21"/>
    <mergeCell ref="AK20:AM21"/>
    <mergeCell ref="AN20:AQ21"/>
    <mergeCell ref="AT20:AT21"/>
    <mergeCell ref="AV20:AV21"/>
    <mergeCell ref="AW20:AW21"/>
    <mergeCell ref="B20:B21"/>
    <mergeCell ref="V20:W21"/>
    <mergeCell ref="AA20:AB21"/>
    <mergeCell ref="AC20:AD21"/>
    <mergeCell ref="AZ22:AZ23"/>
    <mergeCell ref="AV22:AV23"/>
    <mergeCell ref="AW22:AW23"/>
    <mergeCell ref="BD22:BD23"/>
    <mergeCell ref="AX22:AX23"/>
    <mergeCell ref="AY22:AY23"/>
    <mergeCell ref="AX20:AX21"/>
    <mergeCell ref="AY20:AY21"/>
    <mergeCell ref="J20:K21"/>
    <mergeCell ref="BA20:BA21"/>
    <mergeCell ref="BB20:BB21"/>
    <mergeCell ref="AZ20:AZ21"/>
    <mergeCell ref="BA22:BA23"/>
    <mergeCell ref="BB22:BB23"/>
    <mergeCell ref="N20:O21"/>
    <mergeCell ref="N22:O23"/>
    <mergeCell ref="BD24:BD25"/>
    <mergeCell ref="AI24:AJ25"/>
    <mergeCell ref="AW26:AW27"/>
    <mergeCell ref="BD26:BD27"/>
    <mergeCell ref="AC26:AD27"/>
    <mergeCell ref="BC24:BC25"/>
    <mergeCell ref="BD30:BD31"/>
    <mergeCell ref="BD28:BD29"/>
    <mergeCell ref="AV28:AV29"/>
    <mergeCell ref="AW28:AW29"/>
    <mergeCell ref="AU28:AU29"/>
    <mergeCell ref="AU30:AU31"/>
    <mergeCell ref="AV26:AV27"/>
    <mergeCell ref="AV24:AV25"/>
    <mergeCell ref="AW24:AW25"/>
    <mergeCell ref="AX26:AX27"/>
    <mergeCell ref="AY26:AY27"/>
    <mergeCell ref="BA26:BA27"/>
    <mergeCell ref="BB26:BB27"/>
    <mergeCell ref="AK24:AM25"/>
    <mergeCell ref="AN24:AQ25"/>
    <mergeCell ref="AT24:AT25"/>
    <mergeCell ref="AK26:AM27"/>
    <mergeCell ref="AI26:AJ27"/>
    <mergeCell ref="AX24:AX25"/>
    <mergeCell ref="AY24:AY25"/>
    <mergeCell ref="BA24:BA25"/>
    <mergeCell ref="BB24:BB25"/>
    <mergeCell ref="AZ24:AZ25"/>
    <mergeCell ref="AN28:AQ29"/>
    <mergeCell ref="AT28:AT29"/>
    <mergeCell ref="AC30:AD31"/>
    <mergeCell ref="B24:B25"/>
    <mergeCell ref="J24:K25"/>
    <mergeCell ref="J26:K27"/>
    <mergeCell ref="B26:B27"/>
    <mergeCell ref="AX28:AX29"/>
    <mergeCell ref="AY28:AY29"/>
    <mergeCell ref="BA28:BA29"/>
    <mergeCell ref="B36:B37"/>
    <mergeCell ref="V36:W37"/>
    <mergeCell ref="AA36:AB37"/>
    <mergeCell ref="AZ28:AZ29"/>
    <mergeCell ref="AZ30:AZ31"/>
    <mergeCell ref="AX30:AX31"/>
    <mergeCell ref="AY30:AY31"/>
    <mergeCell ref="BA30:BA31"/>
    <mergeCell ref="AX32:AX33"/>
    <mergeCell ref="AY32:AY33"/>
    <mergeCell ref="BA32:BA33"/>
    <mergeCell ref="X36:Z37"/>
    <mergeCell ref="J28:K29"/>
    <mergeCell ref="J30:K31"/>
    <mergeCell ref="J32:K33"/>
    <mergeCell ref="B30:B31"/>
    <mergeCell ref="AI28:AJ29"/>
    <mergeCell ref="B28:B29"/>
    <mergeCell ref="AA28:AB29"/>
    <mergeCell ref="V28:W29"/>
    <mergeCell ref="AK30:AM31"/>
    <mergeCell ref="AC28:AD29"/>
    <mergeCell ref="AE28:AH29"/>
    <mergeCell ref="AE30:AH31"/>
    <mergeCell ref="X28:Z29"/>
    <mergeCell ref="B34:B35"/>
    <mergeCell ref="V34:W35"/>
    <mergeCell ref="AA34:AB35"/>
    <mergeCell ref="AA32:AB33"/>
    <mergeCell ref="AC32:AD33"/>
    <mergeCell ref="AI32:AJ33"/>
    <mergeCell ref="AK32:AM33"/>
    <mergeCell ref="AN32:AQ33"/>
    <mergeCell ref="AT32:AT33"/>
    <mergeCell ref="B32:B33"/>
    <mergeCell ref="J34:K35"/>
    <mergeCell ref="AE32:AH33"/>
    <mergeCell ref="X34:Z35"/>
    <mergeCell ref="N34:O35"/>
    <mergeCell ref="X32:Z33"/>
    <mergeCell ref="AI34:AJ35"/>
    <mergeCell ref="N32:O33"/>
    <mergeCell ref="BD36:BD37"/>
    <mergeCell ref="AI36:AJ37"/>
    <mergeCell ref="AK36:AM37"/>
    <mergeCell ref="AN36:AQ37"/>
    <mergeCell ref="AT36:AT37"/>
    <mergeCell ref="AV36:AV37"/>
    <mergeCell ref="AX36:AX37"/>
    <mergeCell ref="AW36:AW37"/>
    <mergeCell ref="BD32:BD33"/>
    <mergeCell ref="AZ32:AZ33"/>
    <mergeCell ref="BB32:BB33"/>
    <mergeCell ref="AU32:AU33"/>
    <mergeCell ref="BD34:BD35"/>
    <mergeCell ref="AX34:AX35"/>
    <mergeCell ref="AY34:AY35"/>
    <mergeCell ref="AU34:AU35"/>
    <mergeCell ref="AK34:AM35"/>
    <mergeCell ref="AN34:AQ35"/>
    <mergeCell ref="AT34:AT35"/>
    <mergeCell ref="BA34:BA35"/>
    <mergeCell ref="BB34:BB35"/>
    <mergeCell ref="AZ34:AZ35"/>
    <mergeCell ref="AZ36:AZ37"/>
    <mergeCell ref="X56:Z57"/>
    <mergeCell ref="AN38:AQ39"/>
    <mergeCell ref="AT38:AT39"/>
    <mergeCell ref="AU38:AU39"/>
    <mergeCell ref="AV38:AV39"/>
    <mergeCell ref="AW38:AW39"/>
    <mergeCell ref="AX38:AX39"/>
    <mergeCell ref="AY38:AY39"/>
    <mergeCell ref="AZ38:AZ39"/>
    <mergeCell ref="BC18:BC19"/>
    <mergeCell ref="BC20:BC21"/>
    <mergeCell ref="BC22:BC23"/>
    <mergeCell ref="BC26:BC27"/>
    <mergeCell ref="BC28:BC29"/>
    <mergeCell ref="BC30:BC31"/>
    <mergeCell ref="BC32:BC33"/>
    <mergeCell ref="BB28:BB29"/>
    <mergeCell ref="BB30:BB31"/>
    <mergeCell ref="BB18:BB19"/>
    <mergeCell ref="AY36:AY37"/>
    <mergeCell ref="BA36:BA37"/>
    <mergeCell ref="BB36:BB37"/>
    <mergeCell ref="BC34:BC35"/>
    <mergeCell ref="BC36:BC37"/>
    <mergeCell ref="AU22:AU23"/>
    <mergeCell ref="AU24:AU25"/>
    <mergeCell ref="AU26:AU27"/>
    <mergeCell ref="AN22:AQ23"/>
    <mergeCell ref="AT22:AT23"/>
    <mergeCell ref="AN26:AQ27"/>
    <mergeCell ref="AT26:AT27"/>
    <mergeCell ref="AU36:AU37"/>
    <mergeCell ref="M343:AG344"/>
    <mergeCell ref="AT343:AT344"/>
    <mergeCell ref="AV343:AV344"/>
    <mergeCell ref="AW343:AW344"/>
    <mergeCell ref="AW34:AW35"/>
    <mergeCell ref="AV34:AV35"/>
    <mergeCell ref="AV32:AV33"/>
    <mergeCell ref="AW32:AW33"/>
    <mergeCell ref="AN30:AQ31"/>
    <mergeCell ref="AT30:AT31"/>
    <mergeCell ref="AC36:AD37"/>
    <mergeCell ref="AV30:AV31"/>
    <mergeCell ref="AW30:AW31"/>
    <mergeCell ref="L30:M31"/>
    <mergeCell ref="L32:M33"/>
    <mergeCell ref="L34:M35"/>
    <mergeCell ref="L36:M37"/>
    <mergeCell ref="AE34:AH35"/>
    <mergeCell ref="AE36:AH37"/>
    <mergeCell ref="V32:W33"/>
    <mergeCell ref="AC34:AD35"/>
    <mergeCell ref="L54:M55"/>
    <mergeCell ref="T30:U31"/>
    <mergeCell ref="T32:U33"/>
    <mergeCell ref="T34:U35"/>
    <mergeCell ref="T36:U37"/>
    <mergeCell ref="T38:U39"/>
    <mergeCell ref="T40:U41"/>
    <mergeCell ref="P40:Q41"/>
    <mergeCell ref="R40:S41"/>
    <mergeCell ref="P42:Q43"/>
    <mergeCell ref="R42:S43"/>
    <mergeCell ref="AZ26:AZ27"/>
    <mergeCell ref="C54:I55"/>
    <mergeCell ref="J36:K37"/>
    <mergeCell ref="C20:I21"/>
    <mergeCell ref="C22:I23"/>
    <mergeCell ref="C24:I25"/>
    <mergeCell ref="C26:I27"/>
    <mergeCell ref="C28:I29"/>
    <mergeCell ref="C30:I31"/>
    <mergeCell ref="C32:I33"/>
    <mergeCell ref="C34:I35"/>
    <mergeCell ref="C36:I37"/>
    <mergeCell ref="J22:K23"/>
    <mergeCell ref="L18:M19"/>
    <mergeCell ref="L20:M21"/>
    <mergeCell ref="L22:M23"/>
    <mergeCell ref="L24:M25"/>
    <mergeCell ref="L26:M27"/>
    <mergeCell ref="L28:M29"/>
    <mergeCell ref="J52:K53"/>
    <mergeCell ref="L52:M53"/>
    <mergeCell ref="C46:I47"/>
    <mergeCell ref="C48:I49"/>
    <mergeCell ref="C50:I51"/>
    <mergeCell ref="C52:I53"/>
    <mergeCell ref="J48:K49"/>
    <mergeCell ref="L48:M49"/>
    <mergeCell ref="J44:K45"/>
    <mergeCell ref="L44:M45"/>
    <mergeCell ref="J50:K51"/>
    <mergeCell ref="L50:M51"/>
    <mergeCell ref="J54:K55"/>
    <mergeCell ref="C56:I57"/>
    <mergeCell ref="C16:I17"/>
    <mergeCell ref="P17:Q17"/>
    <mergeCell ref="R17:S17"/>
    <mergeCell ref="T17:U17"/>
    <mergeCell ref="J16:U16"/>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P32:Q33"/>
    <mergeCell ref="R32:S33"/>
    <mergeCell ref="P34:Q35"/>
    <mergeCell ref="R34:S35"/>
    <mergeCell ref="C38:I39"/>
    <mergeCell ref="C40:I41"/>
    <mergeCell ref="C42:I43"/>
    <mergeCell ref="C44:I45"/>
    <mergeCell ref="T56:U57"/>
    <mergeCell ref="T24:U25"/>
    <mergeCell ref="T26:U27"/>
    <mergeCell ref="T28:U29"/>
    <mergeCell ref="V58:W59"/>
    <mergeCell ref="BA60:BA61"/>
    <mergeCell ref="BB60:BB61"/>
    <mergeCell ref="BC60:BC61"/>
    <mergeCell ref="BD60:BD61"/>
    <mergeCell ref="BE60:BE61"/>
    <mergeCell ref="BE58:BE59"/>
    <mergeCell ref="BF58:BF59"/>
    <mergeCell ref="BG58:BG59"/>
    <mergeCell ref="P54:Q55"/>
    <mergeCell ref="R54:S55"/>
    <mergeCell ref="P56:Q57"/>
    <mergeCell ref="R56:S57"/>
    <mergeCell ref="R46:S47"/>
    <mergeCell ref="T44:U45"/>
    <mergeCell ref="T46:U47"/>
    <mergeCell ref="AY58:AY59"/>
    <mergeCell ref="AZ58:AZ59"/>
    <mergeCell ref="BA58:BA59"/>
    <mergeCell ref="BB58:BB59"/>
    <mergeCell ref="BC58:BC59"/>
    <mergeCell ref="BD58:BD59"/>
    <mergeCell ref="X58:Z59"/>
    <mergeCell ref="AA58:AB59"/>
    <mergeCell ref="AC58:AD59"/>
    <mergeCell ref="AE58:AH59"/>
    <mergeCell ref="AI58:AJ59"/>
    <mergeCell ref="AK58:AM59"/>
    <mergeCell ref="AN58:AQ59"/>
    <mergeCell ref="AT58:AT59"/>
    <mergeCell ref="AU58:AU59"/>
    <mergeCell ref="V56:W57"/>
    <mergeCell ref="BH58:BH59"/>
    <mergeCell ref="BI58:BI59"/>
    <mergeCell ref="B60:B61"/>
    <mergeCell ref="C60:I61"/>
    <mergeCell ref="J60:K61"/>
    <mergeCell ref="L60:M61"/>
    <mergeCell ref="N60:O61"/>
    <mergeCell ref="P60:Q61"/>
    <mergeCell ref="R60:S61"/>
    <mergeCell ref="T60:U61"/>
    <mergeCell ref="V60:W61"/>
    <mergeCell ref="X60:Z61"/>
    <mergeCell ref="AA60:AB61"/>
    <mergeCell ref="AC60:AD61"/>
    <mergeCell ref="AE60:AH61"/>
    <mergeCell ref="AI60:AJ61"/>
    <mergeCell ref="AK60:AM61"/>
    <mergeCell ref="AN60:AQ61"/>
    <mergeCell ref="AT60:AT61"/>
    <mergeCell ref="AU60:AU61"/>
    <mergeCell ref="AV60:AV61"/>
    <mergeCell ref="AV58:AV59"/>
    <mergeCell ref="AW58:AW59"/>
    <mergeCell ref="AX58:AX59"/>
    <mergeCell ref="B58:B59"/>
    <mergeCell ref="C58:I59"/>
    <mergeCell ref="J58:K59"/>
    <mergeCell ref="L58:M59"/>
    <mergeCell ref="N58:O59"/>
    <mergeCell ref="P58:Q59"/>
    <mergeCell ref="R58:S59"/>
    <mergeCell ref="T58:U59"/>
    <mergeCell ref="BC62:BC63"/>
    <mergeCell ref="BD62:BD63"/>
    <mergeCell ref="BE62:BE63"/>
    <mergeCell ref="BF62:BF63"/>
    <mergeCell ref="BF60:BF61"/>
    <mergeCell ref="BG60:BG61"/>
    <mergeCell ref="BH60:BH61"/>
    <mergeCell ref="BI60:BI61"/>
    <mergeCell ref="B62:B63"/>
    <mergeCell ref="C62:I63"/>
    <mergeCell ref="J62:K63"/>
    <mergeCell ref="L62:M63"/>
    <mergeCell ref="N62:O63"/>
    <mergeCell ref="P62:Q63"/>
    <mergeCell ref="R62:S63"/>
    <mergeCell ref="T62:U63"/>
    <mergeCell ref="V62:W63"/>
    <mergeCell ref="X62:Z63"/>
    <mergeCell ref="AA62:AB63"/>
    <mergeCell ref="AC62:AD63"/>
    <mergeCell ref="AE62:AH63"/>
    <mergeCell ref="AI62:AJ63"/>
    <mergeCell ref="AK62:AM63"/>
    <mergeCell ref="AN62:AQ63"/>
    <mergeCell ref="AT62:AT63"/>
    <mergeCell ref="AU62:AU63"/>
    <mergeCell ref="AV62:AV63"/>
    <mergeCell ref="AW62:AW63"/>
    <mergeCell ref="AW60:AW61"/>
    <mergeCell ref="AX60:AX61"/>
    <mergeCell ref="AY60:AY61"/>
    <mergeCell ref="AZ60:AZ61"/>
    <mergeCell ref="BE64:BE65"/>
    <mergeCell ref="BF64:BF65"/>
    <mergeCell ref="BG64:BG65"/>
    <mergeCell ref="BG62:BG63"/>
    <mergeCell ref="BH62:BH63"/>
    <mergeCell ref="BI62:BI63"/>
    <mergeCell ref="B64:B65"/>
    <mergeCell ref="C64:I65"/>
    <mergeCell ref="J64:K65"/>
    <mergeCell ref="L64:M65"/>
    <mergeCell ref="N64:O65"/>
    <mergeCell ref="P64:Q65"/>
    <mergeCell ref="R64:S65"/>
    <mergeCell ref="T64:U65"/>
    <mergeCell ref="V64:W65"/>
    <mergeCell ref="X64:Z65"/>
    <mergeCell ref="AA64:AB65"/>
    <mergeCell ref="AC64:AD65"/>
    <mergeCell ref="AE64:AH65"/>
    <mergeCell ref="AI64:AJ65"/>
    <mergeCell ref="AK64:AM65"/>
    <mergeCell ref="AN64:AQ65"/>
    <mergeCell ref="AT64:AT65"/>
    <mergeCell ref="AU64:AU65"/>
    <mergeCell ref="AV64:AV65"/>
    <mergeCell ref="AW64:AW65"/>
    <mergeCell ref="AX64:AX65"/>
    <mergeCell ref="AX62:AX63"/>
    <mergeCell ref="AY62:AY63"/>
    <mergeCell ref="AZ62:AZ63"/>
    <mergeCell ref="BA62:BA63"/>
    <mergeCell ref="BB62:BB63"/>
    <mergeCell ref="BG66:BG67"/>
    <mergeCell ref="BH66:BH67"/>
    <mergeCell ref="BH64:BH65"/>
    <mergeCell ref="BI64:BI65"/>
    <mergeCell ref="B66:B67"/>
    <mergeCell ref="C66:I67"/>
    <mergeCell ref="J66:K67"/>
    <mergeCell ref="L66:M67"/>
    <mergeCell ref="N66:O67"/>
    <mergeCell ref="P66:Q67"/>
    <mergeCell ref="R66:S67"/>
    <mergeCell ref="T66:U67"/>
    <mergeCell ref="V66:W67"/>
    <mergeCell ref="X66:Z67"/>
    <mergeCell ref="AA66:AB67"/>
    <mergeCell ref="AC66:AD67"/>
    <mergeCell ref="AE66:AH67"/>
    <mergeCell ref="AI66:AJ67"/>
    <mergeCell ref="AK66:AM67"/>
    <mergeCell ref="AN66:AQ67"/>
    <mergeCell ref="AT66:AT67"/>
    <mergeCell ref="AU66:AU67"/>
    <mergeCell ref="AV66:AV67"/>
    <mergeCell ref="AW66:AW67"/>
    <mergeCell ref="AX66:AX67"/>
    <mergeCell ref="AY66:AY67"/>
    <mergeCell ref="AY64:AY65"/>
    <mergeCell ref="AZ64:AZ65"/>
    <mergeCell ref="BA64:BA65"/>
    <mergeCell ref="BB64:BB65"/>
    <mergeCell ref="BC64:BC65"/>
    <mergeCell ref="BD64:BD65"/>
    <mergeCell ref="BI68:BI69"/>
    <mergeCell ref="BI66:BI67"/>
    <mergeCell ref="B68:B69"/>
    <mergeCell ref="C68:I69"/>
    <mergeCell ref="J68:K69"/>
    <mergeCell ref="L68:M69"/>
    <mergeCell ref="N68:O69"/>
    <mergeCell ref="P68:Q69"/>
    <mergeCell ref="R68:S69"/>
    <mergeCell ref="T68:U69"/>
    <mergeCell ref="V68:W69"/>
    <mergeCell ref="X68:Z69"/>
    <mergeCell ref="AA68:AB69"/>
    <mergeCell ref="AC68:AD69"/>
    <mergeCell ref="AE68:AH69"/>
    <mergeCell ref="AI68:AJ69"/>
    <mergeCell ref="AK68:AM69"/>
    <mergeCell ref="AN68:AQ69"/>
    <mergeCell ref="AT68:AT69"/>
    <mergeCell ref="AU68:AU69"/>
    <mergeCell ref="AV68:AV69"/>
    <mergeCell ref="AW68:AW69"/>
    <mergeCell ref="AX68:AX69"/>
    <mergeCell ref="AY68:AY69"/>
    <mergeCell ref="AZ68:AZ69"/>
    <mergeCell ref="AZ66:AZ67"/>
    <mergeCell ref="BA66:BA67"/>
    <mergeCell ref="BB66:BB67"/>
    <mergeCell ref="BC66:BC67"/>
    <mergeCell ref="BD66:BD67"/>
    <mergeCell ref="BE66:BE67"/>
    <mergeCell ref="BF66:BF67"/>
    <mergeCell ref="B70:B71"/>
    <mergeCell ref="C70:I71"/>
    <mergeCell ref="J70:K71"/>
    <mergeCell ref="L70:M71"/>
    <mergeCell ref="N70:O71"/>
    <mergeCell ref="P70:Q71"/>
    <mergeCell ref="R70:S71"/>
    <mergeCell ref="T70:U71"/>
    <mergeCell ref="V70:W71"/>
    <mergeCell ref="BA68:BA69"/>
    <mergeCell ref="BB68:BB69"/>
    <mergeCell ref="BC68:BC69"/>
    <mergeCell ref="BD68:BD69"/>
    <mergeCell ref="BE68:BE69"/>
    <mergeCell ref="BF68:BF69"/>
    <mergeCell ref="BG68:BG69"/>
    <mergeCell ref="BH68:BH69"/>
    <mergeCell ref="AT72:AT73"/>
    <mergeCell ref="AU72:AU73"/>
    <mergeCell ref="AV72:AV73"/>
    <mergeCell ref="AV70:AV71"/>
    <mergeCell ref="AW70:AW71"/>
    <mergeCell ref="AX70:AX71"/>
    <mergeCell ref="AY70:AY71"/>
    <mergeCell ref="AZ70:AZ71"/>
    <mergeCell ref="BA70:BA71"/>
    <mergeCell ref="BB70:BB71"/>
    <mergeCell ref="BC70:BC71"/>
    <mergeCell ref="BD70:BD71"/>
    <mergeCell ref="X70:Z71"/>
    <mergeCell ref="AA70:AB71"/>
    <mergeCell ref="AC70:AD71"/>
    <mergeCell ref="AE70:AH71"/>
    <mergeCell ref="AI70:AJ71"/>
    <mergeCell ref="AK70:AM71"/>
    <mergeCell ref="AN70:AQ71"/>
    <mergeCell ref="AT70:AT71"/>
    <mergeCell ref="AU70:AU71"/>
    <mergeCell ref="AV74:AV75"/>
    <mergeCell ref="AW74:AW75"/>
    <mergeCell ref="AW72:AW73"/>
    <mergeCell ref="AX72:AX73"/>
    <mergeCell ref="AY72:AY73"/>
    <mergeCell ref="AZ72:AZ73"/>
    <mergeCell ref="BA72:BA73"/>
    <mergeCell ref="BB72:BB73"/>
    <mergeCell ref="BC72:BC73"/>
    <mergeCell ref="BD72:BD73"/>
    <mergeCell ref="BE72:BE73"/>
    <mergeCell ref="BE70:BE71"/>
    <mergeCell ref="BF70:BF71"/>
    <mergeCell ref="BG70:BG71"/>
    <mergeCell ref="BH70:BH71"/>
    <mergeCell ref="BI70:BI71"/>
    <mergeCell ref="B72:B73"/>
    <mergeCell ref="C72:I73"/>
    <mergeCell ref="J72:K73"/>
    <mergeCell ref="L72:M73"/>
    <mergeCell ref="N72:O73"/>
    <mergeCell ref="P72:Q73"/>
    <mergeCell ref="R72:S73"/>
    <mergeCell ref="T72:U73"/>
    <mergeCell ref="V72:W73"/>
    <mergeCell ref="X72:Z73"/>
    <mergeCell ref="AA72:AB73"/>
    <mergeCell ref="AC72:AD73"/>
    <mergeCell ref="AE72:AH73"/>
    <mergeCell ref="AI72:AJ73"/>
    <mergeCell ref="AK72:AM73"/>
    <mergeCell ref="AN72:AQ73"/>
    <mergeCell ref="AX76:AX77"/>
    <mergeCell ref="AX74:AX75"/>
    <mergeCell ref="AY74:AY75"/>
    <mergeCell ref="AZ74:AZ75"/>
    <mergeCell ref="BA74:BA75"/>
    <mergeCell ref="BB74:BB75"/>
    <mergeCell ref="BC74:BC75"/>
    <mergeCell ref="BD74:BD75"/>
    <mergeCell ref="BE74:BE75"/>
    <mergeCell ref="BF74:BF75"/>
    <mergeCell ref="BF72:BF73"/>
    <mergeCell ref="BG72:BG73"/>
    <mergeCell ref="BH72:BH73"/>
    <mergeCell ref="BI72:BI73"/>
    <mergeCell ref="B74:B75"/>
    <mergeCell ref="C74:I75"/>
    <mergeCell ref="J74:K75"/>
    <mergeCell ref="L74:M75"/>
    <mergeCell ref="N74:O75"/>
    <mergeCell ref="P74:Q75"/>
    <mergeCell ref="R74:S75"/>
    <mergeCell ref="T74:U75"/>
    <mergeCell ref="V74:W75"/>
    <mergeCell ref="X74:Z75"/>
    <mergeCell ref="AA74:AB75"/>
    <mergeCell ref="AC74:AD75"/>
    <mergeCell ref="AE74:AH75"/>
    <mergeCell ref="AI74:AJ75"/>
    <mergeCell ref="AK74:AM75"/>
    <mergeCell ref="AN74:AQ75"/>
    <mergeCell ref="AT74:AT75"/>
    <mergeCell ref="AU74:AU75"/>
    <mergeCell ref="AY76:AY77"/>
    <mergeCell ref="AZ76:AZ77"/>
    <mergeCell ref="BA76:BA77"/>
    <mergeCell ref="BB76:BB77"/>
    <mergeCell ref="BC76:BC77"/>
    <mergeCell ref="BD76:BD77"/>
    <mergeCell ref="BE76:BE77"/>
    <mergeCell ref="BF76:BF77"/>
    <mergeCell ref="BG76:BG77"/>
    <mergeCell ref="BG74:BG75"/>
    <mergeCell ref="BH74:BH75"/>
    <mergeCell ref="BI74:BI75"/>
    <mergeCell ref="B76:B77"/>
    <mergeCell ref="C76:I77"/>
    <mergeCell ref="J76:K77"/>
    <mergeCell ref="L76:M77"/>
    <mergeCell ref="N76:O77"/>
    <mergeCell ref="P76:Q77"/>
    <mergeCell ref="R76:S77"/>
    <mergeCell ref="T76:U77"/>
    <mergeCell ref="V76:W77"/>
    <mergeCell ref="X76:Z77"/>
    <mergeCell ref="AA76:AB77"/>
    <mergeCell ref="AC76:AD77"/>
    <mergeCell ref="AE76:AH77"/>
    <mergeCell ref="AI76:AJ77"/>
    <mergeCell ref="AK76:AM77"/>
    <mergeCell ref="AN76:AQ77"/>
    <mergeCell ref="AT76:AT77"/>
    <mergeCell ref="AU76:AU77"/>
    <mergeCell ref="AV76:AV77"/>
    <mergeCell ref="AW76:AW77"/>
    <mergeCell ref="BA78:BA79"/>
    <mergeCell ref="BB78:BB79"/>
    <mergeCell ref="BC78:BC79"/>
    <mergeCell ref="BD78:BD79"/>
    <mergeCell ref="BE78:BE79"/>
    <mergeCell ref="BF78:BF79"/>
    <mergeCell ref="BG78:BG79"/>
    <mergeCell ref="BH78:BH79"/>
    <mergeCell ref="BH76:BH77"/>
    <mergeCell ref="BI76:BI77"/>
    <mergeCell ref="B78:B79"/>
    <mergeCell ref="C78:I79"/>
    <mergeCell ref="J78:K79"/>
    <mergeCell ref="L78:M79"/>
    <mergeCell ref="N78:O79"/>
    <mergeCell ref="P78:Q79"/>
    <mergeCell ref="R78:S79"/>
    <mergeCell ref="T78:U79"/>
    <mergeCell ref="V78:W79"/>
    <mergeCell ref="X78:Z79"/>
    <mergeCell ref="AA78:AB79"/>
    <mergeCell ref="AC78:AD79"/>
    <mergeCell ref="AE78:AH79"/>
    <mergeCell ref="AI78:AJ79"/>
    <mergeCell ref="AK78:AM79"/>
    <mergeCell ref="AN78:AQ79"/>
    <mergeCell ref="AT78:AT79"/>
    <mergeCell ref="AU78:AU79"/>
    <mergeCell ref="AV78:AV79"/>
    <mergeCell ref="AW78:AW79"/>
    <mergeCell ref="AX78:AX79"/>
    <mergeCell ref="AY78:AY79"/>
    <mergeCell ref="BC80:BC81"/>
    <mergeCell ref="BD80:BD81"/>
    <mergeCell ref="BE80:BE81"/>
    <mergeCell ref="BF80:BF81"/>
    <mergeCell ref="BG80:BG81"/>
    <mergeCell ref="BH80:BH81"/>
    <mergeCell ref="BI80:BI81"/>
    <mergeCell ref="BI78:BI79"/>
    <mergeCell ref="B80:B81"/>
    <mergeCell ref="C80:I81"/>
    <mergeCell ref="J80:K81"/>
    <mergeCell ref="L80:M81"/>
    <mergeCell ref="N80:O81"/>
    <mergeCell ref="P80:Q81"/>
    <mergeCell ref="R80:S81"/>
    <mergeCell ref="T80:U81"/>
    <mergeCell ref="V80:W81"/>
    <mergeCell ref="X80:Z81"/>
    <mergeCell ref="AA80:AB81"/>
    <mergeCell ref="AC80:AD81"/>
    <mergeCell ref="AE80:AH81"/>
    <mergeCell ref="AI80:AJ81"/>
    <mergeCell ref="AK80:AM81"/>
    <mergeCell ref="AN80:AQ81"/>
    <mergeCell ref="AT80:AT81"/>
    <mergeCell ref="AU80:AU81"/>
    <mergeCell ref="AV80:AV81"/>
    <mergeCell ref="AW80:AW81"/>
    <mergeCell ref="AX80:AX81"/>
    <mergeCell ref="AY80:AY81"/>
    <mergeCell ref="AZ80:AZ81"/>
    <mergeCell ref="AZ78:AZ79"/>
    <mergeCell ref="AE82:AH83"/>
    <mergeCell ref="AI82:AJ83"/>
    <mergeCell ref="AK82:AM83"/>
    <mergeCell ref="AN82:AQ83"/>
    <mergeCell ref="AT82:AT83"/>
    <mergeCell ref="AU82:AU83"/>
    <mergeCell ref="B82:B83"/>
    <mergeCell ref="C82:I83"/>
    <mergeCell ref="J82:K83"/>
    <mergeCell ref="L82:M83"/>
    <mergeCell ref="N82:O83"/>
    <mergeCell ref="P82:Q83"/>
    <mergeCell ref="R82:S83"/>
    <mergeCell ref="T82:U83"/>
    <mergeCell ref="V82:W83"/>
    <mergeCell ref="BA80:BA81"/>
    <mergeCell ref="BB80:BB81"/>
    <mergeCell ref="BI82:BI83"/>
    <mergeCell ref="B84:B85"/>
    <mergeCell ref="C84:I85"/>
    <mergeCell ref="J84:K85"/>
    <mergeCell ref="L84:M85"/>
    <mergeCell ref="N84:O85"/>
    <mergeCell ref="P84:Q85"/>
    <mergeCell ref="R84:S85"/>
    <mergeCell ref="T84:U85"/>
    <mergeCell ref="V84:W85"/>
    <mergeCell ref="X84:Z85"/>
    <mergeCell ref="AA84:AB85"/>
    <mergeCell ref="AC84:AD85"/>
    <mergeCell ref="AE84:AH85"/>
    <mergeCell ref="AI84:AJ85"/>
    <mergeCell ref="AK84:AM85"/>
    <mergeCell ref="AN84:AQ85"/>
    <mergeCell ref="AT84:AT85"/>
    <mergeCell ref="AU84:AU85"/>
    <mergeCell ref="AV84:AV85"/>
    <mergeCell ref="AV82:AV83"/>
    <mergeCell ref="AW82:AW83"/>
    <mergeCell ref="AX82:AX83"/>
    <mergeCell ref="AY82:AY83"/>
    <mergeCell ref="AZ82:AZ83"/>
    <mergeCell ref="BA82:BA83"/>
    <mergeCell ref="BB82:BB83"/>
    <mergeCell ref="BC82:BC83"/>
    <mergeCell ref="BD82:BD83"/>
    <mergeCell ref="X82:Z83"/>
    <mergeCell ref="AA82:AB83"/>
    <mergeCell ref="AC82:AD83"/>
    <mergeCell ref="AV86:AV87"/>
    <mergeCell ref="AW86:AW87"/>
    <mergeCell ref="AW84:AW85"/>
    <mergeCell ref="AX84:AX85"/>
    <mergeCell ref="AY84:AY85"/>
    <mergeCell ref="AZ84:AZ85"/>
    <mergeCell ref="BA84:BA85"/>
    <mergeCell ref="BB84:BB85"/>
    <mergeCell ref="BC84:BC85"/>
    <mergeCell ref="BD84:BD85"/>
    <mergeCell ref="BE84:BE85"/>
    <mergeCell ref="BE82:BE83"/>
    <mergeCell ref="BF82:BF83"/>
    <mergeCell ref="BG82:BG83"/>
    <mergeCell ref="BH82:BH83"/>
    <mergeCell ref="BG86:BG87"/>
    <mergeCell ref="BH86:BH87"/>
    <mergeCell ref="BI86:BI87"/>
    <mergeCell ref="AX86:AX87"/>
    <mergeCell ref="AY86:AY87"/>
    <mergeCell ref="AZ86:AZ87"/>
    <mergeCell ref="BA86:BA87"/>
    <mergeCell ref="BB86:BB87"/>
    <mergeCell ref="BC86:BC87"/>
    <mergeCell ref="BD86:BD87"/>
    <mergeCell ref="BE86:BE87"/>
    <mergeCell ref="BF86:BF87"/>
    <mergeCell ref="BF84:BF85"/>
    <mergeCell ref="BG84:BG85"/>
    <mergeCell ref="BH84:BH85"/>
    <mergeCell ref="BI84:BI85"/>
    <mergeCell ref="B86:B87"/>
    <mergeCell ref="C86:I87"/>
    <mergeCell ref="J86:K87"/>
    <mergeCell ref="L86:M87"/>
    <mergeCell ref="N86:O87"/>
    <mergeCell ref="P86:Q87"/>
    <mergeCell ref="R86:S87"/>
    <mergeCell ref="T86:U87"/>
    <mergeCell ref="V86:W87"/>
    <mergeCell ref="X86:Z87"/>
    <mergeCell ref="AA86:AB87"/>
    <mergeCell ref="AC86:AD87"/>
    <mergeCell ref="AE86:AH87"/>
    <mergeCell ref="AI86:AJ87"/>
    <mergeCell ref="AK86:AM87"/>
    <mergeCell ref="AN86:AQ87"/>
    <mergeCell ref="AT86:AT87"/>
    <mergeCell ref="AU86:AU87"/>
  </mergeCells>
  <conditionalFormatting sqref="AO8:AS8">
    <cfRule type="expression" dxfId="101" priority="10">
      <formula>IF($AO$8=PROJSTATMEASURE,FALSE,TRUE)</formula>
    </cfRule>
  </conditionalFormatting>
  <conditionalFormatting sqref="N18:O200 T18:AD200">
    <cfRule type="expression" dxfId="100" priority="9">
      <formula>AND(ISBLANK($C18)=FALSE,OR(ISBLANK(N18)=TRUE,N18=""))</formula>
    </cfRule>
  </conditionalFormatting>
  <conditionalFormatting sqref="AN18:AQ200">
    <cfRule type="expression" dxfId="99" priority="4">
      <formula>ISNUMBER($AN18)=FALSE</formula>
    </cfRule>
  </conditionalFormatting>
  <dataValidations xWindow="222" yWindow="553" count="6">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200" xr:uid="{7874AA15-6EE7-458E-BC28-6F5E0FB4D504}">
      <formula1>INDEX(STDHVACTONMIN,MATCH(C18,STDHVACMEASURES,0))</formula1>
      <formula2>INDEX(STDHVACTONMAX,MATCH(C18,STDHVACMEASURES,0))</formula2>
    </dataValidation>
    <dataValidation type="decimal" allowBlank="1" showInputMessage="1" showErrorMessage="1" prompt="This is the TOTAL Labor Cost of the measure, NOT a per unit basis." sqref="AC18:AD200" xr:uid="{242EF909-ED0E-4D2C-A6B3-F4F3F5266D00}">
      <formula1>0</formula1>
      <formula2>999999</formula2>
    </dataValidation>
    <dataValidation type="list" allowBlank="1" showInputMessage="1" showErrorMessage="1" prompt="Select Efficient Measure. If you do not see your equipment listed, it may qualify as a Custom Measure." sqref="C18 C20 C22 C24 C26 C28 C30 C32 C34 C36 C38 C40 C42 C44 C46 C48 C50 C52 C54 C56 C58 C60 C62 C64 C66 C68 C70 C72 C74 C76 C78 C80 C82 C84 C86" xr:uid="{32EC0286-AB87-4A2F-B5F6-1C62A9028101}">
      <formula1>STDHVACLIST</formula1>
    </dataValidation>
    <dataValidation type="decimal" allowBlank="1" showInputMessage="1" showErrorMessage="1" prompt="This is the TOTAL Material Cost of the measure, NOT a per unit basis." sqref="AA18:AB200" xr:uid="{C57E8ED6-DDF3-4BD9-BFAF-C31BB0B18C89}">
      <formula1>0</formula1>
      <formula2>999999</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N18:O200" xr:uid="{271246B0-1A0E-4661-8115-46E3AF4EA5D8}">
      <formula1>INDEX(STDHVACEFFMIN,MATCH(C18,STDHVACMEASURES,0))</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T18:U200" xr:uid="{B9D261B0-6752-45AA-B69C-B8BA20CC4EB6}">
      <formula1>INDEX(STDHVACEFFMIN2,MATCH(C18,STDHVACMEASURES,0))</formula1>
    </dataValidation>
  </dataValidations>
  <hyperlinks>
    <hyperlink ref="H9:K11" location="'M03-S02'!C18" tooltip="Lighting" display="'M03-S02'!C18" xr:uid="{5BE4E572-44A2-4FB1-AE46-722DF080DBB5}"/>
    <hyperlink ref="L9:O11" location="'M03-S03'!C18" tooltip="Lighting Controls" display="'M03-S03'!C18" xr:uid="{7836B6CD-8D8E-4372-ABC9-5BCC2F12E1FD}"/>
    <hyperlink ref="P9:S11" location="'M03-S04'!C18" tooltip="Refrigeration" display="'M03-S04'!C18" xr:uid="{097EC1A0-DC61-42BB-AD03-AE2902F9C280}"/>
    <hyperlink ref="T9:W11" location="'M03-S05'!C18" tooltip="HVAC" display="'M03-S05'!C18" xr:uid="{13BC734D-8B5A-4363-AC70-17DF5ECF186D}"/>
    <hyperlink ref="AB9:AE11" location="'M03-S06'!C18" tooltip="Compressed Air / Process" display="'M03-S06'!C18" xr:uid="{F6306310-1CB0-492C-96F1-F5C519E42D9F}"/>
    <hyperlink ref="AF9:AI11" location="'M03-S07'!C18" tooltip="Water Heating / Cooking" display="'M03-S07'!C18" xr:uid="{FEFD785C-BDE0-4A9F-8970-C0B51EF82D99}"/>
    <hyperlink ref="X9:AA11" location="'M03-S08'!C18" tooltip="Motors and Drives" display="'M03-S08'!C18" xr:uid="{B4EDEC9A-062F-4C91-A0C3-4900E01D672D}"/>
    <hyperlink ref="AJ9:AM11" location="'M04-S09'!C18" tooltip="Miscellaneous" display="'M04-S09'!C18" xr:uid="{87B060A7-D04C-4C49-95FE-43742A200E78}"/>
    <hyperlink ref="J1:M3" location="'M01-S02'!J1" tooltip="Instructions" display="'M01-S02'!J1" xr:uid="{FDE9DFAD-F9C5-4BC5-B648-55E90EE93294}"/>
    <hyperlink ref="AL1:AO3" location="'M05-S05'!AL1" tooltip=" " display="'M05-S05'!AL1" xr:uid="{CDBE9938-2191-4B5A-99B8-A74F6D8FDFBE}"/>
    <hyperlink ref="AH1:AK3" location="'M05-S04'!AH1" tooltip=" " display="'M05-S04'!AH1" xr:uid="{106024B1-AFB2-4C54-98F8-C09F1AFABB05}"/>
    <hyperlink ref="AP1:AS3" location="'M01-S03'!AP1" tooltip="Contact" display="'M01-S03'!AP1" xr:uid="{5E18746A-83F8-443E-BE78-237A86EF42FE}"/>
    <hyperlink ref="B345" r:id="rId1" xr:uid="{0B3676AE-8286-44BC-B73F-5269E4D2D57B}"/>
  </hyperlinks>
  <printOptions horizontalCentered="1"/>
  <pageMargins left="0.25" right="0.25" top="0.25" bottom="0.25" header="0.25" footer="0.25"/>
  <pageSetup scale="62"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pageSetUpPr fitToPage="1"/>
  </sheetPr>
  <dimension ref="A1:BI202"/>
  <sheetViews>
    <sheetView showGridLines="0" showRowColHeaders="0" zoomScale="85" zoomScaleNormal="85" workbookViewId="0">
      <selection activeCell="C18" sqref="C18:Q19"/>
    </sheetView>
  </sheetViews>
  <sheetFormatPr defaultColWidth="0" defaultRowHeight="15.95" customHeight="1" zeroHeight="1"/>
  <cols>
    <col min="1" max="45" width="4.7109375" customWidth="1"/>
    <col min="46" max="46" width="9.5703125" hidden="1" customWidth="1"/>
    <col min="47" max="47" width="15.7109375" hidden="1" customWidth="1"/>
    <col min="48" max="59" width="9.5703125" hidden="1" customWidth="1"/>
    <col min="60" max="60" width="12.85546875" hidden="1" customWidth="1"/>
    <col min="61" max="61" width="9.5703125" hidden="1" customWidth="1"/>
    <col min="62" max="71" width="4.7109375" hidden="1" customWidth="1"/>
    <col min="72" max="16384" width="4.7109375" hidden="1"/>
  </cols>
  <sheetData>
    <row r="1" spans="1:61" ht="15.95" customHeight="1">
      <c r="A1" s="401"/>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AT1" s="180"/>
      <c r="AU1" s="180"/>
      <c r="AV1" s="180"/>
      <c r="AW1" s="180"/>
      <c r="AX1" s="180"/>
      <c r="AY1" s="180"/>
      <c r="AZ1" s="180"/>
      <c r="BA1" s="180"/>
      <c r="BB1" s="180"/>
      <c r="BC1" s="180"/>
      <c r="BD1" s="180"/>
    </row>
    <row r="2" spans="1:6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AT2" s="180"/>
      <c r="AU2" s="180"/>
      <c r="AV2" s="180"/>
      <c r="AW2" s="180"/>
      <c r="AX2" s="180"/>
      <c r="AY2" s="180"/>
      <c r="AZ2" s="180"/>
      <c r="BA2" s="180"/>
      <c r="BB2" s="180"/>
      <c r="BC2" s="180"/>
      <c r="BD2" s="180"/>
    </row>
    <row r="3" spans="1:6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AT3" s="180"/>
      <c r="AU3" s="180"/>
      <c r="AV3" s="180"/>
      <c r="AW3" s="180"/>
      <c r="AX3" s="180"/>
      <c r="AY3" s="180"/>
      <c r="AZ3" s="180"/>
      <c r="BA3" s="180"/>
      <c r="BB3" s="180"/>
      <c r="BC3" s="180"/>
      <c r="BD3" s="180"/>
    </row>
    <row r="4" spans="1:61" ht="15.95" customHeight="1">
      <c r="A4" s="773">
        <f>INCENTOTAL</f>
        <v>0</v>
      </c>
      <c r="B4" s="773"/>
      <c r="C4" s="773"/>
      <c r="D4" s="773"/>
      <c r="E4" s="773"/>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row>
    <row r="5" spans="1:61"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s="180"/>
      <c r="AU5" s="180"/>
      <c r="AV5" s="180"/>
      <c r="AW5" s="180"/>
      <c r="AX5" s="180"/>
      <c r="AY5" s="180"/>
      <c r="AZ5" s="180"/>
      <c r="BA5" s="180"/>
      <c r="BB5" s="180"/>
      <c r="BC5" s="180"/>
      <c r="BD5" s="180"/>
    </row>
    <row r="6" spans="1:61"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s="180"/>
      <c r="AU6" s="180"/>
      <c r="AV6" s="180"/>
      <c r="AW6" s="180"/>
      <c r="AX6" s="180"/>
      <c r="AY6" s="180"/>
      <c r="AZ6" s="180"/>
      <c r="BA6" s="180"/>
      <c r="BB6" s="180"/>
      <c r="BC6" s="180"/>
      <c r="BD6" s="180"/>
    </row>
    <row r="7" spans="1:61"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s="180"/>
      <c r="AU7" s="180"/>
      <c r="AV7" s="180"/>
      <c r="AW7" s="180"/>
      <c r="AX7" s="180"/>
      <c r="AY7" s="180"/>
      <c r="AZ7" s="180"/>
      <c r="BA7" s="180"/>
      <c r="BB7" s="180"/>
      <c r="BC7" s="180"/>
      <c r="BD7" s="180"/>
    </row>
    <row r="8" spans="1:61"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s="180"/>
      <c r="AU8" s="180"/>
      <c r="AV8" s="180"/>
      <c r="AW8" s="180"/>
      <c r="AX8" s="180"/>
      <c r="AY8" s="180"/>
      <c r="AZ8" s="180"/>
      <c r="BA8" s="180"/>
      <c r="BB8" s="180"/>
      <c r="BC8" s="180"/>
      <c r="BD8" s="180"/>
    </row>
    <row r="9" spans="1:61" ht="15.95" customHeight="1">
      <c r="A9" s="148"/>
      <c r="B9" s="179"/>
      <c r="C9" s="179"/>
      <c r="D9" s="179"/>
      <c r="E9" s="181"/>
      <c r="F9" s="181"/>
      <c r="G9" s="181"/>
      <c r="H9" s="910" t="str">
        <f>M3S2</f>
        <v>Lighting</v>
      </c>
      <c r="I9" s="911"/>
      <c r="J9" s="911"/>
      <c r="K9" s="911"/>
      <c r="L9" s="910" t="str">
        <f>M3S3</f>
        <v>Lighting Controls</v>
      </c>
      <c r="M9" s="911"/>
      <c r="N9" s="911"/>
      <c r="O9" s="911"/>
      <c r="P9" s="910" t="str">
        <f>M3S4</f>
        <v>Refrigeration</v>
      </c>
      <c r="Q9" s="911"/>
      <c r="R9" s="911"/>
      <c r="S9" s="911"/>
      <c r="T9" s="910" t="str">
        <f>M3S5</f>
        <v>HVAC</v>
      </c>
      <c r="U9" s="911"/>
      <c r="V9" s="911"/>
      <c r="W9" s="911"/>
      <c r="X9" s="913" t="str">
        <f>M4S8</f>
        <v>Motors and Drives</v>
      </c>
      <c r="Y9" s="913"/>
      <c r="Z9" s="913"/>
      <c r="AA9" s="913"/>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7"/>
      <c r="AP9" s="235"/>
      <c r="AQ9" s="352"/>
      <c r="AR9" s="352"/>
      <c r="AS9" s="336"/>
      <c r="AT9" s="180"/>
      <c r="AU9" s="180"/>
      <c r="AV9" s="180"/>
      <c r="AW9" s="180"/>
      <c r="AX9" s="180"/>
      <c r="AY9" s="180"/>
      <c r="AZ9" s="180"/>
      <c r="BA9" s="180"/>
      <c r="BB9" s="180"/>
      <c r="BC9" s="180"/>
      <c r="BD9" s="180"/>
    </row>
    <row r="10" spans="1:61" ht="15.95" customHeight="1">
      <c r="A10" s="148"/>
      <c r="B10" s="152"/>
      <c r="C10" s="152"/>
      <c r="D10" s="152"/>
      <c r="E10" s="183"/>
      <c r="F10" s="183"/>
      <c r="G10" s="183"/>
      <c r="H10" s="912"/>
      <c r="I10" s="912"/>
      <c r="J10" s="912"/>
      <c r="K10" s="912"/>
      <c r="L10" s="912"/>
      <c r="M10" s="912"/>
      <c r="N10" s="912"/>
      <c r="O10" s="912"/>
      <c r="P10" s="912"/>
      <c r="Q10" s="912"/>
      <c r="R10" s="912"/>
      <c r="S10" s="912"/>
      <c r="T10" s="912"/>
      <c r="U10" s="912"/>
      <c r="V10" s="912"/>
      <c r="W10" s="912"/>
      <c r="X10" s="914"/>
      <c r="Y10" s="914"/>
      <c r="Z10" s="914"/>
      <c r="AA10" s="914"/>
      <c r="AB10" s="912"/>
      <c r="AC10" s="912"/>
      <c r="AD10" s="912"/>
      <c r="AE10" s="912"/>
      <c r="AF10" s="912"/>
      <c r="AG10" s="912"/>
      <c r="AH10" s="912"/>
      <c r="AI10" s="912"/>
      <c r="AJ10" s="912"/>
      <c r="AK10" s="912"/>
      <c r="AL10" s="912"/>
      <c r="AM10" s="912"/>
      <c r="AN10" s="152"/>
      <c r="AO10" s="334"/>
      <c r="AP10" s="235"/>
      <c r="AQ10" s="344"/>
      <c r="AR10" s="344"/>
      <c r="AS10" s="336"/>
      <c r="AT10" s="180"/>
      <c r="AU10" s="180"/>
      <c r="AV10" s="180"/>
      <c r="AW10" s="180"/>
      <c r="AX10" s="180"/>
      <c r="AY10" s="180"/>
      <c r="AZ10" s="180"/>
      <c r="BA10" s="180"/>
      <c r="BB10" s="180"/>
      <c r="BC10" s="180"/>
      <c r="BD10" s="180"/>
    </row>
    <row r="11" spans="1:61" ht="15.95" customHeight="1">
      <c r="A11" s="180"/>
      <c r="B11" s="398"/>
      <c r="C11" s="398"/>
      <c r="D11" s="398"/>
      <c r="E11" s="13"/>
      <c r="F11" s="13"/>
      <c r="G11" s="13"/>
      <c r="H11" s="912"/>
      <c r="I11" s="912"/>
      <c r="J11" s="912"/>
      <c r="K11" s="912"/>
      <c r="L11" s="912"/>
      <c r="M11" s="912"/>
      <c r="N11" s="912"/>
      <c r="O11" s="912"/>
      <c r="P11" s="912"/>
      <c r="Q11" s="912"/>
      <c r="R11" s="912"/>
      <c r="S11" s="912"/>
      <c r="T11" s="912"/>
      <c r="U11" s="912"/>
      <c r="V11" s="912"/>
      <c r="W11" s="912"/>
      <c r="X11" s="914"/>
      <c r="Y11" s="914"/>
      <c r="Z11" s="914"/>
      <c r="AA11" s="914"/>
      <c r="AB11" s="912"/>
      <c r="AC11" s="912"/>
      <c r="AD11" s="912"/>
      <c r="AE11" s="912"/>
      <c r="AF11" s="912"/>
      <c r="AG11" s="912"/>
      <c r="AH11" s="912"/>
      <c r="AI11" s="912"/>
      <c r="AJ11" s="912"/>
      <c r="AK11" s="912"/>
      <c r="AL11" s="912"/>
      <c r="AM11" s="912"/>
      <c r="AN11" s="398"/>
      <c r="AO11" s="334"/>
      <c r="AP11" s="235"/>
      <c r="AQ11" s="399"/>
      <c r="AR11" s="399"/>
      <c r="AS11" s="235"/>
      <c r="AT11" s="180"/>
      <c r="AU11" s="180"/>
      <c r="AV11" s="180"/>
      <c r="AW11" s="180"/>
      <c r="AX11" s="180"/>
      <c r="AY11" s="180"/>
      <c r="AZ11" s="180"/>
      <c r="BA11" s="180"/>
      <c r="BB11" s="180"/>
      <c r="BC11" s="180"/>
      <c r="BD11" s="180"/>
    </row>
    <row r="12" spans="1:61" ht="15.95" customHeight="1">
      <c r="A12" s="180"/>
      <c r="B12" s="180"/>
      <c r="C12" s="400"/>
      <c r="D12" s="400"/>
      <c r="E12" s="400"/>
      <c r="F12" s="180"/>
      <c r="G12" s="180"/>
      <c r="H12" s="180"/>
      <c r="I12" s="180"/>
      <c r="J12" s="180"/>
      <c r="K12" s="180"/>
      <c r="L12" s="180"/>
      <c r="M12" s="180"/>
      <c r="N12" s="180"/>
      <c r="O12" s="180"/>
      <c r="P12" s="180"/>
      <c r="Q12" s="180"/>
      <c r="R12" s="916">
        <f>SUM(AN18:AQ199)</f>
        <v>0</v>
      </c>
      <c r="S12" s="916"/>
      <c r="T12" s="916"/>
      <c r="U12" s="916"/>
      <c r="V12" s="916">
        <f>SUM(AT18:AT199)</f>
        <v>0</v>
      </c>
      <c r="W12" s="916"/>
      <c r="X12" s="916"/>
      <c r="Y12" s="916"/>
      <c r="Z12" s="915">
        <f ca="1">SUMIF(AN18:AQ199,"&gt;0",AK18:AM199)</f>
        <v>0</v>
      </c>
      <c r="AA12" s="915"/>
      <c r="AB12" s="915"/>
      <c r="AC12" s="915"/>
      <c r="AD12" s="180"/>
      <c r="AE12" s="180"/>
      <c r="AF12" s="180"/>
      <c r="AG12" s="180"/>
      <c r="AH12" s="180"/>
      <c r="AI12" s="180"/>
      <c r="AJ12" s="180"/>
      <c r="AK12" s="180"/>
      <c r="AL12" s="180"/>
      <c r="AM12" s="180"/>
      <c r="AN12" s="180"/>
      <c r="AO12" s="235"/>
      <c r="AP12" s="333"/>
      <c r="AQ12" s="235"/>
      <c r="AR12" s="235"/>
      <c r="AS12" s="235"/>
      <c r="AT12" s="180"/>
      <c r="AU12" s="180"/>
      <c r="AV12" s="180"/>
      <c r="AW12" s="180"/>
      <c r="AX12" s="180"/>
      <c r="AY12" s="180"/>
      <c r="AZ12" s="180"/>
      <c r="BA12" s="180"/>
      <c r="BB12" s="180"/>
      <c r="BC12" s="180"/>
      <c r="BD12" s="180"/>
    </row>
    <row r="13" spans="1:61" ht="15.95" customHeight="1">
      <c r="A13" s="180"/>
      <c r="B13" s="180"/>
      <c r="C13" s="860" t="s">
        <v>2136</v>
      </c>
      <c r="D13" s="860"/>
      <c r="E13" s="860"/>
      <c r="F13" s="860"/>
      <c r="G13" s="860"/>
      <c r="H13" s="860"/>
      <c r="I13" s="860"/>
      <c r="J13" s="860"/>
      <c r="K13" s="860"/>
      <c r="L13" s="860"/>
      <c r="M13" s="860"/>
      <c r="N13" s="860"/>
      <c r="O13" s="860"/>
      <c r="P13" s="860"/>
      <c r="Q13" s="180"/>
      <c r="R13" s="916"/>
      <c r="S13" s="916"/>
      <c r="T13" s="916"/>
      <c r="U13" s="916"/>
      <c r="V13" s="916"/>
      <c r="W13" s="916"/>
      <c r="X13" s="916"/>
      <c r="Y13" s="916"/>
      <c r="Z13" s="915"/>
      <c r="AA13" s="915"/>
      <c r="AB13" s="915"/>
      <c r="AC13" s="915"/>
      <c r="AD13" s="180"/>
      <c r="AE13" s="180"/>
      <c r="AF13" s="180"/>
      <c r="AG13" s="180"/>
      <c r="AH13" s="180"/>
      <c r="AI13" s="860"/>
      <c r="AJ13" s="860"/>
      <c r="AK13" s="860"/>
      <c r="AL13" s="860"/>
      <c r="AM13" s="860"/>
      <c r="AN13" s="860"/>
      <c r="AO13" s="1002"/>
      <c r="AP13" s="1002"/>
      <c r="AQ13" s="1002"/>
      <c r="AR13" s="235"/>
      <c r="AS13" s="235"/>
      <c r="AT13" s="180"/>
      <c r="AU13" s="180"/>
      <c r="AV13" s="180"/>
      <c r="AW13" s="180"/>
      <c r="AX13" s="180"/>
      <c r="AY13" s="180"/>
      <c r="AZ13" s="180"/>
      <c r="BA13" s="180"/>
      <c r="BB13" s="180"/>
      <c r="BC13" s="180"/>
      <c r="BD13" s="180"/>
    </row>
    <row r="14" spans="1:61" ht="15.95" customHeight="1">
      <c r="A14" s="180"/>
      <c r="B14" s="180"/>
      <c r="C14" s="180"/>
      <c r="D14" s="180"/>
      <c r="E14" s="180"/>
      <c r="F14" s="180"/>
      <c r="G14" s="180"/>
      <c r="H14" s="180"/>
      <c r="I14" s="180"/>
      <c r="J14" s="180"/>
      <c r="K14" s="180"/>
      <c r="L14" s="180"/>
      <c r="M14" s="180"/>
      <c r="N14" s="180"/>
      <c r="O14" s="180"/>
      <c r="P14" s="180"/>
      <c r="Q14" s="180"/>
      <c r="R14" s="860" t="s">
        <v>1979</v>
      </c>
      <c r="S14" s="860"/>
      <c r="T14" s="860"/>
      <c r="U14" s="860"/>
      <c r="V14" s="860" t="s">
        <v>67</v>
      </c>
      <c r="W14" s="860"/>
      <c r="X14" s="860"/>
      <c r="Y14" s="860"/>
      <c r="Z14" s="860" t="s">
        <v>1248</v>
      </c>
      <c r="AA14" s="860"/>
      <c r="AB14" s="860"/>
      <c r="AC14" s="860"/>
      <c r="AD14" s="180"/>
      <c r="AE14" s="180"/>
      <c r="AF14" s="180"/>
      <c r="AG14" s="180"/>
      <c r="AH14" s="180"/>
      <c r="AI14" s="180"/>
      <c r="AJ14" s="180"/>
      <c r="AK14" s="180"/>
      <c r="AL14" s="180"/>
      <c r="AM14" s="180"/>
      <c r="AN14" s="180"/>
      <c r="AO14" s="235"/>
      <c r="AP14" s="235"/>
      <c r="AQ14" s="235"/>
      <c r="AR14" s="235"/>
      <c r="AS14" s="235"/>
      <c r="AT14" s="180"/>
      <c r="AU14" s="180"/>
      <c r="AV14" s="180"/>
      <c r="AW14" s="180"/>
      <c r="AX14" s="180"/>
      <c r="AY14" s="180"/>
      <c r="AZ14" s="180"/>
      <c r="BA14" s="180"/>
      <c r="BB14" s="180"/>
      <c r="BC14" s="180"/>
      <c r="BD14" s="180"/>
    </row>
    <row r="15" spans="1:61" ht="15.95" customHeight="1">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235"/>
      <c r="AP15" s="235"/>
      <c r="AQ15" s="235"/>
      <c r="AR15" s="235"/>
      <c r="AS15" s="235"/>
      <c r="AT15" s="180"/>
      <c r="AU15" s="180"/>
      <c r="AV15" s="180"/>
      <c r="AW15" s="180"/>
      <c r="AX15" s="180"/>
      <c r="AY15" s="180"/>
      <c r="AZ15" s="180"/>
      <c r="BA15" s="180"/>
      <c r="BB15" s="180"/>
      <c r="BC15" s="180"/>
      <c r="BD15" s="180"/>
    </row>
    <row r="16" spans="1:61" ht="15.95" customHeight="1">
      <c r="A16" s="180"/>
      <c r="B16" s="180"/>
      <c r="C16" s="836" t="s">
        <v>1370</v>
      </c>
      <c r="D16" s="836"/>
      <c r="E16" s="836"/>
      <c r="F16" s="836"/>
      <c r="G16" s="836"/>
      <c r="H16" s="836"/>
      <c r="I16" s="836"/>
      <c r="J16" s="836"/>
      <c r="K16" s="836"/>
      <c r="L16" s="836"/>
      <c r="M16" s="836"/>
      <c r="N16" s="836"/>
      <c r="O16" s="836"/>
      <c r="P16" s="836"/>
      <c r="Q16" s="836"/>
      <c r="R16" s="836" t="s">
        <v>1381</v>
      </c>
      <c r="S16" s="836"/>
      <c r="T16" s="836"/>
      <c r="U16" s="836" t="s">
        <v>74</v>
      </c>
      <c r="V16" s="836"/>
      <c r="W16" s="836" t="s">
        <v>1378</v>
      </c>
      <c r="X16" s="836"/>
      <c r="Y16" s="836"/>
      <c r="Z16" s="836"/>
      <c r="AA16" s="836" t="s">
        <v>1369</v>
      </c>
      <c r="AB16" s="836"/>
      <c r="AC16" s="836"/>
      <c r="AD16" s="836"/>
      <c r="AE16" s="907" t="s">
        <v>1355</v>
      </c>
      <c r="AF16" s="907"/>
      <c r="AG16" s="907"/>
      <c r="AH16" s="907"/>
      <c r="AI16" s="836" t="s">
        <v>1980</v>
      </c>
      <c r="AJ16" s="836"/>
      <c r="AK16" s="836" t="s">
        <v>1187</v>
      </c>
      <c r="AL16" s="836"/>
      <c r="AM16" s="836"/>
      <c r="AN16" s="836" t="s">
        <v>83</v>
      </c>
      <c r="AO16" s="908"/>
      <c r="AP16" s="908"/>
      <c r="AQ16" s="908"/>
      <c r="AR16" s="235"/>
      <c r="AS16" s="235"/>
      <c r="AT16" s="856" t="s">
        <v>1377</v>
      </c>
      <c r="AU16" s="856" t="s">
        <v>1195</v>
      </c>
      <c r="AV16" s="861" t="s">
        <v>1373</v>
      </c>
      <c r="AW16" s="861"/>
      <c r="AX16" s="856" t="s">
        <v>1375</v>
      </c>
      <c r="AY16" s="856" t="s">
        <v>1376</v>
      </c>
      <c r="AZ16" s="856" t="s">
        <v>1426</v>
      </c>
      <c r="BA16" s="861" t="s">
        <v>1374</v>
      </c>
      <c r="BB16" s="861"/>
      <c r="BC16" s="856" t="s">
        <v>85</v>
      </c>
      <c r="BD16" s="856" t="s">
        <v>319</v>
      </c>
      <c r="BE16" s="932" t="s">
        <v>88</v>
      </c>
      <c r="BF16" s="932" t="s">
        <v>2500</v>
      </c>
      <c r="BG16" s="935"/>
      <c r="BH16" s="932" t="s">
        <v>2715</v>
      </c>
      <c r="BI16" s="932" t="s">
        <v>2893</v>
      </c>
    </row>
    <row r="17" spans="1:61" ht="15.95" customHeight="1" thickBot="1">
      <c r="A17" s="180"/>
      <c r="B17" s="180"/>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t="s">
        <v>1353</v>
      </c>
      <c r="AF17" s="837"/>
      <c r="AG17" s="837" t="s">
        <v>1354</v>
      </c>
      <c r="AH17" s="837"/>
      <c r="AI17" s="837"/>
      <c r="AJ17" s="837"/>
      <c r="AK17" s="837"/>
      <c r="AL17" s="837"/>
      <c r="AM17" s="837"/>
      <c r="AN17" s="837"/>
      <c r="AO17" s="909"/>
      <c r="AP17" s="909"/>
      <c r="AQ17" s="909"/>
      <c r="AR17" s="235"/>
      <c r="AS17" s="235"/>
      <c r="AT17" s="857"/>
      <c r="AU17" s="857"/>
      <c r="AV17" s="174" t="s">
        <v>1371</v>
      </c>
      <c r="AW17" s="174" t="s">
        <v>1372</v>
      </c>
      <c r="AX17" s="857"/>
      <c r="AY17" s="857" t="s">
        <v>1376</v>
      </c>
      <c r="AZ17" s="857"/>
      <c r="BA17" s="174" t="s">
        <v>1371</v>
      </c>
      <c r="BB17" s="174" t="s">
        <v>1644</v>
      </c>
      <c r="BC17" s="857"/>
      <c r="BD17" s="857"/>
      <c r="BE17" s="933"/>
      <c r="BF17" s="933"/>
      <c r="BG17" s="936"/>
      <c r="BH17" s="933"/>
      <c r="BI17" s="933"/>
    </row>
    <row r="18" spans="1:61" ht="15.95" customHeight="1">
      <c r="A18" s="180"/>
      <c r="B18" s="905">
        <v>1</v>
      </c>
      <c r="C18" s="906"/>
      <c r="D18" s="906"/>
      <c r="E18" s="906"/>
      <c r="F18" s="906"/>
      <c r="G18" s="906"/>
      <c r="H18" s="906"/>
      <c r="I18" s="906"/>
      <c r="J18" s="906"/>
      <c r="K18" s="906"/>
      <c r="L18" s="906"/>
      <c r="M18" s="906"/>
      <c r="N18" s="906"/>
      <c r="O18" s="906"/>
      <c r="P18" s="906"/>
      <c r="Q18" s="906"/>
      <c r="R18" s="971" t="str">
        <f>IF(C18="","",INDEX(STDMOTORS[Current Unit],MATCH(C18,STDMOTORS[Measure Name],0)))</f>
        <v/>
      </c>
      <c r="S18" s="971"/>
      <c r="T18" s="971"/>
      <c r="U18" s="887"/>
      <c r="V18" s="887"/>
      <c r="W18" s="906"/>
      <c r="X18" s="906"/>
      <c r="Y18" s="906"/>
      <c r="Z18" s="906"/>
      <c r="AA18" s="906"/>
      <c r="AB18" s="906"/>
      <c r="AC18" s="906"/>
      <c r="AD18" s="833"/>
      <c r="AE18" s="889"/>
      <c r="AF18" s="890"/>
      <c r="AG18" s="890"/>
      <c r="AH18" s="891"/>
      <c r="AI18" s="974" t="str">
        <f>IFERROR(IF(C18="","",INDEX(STDMOTORS[Current Incentive],MATCH(C18,STDMOTORS[Measure Name],0))),"")</f>
        <v/>
      </c>
      <c r="AJ18" s="897"/>
      <c r="AK18" s="900" t="str">
        <f>IFERROR(IF(OR(C18="",U18="",R18="",W18="",AA18="",AE18="",AG18=""),"",IF(BH18="Deemed",AV18,IF(BH18="Calculated",BA18,""))),"")</f>
        <v/>
      </c>
      <c r="AL18" s="900"/>
      <c r="AM18" s="900"/>
      <c r="AN18" s="897" t="str">
        <f>IFERROR(IF(OR(C18="",U18="",R18="",W18="",AA18="",AE18="",AG18=""),"",IF(BD18&lt;&gt;"",BD18,IF(BI18&gt;0,BI18,ROUND(IF(AK18&lt;=0,0,MIN(AT18,U18*AI18)),2)))),"")</f>
        <v/>
      </c>
      <c r="AO18" s="902"/>
      <c r="AP18" s="902"/>
      <c r="AQ18" s="902"/>
      <c r="AR18" s="37"/>
      <c r="AS18" s="235"/>
      <c r="AT18" s="972" t="str">
        <f>IF(OR(C18="",U18="",R18="",W18="",AA18="",AE18="",AG18=""),"",IF(AK18=0,"",ROUND(AE18+AG18,2)))</f>
        <v/>
      </c>
      <c r="AU18" s="854" t="str">
        <f>IFERROR(IF(OR(C18="",U18="",R18="",W18="",AA18="",AE18="",AG18=""),"",INDEX(STDMOTORS[Current Unit],MATCH(C18,STDMOTORS[Measure Name],0))),"Err")</f>
        <v/>
      </c>
      <c r="AV18" s="850" t="str">
        <f>IF(OR(C18="",U18="",R18="",W18="",AA18="",AE18="",AG18=""),"",ROUND(U18*INDEX(STDMOTORS[Electric Energy Savings (Annual kWh/unit)],MATCH(C18,STDMOTORS[Measure Name],0)),4))</f>
        <v/>
      </c>
      <c r="AW18" s="850" t="str">
        <f>IF(OR(C18="",U18="",R18="",W18="",AA18="",AE18="",AG18=""),"",ROUND(U18*INDEX(STDMOTORS[Coincident Peak Demand Savings (kW/unit)],MATCH(C18,STDMOTORS[Measure Name],0)),4))</f>
        <v/>
      </c>
      <c r="AX18" s="975"/>
      <c r="AY18" s="975"/>
      <c r="AZ18" s="854" t="str">
        <f>IFERROR(IF(OR(C18="",U18="",R18="",W18="",AA18="",AE18="",AG18=""),"",INDEX(STDMOTORS[End Use],MATCH(C18,STDMOTORS[Measure Name],0))),"Err")</f>
        <v/>
      </c>
      <c r="BA18" s="975"/>
      <c r="BB18" s="975"/>
      <c r="BC18" s="854" t="str">
        <f>IFERROR(IF(OR(C18="",U18="",R18="",W18="",AA18="",AE18="",AG18="",ISNUMBER(AN18)=FALSE,AN18=0),"",INDEX(STDMOTORS[Measure Number],MATCH(C18,STDMOTORS[Measure Name],0))),"Err")</f>
        <v/>
      </c>
      <c r="BD18" s="854" t="str">
        <f>IFERROR(IF(OR(C18="",U18="",W18="",AA18="",AE18="",AG18=""),"",
IF(BI18&gt;0,"",
IF(EXPIRATION&lt;&gt;"",PROJSTATEXP,""))),"")</f>
        <v/>
      </c>
      <c r="BE18" s="928" t="str">
        <f>IFERROR(INDEX(STDMOTORS[Measure Life (Years)],MATCH(C18,STDMOTORS[Measure Name],0)),"")</f>
        <v/>
      </c>
      <c r="BF18" s="930" t="str">
        <f>IFERROR(IF(OR(C18="",U18="",R18="",W18="",AA18="",AE18="",AG18=""),"",
ROUND(((1+ELOSS)*((AV18*INDEX(ELECCB[NPV AEC $/kWh],MATCH(BE18,ELECCB[Year Number],1)))+(AW18*INDEX(ELECCB[NPV ACC $/kW],MATCH(BE18,ELECCB[Year Number],1))))),2)),0)</f>
        <v/>
      </c>
      <c r="BG18" s="937"/>
      <c r="BH18" s="934" t="str">
        <f>IFERROR(IF(OR(C18="",U18="",R18="",W18="",AA18="",AE18="",AG18=""),"",INDEX(STDMOTORS[Reporting Methodology],MATCH(C18,STDMOTORS[Measure Name],0))),"Err")</f>
        <v/>
      </c>
      <c r="BI18" s="939"/>
    </row>
    <row r="19" spans="1:61" ht="15.95" customHeight="1">
      <c r="A19" s="180"/>
      <c r="B19" s="905"/>
      <c r="C19" s="904"/>
      <c r="D19" s="904"/>
      <c r="E19" s="904"/>
      <c r="F19" s="904"/>
      <c r="G19" s="904"/>
      <c r="H19" s="904"/>
      <c r="I19" s="904"/>
      <c r="J19" s="904"/>
      <c r="K19" s="904"/>
      <c r="L19" s="904"/>
      <c r="M19" s="904"/>
      <c r="N19" s="904"/>
      <c r="O19" s="904"/>
      <c r="P19" s="904"/>
      <c r="Q19" s="904"/>
      <c r="R19" s="969"/>
      <c r="S19" s="969"/>
      <c r="T19" s="969"/>
      <c r="U19" s="888"/>
      <c r="V19" s="888"/>
      <c r="W19" s="904"/>
      <c r="X19" s="904"/>
      <c r="Y19" s="904"/>
      <c r="Z19" s="904"/>
      <c r="AA19" s="904"/>
      <c r="AB19" s="904"/>
      <c r="AC19" s="904"/>
      <c r="AD19" s="827"/>
      <c r="AE19" s="867"/>
      <c r="AF19" s="868"/>
      <c r="AG19" s="868"/>
      <c r="AH19" s="869"/>
      <c r="AI19" s="946"/>
      <c r="AJ19" s="899"/>
      <c r="AK19" s="901"/>
      <c r="AL19" s="901"/>
      <c r="AM19" s="901"/>
      <c r="AN19" s="899"/>
      <c r="AO19" s="903"/>
      <c r="AP19" s="903"/>
      <c r="AQ19" s="903"/>
      <c r="AR19" s="37"/>
      <c r="AS19" s="235"/>
      <c r="AT19" s="973"/>
      <c r="AU19" s="855"/>
      <c r="AV19" s="851"/>
      <c r="AW19" s="851"/>
      <c r="AX19" s="970"/>
      <c r="AY19" s="970"/>
      <c r="AZ19" s="855"/>
      <c r="BA19" s="970"/>
      <c r="BB19" s="970"/>
      <c r="BC19" s="855"/>
      <c r="BD19" s="855"/>
      <c r="BE19" s="929"/>
      <c r="BF19" s="931"/>
      <c r="BG19" s="938"/>
      <c r="BH19" s="934"/>
      <c r="BI19" s="939"/>
    </row>
    <row r="20" spans="1:61" ht="15.95" customHeight="1">
      <c r="A20" s="180"/>
      <c r="B20" s="905">
        <v>2</v>
      </c>
      <c r="C20" s="904"/>
      <c r="D20" s="904"/>
      <c r="E20" s="904"/>
      <c r="F20" s="904"/>
      <c r="G20" s="904"/>
      <c r="H20" s="904"/>
      <c r="I20" s="904"/>
      <c r="J20" s="904"/>
      <c r="K20" s="904"/>
      <c r="L20" s="904"/>
      <c r="M20" s="904"/>
      <c r="N20" s="904"/>
      <c r="O20" s="904"/>
      <c r="P20" s="904"/>
      <c r="Q20" s="904"/>
      <c r="R20" s="969" t="str">
        <f>IF(C20="","",INDEX(STDMOTORS[Current Unit],MATCH(C20,STDMOTORS[Measure Name],0)))</f>
        <v/>
      </c>
      <c r="S20" s="969"/>
      <c r="T20" s="969"/>
      <c r="U20" s="888"/>
      <c r="V20" s="888"/>
      <c r="W20" s="904"/>
      <c r="X20" s="904"/>
      <c r="Y20" s="904"/>
      <c r="Z20" s="904"/>
      <c r="AA20" s="904"/>
      <c r="AB20" s="904"/>
      <c r="AC20" s="904"/>
      <c r="AD20" s="827"/>
      <c r="AE20" s="867"/>
      <c r="AF20" s="868"/>
      <c r="AG20" s="868"/>
      <c r="AH20" s="869"/>
      <c r="AI20" s="946" t="str">
        <f>IFERROR(IF(C20="","",INDEX(STDMOTORS[Current Incentive],MATCH(C20,STDMOTORS[Measure Name],0))),"")</f>
        <v/>
      </c>
      <c r="AJ20" s="899"/>
      <c r="AK20" s="900" t="str">
        <f t="shared" ref="AK20" si="0">IFERROR(IF(OR(C20="",U20="",R20="",W20="",AA20="",AE20="",AG20=""),"",IF(BH20="Deemed",AV20,IF(BH20="Calculated",BA20,""))),"")</f>
        <v/>
      </c>
      <c r="AL20" s="900"/>
      <c r="AM20" s="900"/>
      <c r="AN20" s="897" t="str">
        <f t="shared" ref="AN20" si="1">IFERROR(IF(OR(C20="",U20="",R20="",W20="",AA20="",AE20="",AG20=""),"",IF(BD20&lt;&gt;"",BD20,IF(BI20&gt;0,BI20,ROUND(IF(AK20&lt;=0,0,MIN(AT20,U20*AI20)),2)))),"")</f>
        <v/>
      </c>
      <c r="AO20" s="902"/>
      <c r="AP20" s="902"/>
      <c r="AQ20" s="902"/>
      <c r="AR20" s="37"/>
      <c r="AS20" s="235"/>
      <c r="AT20" s="972" t="str">
        <f t="shared" ref="AT20" si="2">IF(OR(C20="",U20="",R20="",W20="",AA20="",AE20="",AG20=""),"",IF(AK20=0,"",ROUND(AE20+AG20,2)))</f>
        <v/>
      </c>
      <c r="AU20" s="854" t="str">
        <f>IFERROR(IF(OR(C20="",U20="",R20="",W20="",AA20="",AE20="",AG20=""),"",INDEX(STDMOTORS[Current Unit],MATCH(C20,STDMOTORS[Measure Name],0))),"Err")</f>
        <v/>
      </c>
      <c r="AV20" s="850" t="str">
        <f>IF(OR(C20="",U20="",R20="",W20="",AA20="",AE20="",AG20=""),"",ROUND(U20*INDEX(STDMOTORS[Electric Energy Savings (Annual kWh/unit)],MATCH(C20,STDMOTORS[Measure Name],0)),4))</f>
        <v/>
      </c>
      <c r="AW20" s="850" t="str">
        <f>IF(OR(C20="",U20="",R20="",W20="",AA20="",AE20="",AG20=""),"",ROUND(U20*INDEX(STDMOTORS[Coincident Peak Demand Savings (kW/unit)],MATCH(C20,STDMOTORS[Measure Name],0)),4))</f>
        <v/>
      </c>
      <c r="AX20" s="970"/>
      <c r="AY20" s="970"/>
      <c r="AZ20" s="854" t="str">
        <f>IFERROR(IF(OR(C20="",U20="",R20="",W20="",AA20="",AE20="",AG20=""),"",INDEX(STDMOTORS[End Use],MATCH(C20,STDMOTORS[Measure Name],0))),"Err")</f>
        <v/>
      </c>
      <c r="BA20" s="970"/>
      <c r="BB20" s="970"/>
      <c r="BC20" s="854" t="str">
        <f>IFERROR(IF(OR(C20="",U20="",R20="",W20="",AA20="",AE20="",AG20="",ISNUMBER(AN20)=FALSE,AN20=0),"",INDEX(STDMOTORS[Measure Number],MATCH(C20,STDMOTORS[Measure Name],0))),"Err")</f>
        <v/>
      </c>
      <c r="BD20" s="854" t="str">
        <f>IFERROR(IF(OR(C20="",U20="",W20="",AA20="",AE20="",AG20=""),"",
IF(BI20&gt;0,"",
IF(EXPIRATION&lt;&gt;"",PROJSTATEXP,""))),"")</f>
        <v/>
      </c>
      <c r="BE20" s="928" t="str">
        <f>IFERROR(INDEX(STDMOTORS[Measure Life (Years)],MATCH(C20,STDMOTORS[Measure Name],0)),"")</f>
        <v/>
      </c>
      <c r="BF20" s="930" t="str">
        <f>IFERROR(IF(OR(C20="",U20="",R20="",W20="",AA20="",AE20="",AG20=""),"",
ROUND(((1+ELOSS)*((AV20*INDEX(ELECCB[NPV AEC $/kWh],MATCH(BE20,ELECCB[Year Number],1)))+(AW20*INDEX(ELECCB[NPV ACC $/kW],MATCH(BE20,ELECCB[Year Number],1))))),2)),0)</f>
        <v/>
      </c>
      <c r="BG20" s="937"/>
      <c r="BH20" s="934" t="str">
        <f>IFERROR(IF(OR(C20="",U20="",R20="",W20="",AA20="",AE20="",AG20=""),"",INDEX(STDMOTORS[Reporting Methodology],MATCH(C20,STDMOTORS[Measure Name],0))),"Err")</f>
        <v/>
      </c>
      <c r="BI20" s="939"/>
    </row>
    <row r="21" spans="1:61" ht="15.95" customHeight="1">
      <c r="A21" s="180"/>
      <c r="B21" s="905"/>
      <c r="C21" s="904"/>
      <c r="D21" s="904"/>
      <c r="E21" s="904"/>
      <c r="F21" s="904"/>
      <c r="G21" s="904"/>
      <c r="H21" s="904"/>
      <c r="I21" s="904"/>
      <c r="J21" s="904"/>
      <c r="K21" s="904"/>
      <c r="L21" s="904"/>
      <c r="M21" s="904"/>
      <c r="N21" s="904"/>
      <c r="O21" s="904"/>
      <c r="P21" s="904"/>
      <c r="Q21" s="904"/>
      <c r="R21" s="969"/>
      <c r="S21" s="969"/>
      <c r="T21" s="969"/>
      <c r="U21" s="888"/>
      <c r="V21" s="888"/>
      <c r="W21" s="904"/>
      <c r="X21" s="904"/>
      <c r="Y21" s="904"/>
      <c r="Z21" s="904"/>
      <c r="AA21" s="904"/>
      <c r="AB21" s="904"/>
      <c r="AC21" s="904"/>
      <c r="AD21" s="827"/>
      <c r="AE21" s="867"/>
      <c r="AF21" s="868"/>
      <c r="AG21" s="868"/>
      <c r="AH21" s="869"/>
      <c r="AI21" s="946"/>
      <c r="AJ21" s="899"/>
      <c r="AK21" s="901"/>
      <c r="AL21" s="901"/>
      <c r="AM21" s="901"/>
      <c r="AN21" s="899"/>
      <c r="AO21" s="903"/>
      <c r="AP21" s="903"/>
      <c r="AQ21" s="903"/>
      <c r="AR21" s="37"/>
      <c r="AS21" s="235"/>
      <c r="AT21" s="973"/>
      <c r="AU21" s="855"/>
      <c r="AV21" s="851"/>
      <c r="AW21" s="851"/>
      <c r="AX21" s="970"/>
      <c r="AY21" s="970"/>
      <c r="AZ21" s="855"/>
      <c r="BA21" s="970"/>
      <c r="BB21" s="970"/>
      <c r="BC21" s="855"/>
      <c r="BD21" s="855"/>
      <c r="BE21" s="929"/>
      <c r="BF21" s="931"/>
      <c r="BG21" s="938"/>
      <c r="BH21" s="934"/>
      <c r="BI21" s="939"/>
    </row>
    <row r="22" spans="1:61" ht="15.95" customHeight="1">
      <c r="A22" s="180"/>
      <c r="B22" s="905">
        <v>3</v>
      </c>
      <c r="C22" s="904"/>
      <c r="D22" s="904"/>
      <c r="E22" s="904"/>
      <c r="F22" s="904"/>
      <c r="G22" s="904"/>
      <c r="H22" s="904"/>
      <c r="I22" s="904"/>
      <c r="J22" s="904"/>
      <c r="K22" s="904"/>
      <c r="L22" s="904"/>
      <c r="M22" s="904"/>
      <c r="N22" s="904"/>
      <c r="O22" s="904"/>
      <c r="P22" s="904"/>
      <c r="Q22" s="904"/>
      <c r="R22" s="969" t="str">
        <f>IF(C22="","",INDEX(STDMOTORS[Current Unit],MATCH(C22,STDMOTORS[Measure Name],0)))</f>
        <v/>
      </c>
      <c r="S22" s="969"/>
      <c r="T22" s="969"/>
      <c r="U22" s="888"/>
      <c r="V22" s="888"/>
      <c r="W22" s="904"/>
      <c r="X22" s="904"/>
      <c r="Y22" s="904"/>
      <c r="Z22" s="904"/>
      <c r="AA22" s="904"/>
      <c r="AB22" s="904"/>
      <c r="AC22" s="904"/>
      <c r="AD22" s="827"/>
      <c r="AE22" s="867"/>
      <c r="AF22" s="868"/>
      <c r="AG22" s="868"/>
      <c r="AH22" s="869"/>
      <c r="AI22" s="946" t="str">
        <f>IFERROR(IF(C22="","",INDEX(STDMOTORS[Current Incentive],MATCH(C22,STDMOTORS[Measure Name],0))),"")</f>
        <v/>
      </c>
      <c r="AJ22" s="899"/>
      <c r="AK22" s="900" t="str">
        <f t="shared" ref="AK22" si="3">IFERROR(IF(OR(C22="",U22="",R22="",W22="",AA22="",AE22="",AG22=""),"",IF(BH22="Deemed",AV22,IF(BH22="Calculated",BA22,""))),"")</f>
        <v/>
      </c>
      <c r="AL22" s="900"/>
      <c r="AM22" s="900"/>
      <c r="AN22" s="897" t="str">
        <f t="shared" ref="AN22" si="4">IFERROR(IF(OR(C22="",U22="",R22="",W22="",AA22="",AE22="",AG22=""),"",IF(BD22&lt;&gt;"",BD22,IF(BI22&gt;0,BI22,ROUND(IF(AK22&lt;=0,0,MIN(AT22,U22*AI22)),2)))),"")</f>
        <v/>
      </c>
      <c r="AO22" s="902"/>
      <c r="AP22" s="902"/>
      <c r="AQ22" s="902"/>
      <c r="AR22" s="37"/>
      <c r="AS22" s="235"/>
      <c r="AT22" s="972" t="str">
        <f t="shared" ref="AT22" si="5">IF(OR(C22="",U22="",R22="",W22="",AA22="",AE22="",AG22=""),"",IF(AK22=0,"",ROUND(AE22+AG22,2)))</f>
        <v/>
      </c>
      <c r="AU22" s="854" t="str">
        <f>IFERROR(IF(OR(C22="",U22="",R22="",W22="",AA22="",AE22="",AG22=""),"",INDEX(STDMOTORS[Current Unit],MATCH(C22,STDMOTORS[Measure Name],0))),"Err")</f>
        <v/>
      </c>
      <c r="AV22" s="850" t="str">
        <f>IF(OR(C22="",U22="",R22="",W22="",AA22="",AE22="",AG22=""),"",ROUND(U22*INDEX(STDMOTORS[Electric Energy Savings (Annual kWh/unit)],MATCH(C22,STDMOTORS[Measure Name],0)),4))</f>
        <v/>
      </c>
      <c r="AW22" s="850" t="str">
        <f>IF(OR(C22="",U22="",R22="",W22="",AA22="",AE22="",AG22=""),"",ROUND(U22*INDEX(STDMOTORS[Coincident Peak Demand Savings (kW/unit)],MATCH(C22,STDMOTORS[Measure Name],0)),4))</f>
        <v/>
      </c>
      <c r="AX22" s="970"/>
      <c r="AY22" s="970"/>
      <c r="AZ22" s="854" t="str">
        <f>IFERROR(IF(OR(C22="",U22="",R22="",W22="",AA22="",AE22="",AG22=""),"",INDEX(STDMOTORS[End Use],MATCH(C22,STDMOTORS[Measure Name],0))),"Err")</f>
        <v/>
      </c>
      <c r="BA22" s="970"/>
      <c r="BB22" s="970"/>
      <c r="BC22" s="854" t="str">
        <f>IFERROR(IF(OR(C22="",U22="",R22="",W22="",AA22="",AE22="",AG22="",ISNUMBER(AN22)=FALSE,AN22=0),"",INDEX(STDMOTORS[Measure Number],MATCH(C22,STDMOTORS[Measure Name],0))),"Err")</f>
        <v/>
      </c>
      <c r="BD22" s="854" t="str">
        <f>IFERROR(IF(OR(C22="",U22="",W22="",AA22="",AE22="",AG22=""),"",
IF(BI22&gt;0,"",
IF(EXPIRATION&lt;&gt;"",PROJSTATEXP,""))),"")</f>
        <v/>
      </c>
      <c r="BE22" s="928" t="str">
        <f>IFERROR(INDEX(STDMOTORS[Measure Life (Years)],MATCH(C22,STDMOTORS[Measure Name],0)),"")</f>
        <v/>
      </c>
      <c r="BF22" s="930" t="str">
        <f>IFERROR(IF(OR(C22="",U22="",R22="",W22="",AA22="",AE22="",AG22=""),"",
ROUND(((1+ELOSS)*((AV22*INDEX(ELECCB[NPV AEC $/kWh],MATCH(BE22,ELECCB[Year Number],1)))+(AW22*INDEX(ELECCB[NPV ACC $/kW],MATCH(BE22,ELECCB[Year Number],1))))),2)),0)</f>
        <v/>
      </c>
      <c r="BG22" s="937"/>
      <c r="BH22" s="934" t="str">
        <f>IFERROR(IF(OR(C22="",U22="",R22="",W22="",AA22="",AE22="",AG22=""),"",INDEX(STDMOTORS[Reporting Methodology],MATCH(C22,STDMOTORS[Measure Name],0))),"Err")</f>
        <v/>
      </c>
      <c r="BI22" s="939"/>
    </row>
    <row r="23" spans="1:61" ht="15.95" customHeight="1">
      <c r="A23" s="180"/>
      <c r="B23" s="905"/>
      <c r="C23" s="904"/>
      <c r="D23" s="904"/>
      <c r="E23" s="904"/>
      <c r="F23" s="904"/>
      <c r="G23" s="904"/>
      <c r="H23" s="904"/>
      <c r="I23" s="904"/>
      <c r="J23" s="904"/>
      <c r="K23" s="904"/>
      <c r="L23" s="904"/>
      <c r="M23" s="904"/>
      <c r="N23" s="904"/>
      <c r="O23" s="904"/>
      <c r="P23" s="904"/>
      <c r="Q23" s="904"/>
      <c r="R23" s="969"/>
      <c r="S23" s="969"/>
      <c r="T23" s="969"/>
      <c r="U23" s="888"/>
      <c r="V23" s="888"/>
      <c r="W23" s="904"/>
      <c r="X23" s="904"/>
      <c r="Y23" s="904"/>
      <c r="Z23" s="904"/>
      <c r="AA23" s="904"/>
      <c r="AB23" s="904"/>
      <c r="AC23" s="904"/>
      <c r="AD23" s="827"/>
      <c r="AE23" s="867"/>
      <c r="AF23" s="868"/>
      <c r="AG23" s="868"/>
      <c r="AH23" s="869"/>
      <c r="AI23" s="946"/>
      <c r="AJ23" s="899"/>
      <c r="AK23" s="901"/>
      <c r="AL23" s="901"/>
      <c r="AM23" s="901"/>
      <c r="AN23" s="899"/>
      <c r="AO23" s="903"/>
      <c r="AP23" s="903"/>
      <c r="AQ23" s="903"/>
      <c r="AR23" s="37"/>
      <c r="AS23" s="235"/>
      <c r="AT23" s="973"/>
      <c r="AU23" s="855"/>
      <c r="AV23" s="851"/>
      <c r="AW23" s="851"/>
      <c r="AX23" s="970"/>
      <c r="AY23" s="970"/>
      <c r="AZ23" s="855"/>
      <c r="BA23" s="970"/>
      <c r="BB23" s="970"/>
      <c r="BC23" s="855"/>
      <c r="BD23" s="855"/>
      <c r="BE23" s="929"/>
      <c r="BF23" s="931"/>
      <c r="BG23" s="938"/>
      <c r="BH23" s="934"/>
      <c r="BI23" s="939"/>
    </row>
    <row r="24" spans="1:61" ht="15.95" customHeight="1">
      <c r="A24" s="180"/>
      <c r="B24" s="905">
        <v>4</v>
      </c>
      <c r="C24" s="904"/>
      <c r="D24" s="904"/>
      <c r="E24" s="904"/>
      <c r="F24" s="904"/>
      <c r="G24" s="904"/>
      <c r="H24" s="904"/>
      <c r="I24" s="904"/>
      <c r="J24" s="904"/>
      <c r="K24" s="904"/>
      <c r="L24" s="904"/>
      <c r="M24" s="904"/>
      <c r="N24" s="904"/>
      <c r="O24" s="904"/>
      <c r="P24" s="904"/>
      <c r="Q24" s="904"/>
      <c r="R24" s="969" t="str">
        <f>IF(C24="","",INDEX(STDMOTORS[Current Unit],MATCH(C24,STDMOTORS[Measure Name],0)))</f>
        <v/>
      </c>
      <c r="S24" s="969"/>
      <c r="T24" s="969"/>
      <c r="U24" s="888"/>
      <c r="V24" s="888"/>
      <c r="W24" s="904"/>
      <c r="X24" s="904"/>
      <c r="Y24" s="904"/>
      <c r="Z24" s="904"/>
      <c r="AA24" s="904"/>
      <c r="AB24" s="904"/>
      <c r="AC24" s="904"/>
      <c r="AD24" s="827"/>
      <c r="AE24" s="867"/>
      <c r="AF24" s="868"/>
      <c r="AG24" s="868"/>
      <c r="AH24" s="869"/>
      <c r="AI24" s="946" t="str">
        <f>IFERROR(IF(C24="","",INDEX(STDMOTORS[Current Incentive],MATCH(C24,STDMOTORS[Measure Name],0))),"")</f>
        <v/>
      </c>
      <c r="AJ24" s="899"/>
      <c r="AK24" s="900" t="str">
        <f t="shared" ref="AK24" si="6">IFERROR(IF(OR(C24="",U24="",R24="",W24="",AA24="",AE24="",AG24=""),"",IF(BH24="Deemed",AV24,IF(BH24="Calculated",BA24,""))),"")</f>
        <v/>
      </c>
      <c r="AL24" s="900"/>
      <c r="AM24" s="900"/>
      <c r="AN24" s="897" t="str">
        <f t="shared" ref="AN24" si="7">IFERROR(IF(OR(C24="",U24="",R24="",W24="",AA24="",AE24="",AG24=""),"",IF(BD24&lt;&gt;"",BD24,IF(BI24&gt;0,BI24,ROUND(IF(AK24&lt;=0,0,MIN(AT24,U24*AI24)),2)))),"")</f>
        <v/>
      </c>
      <c r="AO24" s="902"/>
      <c r="AP24" s="902"/>
      <c r="AQ24" s="902"/>
      <c r="AR24" s="37"/>
      <c r="AS24" s="235"/>
      <c r="AT24" s="972" t="str">
        <f t="shared" ref="AT24" si="8">IF(OR(C24="",U24="",R24="",W24="",AA24="",AE24="",AG24=""),"",IF(AK24=0,"",ROUND(AE24+AG24,2)))</f>
        <v/>
      </c>
      <c r="AU24" s="854" t="str">
        <f>IFERROR(IF(OR(C24="",U24="",R24="",W24="",AA24="",AE24="",AG24=""),"",INDEX(STDMOTORS[Current Unit],MATCH(C24,STDMOTORS[Measure Name],0))),"Err")</f>
        <v/>
      </c>
      <c r="AV24" s="850" t="str">
        <f>IF(OR(C24="",U24="",R24="",W24="",AA24="",AE24="",AG24=""),"",ROUND(U24*INDEX(STDMOTORS[Electric Energy Savings (Annual kWh/unit)],MATCH(C24,STDMOTORS[Measure Name],0)),4))</f>
        <v/>
      </c>
      <c r="AW24" s="850" t="str">
        <f>IF(OR(C24="",U24="",R24="",W24="",AA24="",AE24="",AG24=""),"",ROUND(U24*INDEX(STDMOTORS[Coincident Peak Demand Savings (kW/unit)],MATCH(C24,STDMOTORS[Measure Name],0)),4))</f>
        <v/>
      </c>
      <c r="AX24" s="970"/>
      <c r="AY24" s="970"/>
      <c r="AZ24" s="854" t="str">
        <f>IFERROR(IF(OR(C24="",U24="",R24="",W24="",AA24="",AE24="",AG24=""),"",INDEX(STDMOTORS[End Use],MATCH(C24,STDMOTORS[Measure Name],0))),"Err")</f>
        <v/>
      </c>
      <c r="BA24" s="970"/>
      <c r="BB24" s="970"/>
      <c r="BC24" s="854" t="str">
        <f>IFERROR(IF(OR(C24="",U24="",R24="",W24="",AA24="",AE24="",AG24="",ISNUMBER(AN24)=FALSE,AN24=0),"",INDEX(STDMOTORS[Measure Number],MATCH(C24,STDMOTORS[Measure Name],0))),"Err")</f>
        <v/>
      </c>
      <c r="BD24" s="854" t="str">
        <f>IFERROR(IF(OR(C24="",U24="",W24="",AA24="",AE24="",AG24=""),"",
IF(BI24&gt;0,"",
IF(EXPIRATION&lt;&gt;"",PROJSTATEXP,""))),"")</f>
        <v/>
      </c>
      <c r="BE24" s="928" t="str">
        <f>IFERROR(INDEX(STDMOTORS[Measure Life (Years)],MATCH(C24,STDMOTORS[Measure Name],0)),"")</f>
        <v/>
      </c>
      <c r="BF24" s="930" t="str">
        <f>IFERROR(IF(OR(C24="",U24="",R24="",W24="",AA24="",AE24="",AG24=""),"",
ROUND(((1+ELOSS)*((AV24*INDEX(ELECCB[NPV AEC $/kWh],MATCH(BE24,ELECCB[Year Number],1)))+(AW24*INDEX(ELECCB[NPV ACC $/kW],MATCH(BE24,ELECCB[Year Number],1))))),2)),0)</f>
        <v/>
      </c>
      <c r="BG24" s="937"/>
      <c r="BH24" s="934" t="str">
        <f>IFERROR(IF(OR(C24="",U24="",R24="",W24="",AA24="",AE24="",AG24=""),"",INDEX(STDMOTORS[Reporting Methodology],MATCH(C24,STDMOTORS[Measure Name],0))),"Err")</f>
        <v/>
      </c>
      <c r="BI24" s="939"/>
    </row>
    <row r="25" spans="1:61" ht="15.95" customHeight="1">
      <c r="A25" s="180"/>
      <c r="B25" s="905"/>
      <c r="C25" s="904"/>
      <c r="D25" s="904"/>
      <c r="E25" s="904"/>
      <c r="F25" s="904"/>
      <c r="G25" s="904"/>
      <c r="H25" s="904"/>
      <c r="I25" s="904"/>
      <c r="J25" s="904"/>
      <c r="K25" s="904"/>
      <c r="L25" s="904"/>
      <c r="M25" s="904"/>
      <c r="N25" s="904"/>
      <c r="O25" s="904"/>
      <c r="P25" s="904"/>
      <c r="Q25" s="904"/>
      <c r="R25" s="969"/>
      <c r="S25" s="969"/>
      <c r="T25" s="969"/>
      <c r="U25" s="888"/>
      <c r="V25" s="888"/>
      <c r="W25" s="904"/>
      <c r="X25" s="904"/>
      <c r="Y25" s="904"/>
      <c r="Z25" s="904"/>
      <c r="AA25" s="904"/>
      <c r="AB25" s="904"/>
      <c r="AC25" s="904"/>
      <c r="AD25" s="827"/>
      <c r="AE25" s="867"/>
      <c r="AF25" s="868"/>
      <c r="AG25" s="868"/>
      <c r="AH25" s="869"/>
      <c r="AI25" s="946"/>
      <c r="AJ25" s="899"/>
      <c r="AK25" s="901"/>
      <c r="AL25" s="901"/>
      <c r="AM25" s="901"/>
      <c r="AN25" s="899"/>
      <c r="AO25" s="903"/>
      <c r="AP25" s="903"/>
      <c r="AQ25" s="903"/>
      <c r="AR25" s="37"/>
      <c r="AS25" s="235"/>
      <c r="AT25" s="973"/>
      <c r="AU25" s="855"/>
      <c r="AV25" s="851"/>
      <c r="AW25" s="851"/>
      <c r="AX25" s="970"/>
      <c r="AY25" s="970"/>
      <c r="AZ25" s="855"/>
      <c r="BA25" s="970"/>
      <c r="BB25" s="970"/>
      <c r="BC25" s="855"/>
      <c r="BD25" s="855"/>
      <c r="BE25" s="929"/>
      <c r="BF25" s="931"/>
      <c r="BG25" s="938"/>
      <c r="BH25" s="934"/>
      <c r="BI25" s="939"/>
    </row>
    <row r="26" spans="1:61" ht="15.95" customHeight="1">
      <c r="A26" s="180"/>
      <c r="B26" s="905">
        <v>5</v>
      </c>
      <c r="C26" s="904"/>
      <c r="D26" s="904"/>
      <c r="E26" s="904"/>
      <c r="F26" s="904"/>
      <c r="G26" s="904"/>
      <c r="H26" s="904"/>
      <c r="I26" s="904"/>
      <c r="J26" s="904"/>
      <c r="K26" s="904"/>
      <c r="L26" s="904"/>
      <c r="M26" s="904"/>
      <c r="N26" s="904"/>
      <c r="O26" s="904"/>
      <c r="P26" s="904"/>
      <c r="Q26" s="904"/>
      <c r="R26" s="969" t="str">
        <f>IF(C26="","",INDEX(STDMOTORS[Current Unit],MATCH(C26,STDMOTORS[Measure Name],0)))</f>
        <v/>
      </c>
      <c r="S26" s="969"/>
      <c r="T26" s="969"/>
      <c r="U26" s="888"/>
      <c r="V26" s="888"/>
      <c r="W26" s="904"/>
      <c r="X26" s="904"/>
      <c r="Y26" s="904"/>
      <c r="Z26" s="904"/>
      <c r="AA26" s="904"/>
      <c r="AB26" s="904"/>
      <c r="AC26" s="904"/>
      <c r="AD26" s="827"/>
      <c r="AE26" s="867"/>
      <c r="AF26" s="868"/>
      <c r="AG26" s="868"/>
      <c r="AH26" s="869"/>
      <c r="AI26" s="946" t="str">
        <f>IFERROR(IF(C26="","",INDEX(STDMOTORS[Current Incentive],MATCH(C26,STDMOTORS[Measure Name],0))),"")</f>
        <v/>
      </c>
      <c r="AJ26" s="899"/>
      <c r="AK26" s="900" t="str">
        <f t="shared" ref="AK26" si="9">IFERROR(IF(OR(C26="",U26="",R26="",W26="",AA26="",AE26="",AG26=""),"",IF(BH26="Deemed",AV26,IF(BH26="Calculated",BA26,""))),"")</f>
        <v/>
      </c>
      <c r="AL26" s="900"/>
      <c r="AM26" s="900"/>
      <c r="AN26" s="897" t="str">
        <f t="shared" ref="AN26" si="10">IFERROR(IF(OR(C26="",U26="",R26="",W26="",AA26="",AE26="",AG26=""),"",IF(BD26&lt;&gt;"",BD26,IF(BI26&gt;0,BI26,ROUND(IF(AK26&lt;=0,0,MIN(AT26,U26*AI26)),2)))),"")</f>
        <v/>
      </c>
      <c r="AO26" s="902"/>
      <c r="AP26" s="902"/>
      <c r="AQ26" s="902"/>
      <c r="AR26" s="37"/>
      <c r="AS26" s="235"/>
      <c r="AT26" s="972" t="str">
        <f t="shared" ref="AT26" si="11">IF(OR(C26="",U26="",R26="",W26="",AA26="",AE26="",AG26=""),"",IF(AK26=0,"",ROUND(AE26+AG26,2)))</f>
        <v/>
      </c>
      <c r="AU26" s="854" t="str">
        <f>IFERROR(IF(OR(C26="",U26="",R26="",W26="",AA26="",AE26="",AG26=""),"",INDEX(STDMOTORS[Current Unit],MATCH(C26,STDMOTORS[Measure Name],0))),"Err")</f>
        <v/>
      </c>
      <c r="AV26" s="850" t="str">
        <f>IF(OR(C26="",U26="",R26="",W26="",AA26="",AE26="",AG26=""),"",ROUND(U26*INDEX(STDMOTORS[Electric Energy Savings (Annual kWh/unit)],MATCH(C26,STDMOTORS[Measure Name],0)),4))</f>
        <v/>
      </c>
      <c r="AW26" s="850" t="str">
        <f>IF(OR(C26="",U26="",R26="",W26="",AA26="",AE26="",AG26=""),"",ROUND(U26*INDEX(STDMOTORS[Coincident Peak Demand Savings (kW/unit)],MATCH(C26,STDMOTORS[Measure Name],0)),4))</f>
        <v/>
      </c>
      <c r="AX26" s="970"/>
      <c r="AY26" s="970"/>
      <c r="AZ26" s="854" t="str">
        <f>IFERROR(IF(OR(C26="",U26="",R26="",W26="",AA26="",AE26="",AG26=""),"",INDEX(STDMOTORS[End Use],MATCH(C26,STDMOTORS[Measure Name],0))),"Err")</f>
        <v/>
      </c>
      <c r="BA26" s="970"/>
      <c r="BB26" s="970"/>
      <c r="BC26" s="854" t="str">
        <f>IFERROR(IF(OR(C26="",U26="",R26="",W26="",AA26="",AE26="",AG26="",ISNUMBER(AN26)=FALSE,AN26=0),"",INDEX(STDMOTORS[Measure Number],MATCH(C26,STDMOTORS[Measure Name],0))),"Err")</f>
        <v/>
      </c>
      <c r="BD26" s="854" t="str">
        <f>IFERROR(IF(OR(C26="",U26="",W26="",AA26="",AE26="",AG26=""),"",
IF(BI26&gt;0,"",
IF(EXPIRATION&lt;&gt;"",PROJSTATEXP,""))),"")</f>
        <v/>
      </c>
      <c r="BE26" s="928" t="str">
        <f>IFERROR(INDEX(STDMOTORS[Measure Life (Years)],MATCH(C26,STDMOTORS[Measure Name],0)),"")</f>
        <v/>
      </c>
      <c r="BF26" s="930" t="str">
        <f>IFERROR(IF(OR(C26="",U26="",R26="",W26="",AA26="",AE26="",AG26=""),"",
ROUND(((1+ELOSS)*((AV26*INDEX(ELECCB[NPV AEC $/kWh],MATCH(BE26,ELECCB[Year Number],1)))+(AW26*INDEX(ELECCB[NPV ACC $/kW],MATCH(BE26,ELECCB[Year Number],1))))),2)),0)</f>
        <v/>
      </c>
      <c r="BG26" s="937"/>
      <c r="BH26" s="934" t="str">
        <f>IFERROR(IF(OR(C26="",U26="",R26="",W26="",AA26="",AE26="",AG26=""),"",INDEX(STDMOTORS[Reporting Methodology],MATCH(C26,STDMOTORS[Measure Name],0))),"Err")</f>
        <v/>
      </c>
      <c r="BI26" s="939"/>
    </row>
    <row r="27" spans="1:61" ht="15.95" customHeight="1">
      <c r="A27" s="180"/>
      <c r="B27" s="905"/>
      <c r="C27" s="904"/>
      <c r="D27" s="904"/>
      <c r="E27" s="904"/>
      <c r="F27" s="904"/>
      <c r="G27" s="904"/>
      <c r="H27" s="904"/>
      <c r="I27" s="904"/>
      <c r="J27" s="904"/>
      <c r="K27" s="904"/>
      <c r="L27" s="904"/>
      <c r="M27" s="904"/>
      <c r="N27" s="904"/>
      <c r="O27" s="904"/>
      <c r="P27" s="904"/>
      <c r="Q27" s="904"/>
      <c r="R27" s="969"/>
      <c r="S27" s="969"/>
      <c r="T27" s="969"/>
      <c r="U27" s="888"/>
      <c r="V27" s="888"/>
      <c r="W27" s="904"/>
      <c r="X27" s="904"/>
      <c r="Y27" s="904"/>
      <c r="Z27" s="904"/>
      <c r="AA27" s="904"/>
      <c r="AB27" s="904"/>
      <c r="AC27" s="904"/>
      <c r="AD27" s="827"/>
      <c r="AE27" s="867"/>
      <c r="AF27" s="868"/>
      <c r="AG27" s="868"/>
      <c r="AH27" s="869"/>
      <c r="AI27" s="946"/>
      <c r="AJ27" s="899"/>
      <c r="AK27" s="901"/>
      <c r="AL27" s="901"/>
      <c r="AM27" s="901"/>
      <c r="AN27" s="899"/>
      <c r="AO27" s="903"/>
      <c r="AP27" s="903"/>
      <c r="AQ27" s="903"/>
      <c r="AR27" s="37"/>
      <c r="AS27" s="235"/>
      <c r="AT27" s="973"/>
      <c r="AU27" s="855"/>
      <c r="AV27" s="851"/>
      <c r="AW27" s="851"/>
      <c r="AX27" s="970"/>
      <c r="AY27" s="970"/>
      <c r="AZ27" s="855"/>
      <c r="BA27" s="970"/>
      <c r="BB27" s="970"/>
      <c r="BC27" s="855"/>
      <c r="BD27" s="855"/>
      <c r="BE27" s="929"/>
      <c r="BF27" s="931"/>
      <c r="BG27" s="938"/>
      <c r="BH27" s="934"/>
      <c r="BI27" s="939"/>
    </row>
    <row r="28" spans="1:61" ht="15.95" customHeight="1">
      <c r="A28" s="180"/>
      <c r="B28" s="905">
        <v>6</v>
      </c>
      <c r="C28" s="904"/>
      <c r="D28" s="904"/>
      <c r="E28" s="904"/>
      <c r="F28" s="904"/>
      <c r="G28" s="904"/>
      <c r="H28" s="904"/>
      <c r="I28" s="904"/>
      <c r="J28" s="904"/>
      <c r="K28" s="904"/>
      <c r="L28" s="904"/>
      <c r="M28" s="904"/>
      <c r="N28" s="904"/>
      <c r="O28" s="904"/>
      <c r="P28" s="904"/>
      <c r="Q28" s="904"/>
      <c r="R28" s="969" t="str">
        <f>IF(C28="","",INDEX(STDMOTORS[Current Unit],MATCH(C28,STDMOTORS[Measure Name],0)))</f>
        <v/>
      </c>
      <c r="S28" s="969"/>
      <c r="T28" s="969"/>
      <c r="U28" s="888"/>
      <c r="V28" s="888"/>
      <c r="W28" s="904"/>
      <c r="X28" s="904"/>
      <c r="Y28" s="904"/>
      <c r="Z28" s="904"/>
      <c r="AA28" s="904"/>
      <c r="AB28" s="904"/>
      <c r="AC28" s="904"/>
      <c r="AD28" s="827"/>
      <c r="AE28" s="867"/>
      <c r="AF28" s="868"/>
      <c r="AG28" s="868"/>
      <c r="AH28" s="869"/>
      <c r="AI28" s="946" t="str">
        <f>IFERROR(IF(C28="","",INDEX(STDMOTORS[Current Incentive],MATCH(C28,STDMOTORS[Measure Name],0))),"")</f>
        <v/>
      </c>
      <c r="AJ28" s="899"/>
      <c r="AK28" s="900" t="str">
        <f t="shared" ref="AK28" si="12">IFERROR(IF(OR(C28="",U28="",R28="",W28="",AA28="",AE28="",AG28=""),"",IF(BH28="Deemed",AV28,IF(BH28="Calculated",BA28,""))),"")</f>
        <v/>
      </c>
      <c r="AL28" s="900"/>
      <c r="AM28" s="900"/>
      <c r="AN28" s="897" t="str">
        <f t="shared" ref="AN28" si="13">IFERROR(IF(OR(C28="",U28="",R28="",W28="",AA28="",AE28="",AG28=""),"",IF(BD28&lt;&gt;"",BD28,IF(BI28&gt;0,BI28,ROUND(IF(AK28&lt;=0,0,MIN(AT28,U28*AI28)),2)))),"")</f>
        <v/>
      </c>
      <c r="AO28" s="902"/>
      <c r="AP28" s="902"/>
      <c r="AQ28" s="902"/>
      <c r="AR28" s="37"/>
      <c r="AS28" s="235"/>
      <c r="AT28" s="972" t="str">
        <f t="shared" ref="AT28" si="14">IF(OR(C28="",U28="",R28="",W28="",AA28="",AE28="",AG28=""),"",IF(AK28=0,"",ROUND(AE28+AG28,2)))</f>
        <v/>
      </c>
      <c r="AU28" s="854" t="str">
        <f>IFERROR(IF(OR(C28="",U28="",R28="",W28="",AA28="",AE28="",AG28=""),"",INDEX(STDMOTORS[Current Unit],MATCH(C28,STDMOTORS[Measure Name],0))),"Err")</f>
        <v/>
      </c>
      <c r="AV28" s="850" t="str">
        <f>IF(OR(C28="",U28="",R28="",W28="",AA28="",AE28="",AG28=""),"",ROUND(U28*INDEX(STDMOTORS[Electric Energy Savings (Annual kWh/unit)],MATCH(C28,STDMOTORS[Measure Name],0)),4))</f>
        <v/>
      </c>
      <c r="AW28" s="850" t="str">
        <f>IF(OR(C28="",U28="",R28="",W28="",AA28="",AE28="",AG28=""),"",ROUND(U28*INDEX(STDMOTORS[Coincident Peak Demand Savings (kW/unit)],MATCH(C28,STDMOTORS[Measure Name],0)),4))</f>
        <v/>
      </c>
      <c r="AX28" s="970"/>
      <c r="AY28" s="970"/>
      <c r="AZ28" s="854" t="str">
        <f>IFERROR(IF(OR(C28="",U28="",R28="",W28="",AA28="",AE28="",AG28=""),"",INDEX(STDMOTORS[End Use],MATCH(C28,STDMOTORS[Measure Name],0))),"Err")</f>
        <v/>
      </c>
      <c r="BA28" s="970"/>
      <c r="BB28" s="970"/>
      <c r="BC28" s="854" t="str">
        <f>IFERROR(IF(OR(C28="",U28="",R28="",W28="",AA28="",AE28="",AG28="",ISNUMBER(AN28)=FALSE,AN28=0),"",INDEX(STDMOTORS[Measure Number],MATCH(C28,STDMOTORS[Measure Name],0))),"Err")</f>
        <v/>
      </c>
      <c r="BD28" s="854" t="str">
        <f>IFERROR(IF(OR(C28="",U28="",W28="",AA28="",AE28="",AG28=""),"",
IF(BI28&gt;0,"",
IF(EXPIRATION&lt;&gt;"",PROJSTATEXP,""))),"")</f>
        <v/>
      </c>
      <c r="BE28" s="928" t="str">
        <f>IFERROR(INDEX(STDMOTORS[Measure Life (Years)],MATCH(C28,STDMOTORS[Measure Name],0)),"")</f>
        <v/>
      </c>
      <c r="BF28" s="930" t="str">
        <f>IFERROR(IF(OR(C28="",U28="",R28="",W28="",AA28="",AE28="",AG28=""),"",
ROUND(((1+ELOSS)*((AV28*INDEX(ELECCB[NPV AEC $/kWh],MATCH(BE28,ELECCB[Year Number],1)))+(AW28*INDEX(ELECCB[NPV ACC $/kW],MATCH(BE28,ELECCB[Year Number],1))))),2)),0)</f>
        <v/>
      </c>
      <c r="BG28" s="937"/>
      <c r="BH28" s="934" t="str">
        <f>IFERROR(IF(OR(C28="",U28="",R28="",W28="",AA28="",AE28="",AG28=""),"",INDEX(STDMOTORS[Reporting Methodology],MATCH(C28,STDMOTORS[Measure Name],0))),"Err")</f>
        <v/>
      </c>
      <c r="BI28" s="939"/>
    </row>
    <row r="29" spans="1:61" ht="15.95" customHeight="1">
      <c r="A29" s="180"/>
      <c r="B29" s="905"/>
      <c r="C29" s="904"/>
      <c r="D29" s="904"/>
      <c r="E29" s="904"/>
      <c r="F29" s="904"/>
      <c r="G29" s="904"/>
      <c r="H29" s="904"/>
      <c r="I29" s="904"/>
      <c r="J29" s="904"/>
      <c r="K29" s="904"/>
      <c r="L29" s="904"/>
      <c r="M29" s="904"/>
      <c r="N29" s="904"/>
      <c r="O29" s="904"/>
      <c r="P29" s="904"/>
      <c r="Q29" s="904"/>
      <c r="R29" s="969"/>
      <c r="S29" s="969"/>
      <c r="T29" s="969"/>
      <c r="U29" s="888"/>
      <c r="V29" s="888"/>
      <c r="W29" s="904"/>
      <c r="X29" s="904"/>
      <c r="Y29" s="904"/>
      <c r="Z29" s="904"/>
      <c r="AA29" s="904"/>
      <c r="AB29" s="904"/>
      <c r="AC29" s="904"/>
      <c r="AD29" s="827"/>
      <c r="AE29" s="867"/>
      <c r="AF29" s="868"/>
      <c r="AG29" s="868"/>
      <c r="AH29" s="869"/>
      <c r="AI29" s="946"/>
      <c r="AJ29" s="899"/>
      <c r="AK29" s="901"/>
      <c r="AL29" s="901"/>
      <c r="AM29" s="901"/>
      <c r="AN29" s="899"/>
      <c r="AO29" s="903"/>
      <c r="AP29" s="903"/>
      <c r="AQ29" s="903"/>
      <c r="AR29" s="37"/>
      <c r="AS29" s="235"/>
      <c r="AT29" s="973"/>
      <c r="AU29" s="855"/>
      <c r="AV29" s="851"/>
      <c r="AW29" s="851"/>
      <c r="AX29" s="970"/>
      <c r="AY29" s="970"/>
      <c r="AZ29" s="855"/>
      <c r="BA29" s="970"/>
      <c r="BB29" s="970"/>
      <c r="BC29" s="855"/>
      <c r="BD29" s="855"/>
      <c r="BE29" s="929"/>
      <c r="BF29" s="931"/>
      <c r="BG29" s="938"/>
      <c r="BH29" s="934"/>
      <c r="BI29" s="939"/>
    </row>
    <row r="30" spans="1:61" ht="15.95" customHeight="1">
      <c r="A30" s="180"/>
      <c r="B30" s="905">
        <v>7</v>
      </c>
      <c r="C30" s="904"/>
      <c r="D30" s="904"/>
      <c r="E30" s="904"/>
      <c r="F30" s="904"/>
      <c r="G30" s="904"/>
      <c r="H30" s="904"/>
      <c r="I30" s="904"/>
      <c r="J30" s="904"/>
      <c r="K30" s="904"/>
      <c r="L30" s="904"/>
      <c r="M30" s="904"/>
      <c r="N30" s="904"/>
      <c r="O30" s="904"/>
      <c r="P30" s="904"/>
      <c r="Q30" s="904"/>
      <c r="R30" s="969" t="str">
        <f>IF(C30="","",INDEX(STDMOTORS[Current Unit],MATCH(C30,STDMOTORS[Measure Name],0)))</f>
        <v/>
      </c>
      <c r="S30" s="969"/>
      <c r="T30" s="969"/>
      <c r="U30" s="888"/>
      <c r="V30" s="888"/>
      <c r="W30" s="904"/>
      <c r="X30" s="904"/>
      <c r="Y30" s="904"/>
      <c r="Z30" s="904"/>
      <c r="AA30" s="904"/>
      <c r="AB30" s="904"/>
      <c r="AC30" s="904"/>
      <c r="AD30" s="827"/>
      <c r="AE30" s="867"/>
      <c r="AF30" s="868"/>
      <c r="AG30" s="868"/>
      <c r="AH30" s="869"/>
      <c r="AI30" s="946" t="str">
        <f>IFERROR(IF(C30="","",INDEX(STDMOTORS[Current Incentive],MATCH(C30,STDMOTORS[Measure Name],0))),"")</f>
        <v/>
      </c>
      <c r="AJ30" s="899"/>
      <c r="AK30" s="900" t="str">
        <f t="shared" ref="AK30" si="15">IFERROR(IF(OR(C30="",U30="",R30="",W30="",AA30="",AE30="",AG30=""),"",IF(BH30="Deemed",AV30,IF(BH30="Calculated",BA30,""))),"")</f>
        <v/>
      </c>
      <c r="AL30" s="900"/>
      <c r="AM30" s="900"/>
      <c r="AN30" s="897" t="str">
        <f t="shared" ref="AN30" si="16">IFERROR(IF(OR(C30="",U30="",R30="",W30="",AA30="",AE30="",AG30=""),"",IF(BD30&lt;&gt;"",BD30,IF(BI30&gt;0,BI30,ROUND(IF(AK30&lt;=0,0,MIN(AT30,U30*AI30)),2)))),"")</f>
        <v/>
      </c>
      <c r="AO30" s="902"/>
      <c r="AP30" s="902"/>
      <c r="AQ30" s="902"/>
      <c r="AR30" s="37"/>
      <c r="AS30" s="235"/>
      <c r="AT30" s="972" t="str">
        <f t="shared" ref="AT30" si="17">IF(OR(C30="",U30="",R30="",W30="",AA30="",AE30="",AG30=""),"",IF(AK30=0,"",ROUND(AE30+AG30,2)))</f>
        <v/>
      </c>
      <c r="AU30" s="854" t="str">
        <f>IFERROR(IF(OR(C30="",U30="",R30="",W30="",AA30="",AE30="",AG30=""),"",INDEX(STDMOTORS[Current Unit],MATCH(C30,STDMOTORS[Measure Name],0))),"Err")</f>
        <v/>
      </c>
      <c r="AV30" s="850" t="str">
        <f>IF(OR(C30="",U30="",R30="",W30="",AA30="",AE30="",AG30=""),"",ROUND(U30*INDEX(STDMOTORS[Electric Energy Savings (Annual kWh/unit)],MATCH(C30,STDMOTORS[Measure Name],0)),4))</f>
        <v/>
      </c>
      <c r="AW30" s="850" t="str">
        <f>IF(OR(C30="",U30="",R30="",W30="",AA30="",AE30="",AG30=""),"",ROUND(U30*INDEX(STDMOTORS[Coincident Peak Demand Savings (kW/unit)],MATCH(C30,STDMOTORS[Measure Name],0)),4))</f>
        <v/>
      </c>
      <c r="AX30" s="970"/>
      <c r="AY30" s="970"/>
      <c r="AZ30" s="854" t="str">
        <f>IFERROR(IF(OR(C30="",U30="",R30="",W30="",AA30="",AE30="",AG30=""),"",INDEX(STDMOTORS[End Use],MATCH(C30,STDMOTORS[Measure Name],0))),"Err")</f>
        <v/>
      </c>
      <c r="BA30" s="970"/>
      <c r="BB30" s="970"/>
      <c r="BC30" s="854" t="str">
        <f>IFERROR(IF(OR(C30="",U30="",R30="",W30="",AA30="",AE30="",AG30="",ISNUMBER(AN30)=FALSE,AN30=0),"",INDEX(STDMOTORS[Measure Number],MATCH(C30,STDMOTORS[Measure Name],0))),"Err")</f>
        <v/>
      </c>
      <c r="BD30" s="854" t="str">
        <f>IFERROR(IF(OR(C30="",U30="",W30="",AA30="",AE30="",AG30=""),"",
IF(BI30&gt;0,"",
IF(EXPIRATION&lt;&gt;"",PROJSTATEXP,""))),"")</f>
        <v/>
      </c>
      <c r="BE30" s="928" t="str">
        <f>IFERROR(INDEX(STDMOTORS[Measure Life (Years)],MATCH(C30,STDMOTORS[Measure Name],0)),"")</f>
        <v/>
      </c>
      <c r="BF30" s="930" t="str">
        <f>IFERROR(IF(OR(C30="",U30="",R30="",W30="",AA30="",AE30="",AG30=""),"",
ROUND(((1+ELOSS)*((AV30*INDEX(ELECCB[NPV AEC $/kWh],MATCH(BE30,ELECCB[Year Number],1)))+(AW30*INDEX(ELECCB[NPV ACC $/kW],MATCH(BE30,ELECCB[Year Number],1))))),2)),0)</f>
        <v/>
      </c>
      <c r="BG30" s="937"/>
      <c r="BH30" s="934" t="str">
        <f>IFERROR(IF(OR(C30="",U30="",R30="",W30="",AA30="",AE30="",AG30=""),"",INDEX(STDMOTORS[Reporting Methodology],MATCH(C30,STDMOTORS[Measure Name],0))),"Err")</f>
        <v/>
      </c>
      <c r="BI30" s="939"/>
    </row>
    <row r="31" spans="1:61" ht="15.95" customHeight="1">
      <c r="A31" s="180"/>
      <c r="B31" s="905"/>
      <c r="C31" s="904"/>
      <c r="D31" s="904"/>
      <c r="E31" s="904"/>
      <c r="F31" s="904"/>
      <c r="G31" s="904"/>
      <c r="H31" s="904"/>
      <c r="I31" s="904"/>
      <c r="J31" s="904"/>
      <c r="K31" s="904"/>
      <c r="L31" s="904"/>
      <c r="M31" s="904"/>
      <c r="N31" s="904"/>
      <c r="O31" s="904"/>
      <c r="P31" s="904"/>
      <c r="Q31" s="904"/>
      <c r="R31" s="969"/>
      <c r="S31" s="969"/>
      <c r="T31" s="969"/>
      <c r="U31" s="888"/>
      <c r="V31" s="888"/>
      <c r="W31" s="904"/>
      <c r="X31" s="904"/>
      <c r="Y31" s="904"/>
      <c r="Z31" s="904"/>
      <c r="AA31" s="904"/>
      <c r="AB31" s="904"/>
      <c r="AC31" s="904"/>
      <c r="AD31" s="827"/>
      <c r="AE31" s="867"/>
      <c r="AF31" s="868"/>
      <c r="AG31" s="868"/>
      <c r="AH31" s="869"/>
      <c r="AI31" s="946"/>
      <c r="AJ31" s="899"/>
      <c r="AK31" s="901"/>
      <c r="AL31" s="901"/>
      <c r="AM31" s="901"/>
      <c r="AN31" s="899"/>
      <c r="AO31" s="903"/>
      <c r="AP31" s="903"/>
      <c r="AQ31" s="903"/>
      <c r="AR31" s="37"/>
      <c r="AS31" s="235"/>
      <c r="AT31" s="973"/>
      <c r="AU31" s="855"/>
      <c r="AV31" s="851"/>
      <c r="AW31" s="851"/>
      <c r="AX31" s="970"/>
      <c r="AY31" s="970"/>
      <c r="AZ31" s="855"/>
      <c r="BA31" s="970"/>
      <c r="BB31" s="970"/>
      <c r="BC31" s="855"/>
      <c r="BD31" s="855"/>
      <c r="BE31" s="929"/>
      <c r="BF31" s="931"/>
      <c r="BG31" s="938"/>
      <c r="BH31" s="934"/>
      <c r="BI31" s="939"/>
    </row>
    <row r="32" spans="1:61" ht="15.95" customHeight="1">
      <c r="A32" s="180"/>
      <c r="B32" s="905">
        <v>8</v>
      </c>
      <c r="C32" s="904"/>
      <c r="D32" s="904"/>
      <c r="E32" s="904"/>
      <c r="F32" s="904"/>
      <c r="G32" s="904"/>
      <c r="H32" s="904"/>
      <c r="I32" s="904"/>
      <c r="J32" s="904"/>
      <c r="K32" s="904"/>
      <c r="L32" s="904"/>
      <c r="M32" s="904"/>
      <c r="N32" s="904"/>
      <c r="O32" s="904"/>
      <c r="P32" s="904"/>
      <c r="Q32" s="904"/>
      <c r="R32" s="969" t="str">
        <f>IF(C32="","",INDEX(STDMOTORS[Current Unit],MATCH(C32,STDMOTORS[Measure Name],0)))</f>
        <v/>
      </c>
      <c r="S32" s="969"/>
      <c r="T32" s="969"/>
      <c r="U32" s="888"/>
      <c r="V32" s="888"/>
      <c r="W32" s="904"/>
      <c r="X32" s="904"/>
      <c r="Y32" s="904"/>
      <c r="Z32" s="904"/>
      <c r="AA32" s="904"/>
      <c r="AB32" s="904"/>
      <c r="AC32" s="904"/>
      <c r="AD32" s="827"/>
      <c r="AE32" s="867"/>
      <c r="AF32" s="868"/>
      <c r="AG32" s="868"/>
      <c r="AH32" s="869"/>
      <c r="AI32" s="946" t="str">
        <f>IFERROR(IF(C32="","",INDEX(STDMOTORS[Current Incentive],MATCH(C32,STDMOTORS[Measure Name],0))),"")</f>
        <v/>
      </c>
      <c r="AJ32" s="899"/>
      <c r="AK32" s="900" t="str">
        <f t="shared" ref="AK32" si="18">IFERROR(IF(OR(C32="",U32="",R32="",W32="",AA32="",AE32="",AG32=""),"",IF(BH32="Deemed",AV32,IF(BH32="Calculated",BA32,""))),"")</f>
        <v/>
      </c>
      <c r="AL32" s="900"/>
      <c r="AM32" s="900"/>
      <c r="AN32" s="897" t="str">
        <f t="shared" ref="AN32" si="19">IFERROR(IF(OR(C32="",U32="",R32="",W32="",AA32="",AE32="",AG32=""),"",IF(BD32&lt;&gt;"",BD32,IF(BI32&gt;0,BI32,ROUND(IF(AK32&lt;=0,0,MIN(AT32,U32*AI32)),2)))),"")</f>
        <v/>
      </c>
      <c r="AO32" s="902"/>
      <c r="AP32" s="902"/>
      <c r="AQ32" s="902"/>
      <c r="AR32" s="37"/>
      <c r="AS32" s="235"/>
      <c r="AT32" s="972" t="str">
        <f t="shared" ref="AT32" si="20">IF(OR(C32="",U32="",R32="",W32="",AA32="",AE32="",AG32=""),"",IF(AK32=0,"",ROUND(AE32+AG32,2)))</f>
        <v/>
      </c>
      <c r="AU32" s="854" t="str">
        <f>IFERROR(IF(OR(C32="",U32="",R32="",W32="",AA32="",AE32="",AG32=""),"",INDEX(STDMOTORS[Current Unit],MATCH(C32,STDMOTORS[Measure Name],0))),"Err")</f>
        <v/>
      </c>
      <c r="AV32" s="850" t="str">
        <f>IF(OR(C32="",U32="",R32="",W32="",AA32="",AE32="",AG32=""),"",ROUND(U32*INDEX(STDMOTORS[Electric Energy Savings (Annual kWh/unit)],MATCH(C32,STDMOTORS[Measure Name],0)),4))</f>
        <v/>
      </c>
      <c r="AW32" s="850" t="str">
        <f>IF(OR(C32="",U32="",R32="",W32="",AA32="",AE32="",AG32=""),"",ROUND(U32*INDEX(STDMOTORS[Coincident Peak Demand Savings (kW/unit)],MATCH(C32,STDMOTORS[Measure Name],0)),4))</f>
        <v/>
      </c>
      <c r="AX32" s="970"/>
      <c r="AY32" s="970"/>
      <c r="AZ32" s="854" t="str">
        <f>IFERROR(IF(OR(C32="",U32="",R32="",W32="",AA32="",AE32="",AG32=""),"",INDEX(STDMOTORS[End Use],MATCH(C32,STDMOTORS[Measure Name],0))),"Err")</f>
        <v/>
      </c>
      <c r="BA32" s="970"/>
      <c r="BB32" s="970"/>
      <c r="BC32" s="854" t="str">
        <f>IFERROR(IF(OR(C32="",U32="",R32="",W32="",AA32="",AE32="",AG32="",ISNUMBER(AN32)=FALSE,AN32=0),"",INDEX(STDMOTORS[Measure Number],MATCH(C32,STDMOTORS[Measure Name],0))),"Err")</f>
        <v/>
      </c>
      <c r="BD32" s="854" t="str">
        <f>IFERROR(IF(OR(C32="",U32="",W32="",AA32="",AE32="",AG32=""),"",
IF(BI32&gt;0,"",
IF(EXPIRATION&lt;&gt;"",PROJSTATEXP,""))),"")</f>
        <v/>
      </c>
      <c r="BE32" s="928" t="str">
        <f>IFERROR(INDEX(STDMOTORS[Measure Life (Years)],MATCH(C32,STDMOTORS[Measure Name],0)),"")</f>
        <v/>
      </c>
      <c r="BF32" s="930" t="str">
        <f>IFERROR(IF(OR(C32="",U32="",R32="",W32="",AA32="",AE32="",AG32=""),"",
ROUND(((1+ELOSS)*((AV32*INDEX(ELECCB[NPV AEC $/kWh],MATCH(BE32,ELECCB[Year Number],1)))+(AW32*INDEX(ELECCB[NPV ACC $/kW],MATCH(BE32,ELECCB[Year Number],1))))),2)),0)</f>
        <v/>
      </c>
      <c r="BG32" s="937"/>
      <c r="BH32" s="934" t="str">
        <f>IFERROR(IF(OR(C32="",U32="",R32="",W32="",AA32="",AE32="",AG32=""),"",INDEX(STDMOTORS[Reporting Methodology],MATCH(C32,STDMOTORS[Measure Name],0))),"Err")</f>
        <v/>
      </c>
      <c r="BI32" s="939"/>
    </row>
    <row r="33" spans="1:61" ht="15.95" customHeight="1">
      <c r="A33" s="180"/>
      <c r="B33" s="905"/>
      <c r="C33" s="904"/>
      <c r="D33" s="904"/>
      <c r="E33" s="904"/>
      <c r="F33" s="904"/>
      <c r="G33" s="904"/>
      <c r="H33" s="904"/>
      <c r="I33" s="904"/>
      <c r="J33" s="904"/>
      <c r="K33" s="904"/>
      <c r="L33" s="904"/>
      <c r="M33" s="904"/>
      <c r="N33" s="904"/>
      <c r="O33" s="904"/>
      <c r="P33" s="904"/>
      <c r="Q33" s="904"/>
      <c r="R33" s="969"/>
      <c r="S33" s="969"/>
      <c r="T33" s="969"/>
      <c r="U33" s="888"/>
      <c r="V33" s="888"/>
      <c r="W33" s="904"/>
      <c r="X33" s="904"/>
      <c r="Y33" s="904"/>
      <c r="Z33" s="904"/>
      <c r="AA33" s="904"/>
      <c r="AB33" s="904"/>
      <c r="AC33" s="904"/>
      <c r="AD33" s="827"/>
      <c r="AE33" s="867"/>
      <c r="AF33" s="868"/>
      <c r="AG33" s="868"/>
      <c r="AH33" s="869"/>
      <c r="AI33" s="946"/>
      <c r="AJ33" s="899"/>
      <c r="AK33" s="901"/>
      <c r="AL33" s="901"/>
      <c r="AM33" s="901"/>
      <c r="AN33" s="899"/>
      <c r="AO33" s="903"/>
      <c r="AP33" s="903"/>
      <c r="AQ33" s="903"/>
      <c r="AR33" s="37"/>
      <c r="AS33" s="235"/>
      <c r="AT33" s="973"/>
      <c r="AU33" s="855"/>
      <c r="AV33" s="851"/>
      <c r="AW33" s="851"/>
      <c r="AX33" s="970"/>
      <c r="AY33" s="970"/>
      <c r="AZ33" s="855"/>
      <c r="BA33" s="970"/>
      <c r="BB33" s="970"/>
      <c r="BC33" s="855"/>
      <c r="BD33" s="855"/>
      <c r="BE33" s="929"/>
      <c r="BF33" s="931"/>
      <c r="BG33" s="938"/>
      <c r="BH33" s="934"/>
      <c r="BI33" s="939"/>
    </row>
    <row r="34" spans="1:61" ht="15.95" customHeight="1">
      <c r="A34" s="180"/>
      <c r="B34" s="905">
        <v>9</v>
      </c>
      <c r="C34" s="904"/>
      <c r="D34" s="904"/>
      <c r="E34" s="904"/>
      <c r="F34" s="904"/>
      <c r="G34" s="904"/>
      <c r="H34" s="904"/>
      <c r="I34" s="904"/>
      <c r="J34" s="904"/>
      <c r="K34" s="904"/>
      <c r="L34" s="904"/>
      <c r="M34" s="904"/>
      <c r="N34" s="904"/>
      <c r="O34" s="904"/>
      <c r="P34" s="904"/>
      <c r="Q34" s="904"/>
      <c r="R34" s="969" t="str">
        <f>IF(C34="","",INDEX(STDMOTORS[Current Unit],MATCH(C34,STDMOTORS[Measure Name],0)))</f>
        <v/>
      </c>
      <c r="S34" s="969"/>
      <c r="T34" s="969"/>
      <c r="U34" s="888"/>
      <c r="V34" s="888"/>
      <c r="W34" s="904"/>
      <c r="X34" s="904"/>
      <c r="Y34" s="904"/>
      <c r="Z34" s="904"/>
      <c r="AA34" s="904"/>
      <c r="AB34" s="904"/>
      <c r="AC34" s="904"/>
      <c r="AD34" s="827"/>
      <c r="AE34" s="867"/>
      <c r="AF34" s="868"/>
      <c r="AG34" s="868"/>
      <c r="AH34" s="869"/>
      <c r="AI34" s="946" t="str">
        <f>IFERROR(IF(C34="","",INDEX(STDMOTORS[Current Incentive],MATCH(C34,STDMOTORS[Measure Name],0))),"")</f>
        <v/>
      </c>
      <c r="AJ34" s="899"/>
      <c r="AK34" s="900" t="str">
        <f t="shared" ref="AK34" si="21">IFERROR(IF(OR(C34="",U34="",R34="",W34="",AA34="",AE34="",AG34=""),"",IF(BH34="Deemed",AV34,IF(BH34="Calculated",BA34,""))),"")</f>
        <v/>
      </c>
      <c r="AL34" s="900"/>
      <c r="AM34" s="900"/>
      <c r="AN34" s="897" t="str">
        <f t="shared" ref="AN34" si="22">IFERROR(IF(OR(C34="",U34="",R34="",W34="",AA34="",AE34="",AG34=""),"",IF(BD34&lt;&gt;"",BD34,IF(BI34&gt;0,BI34,ROUND(IF(AK34&lt;=0,0,MIN(AT34,U34*AI34)),2)))),"")</f>
        <v/>
      </c>
      <c r="AO34" s="902"/>
      <c r="AP34" s="902"/>
      <c r="AQ34" s="902"/>
      <c r="AR34" s="37"/>
      <c r="AS34" s="235"/>
      <c r="AT34" s="972" t="str">
        <f t="shared" ref="AT34" si="23">IF(OR(C34="",U34="",R34="",W34="",AA34="",AE34="",AG34=""),"",IF(AK34=0,"",ROUND(AE34+AG34,2)))</f>
        <v/>
      </c>
      <c r="AU34" s="854" t="str">
        <f>IFERROR(IF(OR(C34="",U34="",R34="",W34="",AA34="",AE34="",AG34=""),"",INDEX(STDMOTORS[Current Unit],MATCH(C34,STDMOTORS[Measure Name],0))),"Err")</f>
        <v/>
      </c>
      <c r="AV34" s="850" t="str">
        <f>IF(OR(C34="",U34="",R34="",W34="",AA34="",AE34="",AG34=""),"",ROUND(U34*INDEX(STDMOTORS[Electric Energy Savings (Annual kWh/unit)],MATCH(C34,STDMOTORS[Measure Name],0)),4))</f>
        <v/>
      </c>
      <c r="AW34" s="850" t="str">
        <f>IF(OR(C34="",U34="",R34="",W34="",AA34="",AE34="",AG34=""),"",ROUND(U34*INDEX(STDMOTORS[Coincident Peak Demand Savings (kW/unit)],MATCH(C34,STDMOTORS[Measure Name],0)),4))</f>
        <v/>
      </c>
      <c r="AX34" s="970"/>
      <c r="AY34" s="970"/>
      <c r="AZ34" s="854" t="str">
        <f>IFERROR(IF(OR(C34="",U34="",R34="",W34="",AA34="",AE34="",AG34=""),"",INDEX(STDMOTORS[End Use],MATCH(C34,STDMOTORS[Measure Name],0))),"Err")</f>
        <v/>
      </c>
      <c r="BA34" s="970"/>
      <c r="BB34" s="970"/>
      <c r="BC34" s="854" t="str">
        <f>IFERROR(IF(OR(C34="",U34="",R34="",W34="",AA34="",AE34="",AG34="",ISNUMBER(AN34)=FALSE,AN34=0),"",INDEX(STDMOTORS[Measure Number],MATCH(C34,STDMOTORS[Measure Name],0))),"Err")</f>
        <v/>
      </c>
      <c r="BD34" s="854" t="str">
        <f>IFERROR(IF(OR(C34="",U34="",W34="",AA34="",AE34="",AG34=""),"",
IF(BI34&gt;0,"",
IF(EXPIRATION&lt;&gt;"",PROJSTATEXP,""))),"")</f>
        <v/>
      </c>
      <c r="BE34" s="928" t="str">
        <f>IFERROR(INDEX(STDMOTORS[Measure Life (Years)],MATCH(C34,STDMOTORS[Measure Name],0)),"")</f>
        <v/>
      </c>
      <c r="BF34" s="930" t="str">
        <f>IFERROR(IF(OR(C34="",U34="",R34="",W34="",AA34="",AE34="",AG34=""),"",
ROUND(((1+ELOSS)*((AV34*INDEX(ELECCB[NPV AEC $/kWh],MATCH(BE34,ELECCB[Year Number],1)))+(AW34*INDEX(ELECCB[NPV ACC $/kW],MATCH(BE34,ELECCB[Year Number],1))))),2)),0)</f>
        <v/>
      </c>
      <c r="BG34" s="937"/>
      <c r="BH34" s="934" t="str">
        <f>IFERROR(IF(OR(C34="",U34="",R34="",W34="",AA34="",AE34="",AG34=""),"",INDEX(STDMOTORS[Reporting Methodology],MATCH(C34,STDMOTORS[Measure Name],0))),"Err")</f>
        <v/>
      </c>
      <c r="BI34" s="939"/>
    </row>
    <row r="35" spans="1:61" ht="15.95" customHeight="1">
      <c r="A35" s="180"/>
      <c r="B35" s="905"/>
      <c r="C35" s="904"/>
      <c r="D35" s="904"/>
      <c r="E35" s="904"/>
      <c r="F35" s="904"/>
      <c r="G35" s="904"/>
      <c r="H35" s="904"/>
      <c r="I35" s="904"/>
      <c r="J35" s="904"/>
      <c r="K35" s="904"/>
      <c r="L35" s="904"/>
      <c r="M35" s="904"/>
      <c r="N35" s="904"/>
      <c r="O35" s="904"/>
      <c r="P35" s="904"/>
      <c r="Q35" s="904"/>
      <c r="R35" s="969"/>
      <c r="S35" s="969"/>
      <c r="T35" s="969"/>
      <c r="U35" s="888"/>
      <c r="V35" s="888"/>
      <c r="W35" s="904"/>
      <c r="X35" s="904"/>
      <c r="Y35" s="904"/>
      <c r="Z35" s="904"/>
      <c r="AA35" s="904"/>
      <c r="AB35" s="904"/>
      <c r="AC35" s="904"/>
      <c r="AD35" s="827"/>
      <c r="AE35" s="867"/>
      <c r="AF35" s="868"/>
      <c r="AG35" s="868"/>
      <c r="AH35" s="869"/>
      <c r="AI35" s="946"/>
      <c r="AJ35" s="899"/>
      <c r="AK35" s="901"/>
      <c r="AL35" s="901"/>
      <c r="AM35" s="901"/>
      <c r="AN35" s="899"/>
      <c r="AO35" s="903"/>
      <c r="AP35" s="903"/>
      <c r="AQ35" s="903"/>
      <c r="AR35" s="37"/>
      <c r="AS35" s="235"/>
      <c r="AT35" s="973"/>
      <c r="AU35" s="855"/>
      <c r="AV35" s="851"/>
      <c r="AW35" s="851"/>
      <c r="AX35" s="970"/>
      <c r="AY35" s="970"/>
      <c r="AZ35" s="855"/>
      <c r="BA35" s="970"/>
      <c r="BB35" s="970"/>
      <c r="BC35" s="855"/>
      <c r="BD35" s="855"/>
      <c r="BE35" s="929"/>
      <c r="BF35" s="931"/>
      <c r="BG35" s="938"/>
      <c r="BH35" s="934"/>
      <c r="BI35" s="939"/>
    </row>
    <row r="36" spans="1:61" ht="15.95" customHeight="1">
      <c r="A36" s="180"/>
      <c r="B36" s="905">
        <v>10</v>
      </c>
      <c r="C36" s="904"/>
      <c r="D36" s="904"/>
      <c r="E36" s="904"/>
      <c r="F36" s="904"/>
      <c r="G36" s="904"/>
      <c r="H36" s="904"/>
      <c r="I36" s="904"/>
      <c r="J36" s="904"/>
      <c r="K36" s="904"/>
      <c r="L36" s="904"/>
      <c r="M36" s="904"/>
      <c r="N36" s="904"/>
      <c r="O36" s="904"/>
      <c r="P36" s="904"/>
      <c r="Q36" s="904"/>
      <c r="R36" s="969" t="str">
        <f>IF(C36="","",INDEX(STDMOTORS[Current Unit],MATCH(C36,STDMOTORS[Measure Name],0)))</f>
        <v/>
      </c>
      <c r="S36" s="969"/>
      <c r="T36" s="969"/>
      <c r="U36" s="888"/>
      <c r="V36" s="888"/>
      <c r="W36" s="904"/>
      <c r="X36" s="904"/>
      <c r="Y36" s="904"/>
      <c r="Z36" s="904"/>
      <c r="AA36" s="904"/>
      <c r="AB36" s="904"/>
      <c r="AC36" s="904"/>
      <c r="AD36" s="827"/>
      <c r="AE36" s="867"/>
      <c r="AF36" s="868"/>
      <c r="AG36" s="868"/>
      <c r="AH36" s="869"/>
      <c r="AI36" s="946" t="str">
        <f>IFERROR(IF(C36="","",INDEX(STDMOTORS[Current Incentive],MATCH(C36,STDMOTORS[Measure Name],0))),"")</f>
        <v/>
      </c>
      <c r="AJ36" s="899"/>
      <c r="AK36" s="900" t="str">
        <f t="shared" ref="AK36" si="24">IFERROR(IF(OR(C36="",U36="",R36="",W36="",AA36="",AE36="",AG36=""),"",IF(BH36="Deemed",AV36,IF(BH36="Calculated",BA36,""))),"")</f>
        <v/>
      </c>
      <c r="AL36" s="900"/>
      <c r="AM36" s="900"/>
      <c r="AN36" s="897" t="str">
        <f t="shared" ref="AN36" si="25">IFERROR(IF(OR(C36="",U36="",R36="",W36="",AA36="",AE36="",AG36=""),"",IF(BD36&lt;&gt;"",BD36,IF(BI36&gt;0,BI36,ROUND(IF(AK36&lt;=0,0,MIN(AT36,U36*AI36)),2)))),"")</f>
        <v/>
      </c>
      <c r="AO36" s="902"/>
      <c r="AP36" s="902"/>
      <c r="AQ36" s="902"/>
      <c r="AR36" s="37"/>
      <c r="AS36" s="235"/>
      <c r="AT36" s="972" t="str">
        <f t="shared" ref="AT36" si="26">IF(OR(C36="",U36="",R36="",W36="",AA36="",AE36="",AG36=""),"",IF(AK36=0,"",ROUND(AE36+AG36,2)))</f>
        <v/>
      </c>
      <c r="AU36" s="854" t="str">
        <f>IFERROR(IF(OR(C36="",U36="",R36="",W36="",AA36="",AE36="",AG36=""),"",INDEX(STDMOTORS[Current Unit],MATCH(C36,STDMOTORS[Measure Name],0))),"Err")</f>
        <v/>
      </c>
      <c r="AV36" s="850" t="str">
        <f>IF(OR(C36="",U36="",R36="",W36="",AA36="",AE36="",AG36=""),"",ROUND(U36*INDEX(STDMOTORS[Electric Energy Savings (Annual kWh/unit)],MATCH(C36,STDMOTORS[Measure Name],0)),4))</f>
        <v/>
      </c>
      <c r="AW36" s="850" t="str">
        <f>IF(OR(C36="",U36="",R36="",W36="",AA36="",AE36="",AG36=""),"",ROUND(U36*INDEX(STDMOTORS[Coincident Peak Demand Savings (kW/unit)],MATCH(C36,STDMOTORS[Measure Name],0)),4))</f>
        <v/>
      </c>
      <c r="AX36" s="970"/>
      <c r="AY36" s="970"/>
      <c r="AZ36" s="854" t="str">
        <f>IFERROR(IF(OR(C36="",U36="",R36="",W36="",AA36="",AE36="",AG36=""),"",INDEX(STDMOTORS[End Use],MATCH(C36,STDMOTORS[Measure Name],0))),"Err")</f>
        <v/>
      </c>
      <c r="BA36" s="970"/>
      <c r="BB36" s="970"/>
      <c r="BC36" s="854" t="str">
        <f>IFERROR(IF(OR(C36="",U36="",R36="",W36="",AA36="",AE36="",AG36="",ISNUMBER(AN36)=FALSE,AN36=0),"",INDEX(STDMOTORS[Measure Number],MATCH(C36,STDMOTORS[Measure Name],0))),"Err")</f>
        <v/>
      </c>
      <c r="BD36" s="854" t="str">
        <f>IFERROR(IF(OR(C36="",U36="",W36="",AA36="",AE36="",AG36=""),"",
IF(BI36&gt;0,"",
IF(EXPIRATION&lt;&gt;"",PROJSTATEXP,""))),"")</f>
        <v/>
      </c>
      <c r="BE36" s="928" t="str">
        <f>IFERROR(INDEX(STDMOTORS[Measure Life (Years)],MATCH(C36,STDMOTORS[Measure Name],0)),"")</f>
        <v/>
      </c>
      <c r="BF36" s="930" t="str">
        <f>IFERROR(IF(OR(C36="",U36="",R36="",W36="",AA36="",AE36="",AG36=""),"",
ROUND(((1+ELOSS)*((AV36*INDEX(ELECCB[NPV AEC $/kWh],MATCH(BE36,ELECCB[Year Number],1)))+(AW36*INDEX(ELECCB[NPV ACC $/kW],MATCH(BE36,ELECCB[Year Number],1))))),2)),0)</f>
        <v/>
      </c>
      <c r="BG36" s="937"/>
      <c r="BH36" s="934" t="str">
        <f>IFERROR(IF(OR(C36="",U36="",R36="",W36="",AA36="",AE36="",AG36=""),"",INDEX(STDMOTORS[Reporting Methodology],MATCH(C36,STDMOTORS[Measure Name],0))),"Err")</f>
        <v/>
      </c>
      <c r="BI36" s="939"/>
    </row>
    <row r="37" spans="1:61" ht="15.95" customHeight="1">
      <c r="A37" s="180"/>
      <c r="B37" s="905"/>
      <c r="C37" s="904"/>
      <c r="D37" s="904"/>
      <c r="E37" s="904"/>
      <c r="F37" s="904"/>
      <c r="G37" s="904"/>
      <c r="H37" s="904"/>
      <c r="I37" s="904"/>
      <c r="J37" s="904"/>
      <c r="K37" s="904"/>
      <c r="L37" s="904"/>
      <c r="M37" s="904"/>
      <c r="N37" s="904"/>
      <c r="O37" s="904"/>
      <c r="P37" s="904"/>
      <c r="Q37" s="904"/>
      <c r="R37" s="969"/>
      <c r="S37" s="969"/>
      <c r="T37" s="969"/>
      <c r="U37" s="888"/>
      <c r="V37" s="888"/>
      <c r="W37" s="904"/>
      <c r="X37" s="904"/>
      <c r="Y37" s="904"/>
      <c r="Z37" s="904"/>
      <c r="AA37" s="904"/>
      <c r="AB37" s="904"/>
      <c r="AC37" s="904"/>
      <c r="AD37" s="827"/>
      <c r="AE37" s="867"/>
      <c r="AF37" s="868"/>
      <c r="AG37" s="868"/>
      <c r="AH37" s="869"/>
      <c r="AI37" s="946"/>
      <c r="AJ37" s="899"/>
      <c r="AK37" s="901"/>
      <c r="AL37" s="901"/>
      <c r="AM37" s="901"/>
      <c r="AN37" s="899"/>
      <c r="AO37" s="903"/>
      <c r="AP37" s="903"/>
      <c r="AQ37" s="903"/>
      <c r="AR37" s="37"/>
      <c r="AS37" s="235"/>
      <c r="AT37" s="973"/>
      <c r="AU37" s="855"/>
      <c r="AV37" s="851"/>
      <c r="AW37" s="851"/>
      <c r="AX37" s="970"/>
      <c r="AY37" s="970"/>
      <c r="AZ37" s="855"/>
      <c r="BA37" s="970"/>
      <c r="BB37" s="970"/>
      <c r="BC37" s="855"/>
      <c r="BD37" s="855"/>
      <c r="BE37" s="929"/>
      <c r="BF37" s="931"/>
      <c r="BG37" s="938"/>
      <c r="BH37" s="934"/>
      <c r="BI37" s="939"/>
    </row>
    <row r="38" spans="1:61" ht="15.95" customHeight="1">
      <c r="AR38" s="180"/>
      <c r="AS38" s="180"/>
      <c r="AT38" s="426"/>
    </row>
    <row r="39" spans="1:61" ht="15.95" hidden="1" customHeight="1">
      <c r="AT39" s="426"/>
    </row>
    <row r="40" spans="1:61" ht="15.95" hidden="1" customHeight="1">
      <c r="AT40" s="426"/>
    </row>
    <row r="41" spans="1:61" ht="15.95" hidden="1" customHeight="1">
      <c r="AT41" s="426"/>
    </row>
    <row r="42" spans="1:61" ht="15.95" hidden="1" customHeight="1">
      <c r="AT42" s="426"/>
    </row>
    <row r="43" spans="1:61" ht="15.95" hidden="1" customHeight="1">
      <c r="AT43" s="426"/>
    </row>
    <row r="44" spans="1:61" ht="15.95" hidden="1" customHeight="1">
      <c r="AT44" s="426"/>
    </row>
    <row r="45" spans="1:61" ht="15.95" hidden="1" customHeight="1">
      <c r="AT45" s="426"/>
    </row>
    <row r="46" spans="1:61" ht="15.95" hidden="1" customHeight="1">
      <c r="AT46" s="426"/>
    </row>
    <row r="47" spans="1:61" ht="15.95" hidden="1" customHeight="1">
      <c r="AT47" s="426"/>
    </row>
    <row r="48" spans="1:61" ht="15.95" hidden="1" customHeight="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235"/>
      <c r="AP48" s="235"/>
      <c r="AQ48" s="235"/>
      <c r="AR48" s="235"/>
      <c r="AS48" s="235"/>
      <c r="AT48" s="180"/>
      <c r="AU48" s="180"/>
      <c r="AV48" s="180"/>
      <c r="AW48" s="180"/>
      <c r="AX48" s="180"/>
      <c r="AY48" s="180"/>
      <c r="AZ48" s="180"/>
      <c r="BA48" s="180"/>
      <c r="BB48" s="180"/>
      <c r="BC48" s="180"/>
      <c r="BD48" s="180"/>
    </row>
    <row r="49" spans="1:56" ht="15.95" hidden="1" customHeight="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235"/>
      <c r="AP49" s="235"/>
      <c r="AQ49" s="235"/>
      <c r="AR49" s="235"/>
      <c r="AS49" s="235"/>
      <c r="AT49" s="180"/>
      <c r="AU49" s="180"/>
      <c r="AV49" s="180"/>
      <c r="AW49" s="180"/>
      <c r="AX49" s="180"/>
      <c r="AY49" s="180"/>
      <c r="AZ49" s="180"/>
      <c r="BA49" s="180"/>
      <c r="BB49" s="180"/>
      <c r="BC49" s="180"/>
      <c r="BD49" s="180"/>
    </row>
    <row r="50" spans="1:56" ht="15.95" hidden="1" customHeight="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235"/>
      <c r="AP50" s="235"/>
      <c r="AQ50" s="235"/>
      <c r="AR50" s="235"/>
      <c r="AS50" s="235"/>
      <c r="AT50" s="180"/>
      <c r="AU50" s="180"/>
      <c r="AV50" s="180"/>
      <c r="AW50" s="180"/>
      <c r="AX50" s="180"/>
      <c r="AY50" s="180"/>
      <c r="AZ50" s="180"/>
      <c r="BA50" s="180"/>
      <c r="BB50" s="180"/>
      <c r="BC50" s="180"/>
      <c r="BD50" s="180"/>
    </row>
    <row r="51" spans="1:56" ht="15.95" hidden="1" customHeight="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235"/>
      <c r="AP51" s="235"/>
      <c r="AQ51" s="235"/>
      <c r="AR51" s="235"/>
      <c r="AS51" s="235"/>
      <c r="AT51" s="180"/>
      <c r="AU51" s="180"/>
      <c r="AV51" s="180"/>
      <c r="AW51" s="180"/>
      <c r="AX51" s="180"/>
      <c r="AY51" s="180"/>
      <c r="AZ51" s="180"/>
      <c r="BA51" s="180"/>
      <c r="BB51" s="180"/>
      <c r="BC51" s="180"/>
      <c r="BD51" s="180"/>
    </row>
    <row r="52" spans="1:56" ht="15.95" hidden="1" customHeight="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235"/>
      <c r="AP52" s="235"/>
      <c r="AQ52" s="235"/>
      <c r="AR52" s="235"/>
      <c r="AS52" s="235"/>
      <c r="AT52" s="180"/>
      <c r="AU52" s="180"/>
      <c r="AV52" s="180"/>
      <c r="AW52" s="180"/>
      <c r="AX52" s="180"/>
      <c r="AY52" s="180"/>
      <c r="AZ52" s="180"/>
      <c r="BA52" s="180"/>
      <c r="BB52" s="180"/>
      <c r="BC52" s="180"/>
      <c r="BD52" s="180"/>
    </row>
    <row r="53" spans="1:56" ht="15.95" hidden="1" customHeight="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235"/>
      <c r="AP53" s="235"/>
      <c r="AQ53" s="235"/>
      <c r="AR53" s="235"/>
      <c r="AS53" s="235"/>
      <c r="AT53" s="180"/>
      <c r="AU53" s="180"/>
      <c r="AV53" s="180"/>
      <c r="AW53" s="180"/>
      <c r="AX53" s="180"/>
      <c r="AY53" s="180"/>
      <c r="AZ53" s="180"/>
      <c r="BA53" s="180"/>
      <c r="BB53" s="180"/>
      <c r="BC53" s="180"/>
      <c r="BD53" s="180"/>
    </row>
    <row r="54" spans="1:56" ht="15.95" hidden="1" customHeight="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235"/>
      <c r="AP54" s="235"/>
      <c r="AQ54" s="235"/>
      <c r="AR54" s="235"/>
      <c r="AS54" s="235"/>
      <c r="AT54" s="180"/>
      <c r="AU54" s="180"/>
      <c r="AV54" s="180"/>
      <c r="AW54" s="180"/>
      <c r="AX54" s="180"/>
      <c r="AY54" s="180"/>
      <c r="AZ54" s="180"/>
      <c r="BA54" s="180"/>
      <c r="BB54" s="180"/>
      <c r="BC54" s="180"/>
      <c r="BD54" s="180"/>
    </row>
    <row r="55" spans="1:56" ht="15.95" hidden="1" customHeight="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235"/>
      <c r="AP55" s="235"/>
      <c r="AQ55" s="235"/>
      <c r="AR55" s="235"/>
      <c r="AS55" s="235"/>
      <c r="AT55" s="180"/>
      <c r="AU55" s="180"/>
      <c r="AV55" s="180"/>
      <c r="AW55" s="180"/>
      <c r="AX55" s="180"/>
      <c r="AY55" s="180"/>
      <c r="AZ55" s="180"/>
      <c r="BA55" s="180"/>
      <c r="BB55" s="180"/>
      <c r="BC55" s="180"/>
      <c r="BD55" s="180"/>
    </row>
    <row r="56" spans="1:56" ht="15.95" hidden="1" customHeight="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235"/>
      <c r="AP56" s="235"/>
      <c r="AQ56" s="235"/>
      <c r="AR56" s="235"/>
      <c r="AS56" s="235"/>
      <c r="AT56" s="180"/>
      <c r="AU56" s="180"/>
      <c r="AV56" s="180"/>
      <c r="AW56" s="180"/>
      <c r="AX56" s="180"/>
      <c r="AY56" s="180"/>
      <c r="AZ56" s="180"/>
      <c r="BA56" s="180"/>
      <c r="BB56" s="180"/>
      <c r="BC56" s="180"/>
      <c r="BD56" s="180"/>
    </row>
    <row r="57" spans="1:56" ht="15.95" hidden="1" customHeight="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235"/>
      <c r="AP57" s="235"/>
      <c r="AQ57" s="235"/>
      <c r="AR57" s="235"/>
      <c r="AS57" s="235"/>
      <c r="AT57" s="180"/>
      <c r="AU57" s="180"/>
      <c r="AV57" s="180"/>
      <c r="AW57" s="180"/>
      <c r="AX57" s="180"/>
      <c r="AY57" s="180"/>
      <c r="AZ57" s="180"/>
      <c r="BA57" s="180"/>
      <c r="BB57" s="180"/>
      <c r="BC57" s="180"/>
      <c r="BD57" s="180"/>
    </row>
    <row r="58" spans="1:56" ht="15.95" hidden="1" customHeight="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235"/>
      <c r="AP58" s="235"/>
      <c r="AQ58" s="235"/>
      <c r="AR58" s="235"/>
      <c r="AS58" s="235"/>
      <c r="AT58" s="180"/>
      <c r="AU58" s="180"/>
      <c r="AV58" s="180"/>
      <c r="AW58" s="180"/>
      <c r="AX58" s="180"/>
      <c r="AY58" s="180"/>
      <c r="AZ58" s="180"/>
      <c r="BA58" s="180"/>
      <c r="BB58" s="180"/>
      <c r="BC58" s="180"/>
      <c r="BD58" s="180"/>
    </row>
    <row r="59" spans="1:56" ht="15.95" hidden="1" customHeight="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235"/>
      <c r="AP59" s="235"/>
      <c r="AQ59" s="235"/>
      <c r="AR59" s="235"/>
      <c r="AS59" s="235"/>
      <c r="AT59" s="180"/>
      <c r="AU59" s="180"/>
      <c r="AV59" s="180"/>
      <c r="AW59" s="180"/>
      <c r="AX59" s="180"/>
      <c r="AY59" s="180"/>
      <c r="AZ59" s="180"/>
      <c r="BA59" s="180"/>
      <c r="BB59" s="180"/>
      <c r="BC59" s="180"/>
      <c r="BD59" s="180"/>
    </row>
    <row r="60" spans="1:56" ht="15.95" hidden="1" customHeight="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235"/>
      <c r="AP60" s="235"/>
      <c r="AQ60" s="235"/>
      <c r="AR60" s="235"/>
      <c r="AS60" s="235"/>
      <c r="AT60" s="180"/>
      <c r="AU60" s="180"/>
      <c r="AV60" s="180"/>
      <c r="AW60" s="180"/>
      <c r="AX60" s="180"/>
      <c r="AY60" s="180"/>
      <c r="AZ60" s="180"/>
      <c r="BA60" s="180"/>
      <c r="BB60" s="180"/>
      <c r="BC60" s="180"/>
      <c r="BD60" s="180"/>
    </row>
    <row r="61" spans="1:56" ht="15.95" hidden="1" customHeight="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235"/>
      <c r="AP61" s="235"/>
      <c r="AQ61" s="235"/>
      <c r="AR61" s="235"/>
      <c r="AS61" s="235"/>
      <c r="AT61" s="180"/>
      <c r="AU61" s="180"/>
      <c r="AV61" s="180"/>
      <c r="AW61" s="180"/>
      <c r="AX61" s="180"/>
      <c r="AY61" s="180"/>
      <c r="AZ61" s="180"/>
      <c r="BA61" s="180"/>
      <c r="BB61" s="180"/>
      <c r="BC61" s="180"/>
      <c r="BD61" s="180"/>
    </row>
    <row r="62" spans="1:56" ht="15.95" hidden="1" customHeight="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row>
    <row r="63" spans="1:56" ht="15.95" hidden="1" customHeight="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row>
    <row r="64" spans="1:56" ht="15.95" hidden="1" customHeight="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row>
    <row r="65" spans="1:56" ht="15.95" hidden="1" customHeight="1">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row>
    <row r="66" spans="1:56" ht="15.95" hidden="1" customHeight="1">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row>
    <row r="67" spans="1:56" ht="15.95" hidden="1" customHeight="1">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row>
    <row r="68" spans="1:56" ht="15.95" hidden="1" customHeight="1">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row>
    <row r="69" spans="1:56" ht="15.95" hidden="1" customHeight="1">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row>
    <row r="70" spans="1:56" ht="15.95" hidden="1" customHeight="1">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row>
    <row r="71" spans="1:56" ht="15.95" hidden="1" customHeight="1">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row>
    <row r="72" spans="1:56" ht="15.95" hidden="1" customHeight="1">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row>
    <row r="73" spans="1:56" ht="15.95" hidden="1" customHeight="1">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row>
    <row r="74" spans="1:56" ht="15.95" hidden="1" customHeight="1">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row>
    <row r="75" spans="1:56" ht="15.95" hidden="1" customHeight="1">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row>
    <row r="76" spans="1:56" ht="15.95" hidden="1" customHeight="1">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row>
    <row r="77" spans="1:56" ht="15.95" hidden="1" customHeight="1">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row>
    <row r="78" spans="1:56" ht="15.95" hidden="1" customHeight="1">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row>
    <row r="79" spans="1:56" ht="15.95" hidden="1" customHeight="1">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row>
    <row r="80" spans="1:56" ht="15.95" hidden="1" customHeight="1">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row>
    <row r="81" spans="1:56" ht="15.95" hidden="1" customHeight="1">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row>
    <row r="82" spans="1:56" ht="15.95" hidden="1" customHeight="1">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row>
    <row r="83" spans="1:56" ht="15.95" hidden="1" customHeight="1">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row>
    <row r="84" spans="1:56" ht="15.95" hidden="1" customHeight="1">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row>
    <row r="85" spans="1:56" ht="15.95" hidden="1" customHeight="1">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row>
    <row r="86" spans="1:56" ht="15.95" hidden="1" customHeight="1">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row>
    <row r="87" spans="1:56" ht="15.95" hidden="1" customHeight="1">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row>
    <row r="88" spans="1:56" ht="15.95" hidden="1" customHeight="1">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row>
    <row r="89" spans="1:56" ht="15.95" hidden="1" customHeight="1">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row>
    <row r="90" spans="1:56" ht="15.95" hidden="1" customHeight="1">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row>
    <row r="91" spans="1:56" ht="15.95" hidden="1" customHeight="1">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row>
    <row r="92" spans="1:56" ht="15.95" hidden="1" customHeight="1">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row>
    <row r="93" spans="1:56" ht="15.95" hidden="1" customHeight="1">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row>
    <row r="94" spans="1:56" ht="15.95" hidden="1" customHeight="1">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row>
    <row r="95" spans="1:56" ht="15.95" hidden="1" customHeight="1">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row>
    <row r="96" spans="1:56" ht="15.95" hidden="1" customHeight="1">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row>
    <row r="97" spans="1:56" ht="15.95" hidden="1" customHeight="1">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row>
    <row r="98" spans="1:56" ht="15.95" hidden="1" customHeight="1">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row>
    <row r="99" spans="1:56" ht="15.95" hidden="1" customHeight="1">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row>
    <row r="100" spans="1:56" ht="15.95" hidden="1" customHeight="1">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row>
    <row r="101" spans="1:56" ht="15.95" hidden="1" customHeight="1">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row>
    <row r="102" spans="1:56" ht="15.95" hidden="1" customHeight="1">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row>
    <row r="103" spans="1:56" ht="15.95" hidden="1" customHeight="1">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row>
    <row r="104" spans="1:56" ht="15.95" hidden="1" customHeight="1">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row>
    <row r="105" spans="1:56" ht="15.95" hidden="1" customHeight="1">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row>
    <row r="106" spans="1:56" ht="15.95" hidden="1" customHeight="1">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row>
    <row r="107" spans="1:56" ht="15.95" hidden="1" customHeight="1">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row>
    <row r="108" spans="1:56" ht="15.95" hidden="1" customHeight="1">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row>
    <row r="109" spans="1:56" ht="15.95" hidden="1" customHeight="1">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row>
    <row r="110" spans="1:56" ht="15.95" hidden="1" customHeight="1">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row>
    <row r="111" spans="1:56" ht="15.95" hidden="1" customHeight="1">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row>
    <row r="112" spans="1:56" ht="15.95" hidden="1" customHeight="1">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row>
    <row r="113" spans="1:56" ht="15.95" hidden="1" customHeight="1">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row>
    <row r="114" spans="1:56" ht="15.95" hidden="1" customHeight="1">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row>
    <row r="115" spans="1:56" ht="15.95" hidden="1" customHeight="1">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row>
    <row r="116" spans="1:56" ht="15.95" hidden="1" customHeight="1">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row>
    <row r="117" spans="1:56" ht="15.95" hidden="1" customHeight="1">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row>
    <row r="118" spans="1:56" ht="15.95" hidden="1" customHeight="1">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row>
    <row r="119" spans="1:56" ht="15.95" hidden="1" customHeight="1">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row>
    <row r="120" spans="1:56" ht="15.95" hidden="1" customHeight="1">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row>
    <row r="121" spans="1:56" ht="15.95" hidden="1" customHeight="1">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row>
    <row r="122" spans="1:56" ht="15.95" hidden="1" customHeight="1">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row>
    <row r="123" spans="1:56" ht="15.95" hidden="1" customHeight="1">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row>
    <row r="124" spans="1:56" ht="15.95" hidden="1" customHeight="1">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row>
    <row r="125" spans="1:56" ht="15.95" hidden="1" customHeight="1">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row>
    <row r="126" spans="1:56" ht="15.95" hidden="1" customHeight="1">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row>
    <row r="127" spans="1:56" ht="15.95" hidden="1" customHeight="1">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row>
    <row r="128" spans="1:56" ht="15.95" hidden="1" customHeight="1">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row>
    <row r="129" spans="1:56" ht="15.95" hidden="1" customHeight="1">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row>
    <row r="130" spans="1:56" ht="15.95" hidden="1" customHeight="1">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row>
    <row r="131" spans="1:56" ht="15.95" hidden="1" customHeight="1">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row>
    <row r="132" spans="1:56" ht="15.95" hidden="1" customHeight="1">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row>
    <row r="133" spans="1:56" ht="15.95" hidden="1" customHeight="1">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row>
    <row r="134" spans="1:56" ht="15.95" hidden="1" customHeight="1">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row>
    <row r="135" spans="1:56" ht="15.95" hidden="1" customHeight="1">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row>
    <row r="136" spans="1:56" ht="15.95" hidden="1" customHeight="1">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row>
    <row r="137" spans="1:56" ht="15.95" hidden="1" customHeight="1">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row>
    <row r="138" spans="1:56" ht="15.95" hidden="1" customHeight="1">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row>
    <row r="139" spans="1:56" ht="15.95" hidden="1" customHeight="1">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row>
    <row r="140" spans="1:56" ht="15.95" hidden="1" customHeight="1">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row>
    <row r="141" spans="1:56" ht="15.95" hidden="1" customHeight="1">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row>
    <row r="142" spans="1:56" ht="15.95" hidden="1" customHeight="1">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row>
    <row r="143" spans="1:56" ht="15.95" hidden="1" customHeight="1">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row>
    <row r="144" spans="1:56" ht="15.95" hidden="1" customHeight="1">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row>
    <row r="145" spans="1:56" ht="15.95" hidden="1" customHeight="1">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row>
    <row r="146" spans="1:56" ht="15.95" hidden="1" customHeight="1">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row>
    <row r="147" spans="1:56" ht="15.95" hidden="1" customHeight="1">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row>
    <row r="148" spans="1:56" ht="15.95" hidden="1" customHeight="1">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row>
    <row r="149" spans="1:56" ht="15.95" hidden="1" customHeight="1">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row>
    <row r="150" spans="1:56" ht="15.95" hidden="1" customHeight="1">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row>
    <row r="151" spans="1:56" ht="15.95" hidden="1" customHeight="1">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row>
    <row r="152" spans="1:56" ht="15.95" hidden="1" customHeight="1">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row>
    <row r="153" spans="1:56" ht="15.95" hidden="1" customHeight="1">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row>
    <row r="154" spans="1:56" ht="15.95" hidden="1" customHeight="1">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row>
    <row r="155" spans="1:56" ht="15.95" hidden="1" customHeight="1">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row>
    <row r="156" spans="1:56" ht="15.95" hidden="1" customHeight="1">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row>
    <row r="157" spans="1:56" ht="15.95" hidden="1" customHeight="1">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row>
    <row r="158" spans="1:56" ht="15.95" hidden="1" customHeight="1">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row>
    <row r="159" spans="1:56" ht="15.95" hidden="1" customHeight="1">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row>
    <row r="160" spans="1:56" ht="15.95" hidden="1" customHeight="1">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row>
    <row r="161" spans="1:56" ht="15.95" hidden="1" customHeight="1">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row>
    <row r="162" spans="1:56" ht="15.95" hidden="1" customHeight="1">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row>
    <row r="163" spans="1:56" ht="15.95" hidden="1" customHeight="1">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row>
    <row r="164" spans="1:56" ht="15.95" hidden="1" customHeight="1">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row>
    <row r="165" spans="1:56" ht="15.95" hidden="1" customHeight="1">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row>
    <row r="166" spans="1:56" ht="15.95" hidden="1" customHeight="1">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row>
    <row r="167" spans="1:56" ht="15.95" hidden="1" customHeight="1">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row>
    <row r="168" spans="1:56" ht="15.95" hidden="1" customHeight="1">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row>
    <row r="169" spans="1:56" ht="15.95" hidden="1" customHeight="1">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row>
    <row r="170" spans="1:56" ht="15.95" hidden="1" customHeight="1">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row>
    <row r="171" spans="1:56" ht="15.95" hidden="1" customHeight="1">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row>
    <row r="172" spans="1:56" ht="15.95" hidden="1" customHeight="1">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row>
    <row r="173" spans="1:56" ht="15.95" hidden="1" customHeight="1">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row>
    <row r="174" spans="1:56" ht="15.95" hidden="1" customHeight="1">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row>
    <row r="175" spans="1:56" ht="15.95" hidden="1" customHeight="1">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row>
    <row r="176" spans="1:56" ht="15.95" hidden="1" customHeight="1">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row>
    <row r="177" spans="1:56" ht="15.95" hidden="1" customHeight="1">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row>
    <row r="178" spans="1:56" ht="15.95" hidden="1" customHeight="1">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row>
    <row r="179" spans="1:56" ht="15.95" hidden="1" customHeight="1">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row>
    <row r="180" spans="1:56" ht="15.95" hidden="1" customHeight="1">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row>
    <row r="181" spans="1:56" ht="15.95" hidden="1" customHeight="1">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row>
    <row r="182" spans="1:56" ht="15.95" hidden="1" customHeight="1">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row>
    <row r="183" spans="1:56" ht="15.95" hidden="1" customHeight="1">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row>
    <row r="184" spans="1:56" ht="15.95" hidden="1" customHeight="1">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row>
    <row r="185" spans="1:56" ht="15.95" hidden="1" customHeight="1">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row>
    <row r="186" spans="1:56" ht="15.95" hidden="1" customHeight="1">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row>
    <row r="187" spans="1:56" ht="15.95" hidden="1" customHeight="1">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row>
    <row r="188" spans="1:56" ht="15.95" hidden="1" customHeight="1">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row>
    <row r="189" spans="1:56" ht="15.95" hidden="1" customHeight="1">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row>
    <row r="190" spans="1:56" ht="15.95" hidden="1" customHeight="1">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row>
    <row r="191" spans="1:56" ht="15.95" hidden="1" customHeight="1">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row>
    <row r="192" spans="1:56" ht="15.95" hidden="1" customHeight="1">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row>
    <row r="193" spans="1:56" ht="15.95" hidden="1" customHeight="1">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row>
    <row r="194" spans="1:56" ht="15.95" hidden="1" customHeight="1">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row>
    <row r="195" spans="1:56" ht="15.95" hidden="1" customHeight="1">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row>
    <row r="196" spans="1:56" ht="15.95" hidden="1" customHeight="1">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row>
    <row r="197" spans="1:56" ht="15.95" hidden="1" customHeight="1">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row>
    <row r="198" spans="1:56" ht="15.95" hidden="1" customHeight="1">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row>
    <row r="199" spans="1:56" ht="15.95" hidden="1" customHeight="1">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row>
    <row r="200" spans="1:56"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T200" s="862">
        <f>SUM(AT18:AT199)</f>
        <v>0</v>
      </c>
      <c r="AU200" s="180"/>
      <c r="AV200" s="863">
        <f>SUM(AV18:AV199)</f>
        <v>0</v>
      </c>
      <c r="AW200" s="864">
        <f>SUM(AW18:AW199)</f>
        <v>0</v>
      </c>
      <c r="AX200" s="180"/>
      <c r="AY200" s="180"/>
      <c r="AZ200" s="180"/>
      <c r="BA200" s="180"/>
      <c r="BB200" s="180"/>
      <c r="BC200" s="180"/>
      <c r="BD200" s="180"/>
    </row>
    <row r="201" spans="1:56"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T201" s="862"/>
      <c r="AU201" s="180"/>
      <c r="AV201" s="863"/>
      <c r="AW201" s="864"/>
      <c r="AX201" s="180"/>
      <c r="AY201" s="180"/>
      <c r="AZ201" s="180"/>
      <c r="BA201" s="180"/>
      <c r="BB201" s="180"/>
      <c r="BC201" s="180"/>
      <c r="BD201" s="180"/>
    </row>
    <row r="202" spans="1:56"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c r="AT202" s="180"/>
      <c r="AU202" s="180"/>
      <c r="AV202" s="180"/>
      <c r="AW202" s="180"/>
      <c r="AX202" s="180"/>
      <c r="AY202" s="180"/>
      <c r="AZ202" s="180"/>
      <c r="BA202" s="180"/>
      <c r="BB202" s="180"/>
      <c r="BC202" s="180"/>
      <c r="BD202" s="180"/>
    </row>
  </sheetData>
  <sheetProtection algorithmName="SHA-512" hashValue="ZcHZ13Fv/s0MvO0d8wkF8MqXgxDdSrKs7vTAdmmbIaR/oQ0Gol1EwSR5FO375UYWSkL84AFKvLctNii6jzxrOw==" saltValue="Tgi8YjM+QfZkHS0mY06fHQ==" spinCount="100000" sheet="1" objects="1" scenarios="1" selectLockedCells="1"/>
  <mergeCells count="326">
    <mergeCell ref="BI34:BI35"/>
    <mergeCell ref="BI36:BI37"/>
    <mergeCell ref="BI16:BI17"/>
    <mergeCell ref="BI18:BI19"/>
    <mergeCell ref="BI20:BI21"/>
    <mergeCell ref="BI22:BI23"/>
    <mergeCell ref="BI24:BI25"/>
    <mergeCell ref="BI26:BI27"/>
    <mergeCell ref="BI28:BI29"/>
    <mergeCell ref="BI30:BI31"/>
    <mergeCell ref="BI32:BI33"/>
    <mergeCell ref="BG36:BG37"/>
    <mergeCell ref="BH36:BH37"/>
    <mergeCell ref="BG26:BG27"/>
    <mergeCell ref="BH26:BH27"/>
    <mergeCell ref="BG28:BG29"/>
    <mergeCell ref="BH28:BH29"/>
    <mergeCell ref="BG30:BG31"/>
    <mergeCell ref="BH30:BH31"/>
    <mergeCell ref="BG32:BG33"/>
    <mergeCell ref="BH32:BH33"/>
    <mergeCell ref="BG34:BG35"/>
    <mergeCell ref="BH34:BH35"/>
    <mergeCell ref="BG16:BG17"/>
    <mergeCell ref="BH16:BH17"/>
    <mergeCell ref="BG18:BG19"/>
    <mergeCell ref="BH18:BH19"/>
    <mergeCell ref="BG20:BG21"/>
    <mergeCell ref="BH20:BH21"/>
    <mergeCell ref="BG22:BG23"/>
    <mergeCell ref="BH22:BH23"/>
    <mergeCell ref="BG24:BG25"/>
    <mergeCell ref="BH24:BH25"/>
    <mergeCell ref="BE30:BE31"/>
    <mergeCell ref="BE32:BE33"/>
    <mergeCell ref="BE34:BE35"/>
    <mergeCell ref="BE36:BE37"/>
    <mergeCell ref="BF20:BF21"/>
    <mergeCell ref="BF22:BF23"/>
    <mergeCell ref="BF24:BF25"/>
    <mergeCell ref="BF26:BF27"/>
    <mergeCell ref="BF28:BF29"/>
    <mergeCell ref="BF30:BF31"/>
    <mergeCell ref="BF32:BF33"/>
    <mergeCell ref="BF34:BF35"/>
    <mergeCell ref="BF36:BF37"/>
    <mergeCell ref="BE16:BE17"/>
    <mergeCell ref="BF16:BF17"/>
    <mergeCell ref="BE18:BE19"/>
    <mergeCell ref="BF18:BF19"/>
    <mergeCell ref="BE20:BE21"/>
    <mergeCell ref="BE22:BE23"/>
    <mergeCell ref="BE24:BE25"/>
    <mergeCell ref="BE26:BE27"/>
    <mergeCell ref="BE28:BE29"/>
    <mergeCell ref="B36:B37"/>
    <mergeCell ref="B18:B19"/>
    <mergeCell ref="B20:B21"/>
    <mergeCell ref="B22:B23"/>
    <mergeCell ref="B24:B25"/>
    <mergeCell ref="B26:B27"/>
    <mergeCell ref="B28:B29"/>
    <mergeCell ref="B30:B31"/>
    <mergeCell ref="B32:B33"/>
    <mergeCell ref="B34:B35"/>
    <mergeCell ref="M200:AG201"/>
    <mergeCell ref="BD36:BD37"/>
    <mergeCell ref="AX36:AX37"/>
    <mergeCell ref="AY36:AY37"/>
    <mergeCell ref="AZ36:AZ37"/>
    <mergeCell ref="BA36:BA37"/>
    <mergeCell ref="BB36:BB37"/>
    <mergeCell ref="BC36:BC37"/>
    <mergeCell ref="AK36:AM37"/>
    <mergeCell ref="AT200:AT201"/>
    <mergeCell ref="AV200:AV201"/>
    <mergeCell ref="AW200:AW201"/>
    <mergeCell ref="BC34:BC35"/>
    <mergeCell ref="BD34:BD35"/>
    <mergeCell ref="C36:Q37"/>
    <mergeCell ref="R36:T37"/>
    <mergeCell ref="U36:V37"/>
    <mergeCell ref="W36:Z37"/>
    <mergeCell ref="AA36:AD37"/>
    <mergeCell ref="AE36:AF37"/>
    <mergeCell ref="AG36:AH37"/>
    <mergeCell ref="AI36:AJ37"/>
    <mergeCell ref="AW34:AW35"/>
    <mergeCell ref="AX34:AX35"/>
    <mergeCell ref="AY34:AY35"/>
    <mergeCell ref="AZ34:AZ35"/>
    <mergeCell ref="BA34:BA35"/>
    <mergeCell ref="BB34:BB35"/>
    <mergeCell ref="AI34:AJ35"/>
    <mergeCell ref="AK34:AM35"/>
    <mergeCell ref="AN34:AQ35"/>
    <mergeCell ref="AI32:AJ33"/>
    <mergeCell ref="AK32:AM33"/>
    <mergeCell ref="AN32:AQ33"/>
    <mergeCell ref="AT32:AT33"/>
    <mergeCell ref="AN36:AQ37"/>
    <mergeCell ref="AT36:AT37"/>
    <mergeCell ref="AU36:AU37"/>
    <mergeCell ref="AV36:AV37"/>
    <mergeCell ref="AW36:AW37"/>
    <mergeCell ref="C32:Q33"/>
    <mergeCell ref="R32:T33"/>
    <mergeCell ref="U32:V33"/>
    <mergeCell ref="W32:Z33"/>
    <mergeCell ref="AA32:AD33"/>
    <mergeCell ref="AE32:AF33"/>
    <mergeCell ref="AY30:AY31"/>
    <mergeCell ref="AZ30:AZ31"/>
    <mergeCell ref="AT34:AT35"/>
    <mergeCell ref="AU34:AU35"/>
    <mergeCell ref="AV34:AV35"/>
    <mergeCell ref="C34:Q35"/>
    <mergeCell ref="R34:T35"/>
    <mergeCell ref="U34:V35"/>
    <mergeCell ref="W34:Z35"/>
    <mergeCell ref="AA34:AD35"/>
    <mergeCell ref="AE34:AF35"/>
    <mergeCell ref="AG34:AH35"/>
    <mergeCell ref="AV32:AV33"/>
    <mergeCell ref="AW32:AW33"/>
    <mergeCell ref="AX32:AX33"/>
    <mergeCell ref="AY32:AY33"/>
    <mergeCell ref="AZ32:AZ33"/>
    <mergeCell ref="AG32:AH33"/>
    <mergeCell ref="BC30:BC31"/>
    <mergeCell ref="BD30:BD31"/>
    <mergeCell ref="AN30:AQ31"/>
    <mergeCell ref="AT30:AT31"/>
    <mergeCell ref="AU30:AU31"/>
    <mergeCell ref="AV30:AV31"/>
    <mergeCell ref="AW30:AW31"/>
    <mergeCell ref="AX30:AX31"/>
    <mergeCell ref="AU32:AU33"/>
    <mergeCell ref="BB32:BB33"/>
    <mergeCell ref="BC32:BC33"/>
    <mergeCell ref="BD32:BD33"/>
    <mergeCell ref="BA32:BA33"/>
    <mergeCell ref="BD28:BD29"/>
    <mergeCell ref="C30:Q31"/>
    <mergeCell ref="R30:T31"/>
    <mergeCell ref="U30:V31"/>
    <mergeCell ref="W30:Z31"/>
    <mergeCell ref="AA30:AD31"/>
    <mergeCell ref="AE30:AF31"/>
    <mergeCell ref="AG30:AH31"/>
    <mergeCell ref="AI30:AJ31"/>
    <mergeCell ref="AK30:AM31"/>
    <mergeCell ref="AX28:AX29"/>
    <mergeCell ref="AY28:AY29"/>
    <mergeCell ref="AZ28:AZ29"/>
    <mergeCell ref="BA28:BA29"/>
    <mergeCell ref="BB28:BB29"/>
    <mergeCell ref="BC28:BC29"/>
    <mergeCell ref="AK28:AM29"/>
    <mergeCell ref="AN28:AQ29"/>
    <mergeCell ref="AT28:AT29"/>
    <mergeCell ref="AU28:AU29"/>
    <mergeCell ref="AV28:AV29"/>
    <mergeCell ref="AW28:AW29"/>
    <mergeCell ref="BA30:BA31"/>
    <mergeCell ref="BB30:BB31"/>
    <mergeCell ref="AX26:AX27"/>
    <mergeCell ref="AY26:AY27"/>
    <mergeCell ref="AZ26:AZ27"/>
    <mergeCell ref="BA26:BA27"/>
    <mergeCell ref="BB26:BB27"/>
    <mergeCell ref="AI26:AJ27"/>
    <mergeCell ref="AK26:AM27"/>
    <mergeCell ref="AN26:AQ27"/>
    <mergeCell ref="AT26:AT27"/>
    <mergeCell ref="AU26:AU27"/>
    <mergeCell ref="AV26:AV27"/>
    <mergeCell ref="C28:Q29"/>
    <mergeCell ref="R28:T29"/>
    <mergeCell ref="U28:V29"/>
    <mergeCell ref="W28:Z29"/>
    <mergeCell ref="AA28:AD29"/>
    <mergeCell ref="AE28:AF29"/>
    <mergeCell ref="AG28:AH29"/>
    <mergeCell ref="AI28:AJ29"/>
    <mergeCell ref="AW26:AW27"/>
    <mergeCell ref="BD24:BD25"/>
    <mergeCell ref="C26:Q27"/>
    <mergeCell ref="R26:T27"/>
    <mergeCell ref="U26:V27"/>
    <mergeCell ref="W26:Z27"/>
    <mergeCell ref="AA26:AD27"/>
    <mergeCell ref="AE26:AF27"/>
    <mergeCell ref="AG26:AH27"/>
    <mergeCell ref="AV24:AV25"/>
    <mergeCell ref="AW24:AW25"/>
    <mergeCell ref="AX24:AX25"/>
    <mergeCell ref="AY24:AY25"/>
    <mergeCell ref="AZ24:AZ25"/>
    <mergeCell ref="BA24:BA25"/>
    <mergeCell ref="AG24:AH25"/>
    <mergeCell ref="AI24:AJ25"/>
    <mergeCell ref="AK24:AM25"/>
    <mergeCell ref="AN24:AQ25"/>
    <mergeCell ref="AT24:AT25"/>
    <mergeCell ref="AU24:AU25"/>
    <mergeCell ref="C24:Q25"/>
    <mergeCell ref="R24:T25"/>
    <mergeCell ref="BC26:BC27"/>
    <mergeCell ref="BD26:BD27"/>
    <mergeCell ref="U24:V25"/>
    <mergeCell ref="W24:Z25"/>
    <mergeCell ref="AA24:AD25"/>
    <mergeCell ref="AE24:AF25"/>
    <mergeCell ref="AY22:AY23"/>
    <mergeCell ref="AZ22:AZ23"/>
    <mergeCell ref="BA22:BA23"/>
    <mergeCell ref="BB22:BB23"/>
    <mergeCell ref="BC22:BC23"/>
    <mergeCell ref="BB24:BB25"/>
    <mergeCell ref="BC24:BC25"/>
    <mergeCell ref="BD22:BD23"/>
    <mergeCell ref="AN22:AQ23"/>
    <mergeCell ref="AT22:AT23"/>
    <mergeCell ref="AU22:AU23"/>
    <mergeCell ref="AV22:AV23"/>
    <mergeCell ref="AW22:AW23"/>
    <mergeCell ref="AX22:AX23"/>
    <mergeCell ref="BD20:BD21"/>
    <mergeCell ref="C22:Q23"/>
    <mergeCell ref="R22:T23"/>
    <mergeCell ref="U22:V23"/>
    <mergeCell ref="W22:Z23"/>
    <mergeCell ref="AA22:AD23"/>
    <mergeCell ref="AE22:AF23"/>
    <mergeCell ref="AG22:AH23"/>
    <mergeCell ref="AI22:AJ23"/>
    <mergeCell ref="AK22:AM23"/>
    <mergeCell ref="AX20:AX21"/>
    <mergeCell ref="AY20:AY21"/>
    <mergeCell ref="AZ20:AZ21"/>
    <mergeCell ref="BA20:BA21"/>
    <mergeCell ref="BB20:BB21"/>
    <mergeCell ref="BC20:BC21"/>
    <mergeCell ref="AK20:AM21"/>
    <mergeCell ref="AN20:AQ21"/>
    <mergeCell ref="AT20:AT21"/>
    <mergeCell ref="AU20:AU21"/>
    <mergeCell ref="AV20:AV21"/>
    <mergeCell ref="AW20:AW21"/>
    <mergeCell ref="BC18:BC19"/>
    <mergeCell ref="BD18:BD19"/>
    <mergeCell ref="C20:Q21"/>
    <mergeCell ref="R20:T21"/>
    <mergeCell ref="U20:V21"/>
    <mergeCell ref="W20:Z21"/>
    <mergeCell ref="AA20:AD21"/>
    <mergeCell ref="AE20:AF21"/>
    <mergeCell ref="AG20:AH21"/>
    <mergeCell ref="AI20:AJ21"/>
    <mergeCell ref="AW18:AW19"/>
    <mergeCell ref="AX18:AX19"/>
    <mergeCell ref="AY18:AY19"/>
    <mergeCell ref="AZ18:AZ19"/>
    <mergeCell ref="BA18:BA19"/>
    <mergeCell ref="BB18:BB19"/>
    <mergeCell ref="AI18:AJ19"/>
    <mergeCell ref="AK18:AM19"/>
    <mergeCell ref="AN18:AQ19"/>
    <mergeCell ref="AT18:AT19"/>
    <mergeCell ref="AU18:AU19"/>
    <mergeCell ref="AV18:AV19"/>
    <mergeCell ref="BD16:BD17"/>
    <mergeCell ref="AE17:AF17"/>
    <mergeCell ref="AG17:AH17"/>
    <mergeCell ref="C18:Q19"/>
    <mergeCell ref="R18:T19"/>
    <mergeCell ref="U18:V19"/>
    <mergeCell ref="W18:Z19"/>
    <mergeCell ref="AA18:AD19"/>
    <mergeCell ref="AE18:AF19"/>
    <mergeCell ref="AG18:AH19"/>
    <mergeCell ref="AV16:AW16"/>
    <mergeCell ref="AX16:AX17"/>
    <mergeCell ref="AY16:AY17"/>
    <mergeCell ref="AZ16:AZ17"/>
    <mergeCell ref="BA16:BB16"/>
    <mergeCell ref="BC16:BC17"/>
    <mergeCell ref="AE16:AH16"/>
    <mergeCell ref="AI16:AJ17"/>
    <mergeCell ref="AK16:AM17"/>
    <mergeCell ref="AN16:AQ17"/>
    <mergeCell ref="AT16:AT17"/>
    <mergeCell ref="AU16:AU17"/>
    <mergeCell ref="R14:U14"/>
    <mergeCell ref="V14:Y14"/>
    <mergeCell ref="Z14:AC14"/>
    <mergeCell ref="C16:Q17"/>
    <mergeCell ref="R16:T17"/>
    <mergeCell ref="U16:V17"/>
    <mergeCell ref="W16:Z17"/>
    <mergeCell ref="AA16:AD17"/>
    <mergeCell ref="F1:I3"/>
    <mergeCell ref="J1:M3"/>
    <mergeCell ref="AH1:AK3"/>
    <mergeCell ref="AL1:AO3"/>
    <mergeCell ref="AP1:AS3"/>
    <mergeCell ref="A4:E6"/>
    <mergeCell ref="AO5:AS6"/>
    <mergeCell ref="AJ9:AM11"/>
    <mergeCell ref="R12:U13"/>
    <mergeCell ref="V12:Y13"/>
    <mergeCell ref="Z12:AC13"/>
    <mergeCell ref="C13:P13"/>
    <mergeCell ref="AI13:AQ13"/>
    <mergeCell ref="A7:E8"/>
    <mergeCell ref="AO7:AS7"/>
    <mergeCell ref="AO8:AS8"/>
    <mergeCell ref="H9:K11"/>
    <mergeCell ref="L9:O11"/>
    <mergeCell ref="P9:S11"/>
    <mergeCell ref="T9:W11"/>
    <mergeCell ref="X9:AA11"/>
    <mergeCell ref="AB9:AE11"/>
    <mergeCell ref="AF9:AI11"/>
    <mergeCell ref="O1:AE3"/>
  </mergeCells>
  <conditionalFormatting sqref="AO8:AS8">
    <cfRule type="expression" dxfId="98" priority="3">
      <formula>IF($AO$8=PROJSTATMEASURE,FALSE,TRUE)</formula>
    </cfRule>
  </conditionalFormatting>
  <conditionalFormatting sqref="U18:AH37">
    <cfRule type="expression" dxfId="97" priority="2">
      <formula>AND(ISBLANK($C18)=FALSE,OR(ISBLANK(U18)=TRUE,U18=""))</formula>
    </cfRule>
  </conditionalFormatting>
  <conditionalFormatting sqref="AN18:AQ37">
    <cfRule type="expression" dxfId="96" priority="1">
      <formula>ISNUMBER($AN18)=FALSE</formula>
    </cfRule>
  </conditionalFormatting>
  <dataValidations count="5">
    <dataValidation type="list" allowBlank="1" showInputMessage="1" showErrorMessage="1" prompt="Select Efficient Measure. If you do not see your equipment listed, it may qualify as a Custom Measure." sqref="C18:Q37" xr:uid="{2B2E0F67-4AA1-4FD6-BE65-294D34A34404}">
      <formula1>STDMOTORSLIST</formula1>
    </dataValidation>
    <dataValidation type="decimal" allowBlank="1" showInputMessage="1" showErrorMessage="1" prompt="This is the TOTAL Labor Cost of the measure, NOT a per unit basis." sqref="AG18:AH37" xr:uid="{E71ABFEA-DDD9-4070-A2F1-66194B4DA9F6}">
      <formula1>0</formula1>
      <formula2>999999</formula2>
    </dataValidation>
    <dataValidation type="whole" allowBlank="1" showInputMessage="1" showErrorMessage="1" prompt="Reference the &quot;Quantity Type&quot; column to ensure you enter the correct value." sqref="U18:V37" xr:uid="{465501A8-A4DE-4332-977A-11F18671AAC6}">
      <formula1>0</formula1>
      <formula2>9999</formula2>
    </dataValidation>
    <dataValidation type="decimal" allowBlank="1" showInputMessage="1" showErrorMessage="1" prompt="This is the TOTAL Material Cost of the measure, NOT a per unit basis." sqref="AE18:AF37" xr:uid="{345966F6-1B72-491C-93D4-D0D6BE62F047}">
      <formula1>0</formula1>
      <formula2>999999</formula2>
    </dataValidation>
    <dataValidation allowBlank="1" showInputMessage="1" showErrorMessage="1" prompt="Install Location should describe the area where the lighting was installed. (Ex: Room 2b)" sqref="AA18:AD37" xr:uid="{8E1A941F-FB2A-431F-8A95-25359090C596}"/>
  </dataValidations>
  <hyperlinks>
    <hyperlink ref="H9:K11" location="'M03-S02'!C18" tooltip="Lighting" display="'M03-S02'!C18" xr:uid="{E4083018-E33F-4792-85FA-9002FCD88ECF}"/>
    <hyperlink ref="L9:O11" location="'M03-S03'!C18" tooltip="Lighting Controls" display="'M03-S03'!C18" xr:uid="{80C056ED-A904-4567-8508-108EB6949C0C}"/>
    <hyperlink ref="P9:S11" location="'M03-S04'!C18" tooltip="Refrigeration" display="'M03-S04'!C18" xr:uid="{53421806-9D62-47B3-8E52-C8F6365488B9}"/>
    <hyperlink ref="T9:W11" location="'M03-S05'!C18" tooltip="HVAC" display="'M03-S05'!C18" xr:uid="{E26F15C7-0CAE-4E61-B216-0CDC10BEC8A3}"/>
    <hyperlink ref="AB9:AE11" location="'M03-S06'!C18" tooltip="Compressed Air / Process" display="'M03-S06'!C18" xr:uid="{C2A52792-766A-499D-AE9B-15EB9245E6E5}"/>
    <hyperlink ref="AF9:AI11" location="'M03-S07'!C18" tooltip="Water Heating / Cooking" display="'M03-S07'!C18" xr:uid="{F9C1675D-6F49-4D0D-83FB-4911ED979DFE}"/>
    <hyperlink ref="X9:AA11" location="'M03-S08'!C18" tooltip="Motors and Drives" display="'M03-S08'!C18" xr:uid="{72951FFD-E4BA-4574-AE4D-8E35C8F35B1A}"/>
    <hyperlink ref="AJ9:AM11" location="'M04-S09'!C18" tooltip="Miscellaneous" display="'M04-S09'!C18" xr:uid="{FF8E85DA-281B-4CBD-8608-10F352E94A08}"/>
    <hyperlink ref="J1:M3" location="'M01-S02'!J1" tooltip="Instructions" display="'M01-S02'!J1" xr:uid="{67B105A1-A799-43AB-AAD4-A5A3F19BE5ED}"/>
    <hyperlink ref="AL1:AO3" location="'M05-S05'!AL1" tooltip=" " display="'M05-S05'!AL1" xr:uid="{AE47E68E-54A8-45FB-853F-B39AD21F4AAE}"/>
    <hyperlink ref="AH1:AK3" location="'M05-S04'!AH1" tooltip=" " display="'M05-S04'!AH1" xr:uid="{7076FF25-5D96-4668-A251-83ADCEE990BA}"/>
    <hyperlink ref="AP1:AS3" location="'M01-S03'!AP1" tooltip="Contact" display="'M01-S03'!AP1" xr:uid="{AEBCAA43-06E0-4213-877C-33F3C1F7154D}"/>
    <hyperlink ref="B202" r:id="rId1" xr:uid="{15F2ABED-2551-4A9F-93A2-DEE990590A99}"/>
  </hyperlinks>
  <printOptions horizontalCentered="1"/>
  <pageMargins left="0.7" right="0.7" top="0.75" bottom="0.75" header="0.3" footer="0.3"/>
  <pageSetup scale="57"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pageSetUpPr fitToPage="1"/>
  </sheetPr>
  <dimension ref="A1:BS204"/>
  <sheetViews>
    <sheetView showGridLines="0" showRowColHeaders="0" zoomScale="85" zoomScaleNormal="85" workbookViewId="0">
      <selection activeCell="C18" sqref="C18:Q19"/>
    </sheetView>
  </sheetViews>
  <sheetFormatPr defaultColWidth="0" defaultRowHeight="15" zeroHeight="1"/>
  <cols>
    <col min="1" max="45" width="4.7109375" style="14" customWidth="1"/>
    <col min="46" max="46" width="9.5703125" style="14" hidden="1" customWidth="1"/>
    <col min="47" max="47" width="15.7109375" style="180" hidden="1" customWidth="1"/>
    <col min="48" max="51" width="9.5703125" style="14" hidden="1" customWidth="1"/>
    <col min="52" max="52" width="9.5703125" style="180" hidden="1" customWidth="1"/>
    <col min="53" max="54" width="9.5703125" style="14" hidden="1" customWidth="1"/>
    <col min="55" max="55" width="9.5703125" style="180" hidden="1" customWidth="1"/>
    <col min="56" max="59" width="9.5703125" style="14" hidden="1" customWidth="1"/>
    <col min="60" max="60" width="13.42578125" style="14" hidden="1" customWidth="1"/>
    <col min="61" max="61" width="9.5703125" style="14" hidden="1" customWidth="1"/>
    <col min="62" max="71" width="0" style="14" hidden="1" customWidth="1"/>
    <col min="72" max="16384" width="4.7109375" style="14" hidden="1"/>
  </cols>
  <sheetData>
    <row r="1" spans="1:61" customFormat="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61" customFormat="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61" customFormat="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61" ht="15.95" customHeight="1">
      <c r="A4" s="773">
        <f>INCENTOTAL</f>
        <v>0</v>
      </c>
      <c r="B4" s="773"/>
      <c r="C4" s="773"/>
      <c r="D4" s="773"/>
      <c r="E4" s="773"/>
      <c r="U4" s="180"/>
      <c r="V4" s="180"/>
      <c r="W4" s="180"/>
      <c r="X4" s="180"/>
      <c r="Y4" s="180"/>
      <c r="AO4" s="180"/>
      <c r="AP4" s="180"/>
      <c r="AQ4" s="180"/>
      <c r="AR4" s="180"/>
      <c r="AS4" s="180"/>
      <c r="AT4"/>
    </row>
    <row r="5" spans="1:61"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c r="AU5" s="290"/>
      <c r="AV5" s="194" t="s">
        <v>1438</v>
      </c>
      <c r="AW5" s="194" t="s">
        <v>336</v>
      </c>
    </row>
    <row r="6" spans="1:61"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c r="AU6" s="193" t="s">
        <v>1443</v>
      </c>
      <c r="AV6" s="192" t="str">
        <f>CBPRESE</f>
        <v>NA</v>
      </c>
      <c r="AW6" s="192" t="str">
        <f>PAYPRESE</f>
        <v>NA</v>
      </c>
    </row>
    <row r="7" spans="1:61"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c r="AU7" s="193" t="s">
        <v>144</v>
      </c>
      <c r="AV7" s="192" t="str">
        <f>CBCUSE</f>
        <v>NA</v>
      </c>
      <c r="AW7" s="192" t="str">
        <f>PAYCUSE</f>
        <v>NA</v>
      </c>
    </row>
    <row r="8" spans="1:61"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c r="AU8" s="193" t="s">
        <v>651</v>
      </c>
      <c r="AV8" s="192" t="str">
        <f>CBALL</f>
        <v>NA</v>
      </c>
      <c r="AW8" s="192" t="str">
        <f>PAYALL</f>
        <v>NA</v>
      </c>
    </row>
    <row r="9" spans="1:61" s="148" customFormat="1" ht="15.95" customHeight="1">
      <c r="B9" s="179"/>
      <c r="C9" s="179"/>
      <c r="D9" s="179"/>
      <c r="E9" s="182"/>
      <c r="F9" s="181"/>
      <c r="G9" s="181"/>
      <c r="H9" s="910" t="str">
        <f>M3S2</f>
        <v>Lighting</v>
      </c>
      <c r="I9" s="911"/>
      <c r="J9" s="911"/>
      <c r="K9" s="911"/>
      <c r="L9" s="910" t="str">
        <f>M3S3</f>
        <v>Lighting Controls</v>
      </c>
      <c r="M9" s="911"/>
      <c r="N9" s="911"/>
      <c r="O9" s="911"/>
      <c r="P9" s="910" t="str">
        <f>M3S4</f>
        <v>Refrigeration</v>
      </c>
      <c r="Q9" s="911"/>
      <c r="R9" s="911"/>
      <c r="S9" s="911"/>
      <c r="T9" s="910" t="str">
        <f>M3S5</f>
        <v>HVAC</v>
      </c>
      <c r="U9" s="911"/>
      <c r="V9" s="911"/>
      <c r="W9" s="911"/>
      <c r="X9" s="910" t="str">
        <f>M4S8</f>
        <v>Motors and Drives</v>
      </c>
      <c r="Y9" s="911"/>
      <c r="Z9" s="911"/>
      <c r="AA9" s="911"/>
      <c r="AB9" s="913" t="str">
        <f>M3S6</f>
        <v>Compressed Air / Process</v>
      </c>
      <c r="AC9" s="913"/>
      <c r="AD9" s="913"/>
      <c r="AE9" s="913"/>
      <c r="AF9" s="910" t="str">
        <f>M3S7</f>
        <v>Water Heating / Food Services</v>
      </c>
      <c r="AG9" s="911"/>
      <c r="AH9" s="911"/>
      <c r="AI9" s="911"/>
      <c r="AJ9" s="910" t="str">
        <f>M4S9</f>
        <v>Miscellaneous</v>
      </c>
      <c r="AK9" s="911"/>
      <c r="AL9" s="911"/>
      <c r="AM9" s="911"/>
      <c r="AN9" s="179"/>
      <c r="AO9" s="357"/>
      <c r="AP9" s="235"/>
      <c r="AQ9" s="352"/>
      <c r="AR9" s="352"/>
      <c r="AS9" s="336"/>
    </row>
    <row r="10" spans="1:61" s="148" customFormat="1" ht="15.95" customHeight="1">
      <c r="B10" s="152"/>
      <c r="C10" s="152"/>
      <c r="D10" s="152"/>
      <c r="E10" s="13"/>
      <c r="F10" s="183"/>
      <c r="G10" s="183"/>
      <c r="H10" s="912"/>
      <c r="I10" s="912"/>
      <c r="J10" s="912"/>
      <c r="K10" s="912"/>
      <c r="L10" s="912"/>
      <c r="M10" s="912"/>
      <c r="N10" s="912"/>
      <c r="O10" s="912"/>
      <c r="P10" s="912"/>
      <c r="Q10" s="912"/>
      <c r="R10" s="912"/>
      <c r="S10" s="912"/>
      <c r="T10" s="912"/>
      <c r="U10" s="912"/>
      <c r="V10" s="912"/>
      <c r="W10" s="912"/>
      <c r="X10" s="912"/>
      <c r="Y10" s="912"/>
      <c r="Z10" s="912"/>
      <c r="AA10" s="912"/>
      <c r="AB10" s="914"/>
      <c r="AC10" s="914"/>
      <c r="AD10" s="914"/>
      <c r="AE10" s="914"/>
      <c r="AF10" s="912"/>
      <c r="AG10" s="912"/>
      <c r="AH10" s="912"/>
      <c r="AI10" s="912"/>
      <c r="AJ10" s="912"/>
      <c r="AK10" s="912"/>
      <c r="AL10" s="912"/>
      <c r="AM10" s="912"/>
      <c r="AN10" s="152"/>
      <c r="AO10" s="334"/>
      <c r="AP10" s="235"/>
      <c r="AQ10" s="344"/>
      <c r="AR10" s="344"/>
      <c r="AS10" s="336"/>
    </row>
    <row r="11" spans="1:61" ht="15.95" customHeight="1">
      <c r="A11" s="180"/>
      <c r="B11" s="171"/>
      <c r="C11" s="171"/>
      <c r="D11" s="171"/>
      <c r="E11" s="13"/>
      <c r="F11" s="13"/>
      <c r="G11" s="13"/>
      <c r="H11" s="912"/>
      <c r="I11" s="912"/>
      <c r="J11" s="912"/>
      <c r="K11" s="912"/>
      <c r="L11" s="912"/>
      <c r="M11" s="912"/>
      <c r="N11" s="912"/>
      <c r="O11" s="912"/>
      <c r="P11" s="912"/>
      <c r="Q11" s="912"/>
      <c r="R11" s="912"/>
      <c r="S11" s="912"/>
      <c r="T11" s="912"/>
      <c r="U11" s="912"/>
      <c r="V11" s="912"/>
      <c r="W11" s="912"/>
      <c r="X11" s="912"/>
      <c r="Y11" s="912"/>
      <c r="Z11" s="912"/>
      <c r="AA11" s="912"/>
      <c r="AB11" s="914"/>
      <c r="AC11" s="914"/>
      <c r="AD11" s="914"/>
      <c r="AE11" s="914"/>
      <c r="AF11" s="912"/>
      <c r="AG11" s="912"/>
      <c r="AH11" s="912"/>
      <c r="AI11" s="912"/>
      <c r="AJ11" s="912"/>
      <c r="AK11" s="912"/>
      <c r="AL11" s="912"/>
      <c r="AM11" s="912"/>
      <c r="AN11" s="394"/>
      <c r="AO11" s="334"/>
      <c r="AP11" s="235"/>
      <c r="AQ11" s="337"/>
      <c r="AR11" s="337"/>
      <c r="AS11" s="235"/>
    </row>
    <row r="12" spans="1:61" ht="15.95" customHeight="1">
      <c r="A12" s="172"/>
      <c r="B12" s="172"/>
      <c r="C12" s="172"/>
      <c r="D12" s="172"/>
      <c r="E12" s="172"/>
      <c r="R12" s="916">
        <f>SUM(AN18:AQ199)</f>
        <v>0</v>
      </c>
      <c r="S12" s="916"/>
      <c r="T12" s="916"/>
      <c r="U12" s="916"/>
      <c r="V12" s="916">
        <f>SUM(AT18:AT199)</f>
        <v>0</v>
      </c>
      <c r="W12" s="916"/>
      <c r="X12" s="916"/>
      <c r="Y12" s="916"/>
      <c r="Z12" s="915">
        <f ca="1">SUMIF(AN18:AQ199,"&gt;0",AK18:AM199)</f>
        <v>0</v>
      </c>
      <c r="AA12" s="915"/>
      <c r="AB12" s="915"/>
      <c r="AC12" s="915"/>
      <c r="AO12" s="235"/>
      <c r="AP12" s="235"/>
      <c r="AQ12" s="235"/>
      <c r="AR12" s="235"/>
      <c r="AS12" s="235"/>
    </row>
    <row r="13" spans="1:61" ht="15.95" customHeight="1">
      <c r="A13" s="172"/>
      <c r="B13" s="172"/>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s="860"/>
      <c r="AJ13" s="860"/>
      <c r="AK13" s="860"/>
      <c r="AL13" s="860"/>
      <c r="AM13" s="860"/>
      <c r="AN13" s="860"/>
      <c r="AO13" s="1002"/>
      <c r="AP13" s="1002"/>
      <c r="AQ13" s="1002"/>
      <c r="AR13" s="235"/>
      <c r="AS13" s="235"/>
    </row>
    <row r="14" spans="1:61" ht="15.95" customHeight="1">
      <c r="C14" s="180"/>
      <c r="D14" s="180"/>
      <c r="E14" s="180"/>
      <c r="F14" s="180"/>
      <c r="G14" s="180"/>
      <c r="H14" s="180"/>
      <c r="I14" s="180"/>
      <c r="J14" s="180"/>
      <c r="K14" s="180"/>
      <c r="L14" s="180"/>
      <c r="M14" s="180"/>
      <c r="N14" s="180"/>
      <c r="O14" s="180"/>
      <c r="P14" s="180"/>
      <c r="R14" s="860" t="s">
        <v>1979</v>
      </c>
      <c r="S14" s="860"/>
      <c r="T14" s="860"/>
      <c r="U14" s="860"/>
      <c r="V14" s="860" t="s">
        <v>67</v>
      </c>
      <c r="W14" s="860"/>
      <c r="X14" s="860"/>
      <c r="Y14" s="860"/>
      <c r="Z14" s="860" t="s">
        <v>1248</v>
      </c>
      <c r="AA14" s="860"/>
      <c r="AB14" s="860"/>
      <c r="AC14" s="860"/>
      <c r="AI14" s="180"/>
      <c r="AJ14" s="180"/>
      <c r="AK14" s="180"/>
      <c r="AL14" s="180"/>
      <c r="AM14" s="180"/>
      <c r="AN14" s="180"/>
      <c r="AO14" s="235"/>
      <c r="AP14" s="235"/>
      <c r="AQ14" s="235"/>
      <c r="AR14" s="235"/>
      <c r="AS14" s="235"/>
    </row>
    <row r="15" spans="1:61" ht="15.95" customHeight="1">
      <c r="C15" s="180"/>
      <c r="D15" s="180"/>
      <c r="E15" s="180"/>
      <c r="F15" s="180"/>
      <c r="G15" s="180"/>
      <c r="H15" s="180"/>
      <c r="I15" s="180"/>
      <c r="J15" s="180"/>
      <c r="K15" s="180"/>
      <c r="L15" s="180"/>
      <c r="M15" s="180"/>
      <c r="N15" s="180"/>
      <c r="O15" s="180"/>
      <c r="P15" s="180"/>
      <c r="AO15" s="235"/>
      <c r="AP15" s="235"/>
      <c r="AQ15" s="235"/>
      <c r="AR15" s="235"/>
      <c r="AS15" s="235"/>
    </row>
    <row r="16" spans="1:61" ht="15.95" customHeight="1">
      <c r="C16" s="836" t="s">
        <v>1370</v>
      </c>
      <c r="D16" s="836"/>
      <c r="E16" s="836"/>
      <c r="F16" s="836"/>
      <c r="G16" s="836"/>
      <c r="H16" s="836"/>
      <c r="I16" s="836"/>
      <c r="J16" s="836"/>
      <c r="K16" s="836"/>
      <c r="L16" s="836"/>
      <c r="M16" s="836"/>
      <c r="N16" s="836"/>
      <c r="O16" s="836"/>
      <c r="P16" s="836"/>
      <c r="Q16" s="836"/>
      <c r="R16" s="836" t="s">
        <v>1381</v>
      </c>
      <c r="S16" s="836"/>
      <c r="T16" s="836"/>
      <c r="U16" s="836" t="s">
        <v>74</v>
      </c>
      <c r="V16" s="836"/>
      <c r="W16" s="836" t="s">
        <v>1378</v>
      </c>
      <c r="X16" s="836"/>
      <c r="Y16" s="836"/>
      <c r="Z16" s="836"/>
      <c r="AA16" s="836" t="s">
        <v>1369</v>
      </c>
      <c r="AB16" s="836"/>
      <c r="AC16" s="836"/>
      <c r="AD16" s="836"/>
      <c r="AE16" s="907" t="s">
        <v>1355</v>
      </c>
      <c r="AF16" s="907"/>
      <c r="AG16" s="907"/>
      <c r="AH16" s="907"/>
      <c r="AI16" s="836" t="s">
        <v>1980</v>
      </c>
      <c r="AJ16" s="836"/>
      <c r="AK16" s="836" t="s">
        <v>1187</v>
      </c>
      <c r="AL16" s="836"/>
      <c r="AM16" s="836"/>
      <c r="AN16" s="836" t="s">
        <v>83</v>
      </c>
      <c r="AO16" s="908"/>
      <c r="AP16" s="908"/>
      <c r="AQ16" s="908"/>
      <c r="AR16" s="235"/>
      <c r="AS16" s="235"/>
      <c r="AT16" s="856" t="s">
        <v>1377</v>
      </c>
      <c r="AU16" s="856" t="s">
        <v>1195</v>
      </c>
      <c r="AV16" s="861" t="s">
        <v>1373</v>
      </c>
      <c r="AW16" s="861"/>
      <c r="AX16" s="856" t="s">
        <v>1375</v>
      </c>
      <c r="AY16" s="856" t="s">
        <v>1376</v>
      </c>
      <c r="AZ16" s="856" t="s">
        <v>1426</v>
      </c>
      <c r="BA16" s="861" t="s">
        <v>1374</v>
      </c>
      <c r="BB16" s="861"/>
      <c r="BC16" s="856" t="s">
        <v>85</v>
      </c>
      <c r="BD16" s="856" t="s">
        <v>319</v>
      </c>
      <c r="BE16" s="932" t="s">
        <v>88</v>
      </c>
      <c r="BF16" s="932" t="s">
        <v>2500</v>
      </c>
      <c r="BG16" s="935"/>
      <c r="BH16" s="932" t="s">
        <v>2715</v>
      </c>
      <c r="BI16" s="932" t="s">
        <v>2893</v>
      </c>
    </row>
    <row r="17" spans="1:61" ht="15.95" customHeight="1" thickBot="1">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t="s">
        <v>1353</v>
      </c>
      <c r="AF17" s="837"/>
      <c r="AG17" s="837" t="s">
        <v>1354</v>
      </c>
      <c r="AH17" s="837"/>
      <c r="AI17" s="837"/>
      <c r="AJ17" s="837"/>
      <c r="AK17" s="837"/>
      <c r="AL17" s="837"/>
      <c r="AM17" s="837"/>
      <c r="AN17" s="837"/>
      <c r="AO17" s="909"/>
      <c r="AP17" s="909"/>
      <c r="AQ17" s="909"/>
      <c r="AR17" s="235"/>
      <c r="AS17" s="235"/>
      <c r="AT17" s="857"/>
      <c r="AU17" s="857"/>
      <c r="AV17" s="174" t="s">
        <v>1371</v>
      </c>
      <c r="AW17" s="174" t="s">
        <v>1372</v>
      </c>
      <c r="AX17" s="857"/>
      <c r="AY17" s="857" t="s">
        <v>1376</v>
      </c>
      <c r="AZ17" s="857"/>
      <c r="BA17" s="174" t="s">
        <v>1371</v>
      </c>
      <c r="BB17" s="174" t="s">
        <v>1644</v>
      </c>
      <c r="BC17" s="857"/>
      <c r="BD17" s="857"/>
      <c r="BE17" s="933"/>
      <c r="BF17" s="933"/>
      <c r="BG17" s="936"/>
      <c r="BH17" s="933"/>
      <c r="BI17" s="933"/>
    </row>
    <row r="18" spans="1:61" ht="15.95" customHeight="1">
      <c r="B18" s="905">
        <v>1</v>
      </c>
      <c r="C18" s="906"/>
      <c r="D18" s="906"/>
      <c r="E18" s="906"/>
      <c r="F18" s="906"/>
      <c r="G18" s="906"/>
      <c r="H18" s="906"/>
      <c r="I18" s="906"/>
      <c r="J18" s="906"/>
      <c r="K18" s="906"/>
      <c r="L18" s="906"/>
      <c r="M18" s="906"/>
      <c r="N18" s="906"/>
      <c r="O18" s="906"/>
      <c r="P18" s="906"/>
      <c r="Q18" s="906"/>
      <c r="R18" s="971" t="str">
        <f>IF(C18="","",INDEX(STDCOMPRESS[Current Unit],MATCH(C18,STDCOMPRESS[Measure Name],0)))</f>
        <v/>
      </c>
      <c r="S18" s="971"/>
      <c r="T18" s="971"/>
      <c r="U18" s="887"/>
      <c r="V18" s="887"/>
      <c r="W18" s="906"/>
      <c r="X18" s="906"/>
      <c r="Y18" s="906"/>
      <c r="Z18" s="906"/>
      <c r="AA18" s="906"/>
      <c r="AB18" s="906"/>
      <c r="AC18" s="906"/>
      <c r="AD18" s="833"/>
      <c r="AE18" s="1014"/>
      <c r="AF18" s="1012"/>
      <c r="AG18" s="1012"/>
      <c r="AH18" s="1013"/>
      <c r="AI18" s="1015" t="str">
        <f>IFERROR(IF(C18="","",INDEX(STDCOMPRESS[Current Incentive],MATCH(C18,STDCOMPRESS[Measure Name],0))),"")</f>
        <v/>
      </c>
      <c r="AJ18" s="1016"/>
      <c r="AK18" s="1017" t="str">
        <f>IFERROR(IF(OR(C18="",U18="",R18="",W18="",AA18="",AE18="",AG18=""),"",IF(BH18="Deemed",AV18,IF(BH18="Calculated",BA18,""))),"")</f>
        <v/>
      </c>
      <c r="AL18" s="1017"/>
      <c r="AM18" s="1017"/>
      <c r="AN18" s="1018" t="str">
        <f>IFERROR(IF(OR(C18="",U18="",R18="",W18="",AA18="",AE18="",AG18=""),"",IF(BD18&lt;&gt;"",BD18,IF(BI18&gt;0,BI18,ROUND(IF(AK18&lt;=0,0,MIN(AT18,U18*AI18)),2)))),"")</f>
        <v/>
      </c>
      <c r="AO18" s="1019"/>
      <c r="AP18" s="1019"/>
      <c r="AQ18" s="1020"/>
      <c r="AR18" s="37"/>
      <c r="AS18" s="235"/>
      <c r="AT18" s="972" t="str">
        <f>IF(OR(C18="",U18="",R18="",W18="",AA18="",AE18="",AG18=""),"",IF(AK18=0,"",ROUND(AE18+AG18,2)))</f>
        <v/>
      </c>
      <c r="AU18" s="854" t="str">
        <f>IFERROR(IF(OR(C18="",U18="",R18="",W18="",AA18="",AE18="",AG18=""),"",INDEX(STDCOMPRESS[Current Unit],MATCH(C18,STDCOMPRESS[Measure Name],0))),"Err")</f>
        <v/>
      </c>
      <c r="AV18" s="850" t="str">
        <f>IF(OR(C18="",U18="",R18="",W18="",AA18="",AE18="",AG18=""),"",ROUND(U18*INDEX(STDCOMPRESS[Electric Energy Savings (Annual kWh/unit)],MATCH(C18,STDCOMPRESS[Measure Name],0)),4))</f>
        <v/>
      </c>
      <c r="AW18" s="850" t="str">
        <f>IF(OR(C18="",U18="",R18="",W18="",AA18="",AE18="",AG18=""),"",ROUND(U18*INDEX(STDCOMPRESS[Coincident Peak Demand Savings (kW/unit)],MATCH(C18,STDCOMPRESS[Measure Name],0)),4))</f>
        <v/>
      </c>
      <c r="AX18" s="975"/>
      <c r="AY18" s="975"/>
      <c r="AZ18" s="854" t="str">
        <f>IFERROR(IF(OR(C18="",U18="",R18="",W18="",AA18="",AE18="",AG18=""),"",INDEX(STDCOMPRESS[End Use],MATCH(C18,STDCOMPRESS[Measure Name],0))),"Err")</f>
        <v/>
      </c>
      <c r="BA18" s="975"/>
      <c r="BB18" s="975"/>
      <c r="BC18" s="854" t="str">
        <f>IFERROR(IF(OR(C18="",U18="",R18="",W18="",AA18="",AE18="",AG18="",ISNUMBER(AN18)=FALSE,AN18=0),"",INDEX(STDCOMPRESS[Measure Number],MATCH(C18,STDCOMPRESS[Measure Name],0))),"Err")</f>
        <v/>
      </c>
      <c r="BD18" s="854" t="str">
        <f>IFERROR(IF(OR(C18="",U18="",W18="",AA18="",AE18="",AG18=""),"",
IF(BI18&gt;0,"",
IF(EXPIRATION&lt;&gt;"",PROJSTATEXP,""))),"")</f>
        <v/>
      </c>
      <c r="BE18" s="928" t="str">
        <f>IFERROR(INDEX(STDCOMPRESS[Measure Life (Years)],MATCH(C18,STDCOMPRESS[Measure Name],0)),"")</f>
        <v/>
      </c>
      <c r="BF18" s="930" t="str">
        <f>IFERROR(IF(OR(C18="",U18="",R18="",W18="",AA18="",AE18="",AG18=""),"",
ROUND(((1+ELOSS)*((AV18*INDEX(ELECCB[NPV AEC $/kWh],MATCH(BE18,ELECCB[Year Number],1)))+(AW18*INDEX(ELECCB[NPV ACC $/kW],MATCH(BE18,ELECCB[Year Number],1))))),2)),0)</f>
        <v/>
      </c>
      <c r="BG18" s="937"/>
      <c r="BH18" s="934" t="str">
        <f>IFERROR(IF(OR(C18="",U18="",R18="",W18="",AA18="",AE18="",AG18=""),"",INDEX(STDCOMPRESS[Reporting Methodology],MATCH(C18,STDCOMPRESS[Measure Name],0))),"Err")</f>
        <v/>
      </c>
      <c r="BI18" s="939"/>
    </row>
    <row r="19" spans="1:61" ht="15.95" customHeight="1">
      <c r="B19" s="905"/>
      <c r="C19" s="904"/>
      <c r="D19" s="904"/>
      <c r="E19" s="904"/>
      <c r="F19" s="904"/>
      <c r="G19" s="904"/>
      <c r="H19" s="904"/>
      <c r="I19" s="904"/>
      <c r="J19" s="904"/>
      <c r="K19" s="904"/>
      <c r="L19" s="904"/>
      <c r="M19" s="904"/>
      <c r="N19" s="904"/>
      <c r="O19" s="904"/>
      <c r="P19" s="904"/>
      <c r="Q19" s="904"/>
      <c r="R19" s="969"/>
      <c r="S19" s="969"/>
      <c r="T19" s="969"/>
      <c r="U19" s="888"/>
      <c r="V19" s="888"/>
      <c r="W19" s="904"/>
      <c r="X19" s="904"/>
      <c r="Y19" s="904"/>
      <c r="Z19" s="904"/>
      <c r="AA19" s="904"/>
      <c r="AB19" s="904"/>
      <c r="AC19" s="904"/>
      <c r="AD19" s="827"/>
      <c r="AE19" s="867"/>
      <c r="AF19" s="868"/>
      <c r="AG19" s="868"/>
      <c r="AH19" s="869"/>
      <c r="AI19" s="946"/>
      <c r="AJ19" s="899"/>
      <c r="AK19" s="901"/>
      <c r="AL19" s="901"/>
      <c r="AM19" s="901"/>
      <c r="AN19" s="1010"/>
      <c r="AO19" s="1011"/>
      <c r="AP19" s="1011"/>
      <c r="AQ19" s="974"/>
      <c r="AR19" s="37"/>
      <c r="AS19" s="235"/>
      <c r="AT19" s="973"/>
      <c r="AU19" s="855"/>
      <c r="AV19" s="851"/>
      <c r="AW19" s="851"/>
      <c r="AX19" s="970"/>
      <c r="AY19" s="970"/>
      <c r="AZ19" s="855"/>
      <c r="BA19" s="970"/>
      <c r="BB19" s="970"/>
      <c r="BC19" s="855"/>
      <c r="BD19" s="855"/>
      <c r="BE19" s="929"/>
      <c r="BF19" s="931"/>
      <c r="BG19" s="938"/>
      <c r="BH19" s="934"/>
      <c r="BI19" s="939"/>
    </row>
    <row r="20" spans="1:61" ht="15.95" customHeight="1">
      <c r="A20" s="145"/>
      <c r="B20" s="905">
        <v>2</v>
      </c>
      <c r="C20" s="904"/>
      <c r="D20" s="904"/>
      <c r="E20" s="904"/>
      <c r="F20" s="904"/>
      <c r="G20" s="904"/>
      <c r="H20" s="904"/>
      <c r="I20" s="904"/>
      <c r="J20" s="904"/>
      <c r="K20" s="904"/>
      <c r="L20" s="904"/>
      <c r="M20" s="904"/>
      <c r="N20" s="904"/>
      <c r="O20" s="904"/>
      <c r="P20" s="904"/>
      <c r="Q20" s="904"/>
      <c r="R20" s="969" t="str">
        <f>IF(C20="","",INDEX(STDCOMPRESS[Current Unit],MATCH(C20,STDCOMPRESS[Measure Name],0)))</f>
        <v/>
      </c>
      <c r="S20" s="969"/>
      <c r="T20" s="969"/>
      <c r="U20" s="888"/>
      <c r="V20" s="888"/>
      <c r="W20" s="904"/>
      <c r="X20" s="904"/>
      <c r="Y20" s="904"/>
      <c r="Z20" s="904"/>
      <c r="AA20" s="904"/>
      <c r="AB20" s="904"/>
      <c r="AC20" s="904"/>
      <c r="AD20" s="827"/>
      <c r="AE20" s="867"/>
      <c r="AF20" s="868"/>
      <c r="AG20" s="868"/>
      <c r="AH20" s="869"/>
      <c r="AI20" s="946" t="str">
        <f>IFERROR(IF(C20="","",INDEX(STDCOMPRESS[Current Incentive],MATCH(C20,STDCOMPRESS[Measure Name],0))),"")</f>
        <v/>
      </c>
      <c r="AJ20" s="899"/>
      <c r="AK20" s="901" t="str">
        <f t="shared" ref="AK20" si="0">IFERROR(IF(OR(C20="",U20="",R20="",W20="",AA20="",AE20="",AG20=""),"",IF(BH20="Deemed",AV20,IF(BH20="Calculated",BA20,""))),"")</f>
        <v/>
      </c>
      <c r="AL20" s="901"/>
      <c r="AM20" s="901"/>
      <c r="AN20" s="1007" t="str">
        <f t="shared" ref="AN20" si="1">IFERROR(IF(OR(C20="",U20="",R20="",W20="",AA20="",AE20="",AG20=""),"",IF(BD20&lt;&gt;"",BD20,IF(BI20&gt;0,BI20,ROUND(IF(AK20&lt;=0,0,MIN(AT20,U20*AI20)),2)))),"")</f>
        <v/>
      </c>
      <c r="AO20" s="1008"/>
      <c r="AP20" s="1008"/>
      <c r="AQ20" s="1009"/>
      <c r="AR20" s="37"/>
      <c r="AS20" s="235"/>
      <c r="AT20" s="972" t="str">
        <f t="shared" ref="AT20" si="2">IF(OR(C20="",U20="",R20="",W20="",AA20="",AE20="",AG20=""),"",IF(AK20=0,"",ROUND(AE20+AG20,2)))</f>
        <v/>
      </c>
      <c r="AU20" s="854" t="str">
        <f>IFERROR(IF(OR(C20="",U20="",R20="",W20="",AA20="",AE20="",AG20=""),"",INDEX(STDCOMPRESS[Current Unit],MATCH(C20,STDCOMPRESS[Measure Name],0))),"Err")</f>
        <v/>
      </c>
      <c r="AV20" s="850" t="str">
        <f>IF(OR(C20="",U20="",R20="",W20="",AA20="",AE20="",AG20=""),"",ROUND(U20*INDEX(STDCOMPRESS[Electric Energy Savings (Annual kWh/unit)],MATCH(C20,STDCOMPRESS[Measure Name],0)),4))</f>
        <v/>
      </c>
      <c r="AW20" s="850" t="str">
        <f>IF(OR(C20="",U20="",R20="",W20="",AA20="",AE20="",AG20=""),"",ROUND(U20*INDEX(STDCOMPRESS[Coincident Peak Demand Savings (kW/unit)],MATCH(C20,STDCOMPRESS[Measure Name],0)),4))</f>
        <v/>
      </c>
      <c r="AX20" s="970"/>
      <c r="AY20" s="970"/>
      <c r="AZ20" s="854" t="str">
        <f>IFERROR(IF(OR(C20="",U20="",R20="",W20="",AA20="",AE20="",AG20=""),"",INDEX(STDCOMPRESS[End Use],MATCH(C20,STDCOMPRESS[Measure Name],0))),"Err")</f>
        <v/>
      </c>
      <c r="BA20" s="970"/>
      <c r="BB20" s="970"/>
      <c r="BC20" s="854" t="str">
        <f>IFERROR(IF(OR(C20="",U20="",R20="",W20="",AA20="",AE20="",AG20="",ISNUMBER(AN20)=FALSE,AN20=0),"",INDEX(STDCOMPRESS[Measure Number],MATCH(C20,STDCOMPRESS[Measure Name],0))),"Err")</f>
        <v/>
      </c>
      <c r="BD20" s="854" t="str">
        <f>IFERROR(IF(OR(C20="",U20="",W20="",AA20="",AE20="",AG20=""),"",
IF(BI20&gt;0,"",
IF(EXPIRATION&lt;&gt;"",PROJSTATEXP,""))),"")</f>
        <v/>
      </c>
      <c r="BE20" s="928" t="str">
        <f>IFERROR(INDEX(STDCOMPRESS[Measure Life (Years)],MATCH(C20,STDCOMPRESS[Measure Name],0)),"")</f>
        <v/>
      </c>
      <c r="BF20" s="930" t="str">
        <f>IFERROR(IF(OR(C20="",U20="",R20="",W20="",AA20="",AE20="",AG20=""),"",
ROUND(((1+ELOSS)*((AV20*INDEX(ELECCB[NPV AEC $/kWh],MATCH(BE20,ELECCB[Year Number],1)))+(AW20*INDEX(ELECCB[NPV ACC $/kW],MATCH(BE20,ELECCB[Year Number],1))))),2)),0)</f>
        <v/>
      </c>
      <c r="BG20" s="937"/>
      <c r="BH20" s="934" t="str">
        <f>IFERROR(IF(OR(C20="",U20="",R20="",W20="",AA20="",AE20="",AG20=""),"",INDEX(STDCOMPRESS[Reporting Methodology],MATCH(C20,STDCOMPRESS[Measure Name],0))),"Err")</f>
        <v/>
      </c>
      <c r="BI20" s="939"/>
    </row>
    <row r="21" spans="1:61" ht="15.95" customHeight="1">
      <c r="B21" s="905"/>
      <c r="C21" s="904"/>
      <c r="D21" s="904"/>
      <c r="E21" s="904"/>
      <c r="F21" s="904"/>
      <c r="G21" s="904"/>
      <c r="H21" s="904"/>
      <c r="I21" s="904"/>
      <c r="J21" s="904"/>
      <c r="K21" s="904"/>
      <c r="L21" s="904"/>
      <c r="M21" s="904"/>
      <c r="N21" s="904"/>
      <c r="O21" s="904"/>
      <c r="P21" s="904"/>
      <c r="Q21" s="904"/>
      <c r="R21" s="969"/>
      <c r="S21" s="969"/>
      <c r="T21" s="969"/>
      <c r="U21" s="888"/>
      <c r="V21" s="888"/>
      <c r="W21" s="904"/>
      <c r="X21" s="904"/>
      <c r="Y21" s="904"/>
      <c r="Z21" s="904"/>
      <c r="AA21" s="904"/>
      <c r="AB21" s="904"/>
      <c r="AC21" s="904"/>
      <c r="AD21" s="827"/>
      <c r="AE21" s="867"/>
      <c r="AF21" s="868"/>
      <c r="AG21" s="868"/>
      <c r="AH21" s="869"/>
      <c r="AI21" s="946"/>
      <c r="AJ21" s="899"/>
      <c r="AK21" s="901"/>
      <c r="AL21" s="901"/>
      <c r="AM21" s="901"/>
      <c r="AN21" s="1010"/>
      <c r="AO21" s="1011"/>
      <c r="AP21" s="1011"/>
      <c r="AQ21" s="974"/>
      <c r="AR21" s="37"/>
      <c r="AS21" s="235"/>
      <c r="AT21" s="973"/>
      <c r="AU21" s="855"/>
      <c r="AV21" s="851"/>
      <c r="AW21" s="851"/>
      <c r="AX21" s="970"/>
      <c r="AY21" s="970"/>
      <c r="AZ21" s="855"/>
      <c r="BA21" s="970"/>
      <c r="BB21" s="970"/>
      <c r="BC21" s="855"/>
      <c r="BD21" s="855"/>
      <c r="BE21" s="929"/>
      <c r="BF21" s="931"/>
      <c r="BG21" s="938"/>
      <c r="BH21" s="934"/>
      <c r="BI21" s="939"/>
    </row>
    <row r="22" spans="1:61" s="180" customFormat="1" ht="15.95" customHeight="1">
      <c r="A22" s="145"/>
      <c r="B22" s="905">
        <v>3</v>
      </c>
      <c r="C22" s="904"/>
      <c r="D22" s="904"/>
      <c r="E22" s="904"/>
      <c r="F22" s="904"/>
      <c r="G22" s="904"/>
      <c r="H22" s="904"/>
      <c r="I22" s="904"/>
      <c r="J22" s="904"/>
      <c r="K22" s="904"/>
      <c r="L22" s="904"/>
      <c r="M22" s="904"/>
      <c r="N22" s="904"/>
      <c r="O22" s="904"/>
      <c r="P22" s="904"/>
      <c r="Q22" s="904"/>
      <c r="R22" s="969" t="str">
        <f>IF(C22="","",INDEX(STDCOMPRESS[Current Unit],MATCH(C22,STDCOMPRESS[Measure Name],0)))</f>
        <v/>
      </c>
      <c r="S22" s="969"/>
      <c r="T22" s="969"/>
      <c r="U22" s="888"/>
      <c r="V22" s="888"/>
      <c r="W22" s="904"/>
      <c r="X22" s="904"/>
      <c r="Y22" s="904"/>
      <c r="Z22" s="904"/>
      <c r="AA22" s="904"/>
      <c r="AB22" s="904"/>
      <c r="AC22" s="904"/>
      <c r="AD22" s="827"/>
      <c r="AE22" s="867"/>
      <c r="AF22" s="868"/>
      <c r="AG22" s="868"/>
      <c r="AH22" s="869"/>
      <c r="AI22" s="946" t="str">
        <f>IFERROR(IF(C22="","",INDEX(STDCOMPRESS[Current Incentive],MATCH(C22,STDCOMPRESS[Measure Name],0))),"")</f>
        <v/>
      </c>
      <c r="AJ22" s="899"/>
      <c r="AK22" s="901" t="str">
        <f t="shared" ref="AK22" si="3">IFERROR(IF(OR(C22="",U22="",R22="",W22="",AA22="",AE22="",AG22=""),"",IF(BH22="Deemed",AV22,IF(BH22="Calculated",BA22,""))),"")</f>
        <v/>
      </c>
      <c r="AL22" s="901"/>
      <c r="AM22" s="901"/>
      <c r="AN22" s="1007" t="str">
        <f t="shared" ref="AN22" si="4">IFERROR(IF(OR(C22="",U22="",R22="",W22="",AA22="",AE22="",AG22=""),"",IF(BD22&lt;&gt;"",BD22,IF(BI22&gt;0,BI22,ROUND(IF(AK22&lt;=0,0,MIN(AT22,U22*AI22)),2)))),"")</f>
        <v/>
      </c>
      <c r="AO22" s="1008"/>
      <c r="AP22" s="1008"/>
      <c r="AQ22" s="1009"/>
      <c r="AR22" s="37"/>
      <c r="AS22" s="235"/>
      <c r="AT22" s="972" t="str">
        <f t="shared" ref="AT22" si="5">IF(OR(C22="",U22="",R22="",W22="",AA22="",AE22="",AG22=""),"",IF(AK22=0,"",ROUND(AE22+AG22,2)))</f>
        <v/>
      </c>
      <c r="AU22" s="854" t="str">
        <f>IFERROR(IF(OR(C22="",U22="",R22="",W22="",AA22="",AE22="",AG22=""),"",INDEX(STDCOMPRESS[Current Unit],MATCH(C22,STDCOMPRESS[Measure Name],0))),"Err")</f>
        <v/>
      </c>
      <c r="AV22" s="850" t="str">
        <f>IF(OR(C22="",U22="",R22="",W22="",AA22="",AE22="",AG22=""),"",ROUND(U22*INDEX(STDCOMPRESS[Electric Energy Savings (Annual kWh/unit)],MATCH(C22,STDCOMPRESS[Measure Name],0)),4))</f>
        <v/>
      </c>
      <c r="AW22" s="850" t="str">
        <f>IF(OR(C22="",U22="",R22="",W22="",AA22="",AE22="",AG22=""),"",ROUND(U22*INDEX(STDCOMPRESS[Coincident Peak Demand Savings (kW/unit)],MATCH(C22,STDCOMPRESS[Measure Name],0)),4))</f>
        <v/>
      </c>
      <c r="AX22" s="970"/>
      <c r="AY22" s="970"/>
      <c r="AZ22" s="854" t="str">
        <f>IFERROR(IF(OR(C22="",U22="",R22="",W22="",AA22="",AE22="",AG22=""),"",INDEX(STDCOMPRESS[End Use],MATCH(C22,STDCOMPRESS[Measure Name],0))),"Err")</f>
        <v/>
      </c>
      <c r="BA22" s="970"/>
      <c r="BB22" s="970"/>
      <c r="BC22" s="854" t="str">
        <f>IFERROR(IF(OR(C22="",U22="",R22="",W22="",AA22="",AE22="",AG22="",ISNUMBER(AN22)=FALSE,AN22=0),"",INDEX(STDCOMPRESS[Measure Number],MATCH(C22,STDCOMPRESS[Measure Name],0))),"Err")</f>
        <v/>
      </c>
      <c r="BD22" s="854" t="str">
        <f>IFERROR(IF(OR(C22="",U22="",W22="",AA22="",AE22="",AG22=""),"",
IF(BI22&gt;0,"",
IF(EXPIRATION&lt;&gt;"",PROJSTATEXP,""))),"")</f>
        <v/>
      </c>
      <c r="BE22" s="928" t="str">
        <f>IFERROR(INDEX(STDCOMPRESS[Measure Life (Years)],MATCH(C22,STDCOMPRESS[Measure Name],0)),"")</f>
        <v/>
      </c>
      <c r="BF22" s="930" t="str">
        <f>IFERROR(IF(OR(C22="",U22="",R22="",W22="",AA22="",AE22="",AG22=""),"",
ROUND(((1+ELOSS)*((AV22*INDEX(ELECCB[NPV AEC $/kWh],MATCH(BE22,ELECCB[Year Number],1)))+(AW22*INDEX(ELECCB[NPV ACC $/kW],MATCH(BE22,ELECCB[Year Number],1))))),2)),0)</f>
        <v/>
      </c>
      <c r="BG22" s="937"/>
      <c r="BH22" s="934" t="str">
        <f>IFERROR(IF(OR(C22="",U22="",R22="",W22="",AA22="",AE22="",AG22=""),"",INDEX(STDCOMPRESS[Reporting Methodology],MATCH(C22,STDCOMPRESS[Measure Name],0))),"Err")</f>
        <v/>
      </c>
      <c r="BI22" s="939"/>
    </row>
    <row r="23" spans="1:61" s="180" customFormat="1" ht="15.95" customHeight="1">
      <c r="B23" s="905"/>
      <c r="C23" s="904"/>
      <c r="D23" s="904"/>
      <c r="E23" s="904"/>
      <c r="F23" s="904"/>
      <c r="G23" s="904"/>
      <c r="H23" s="904"/>
      <c r="I23" s="904"/>
      <c r="J23" s="904"/>
      <c r="K23" s="904"/>
      <c r="L23" s="904"/>
      <c r="M23" s="904"/>
      <c r="N23" s="904"/>
      <c r="O23" s="904"/>
      <c r="P23" s="904"/>
      <c r="Q23" s="904"/>
      <c r="R23" s="969"/>
      <c r="S23" s="969"/>
      <c r="T23" s="969"/>
      <c r="U23" s="888"/>
      <c r="V23" s="888"/>
      <c r="W23" s="904"/>
      <c r="X23" s="904"/>
      <c r="Y23" s="904"/>
      <c r="Z23" s="904"/>
      <c r="AA23" s="904"/>
      <c r="AB23" s="904"/>
      <c r="AC23" s="904"/>
      <c r="AD23" s="827"/>
      <c r="AE23" s="867"/>
      <c r="AF23" s="868"/>
      <c r="AG23" s="868"/>
      <c r="AH23" s="869"/>
      <c r="AI23" s="946"/>
      <c r="AJ23" s="899"/>
      <c r="AK23" s="901"/>
      <c r="AL23" s="901"/>
      <c r="AM23" s="901"/>
      <c r="AN23" s="1010"/>
      <c r="AO23" s="1011"/>
      <c r="AP23" s="1011"/>
      <c r="AQ23" s="974"/>
      <c r="AR23" s="37"/>
      <c r="AS23" s="235"/>
      <c r="AT23" s="973"/>
      <c r="AU23" s="855"/>
      <c r="AV23" s="851"/>
      <c r="AW23" s="851"/>
      <c r="AX23" s="970"/>
      <c r="AY23" s="970"/>
      <c r="AZ23" s="855"/>
      <c r="BA23" s="970"/>
      <c r="BB23" s="970"/>
      <c r="BC23" s="855"/>
      <c r="BD23" s="855"/>
      <c r="BE23" s="929"/>
      <c r="BF23" s="931"/>
      <c r="BG23" s="938"/>
      <c r="BH23" s="934"/>
      <c r="BI23" s="939"/>
    </row>
    <row r="24" spans="1:61" ht="15.95" customHeight="1">
      <c r="B24" s="905">
        <v>4</v>
      </c>
      <c r="C24" s="904"/>
      <c r="D24" s="904"/>
      <c r="E24" s="904"/>
      <c r="F24" s="904"/>
      <c r="G24" s="904"/>
      <c r="H24" s="904"/>
      <c r="I24" s="904"/>
      <c r="J24" s="904"/>
      <c r="K24" s="904"/>
      <c r="L24" s="904"/>
      <c r="M24" s="904"/>
      <c r="N24" s="904"/>
      <c r="O24" s="904"/>
      <c r="P24" s="904"/>
      <c r="Q24" s="904"/>
      <c r="R24" s="969" t="str">
        <f>IF(C24="","",INDEX(STDCOMPRESS[Current Unit],MATCH(C24,STDCOMPRESS[Measure Name],0)))</f>
        <v/>
      </c>
      <c r="S24" s="969"/>
      <c r="T24" s="969"/>
      <c r="U24" s="888"/>
      <c r="V24" s="888"/>
      <c r="W24" s="904"/>
      <c r="X24" s="904"/>
      <c r="Y24" s="904"/>
      <c r="Z24" s="904"/>
      <c r="AA24" s="904"/>
      <c r="AB24" s="904"/>
      <c r="AC24" s="904"/>
      <c r="AD24" s="827"/>
      <c r="AE24" s="867"/>
      <c r="AF24" s="868"/>
      <c r="AG24" s="868"/>
      <c r="AH24" s="869"/>
      <c r="AI24" s="946" t="str">
        <f>IFERROR(IF(C24="","",INDEX(STDCOMPRESS[Current Incentive],MATCH(C24,STDCOMPRESS[Measure Name],0))),"")</f>
        <v/>
      </c>
      <c r="AJ24" s="899"/>
      <c r="AK24" s="901" t="str">
        <f t="shared" ref="AK24" si="6">IFERROR(IF(OR(C24="",U24="",R24="",W24="",AA24="",AE24="",AG24=""),"",IF(BH24="Deemed",AV24,IF(BH24="Calculated",BA24,""))),"")</f>
        <v/>
      </c>
      <c r="AL24" s="901"/>
      <c r="AM24" s="901"/>
      <c r="AN24" s="1007" t="str">
        <f t="shared" ref="AN24" si="7">IFERROR(IF(OR(C24="",U24="",R24="",W24="",AA24="",AE24="",AG24=""),"",IF(BD24&lt;&gt;"",BD24,IF(BI24&gt;0,BI24,ROUND(IF(AK24&lt;=0,0,MIN(AT24,U24*AI24)),2)))),"")</f>
        <v/>
      </c>
      <c r="AO24" s="1008"/>
      <c r="AP24" s="1008"/>
      <c r="AQ24" s="1009"/>
      <c r="AR24" s="37"/>
      <c r="AS24" s="235"/>
      <c r="AT24" s="972" t="str">
        <f t="shared" ref="AT24" si="8">IF(OR(C24="",U24="",R24="",W24="",AA24="",AE24="",AG24=""),"",IF(AK24=0,"",ROUND(AE24+AG24,2)))</f>
        <v/>
      </c>
      <c r="AU24" s="854" t="str">
        <f>IFERROR(IF(OR(C24="",U24="",R24="",W24="",AA24="",AE24="",AG24=""),"",INDEX(STDCOMPRESS[Current Unit],MATCH(C24,STDCOMPRESS[Measure Name],0))),"Err")</f>
        <v/>
      </c>
      <c r="AV24" s="850" t="str">
        <f>IF(OR(C24="",U24="",R24="",W24="",AA24="",AE24="",AG24=""),"",ROUND(U24*INDEX(STDCOMPRESS[Electric Energy Savings (Annual kWh/unit)],MATCH(C24,STDCOMPRESS[Measure Name],0)),4))</f>
        <v/>
      </c>
      <c r="AW24" s="850" t="str">
        <f>IF(OR(C24="",U24="",R24="",W24="",AA24="",AE24="",AG24=""),"",ROUND(U24*INDEX(STDCOMPRESS[Coincident Peak Demand Savings (kW/unit)],MATCH(C24,STDCOMPRESS[Measure Name],0)),4))</f>
        <v/>
      </c>
      <c r="AX24" s="970"/>
      <c r="AY24" s="970"/>
      <c r="AZ24" s="854" t="str">
        <f>IFERROR(IF(OR(C24="",U24="",R24="",W24="",AA24="",AE24="",AG24=""),"",INDEX(STDCOMPRESS[End Use],MATCH(C24,STDCOMPRESS[Measure Name],0))),"Err")</f>
        <v/>
      </c>
      <c r="BA24" s="970"/>
      <c r="BB24" s="970"/>
      <c r="BC24" s="854" t="str">
        <f>IFERROR(IF(OR(C24="",U24="",R24="",W24="",AA24="",AE24="",AG24="",ISNUMBER(AN24)=FALSE,AN24=0),"",INDEX(STDCOMPRESS[Measure Number],MATCH(C24,STDCOMPRESS[Measure Name],0))),"Err")</f>
        <v/>
      </c>
      <c r="BD24" s="854" t="str">
        <f>IFERROR(IF(OR(C24="",U24="",W24="",AA24="",AE24="",AG24=""),"",
IF(BI24&gt;0,"",
IF(EXPIRATION&lt;&gt;"",PROJSTATEXP,""))),"")</f>
        <v/>
      </c>
      <c r="BE24" s="928" t="str">
        <f>IFERROR(INDEX(STDCOMPRESS[Measure Life (Years)],MATCH(C24,STDCOMPRESS[Measure Name],0)),"")</f>
        <v/>
      </c>
      <c r="BF24" s="930" t="str">
        <f>IFERROR(IF(OR(C24="",U24="",R24="",W24="",AA24="",AE24="",AG24=""),"",
ROUND(((1+ELOSS)*((AV24*INDEX(ELECCB[NPV AEC $/kWh],MATCH(BE24,ELECCB[Year Number],1)))+(AW24*INDEX(ELECCB[NPV ACC $/kW],MATCH(BE24,ELECCB[Year Number],1))))),2)),0)</f>
        <v/>
      </c>
      <c r="BG24" s="937"/>
      <c r="BH24" s="934" t="str">
        <f>IFERROR(IF(OR(C24="",U24="",R24="",W24="",AA24="",AE24="",AG24=""),"",INDEX(STDCOMPRESS[Reporting Methodology],MATCH(C24,STDCOMPRESS[Measure Name],0))),"Err")</f>
        <v/>
      </c>
      <c r="BI24" s="939"/>
    </row>
    <row r="25" spans="1:61" ht="15.95" customHeight="1">
      <c r="A25" s="145"/>
      <c r="B25" s="905"/>
      <c r="C25" s="904"/>
      <c r="D25" s="904"/>
      <c r="E25" s="904"/>
      <c r="F25" s="904"/>
      <c r="G25" s="904"/>
      <c r="H25" s="904"/>
      <c r="I25" s="904"/>
      <c r="J25" s="904"/>
      <c r="K25" s="904"/>
      <c r="L25" s="904"/>
      <c r="M25" s="904"/>
      <c r="N25" s="904"/>
      <c r="O25" s="904"/>
      <c r="P25" s="904"/>
      <c r="Q25" s="904"/>
      <c r="R25" s="969"/>
      <c r="S25" s="969"/>
      <c r="T25" s="969"/>
      <c r="U25" s="888"/>
      <c r="V25" s="888"/>
      <c r="W25" s="904"/>
      <c r="X25" s="904"/>
      <c r="Y25" s="904"/>
      <c r="Z25" s="904"/>
      <c r="AA25" s="904"/>
      <c r="AB25" s="904"/>
      <c r="AC25" s="904"/>
      <c r="AD25" s="827"/>
      <c r="AE25" s="867"/>
      <c r="AF25" s="868"/>
      <c r="AG25" s="868"/>
      <c r="AH25" s="869"/>
      <c r="AI25" s="946"/>
      <c r="AJ25" s="899"/>
      <c r="AK25" s="901"/>
      <c r="AL25" s="901"/>
      <c r="AM25" s="901"/>
      <c r="AN25" s="1010"/>
      <c r="AO25" s="1011"/>
      <c r="AP25" s="1011"/>
      <c r="AQ25" s="974"/>
      <c r="AR25" s="37"/>
      <c r="AS25" s="235"/>
      <c r="AT25" s="973"/>
      <c r="AU25" s="855"/>
      <c r="AV25" s="851"/>
      <c r="AW25" s="851"/>
      <c r="AX25" s="970"/>
      <c r="AY25" s="970"/>
      <c r="AZ25" s="855"/>
      <c r="BA25" s="970"/>
      <c r="BB25" s="970"/>
      <c r="BC25" s="855"/>
      <c r="BD25" s="855"/>
      <c r="BE25" s="929"/>
      <c r="BF25" s="931"/>
      <c r="BG25" s="938"/>
      <c r="BH25" s="934"/>
      <c r="BI25" s="939"/>
    </row>
    <row r="26" spans="1:61" ht="15.95" customHeight="1">
      <c r="B26" s="905">
        <v>5</v>
      </c>
      <c r="C26" s="904"/>
      <c r="D26" s="904"/>
      <c r="E26" s="904"/>
      <c r="F26" s="904"/>
      <c r="G26" s="904"/>
      <c r="H26" s="904"/>
      <c r="I26" s="904"/>
      <c r="J26" s="904"/>
      <c r="K26" s="904"/>
      <c r="L26" s="904"/>
      <c r="M26" s="904"/>
      <c r="N26" s="904"/>
      <c r="O26" s="904"/>
      <c r="P26" s="904"/>
      <c r="Q26" s="904"/>
      <c r="R26" s="969" t="str">
        <f>IF(C26="","",INDEX(STDCOMPRESS[Current Unit],MATCH(C26,STDCOMPRESS[Measure Name],0)))</f>
        <v/>
      </c>
      <c r="S26" s="969"/>
      <c r="T26" s="969"/>
      <c r="U26" s="888"/>
      <c r="V26" s="888"/>
      <c r="W26" s="904"/>
      <c r="X26" s="904"/>
      <c r="Y26" s="904"/>
      <c r="Z26" s="904"/>
      <c r="AA26" s="904"/>
      <c r="AB26" s="904"/>
      <c r="AC26" s="904"/>
      <c r="AD26" s="827"/>
      <c r="AE26" s="867"/>
      <c r="AF26" s="868"/>
      <c r="AG26" s="868"/>
      <c r="AH26" s="869"/>
      <c r="AI26" s="946" t="str">
        <f>IFERROR(IF(C26="","",INDEX(STDCOMPRESS[Current Incentive],MATCH(C26,STDCOMPRESS[Measure Name],0))),"")</f>
        <v/>
      </c>
      <c r="AJ26" s="899"/>
      <c r="AK26" s="901" t="str">
        <f t="shared" ref="AK26" si="9">IFERROR(IF(OR(C26="",U26="",R26="",W26="",AA26="",AE26="",AG26=""),"",IF(BH26="Deemed",AV26,IF(BH26="Calculated",BA26,""))),"")</f>
        <v/>
      </c>
      <c r="AL26" s="901"/>
      <c r="AM26" s="901"/>
      <c r="AN26" s="1007" t="str">
        <f t="shared" ref="AN26" si="10">IFERROR(IF(OR(C26="",U26="",R26="",W26="",AA26="",AE26="",AG26=""),"",IF(BD26&lt;&gt;"",BD26,IF(BI26&gt;0,BI26,ROUND(IF(AK26&lt;=0,0,MIN(AT26,U26*AI26)),2)))),"")</f>
        <v/>
      </c>
      <c r="AO26" s="1008"/>
      <c r="AP26" s="1008"/>
      <c r="AQ26" s="1009"/>
      <c r="AR26" s="37"/>
      <c r="AS26" s="235"/>
      <c r="AT26" s="972" t="str">
        <f t="shared" ref="AT26" si="11">IF(OR(C26="",U26="",R26="",W26="",AA26="",AE26="",AG26=""),"",IF(AK26=0,"",ROUND(AE26+AG26,2)))</f>
        <v/>
      </c>
      <c r="AU26" s="854" t="str">
        <f>IFERROR(IF(OR(C26="",U26="",R26="",W26="",AA26="",AE26="",AG26=""),"",INDEX(STDCOMPRESS[Current Unit],MATCH(C26,STDCOMPRESS[Measure Name],0))),"Err")</f>
        <v/>
      </c>
      <c r="AV26" s="850" t="str">
        <f>IF(OR(C26="",U26="",R26="",W26="",AA26="",AE26="",AG26=""),"",ROUND(U26*INDEX(STDCOMPRESS[Electric Energy Savings (Annual kWh/unit)],MATCH(C26,STDCOMPRESS[Measure Name],0)),4))</f>
        <v/>
      </c>
      <c r="AW26" s="850" t="str">
        <f>IF(OR(C26="",U26="",R26="",W26="",AA26="",AE26="",AG26=""),"",ROUND(U26*INDEX(STDCOMPRESS[Coincident Peak Demand Savings (kW/unit)],MATCH(C26,STDCOMPRESS[Measure Name],0)),4))</f>
        <v/>
      </c>
      <c r="AX26" s="970"/>
      <c r="AY26" s="970"/>
      <c r="AZ26" s="854" t="str">
        <f>IFERROR(IF(OR(C26="",U26="",R26="",W26="",AA26="",AE26="",AG26=""),"",INDEX(STDCOMPRESS[End Use],MATCH(C26,STDCOMPRESS[Measure Name],0))),"Err")</f>
        <v/>
      </c>
      <c r="BA26" s="970"/>
      <c r="BB26" s="970"/>
      <c r="BC26" s="854" t="str">
        <f>IFERROR(IF(OR(C26="",U26="",R26="",W26="",AA26="",AE26="",AG26="",ISNUMBER(AN26)=FALSE,AN26=0),"",INDEX(STDCOMPRESS[Measure Number],MATCH(C26,STDCOMPRESS[Measure Name],0))),"Err")</f>
        <v/>
      </c>
      <c r="BD26" s="854" t="str">
        <f>IFERROR(IF(OR(C26="",U26="",W26="",AA26="",AE26="",AG26=""),"",
IF(BI26&gt;0,"",
IF(EXPIRATION&lt;&gt;"",PROJSTATEXP,""))),"")</f>
        <v/>
      </c>
      <c r="BE26" s="928" t="str">
        <f>IFERROR(INDEX(STDCOMPRESS[Measure Life (Years)],MATCH(C26,STDCOMPRESS[Measure Name],0)),"")</f>
        <v/>
      </c>
      <c r="BF26" s="930" t="str">
        <f>IFERROR(IF(OR(C26="",U26="",R26="",W26="",AA26="",AE26="",AG26=""),"",
ROUND(((1+ELOSS)*((AV26*INDEX(ELECCB[NPV AEC $/kWh],MATCH(BE26,ELECCB[Year Number],1)))+(AW26*INDEX(ELECCB[NPV ACC $/kW],MATCH(BE26,ELECCB[Year Number],1))))),2)),0)</f>
        <v/>
      </c>
      <c r="BG26" s="937"/>
      <c r="BH26" s="934" t="str">
        <f>IFERROR(IF(OR(C26="",U26="",R26="",W26="",AA26="",AE26="",AG26=""),"",INDEX(STDCOMPRESS[Reporting Methodology],MATCH(C26,STDCOMPRESS[Measure Name],0))),"Err")</f>
        <v/>
      </c>
      <c r="BI26" s="939"/>
    </row>
    <row r="27" spans="1:61" ht="15.95" customHeight="1">
      <c r="B27" s="905"/>
      <c r="C27" s="904"/>
      <c r="D27" s="904"/>
      <c r="E27" s="904"/>
      <c r="F27" s="904"/>
      <c r="G27" s="904"/>
      <c r="H27" s="904"/>
      <c r="I27" s="904"/>
      <c r="J27" s="904"/>
      <c r="K27" s="904"/>
      <c r="L27" s="904"/>
      <c r="M27" s="904"/>
      <c r="N27" s="904"/>
      <c r="O27" s="904"/>
      <c r="P27" s="904"/>
      <c r="Q27" s="904"/>
      <c r="R27" s="969"/>
      <c r="S27" s="969"/>
      <c r="T27" s="969"/>
      <c r="U27" s="888"/>
      <c r="V27" s="888"/>
      <c r="W27" s="904"/>
      <c r="X27" s="904"/>
      <c r="Y27" s="904"/>
      <c r="Z27" s="904"/>
      <c r="AA27" s="904"/>
      <c r="AB27" s="904"/>
      <c r="AC27" s="904"/>
      <c r="AD27" s="827"/>
      <c r="AE27" s="867"/>
      <c r="AF27" s="868"/>
      <c r="AG27" s="868"/>
      <c r="AH27" s="869"/>
      <c r="AI27" s="946"/>
      <c r="AJ27" s="899"/>
      <c r="AK27" s="901"/>
      <c r="AL27" s="901"/>
      <c r="AM27" s="901"/>
      <c r="AN27" s="1010"/>
      <c r="AO27" s="1011"/>
      <c r="AP27" s="1011"/>
      <c r="AQ27" s="974"/>
      <c r="AR27" s="37"/>
      <c r="AS27" s="235"/>
      <c r="AT27" s="973"/>
      <c r="AU27" s="855"/>
      <c r="AV27" s="851"/>
      <c r="AW27" s="851"/>
      <c r="AX27" s="970"/>
      <c r="AY27" s="970"/>
      <c r="AZ27" s="855"/>
      <c r="BA27" s="970"/>
      <c r="BB27" s="970"/>
      <c r="BC27" s="855"/>
      <c r="BD27" s="855"/>
      <c r="BE27" s="929"/>
      <c r="BF27" s="931"/>
      <c r="BG27" s="938"/>
      <c r="BH27" s="934"/>
      <c r="BI27" s="939"/>
    </row>
    <row r="28" spans="1:61" ht="15.95" customHeight="1">
      <c r="B28" s="905">
        <v>6</v>
      </c>
      <c r="C28" s="904"/>
      <c r="D28" s="904"/>
      <c r="E28" s="904"/>
      <c r="F28" s="904"/>
      <c r="G28" s="904"/>
      <c r="H28" s="904"/>
      <c r="I28" s="904"/>
      <c r="J28" s="904"/>
      <c r="K28" s="904"/>
      <c r="L28" s="904"/>
      <c r="M28" s="904"/>
      <c r="N28" s="904"/>
      <c r="O28" s="904"/>
      <c r="P28" s="904"/>
      <c r="Q28" s="904"/>
      <c r="R28" s="969" t="str">
        <f>IF(C28="","",INDEX(STDCOMPRESS[Current Unit],MATCH(C28,STDCOMPRESS[Measure Name],0)))</f>
        <v/>
      </c>
      <c r="S28" s="969"/>
      <c r="T28" s="969"/>
      <c r="U28" s="888"/>
      <c r="V28" s="888"/>
      <c r="W28" s="904"/>
      <c r="X28" s="904"/>
      <c r="Y28" s="904"/>
      <c r="Z28" s="904"/>
      <c r="AA28" s="904"/>
      <c r="AB28" s="904"/>
      <c r="AC28" s="904"/>
      <c r="AD28" s="827"/>
      <c r="AE28" s="867"/>
      <c r="AF28" s="868"/>
      <c r="AG28" s="868"/>
      <c r="AH28" s="869"/>
      <c r="AI28" s="946" t="str">
        <f>IFERROR(IF(C28="","",INDEX(STDCOMPRESS[Current Incentive],MATCH(C28,STDCOMPRESS[Measure Name],0))),"")</f>
        <v/>
      </c>
      <c r="AJ28" s="899"/>
      <c r="AK28" s="901" t="str">
        <f t="shared" ref="AK28" si="12">IFERROR(IF(OR(C28="",U28="",R28="",W28="",AA28="",AE28="",AG28=""),"",IF(BH28="Deemed",AV28,IF(BH28="Calculated",BA28,""))),"")</f>
        <v/>
      </c>
      <c r="AL28" s="901"/>
      <c r="AM28" s="901"/>
      <c r="AN28" s="1007" t="str">
        <f t="shared" ref="AN28" si="13">IFERROR(IF(OR(C28="",U28="",R28="",W28="",AA28="",AE28="",AG28=""),"",IF(BD28&lt;&gt;"",BD28,IF(BI28&gt;0,BI28,ROUND(IF(AK28&lt;=0,0,MIN(AT28,U28*AI28)),2)))),"")</f>
        <v/>
      </c>
      <c r="AO28" s="1008"/>
      <c r="AP28" s="1008"/>
      <c r="AQ28" s="1009"/>
      <c r="AR28" s="37"/>
      <c r="AS28" s="235"/>
      <c r="AT28" s="972" t="str">
        <f t="shared" ref="AT28" si="14">IF(OR(C28="",U28="",R28="",W28="",AA28="",AE28="",AG28=""),"",IF(AK28=0,"",ROUND(AE28+AG28,2)))</f>
        <v/>
      </c>
      <c r="AU28" s="854" t="str">
        <f>IFERROR(IF(OR(C28="",U28="",R28="",W28="",AA28="",AE28="",AG28=""),"",INDEX(STDCOMPRESS[Current Unit],MATCH(C28,STDCOMPRESS[Measure Name],0))),"Err")</f>
        <v/>
      </c>
      <c r="AV28" s="850" t="str">
        <f>IF(OR(C28="",U28="",R28="",W28="",AA28="",AE28="",AG28=""),"",ROUND(U28*INDEX(STDCOMPRESS[Electric Energy Savings (Annual kWh/unit)],MATCH(C28,STDCOMPRESS[Measure Name],0)),4))</f>
        <v/>
      </c>
      <c r="AW28" s="850" t="str">
        <f>IF(OR(C28="",U28="",R28="",W28="",AA28="",AE28="",AG28=""),"",ROUND(U28*INDEX(STDCOMPRESS[Coincident Peak Demand Savings (kW/unit)],MATCH(C28,STDCOMPRESS[Measure Name],0)),4))</f>
        <v/>
      </c>
      <c r="AX28" s="970"/>
      <c r="AY28" s="970"/>
      <c r="AZ28" s="854" t="str">
        <f>IFERROR(IF(OR(C28="",U28="",R28="",W28="",AA28="",AE28="",AG28=""),"",INDEX(STDCOMPRESS[End Use],MATCH(C28,STDCOMPRESS[Measure Name],0))),"Err")</f>
        <v/>
      </c>
      <c r="BA28" s="970"/>
      <c r="BB28" s="970"/>
      <c r="BC28" s="854" t="str">
        <f>IFERROR(IF(OR(C28="",U28="",R28="",W28="",AA28="",AE28="",AG28="",ISNUMBER(AN28)=FALSE,AN28=0),"",INDEX(STDCOMPRESS[Measure Number],MATCH(C28,STDCOMPRESS[Measure Name],0))),"Err")</f>
        <v/>
      </c>
      <c r="BD28" s="854" t="str">
        <f>IFERROR(IF(OR(C28="",U28="",W28="",AA28="",AE28="",AG28=""),"",
IF(BI28&gt;0,"",
IF(EXPIRATION&lt;&gt;"",PROJSTATEXP,""))),"")</f>
        <v/>
      </c>
      <c r="BE28" s="928" t="str">
        <f>IFERROR(INDEX(STDCOMPRESS[Measure Life (Years)],MATCH(C28,STDCOMPRESS[Measure Name],0)),"")</f>
        <v/>
      </c>
      <c r="BF28" s="930" t="str">
        <f>IFERROR(IF(OR(C28="",U28="",R28="",W28="",AA28="",AE28="",AG28=""),"",
ROUND(((1+ELOSS)*((AV28*INDEX(ELECCB[NPV AEC $/kWh],MATCH(BE28,ELECCB[Year Number],1)))+(AW28*INDEX(ELECCB[NPV ACC $/kW],MATCH(BE28,ELECCB[Year Number],1))))),2)),0)</f>
        <v/>
      </c>
      <c r="BG28" s="937"/>
      <c r="BH28" s="934" t="str">
        <f>IFERROR(IF(OR(C28="",U28="",R28="",W28="",AA28="",AE28="",AG28=""),"",INDEX(STDCOMPRESS[Reporting Methodology],MATCH(C28,STDCOMPRESS[Measure Name],0))),"Err")</f>
        <v/>
      </c>
      <c r="BI28" s="939"/>
    </row>
    <row r="29" spans="1:61" ht="15.95" customHeight="1">
      <c r="B29" s="905"/>
      <c r="C29" s="904"/>
      <c r="D29" s="904"/>
      <c r="E29" s="904"/>
      <c r="F29" s="904"/>
      <c r="G29" s="904"/>
      <c r="H29" s="904"/>
      <c r="I29" s="904"/>
      <c r="J29" s="904"/>
      <c r="K29" s="904"/>
      <c r="L29" s="904"/>
      <c r="M29" s="904"/>
      <c r="N29" s="904"/>
      <c r="O29" s="904"/>
      <c r="P29" s="904"/>
      <c r="Q29" s="904"/>
      <c r="R29" s="969"/>
      <c r="S29" s="969"/>
      <c r="T29" s="969"/>
      <c r="U29" s="888"/>
      <c r="V29" s="888"/>
      <c r="W29" s="904"/>
      <c r="X29" s="904"/>
      <c r="Y29" s="904"/>
      <c r="Z29" s="904"/>
      <c r="AA29" s="904"/>
      <c r="AB29" s="904"/>
      <c r="AC29" s="904"/>
      <c r="AD29" s="827"/>
      <c r="AE29" s="867"/>
      <c r="AF29" s="868"/>
      <c r="AG29" s="868"/>
      <c r="AH29" s="869"/>
      <c r="AI29" s="946"/>
      <c r="AJ29" s="899"/>
      <c r="AK29" s="901"/>
      <c r="AL29" s="901"/>
      <c r="AM29" s="901"/>
      <c r="AN29" s="1010"/>
      <c r="AO29" s="1011"/>
      <c r="AP29" s="1011"/>
      <c r="AQ29" s="974"/>
      <c r="AR29" s="37"/>
      <c r="AS29" s="235"/>
      <c r="AT29" s="973"/>
      <c r="AU29" s="855"/>
      <c r="AV29" s="851"/>
      <c r="AW29" s="851"/>
      <c r="AX29" s="970"/>
      <c r="AY29" s="970"/>
      <c r="AZ29" s="855"/>
      <c r="BA29" s="970"/>
      <c r="BB29" s="970"/>
      <c r="BC29" s="855"/>
      <c r="BD29" s="855"/>
      <c r="BE29" s="929"/>
      <c r="BF29" s="931"/>
      <c r="BG29" s="938"/>
      <c r="BH29" s="934"/>
      <c r="BI29" s="939"/>
    </row>
    <row r="30" spans="1:61" ht="15.95" customHeight="1">
      <c r="B30" s="905">
        <v>7</v>
      </c>
      <c r="C30" s="904"/>
      <c r="D30" s="904"/>
      <c r="E30" s="904"/>
      <c r="F30" s="904"/>
      <c r="G30" s="904"/>
      <c r="H30" s="904"/>
      <c r="I30" s="904"/>
      <c r="J30" s="904"/>
      <c r="K30" s="904"/>
      <c r="L30" s="904"/>
      <c r="M30" s="904"/>
      <c r="N30" s="904"/>
      <c r="O30" s="904"/>
      <c r="P30" s="904"/>
      <c r="Q30" s="904"/>
      <c r="R30" s="969" t="str">
        <f>IF(C30="","",INDEX(STDCOMPRESS[Current Unit],MATCH(C30,STDCOMPRESS[Measure Name],0)))</f>
        <v/>
      </c>
      <c r="S30" s="969"/>
      <c r="T30" s="969"/>
      <c r="U30" s="888"/>
      <c r="V30" s="888"/>
      <c r="W30" s="904"/>
      <c r="X30" s="904"/>
      <c r="Y30" s="904"/>
      <c r="Z30" s="904"/>
      <c r="AA30" s="904"/>
      <c r="AB30" s="904"/>
      <c r="AC30" s="904"/>
      <c r="AD30" s="827"/>
      <c r="AE30" s="867"/>
      <c r="AF30" s="868"/>
      <c r="AG30" s="868"/>
      <c r="AH30" s="869"/>
      <c r="AI30" s="946" t="str">
        <f>IFERROR(IF(C30="","",INDEX(STDCOMPRESS[Current Incentive],MATCH(C30,STDCOMPRESS[Measure Name],0))),"")</f>
        <v/>
      </c>
      <c r="AJ30" s="899"/>
      <c r="AK30" s="901" t="str">
        <f t="shared" ref="AK30" si="15">IFERROR(IF(OR(C30="",U30="",R30="",W30="",AA30="",AE30="",AG30=""),"",IF(BH30="Deemed",AV30,IF(BH30="Calculated",BA30,""))),"")</f>
        <v/>
      </c>
      <c r="AL30" s="901"/>
      <c r="AM30" s="901"/>
      <c r="AN30" s="1007" t="str">
        <f t="shared" ref="AN30" si="16">IFERROR(IF(OR(C30="",U30="",R30="",W30="",AA30="",AE30="",AG30=""),"",IF(BD30&lt;&gt;"",BD30,IF(BI30&gt;0,BI30,ROUND(IF(AK30&lt;=0,0,MIN(AT30,U30*AI30)),2)))),"")</f>
        <v/>
      </c>
      <c r="AO30" s="1008"/>
      <c r="AP30" s="1008"/>
      <c r="AQ30" s="1009"/>
      <c r="AR30" s="37"/>
      <c r="AS30" s="235"/>
      <c r="AT30" s="972" t="str">
        <f t="shared" ref="AT30" si="17">IF(OR(C30="",U30="",R30="",W30="",AA30="",AE30="",AG30=""),"",IF(AK30=0,"",ROUND(AE30+AG30,2)))</f>
        <v/>
      </c>
      <c r="AU30" s="854" t="str">
        <f>IFERROR(IF(OR(C30="",U30="",R30="",W30="",AA30="",AE30="",AG30=""),"",INDEX(STDCOMPRESS[Current Unit],MATCH(C30,STDCOMPRESS[Measure Name],0))),"Err")</f>
        <v/>
      </c>
      <c r="AV30" s="850" t="str">
        <f>IF(OR(C30="",U30="",R30="",W30="",AA30="",AE30="",AG30=""),"",ROUND(U30*INDEX(STDCOMPRESS[Electric Energy Savings (Annual kWh/unit)],MATCH(C30,STDCOMPRESS[Measure Name],0)),4))</f>
        <v/>
      </c>
      <c r="AW30" s="850" t="str">
        <f>IF(OR(C30="",U30="",R30="",W30="",AA30="",AE30="",AG30=""),"",ROUND(U30*INDEX(STDCOMPRESS[Coincident Peak Demand Savings (kW/unit)],MATCH(C30,STDCOMPRESS[Measure Name],0)),4))</f>
        <v/>
      </c>
      <c r="AX30" s="970"/>
      <c r="AY30" s="970"/>
      <c r="AZ30" s="854" t="str">
        <f>IFERROR(IF(OR(C30="",U30="",R30="",W30="",AA30="",AE30="",AG30=""),"",INDEX(STDCOMPRESS[End Use],MATCH(C30,STDCOMPRESS[Measure Name],0))),"Err")</f>
        <v/>
      </c>
      <c r="BA30" s="970"/>
      <c r="BB30" s="970"/>
      <c r="BC30" s="854" t="str">
        <f>IFERROR(IF(OR(C30="",U30="",R30="",W30="",AA30="",AE30="",AG30="",ISNUMBER(AN30)=FALSE,AN30=0),"",INDEX(STDCOMPRESS[Measure Number],MATCH(C30,STDCOMPRESS[Measure Name],0))),"Err")</f>
        <v/>
      </c>
      <c r="BD30" s="854" t="str">
        <f>IFERROR(IF(OR(C30="",U30="",W30="",AA30="",AE30="",AG30=""),"",
IF(BI30&gt;0,"",
IF(EXPIRATION&lt;&gt;"",PROJSTATEXP,""))),"")</f>
        <v/>
      </c>
      <c r="BE30" s="928" t="str">
        <f>IFERROR(INDEX(STDCOMPRESS[Measure Life (Years)],MATCH(C30,STDCOMPRESS[Measure Name],0)),"")</f>
        <v/>
      </c>
      <c r="BF30" s="930" t="str">
        <f>IFERROR(IF(OR(C30="",U30="",R30="",W30="",AA30="",AE30="",AG30=""),"",
ROUND(((1+ELOSS)*((AV30*INDEX(ELECCB[NPV AEC $/kWh],MATCH(BE30,ELECCB[Year Number],1)))+(AW30*INDEX(ELECCB[NPV ACC $/kW],MATCH(BE30,ELECCB[Year Number],1))))),2)),0)</f>
        <v/>
      </c>
      <c r="BG30" s="937"/>
      <c r="BH30" s="934" t="str">
        <f>IFERROR(IF(OR(C30="",U30="",R30="",W30="",AA30="",AE30="",AG30=""),"",INDEX(STDCOMPRESS[Reporting Methodology],MATCH(C30,STDCOMPRESS[Measure Name],0))),"Err")</f>
        <v/>
      </c>
      <c r="BI30" s="939"/>
    </row>
    <row r="31" spans="1:61" ht="15.95" customHeight="1">
      <c r="B31" s="905"/>
      <c r="C31" s="904"/>
      <c r="D31" s="904"/>
      <c r="E31" s="904"/>
      <c r="F31" s="904"/>
      <c r="G31" s="904"/>
      <c r="H31" s="904"/>
      <c r="I31" s="904"/>
      <c r="J31" s="904"/>
      <c r="K31" s="904"/>
      <c r="L31" s="904"/>
      <c r="M31" s="904"/>
      <c r="N31" s="904"/>
      <c r="O31" s="904"/>
      <c r="P31" s="904"/>
      <c r="Q31" s="904"/>
      <c r="R31" s="969"/>
      <c r="S31" s="969"/>
      <c r="T31" s="969"/>
      <c r="U31" s="888"/>
      <c r="V31" s="888"/>
      <c r="W31" s="904"/>
      <c r="X31" s="904"/>
      <c r="Y31" s="904"/>
      <c r="Z31" s="904"/>
      <c r="AA31" s="904"/>
      <c r="AB31" s="904"/>
      <c r="AC31" s="904"/>
      <c r="AD31" s="827"/>
      <c r="AE31" s="867"/>
      <c r="AF31" s="868"/>
      <c r="AG31" s="868"/>
      <c r="AH31" s="869"/>
      <c r="AI31" s="946"/>
      <c r="AJ31" s="899"/>
      <c r="AK31" s="901"/>
      <c r="AL31" s="901"/>
      <c r="AM31" s="901"/>
      <c r="AN31" s="1010"/>
      <c r="AO31" s="1011"/>
      <c r="AP31" s="1011"/>
      <c r="AQ31" s="974"/>
      <c r="AR31" s="37"/>
      <c r="AS31" s="235"/>
      <c r="AT31" s="973"/>
      <c r="AU31" s="855"/>
      <c r="AV31" s="851"/>
      <c r="AW31" s="851"/>
      <c r="AX31" s="970"/>
      <c r="AY31" s="970"/>
      <c r="AZ31" s="855"/>
      <c r="BA31" s="970"/>
      <c r="BB31" s="970"/>
      <c r="BC31" s="855"/>
      <c r="BD31" s="855"/>
      <c r="BE31" s="929"/>
      <c r="BF31" s="931"/>
      <c r="BG31" s="938"/>
      <c r="BH31" s="934"/>
      <c r="BI31" s="939"/>
    </row>
    <row r="32" spans="1:61" ht="15.95" customHeight="1">
      <c r="B32" s="905">
        <v>8</v>
      </c>
      <c r="C32" s="904"/>
      <c r="D32" s="904"/>
      <c r="E32" s="904"/>
      <c r="F32" s="904"/>
      <c r="G32" s="904"/>
      <c r="H32" s="904"/>
      <c r="I32" s="904"/>
      <c r="J32" s="904"/>
      <c r="K32" s="904"/>
      <c r="L32" s="904"/>
      <c r="M32" s="904"/>
      <c r="N32" s="904"/>
      <c r="O32" s="904"/>
      <c r="P32" s="904"/>
      <c r="Q32" s="904"/>
      <c r="R32" s="969" t="str">
        <f>IF(C32="","",INDEX(STDCOMPRESS[Current Unit],MATCH(C32,STDCOMPRESS[Measure Name],0)))</f>
        <v/>
      </c>
      <c r="S32" s="969"/>
      <c r="T32" s="969"/>
      <c r="U32" s="888"/>
      <c r="V32" s="888"/>
      <c r="W32" s="904"/>
      <c r="X32" s="904"/>
      <c r="Y32" s="904"/>
      <c r="Z32" s="904"/>
      <c r="AA32" s="904"/>
      <c r="AB32" s="904"/>
      <c r="AC32" s="904"/>
      <c r="AD32" s="827"/>
      <c r="AE32" s="867"/>
      <c r="AF32" s="868"/>
      <c r="AG32" s="868"/>
      <c r="AH32" s="869"/>
      <c r="AI32" s="946" t="str">
        <f>IFERROR(IF(C32="","",INDEX(STDCOMPRESS[Current Incentive],MATCH(C32,STDCOMPRESS[Measure Name],0))),"")</f>
        <v/>
      </c>
      <c r="AJ32" s="899"/>
      <c r="AK32" s="901" t="str">
        <f t="shared" ref="AK32" si="18">IFERROR(IF(OR(C32="",U32="",R32="",W32="",AA32="",AE32="",AG32=""),"",IF(BH32="Deemed",AV32,IF(BH32="Calculated",BA32,""))),"")</f>
        <v/>
      </c>
      <c r="AL32" s="901"/>
      <c r="AM32" s="901"/>
      <c r="AN32" s="1007" t="str">
        <f t="shared" ref="AN32" si="19">IFERROR(IF(OR(C32="",U32="",R32="",W32="",AA32="",AE32="",AG32=""),"",IF(BD32&lt;&gt;"",BD32,IF(BI32&gt;0,BI32,ROUND(IF(AK32&lt;=0,0,MIN(AT32,U32*AI32)),2)))),"")</f>
        <v/>
      </c>
      <c r="AO32" s="1008"/>
      <c r="AP32" s="1008"/>
      <c r="AQ32" s="1009"/>
      <c r="AR32" s="37"/>
      <c r="AS32" s="235"/>
      <c r="AT32" s="972" t="str">
        <f t="shared" ref="AT32" si="20">IF(OR(C32="",U32="",R32="",W32="",AA32="",AE32="",AG32=""),"",IF(AK32=0,"",ROUND(AE32+AG32,2)))</f>
        <v/>
      </c>
      <c r="AU32" s="854" t="str">
        <f>IFERROR(IF(OR(C32="",U32="",R32="",W32="",AA32="",AE32="",AG32=""),"",INDEX(STDCOMPRESS[Current Unit],MATCH(C32,STDCOMPRESS[Measure Name],0))),"Err")</f>
        <v/>
      </c>
      <c r="AV32" s="850" t="str">
        <f>IF(OR(C32="",U32="",R32="",W32="",AA32="",AE32="",AG32=""),"",ROUND(U32*INDEX(STDCOMPRESS[Electric Energy Savings (Annual kWh/unit)],MATCH(C32,STDCOMPRESS[Measure Name],0)),4))</f>
        <v/>
      </c>
      <c r="AW32" s="850" t="str">
        <f>IF(OR(C32="",U32="",R32="",W32="",AA32="",AE32="",AG32=""),"",ROUND(U32*INDEX(STDCOMPRESS[Coincident Peak Demand Savings (kW/unit)],MATCH(C32,STDCOMPRESS[Measure Name],0)),4))</f>
        <v/>
      </c>
      <c r="AX32" s="970"/>
      <c r="AY32" s="970"/>
      <c r="AZ32" s="854" t="str">
        <f>IFERROR(IF(OR(C32="",U32="",R32="",W32="",AA32="",AE32="",AG32=""),"",INDEX(STDCOMPRESS[End Use],MATCH(C32,STDCOMPRESS[Measure Name],0))),"Err")</f>
        <v/>
      </c>
      <c r="BA32" s="970"/>
      <c r="BB32" s="970"/>
      <c r="BC32" s="854" t="str">
        <f>IFERROR(IF(OR(C32="",U32="",R32="",W32="",AA32="",AE32="",AG32="",ISNUMBER(AN32)=FALSE,AN32=0),"",INDEX(STDCOMPRESS[Measure Number],MATCH(C32,STDCOMPRESS[Measure Name],0))),"Err")</f>
        <v/>
      </c>
      <c r="BD32" s="854" t="str">
        <f>IFERROR(IF(OR(C32="",U32="",W32="",AA32="",AE32="",AG32=""),"",
IF(BI32&gt;0,"",
IF(EXPIRATION&lt;&gt;"",PROJSTATEXP,""))),"")</f>
        <v/>
      </c>
      <c r="BE32" s="928" t="str">
        <f>IFERROR(INDEX(STDCOMPRESS[Measure Life (Years)],MATCH(C32,STDCOMPRESS[Measure Name],0)),"")</f>
        <v/>
      </c>
      <c r="BF32" s="930" t="str">
        <f>IFERROR(IF(OR(C32="",U32="",R32="",W32="",AA32="",AE32="",AG32=""),"",
ROUND(((1+ELOSS)*((AV32*INDEX(ELECCB[NPV AEC $/kWh],MATCH(BE32,ELECCB[Year Number],1)))+(AW32*INDEX(ELECCB[NPV ACC $/kW],MATCH(BE32,ELECCB[Year Number],1))))),2)),0)</f>
        <v/>
      </c>
      <c r="BG32" s="937"/>
      <c r="BH32" s="934" t="str">
        <f>IFERROR(IF(OR(C32="",U32="",R32="",W32="",AA32="",AE32="",AG32=""),"",INDEX(STDCOMPRESS[Reporting Methodology],MATCH(C32,STDCOMPRESS[Measure Name],0))),"Err")</f>
        <v/>
      </c>
      <c r="BI32" s="939"/>
    </row>
    <row r="33" spans="2:61" ht="15.95" customHeight="1">
      <c r="B33" s="905"/>
      <c r="C33" s="904"/>
      <c r="D33" s="904"/>
      <c r="E33" s="904"/>
      <c r="F33" s="904"/>
      <c r="G33" s="904"/>
      <c r="H33" s="904"/>
      <c r="I33" s="904"/>
      <c r="J33" s="904"/>
      <c r="K33" s="904"/>
      <c r="L33" s="904"/>
      <c r="M33" s="904"/>
      <c r="N33" s="904"/>
      <c r="O33" s="904"/>
      <c r="P33" s="904"/>
      <c r="Q33" s="904"/>
      <c r="R33" s="969"/>
      <c r="S33" s="969"/>
      <c r="T33" s="969"/>
      <c r="U33" s="888"/>
      <c r="V33" s="888"/>
      <c r="W33" s="904"/>
      <c r="X33" s="904"/>
      <c r="Y33" s="904"/>
      <c r="Z33" s="904"/>
      <c r="AA33" s="904"/>
      <c r="AB33" s="904"/>
      <c r="AC33" s="904"/>
      <c r="AD33" s="827"/>
      <c r="AE33" s="867"/>
      <c r="AF33" s="868"/>
      <c r="AG33" s="868"/>
      <c r="AH33" s="869"/>
      <c r="AI33" s="946"/>
      <c r="AJ33" s="899"/>
      <c r="AK33" s="901"/>
      <c r="AL33" s="901"/>
      <c r="AM33" s="901"/>
      <c r="AN33" s="1010"/>
      <c r="AO33" s="1011"/>
      <c r="AP33" s="1011"/>
      <c r="AQ33" s="974"/>
      <c r="AR33" s="37"/>
      <c r="AS33" s="235"/>
      <c r="AT33" s="973"/>
      <c r="AU33" s="855"/>
      <c r="AV33" s="851"/>
      <c r="AW33" s="851"/>
      <c r="AX33" s="970"/>
      <c r="AY33" s="970"/>
      <c r="AZ33" s="855"/>
      <c r="BA33" s="970"/>
      <c r="BB33" s="970"/>
      <c r="BC33" s="855"/>
      <c r="BD33" s="855"/>
      <c r="BE33" s="929"/>
      <c r="BF33" s="931"/>
      <c r="BG33" s="938"/>
      <c r="BH33" s="934"/>
      <c r="BI33" s="939"/>
    </row>
    <row r="34" spans="2:61" ht="15.95" customHeight="1">
      <c r="B34" s="905">
        <v>9</v>
      </c>
      <c r="C34" s="904"/>
      <c r="D34" s="904"/>
      <c r="E34" s="904"/>
      <c r="F34" s="904"/>
      <c r="G34" s="904"/>
      <c r="H34" s="904"/>
      <c r="I34" s="904"/>
      <c r="J34" s="904"/>
      <c r="K34" s="904"/>
      <c r="L34" s="904"/>
      <c r="M34" s="904"/>
      <c r="N34" s="904"/>
      <c r="O34" s="904"/>
      <c r="P34" s="904"/>
      <c r="Q34" s="904"/>
      <c r="R34" s="969" t="str">
        <f>IF(C34="","",INDEX(STDCOMPRESS[Current Unit],MATCH(C34,STDCOMPRESS[Measure Name],0)))</f>
        <v/>
      </c>
      <c r="S34" s="969"/>
      <c r="T34" s="969"/>
      <c r="U34" s="888"/>
      <c r="V34" s="888"/>
      <c r="W34" s="904"/>
      <c r="X34" s="904"/>
      <c r="Y34" s="904"/>
      <c r="Z34" s="904"/>
      <c r="AA34" s="904"/>
      <c r="AB34" s="904"/>
      <c r="AC34" s="904"/>
      <c r="AD34" s="827"/>
      <c r="AE34" s="867"/>
      <c r="AF34" s="868"/>
      <c r="AG34" s="868"/>
      <c r="AH34" s="869"/>
      <c r="AI34" s="946" t="str">
        <f>IFERROR(IF(C34="","",INDEX(STDCOMPRESS[Current Incentive],MATCH(C34,STDCOMPRESS[Measure Name],0))),"")</f>
        <v/>
      </c>
      <c r="AJ34" s="899"/>
      <c r="AK34" s="901" t="str">
        <f t="shared" ref="AK34" si="21">IFERROR(IF(OR(C34="",U34="",R34="",W34="",AA34="",AE34="",AG34=""),"",IF(BH34="Deemed",AV34,IF(BH34="Calculated",BA34,""))),"")</f>
        <v/>
      </c>
      <c r="AL34" s="901"/>
      <c r="AM34" s="901"/>
      <c r="AN34" s="1007" t="str">
        <f t="shared" ref="AN34" si="22">IFERROR(IF(OR(C34="",U34="",R34="",W34="",AA34="",AE34="",AG34=""),"",IF(BD34&lt;&gt;"",BD34,IF(BI34&gt;0,BI34,ROUND(IF(AK34&lt;=0,0,MIN(AT34,U34*AI34)),2)))),"")</f>
        <v/>
      </c>
      <c r="AO34" s="1008"/>
      <c r="AP34" s="1008"/>
      <c r="AQ34" s="1009"/>
      <c r="AR34" s="37"/>
      <c r="AS34" s="235"/>
      <c r="AT34" s="972" t="str">
        <f t="shared" ref="AT34" si="23">IF(OR(C34="",U34="",R34="",W34="",AA34="",AE34="",AG34=""),"",IF(AK34=0,"",ROUND(AE34+AG34,2)))</f>
        <v/>
      </c>
      <c r="AU34" s="854" t="str">
        <f>IFERROR(IF(OR(C34="",U34="",R34="",W34="",AA34="",AE34="",AG34=""),"",INDEX(STDCOMPRESS[Current Unit],MATCH(C34,STDCOMPRESS[Measure Name],0))),"Err")</f>
        <v/>
      </c>
      <c r="AV34" s="850" t="str">
        <f>IF(OR(C34="",U34="",R34="",W34="",AA34="",AE34="",AG34=""),"",ROUND(U34*INDEX(STDCOMPRESS[Electric Energy Savings (Annual kWh/unit)],MATCH(C34,STDCOMPRESS[Measure Name],0)),4))</f>
        <v/>
      </c>
      <c r="AW34" s="850" t="str">
        <f>IF(OR(C34="",U34="",R34="",W34="",AA34="",AE34="",AG34=""),"",ROUND(U34*INDEX(STDCOMPRESS[Coincident Peak Demand Savings (kW/unit)],MATCH(C34,STDCOMPRESS[Measure Name],0)),4))</f>
        <v/>
      </c>
      <c r="AX34" s="970"/>
      <c r="AY34" s="970"/>
      <c r="AZ34" s="854" t="str">
        <f>IFERROR(IF(OR(C34="",U34="",R34="",W34="",AA34="",AE34="",AG34=""),"",INDEX(STDCOMPRESS[End Use],MATCH(C34,STDCOMPRESS[Measure Name],0))),"Err")</f>
        <v/>
      </c>
      <c r="BA34" s="970"/>
      <c r="BB34" s="970"/>
      <c r="BC34" s="854" t="str">
        <f>IFERROR(IF(OR(C34="",U34="",R34="",W34="",AA34="",AE34="",AG34="",ISNUMBER(AN34)=FALSE,AN34=0),"",INDEX(STDCOMPRESS[Measure Number],MATCH(C34,STDCOMPRESS[Measure Name],0))),"Err")</f>
        <v/>
      </c>
      <c r="BD34" s="854" t="str">
        <f>IFERROR(IF(OR(C34="",U34="",W34="",AA34="",AE34="",AG34=""),"",
IF(BI34&gt;0,"",
IF(EXPIRATION&lt;&gt;"",PROJSTATEXP,""))),"")</f>
        <v/>
      </c>
      <c r="BE34" s="928" t="str">
        <f>IFERROR(INDEX(STDCOMPRESS[Measure Life (Years)],MATCH(C34,STDCOMPRESS[Measure Name],0)),"")</f>
        <v/>
      </c>
      <c r="BF34" s="930" t="str">
        <f>IFERROR(IF(OR(C34="",U34="",R34="",W34="",AA34="",AE34="",AG34=""),"",
ROUND(((1+ELOSS)*((AV34*INDEX(ELECCB[NPV AEC $/kWh],MATCH(BE34,ELECCB[Year Number],1)))+(AW34*INDEX(ELECCB[NPV ACC $/kW],MATCH(BE34,ELECCB[Year Number],1))))),2)),0)</f>
        <v/>
      </c>
      <c r="BG34" s="937"/>
      <c r="BH34" s="934" t="str">
        <f>IFERROR(IF(OR(C34="",U34="",R34="",W34="",AA34="",AE34="",AG34=""),"",INDEX(STDCOMPRESS[Reporting Methodology],MATCH(C34,STDCOMPRESS[Measure Name],0))),"Err")</f>
        <v/>
      </c>
      <c r="BI34" s="939"/>
    </row>
    <row r="35" spans="2:61" ht="15.95" customHeight="1">
      <c r="B35" s="905"/>
      <c r="C35" s="904"/>
      <c r="D35" s="904"/>
      <c r="E35" s="904"/>
      <c r="F35" s="904"/>
      <c r="G35" s="904"/>
      <c r="H35" s="904"/>
      <c r="I35" s="904"/>
      <c r="J35" s="904"/>
      <c r="K35" s="904"/>
      <c r="L35" s="904"/>
      <c r="M35" s="904"/>
      <c r="N35" s="904"/>
      <c r="O35" s="904"/>
      <c r="P35" s="904"/>
      <c r="Q35" s="904"/>
      <c r="R35" s="969"/>
      <c r="S35" s="969"/>
      <c r="T35" s="969"/>
      <c r="U35" s="888"/>
      <c r="V35" s="888"/>
      <c r="W35" s="904"/>
      <c r="X35" s="904"/>
      <c r="Y35" s="904"/>
      <c r="Z35" s="904"/>
      <c r="AA35" s="904"/>
      <c r="AB35" s="904"/>
      <c r="AC35" s="904"/>
      <c r="AD35" s="827"/>
      <c r="AE35" s="867"/>
      <c r="AF35" s="868"/>
      <c r="AG35" s="868"/>
      <c r="AH35" s="869"/>
      <c r="AI35" s="946"/>
      <c r="AJ35" s="899"/>
      <c r="AK35" s="901"/>
      <c r="AL35" s="901"/>
      <c r="AM35" s="901"/>
      <c r="AN35" s="1010"/>
      <c r="AO35" s="1011"/>
      <c r="AP35" s="1011"/>
      <c r="AQ35" s="974"/>
      <c r="AR35" s="37"/>
      <c r="AS35" s="235"/>
      <c r="AT35" s="973"/>
      <c r="AU35" s="855"/>
      <c r="AV35" s="851"/>
      <c r="AW35" s="851"/>
      <c r="AX35" s="970"/>
      <c r="AY35" s="970"/>
      <c r="AZ35" s="855"/>
      <c r="BA35" s="970"/>
      <c r="BB35" s="970"/>
      <c r="BC35" s="855"/>
      <c r="BD35" s="855"/>
      <c r="BE35" s="929"/>
      <c r="BF35" s="931"/>
      <c r="BG35" s="938"/>
      <c r="BH35" s="934"/>
      <c r="BI35" s="939"/>
    </row>
    <row r="36" spans="2:61" ht="15.95" customHeight="1">
      <c r="B36" s="905">
        <v>10</v>
      </c>
      <c r="C36" s="904"/>
      <c r="D36" s="904"/>
      <c r="E36" s="904"/>
      <c r="F36" s="904"/>
      <c r="G36" s="904"/>
      <c r="H36" s="904"/>
      <c r="I36" s="904"/>
      <c r="J36" s="904"/>
      <c r="K36" s="904"/>
      <c r="L36" s="904"/>
      <c r="M36" s="904"/>
      <c r="N36" s="904"/>
      <c r="O36" s="904"/>
      <c r="P36" s="904"/>
      <c r="Q36" s="904"/>
      <c r="R36" s="969" t="str">
        <f>IF(C36="","",INDEX(STDCOMPRESS[Current Unit],MATCH(C36,STDCOMPRESS[Measure Name],0)))</f>
        <v/>
      </c>
      <c r="S36" s="969"/>
      <c r="T36" s="969"/>
      <c r="U36" s="888"/>
      <c r="V36" s="888"/>
      <c r="W36" s="904"/>
      <c r="X36" s="904"/>
      <c r="Y36" s="904"/>
      <c r="Z36" s="904"/>
      <c r="AA36" s="904"/>
      <c r="AB36" s="904"/>
      <c r="AC36" s="904"/>
      <c r="AD36" s="827"/>
      <c r="AE36" s="867"/>
      <c r="AF36" s="868"/>
      <c r="AG36" s="868"/>
      <c r="AH36" s="869"/>
      <c r="AI36" s="946" t="str">
        <f>IFERROR(IF(C36="","",INDEX(STDCOMPRESS[Current Incentive],MATCH(C36,STDCOMPRESS[Measure Name],0))),"")</f>
        <v/>
      </c>
      <c r="AJ36" s="899"/>
      <c r="AK36" s="901" t="str">
        <f t="shared" ref="AK36" si="24">IFERROR(IF(OR(C36="",U36="",R36="",W36="",AA36="",AE36="",AG36=""),"",IF(BH36="Deemed",AV36,IF(BH36="Calculated",BA36,""))),"")</f>
        <v/>
      </c>
      <c r="AL36" s="901"/>
      <c r="AM36" s="901"/>
      <c r="AN36" s="1007" t="str">
        <f t="shared" ref="AN36" si="25">IFERROR(IF(OR(C36="",U36="",R36="",W36="",AA36="",AE36="",AG36=""),"",IF(BD36&lt;&gt;"",BD36,IF(BI36&gt;0,BI36,ROUND(IF(AK36&lt;=0,0,MIN(AT36,U36*AI36)),2)))),"")</f>
        <v/>
      </c>
      <c r="AO36" s="1008"/>
      <c r="AP36" s="1008"/>
      <c r="AQ36" s="1009"/>
      <c r="AR36" s="37"/>
      <c r="AS36" s="235"/>
      <c r="AT36" s="972" t="str">
        <f t="shared" ref="AT36" si="26">IF(OR(C36="",U36="",R36="",W36="",AA36="",AE36="",AG36=""),"",IF(AK36=0,"",ROUND(AE36+AG36,2)))</f>
        <v/>
      </c>
      <c r="AU36" s="854" t="str">
        <f>IFERROR(IF(OR(C36="",U36="",R36="",W36="",AA36="",AE36="",AG36=""),"",INDEX(STDCOMPRESS[Current Unit],MATCH(C36,STDCOMPRESS[Measure Name],0))),"Err")</f>
        <v/>
      </c>
      <c r="AV36" s="850" t="str">
        <f>IF(OR(C36="",U36="",R36="",W36="",AA36="",AE36="",AG36=""),"",ROUND(U36*INDEX(STDCOMPRESS[Electric Energy Savings (Annual kWh/unit)],MATCH(C36,STDCOMPRESS[Measure Name],0)),4))</f>
        <v/>
      </c>
      <c r="AW36" s="850" t="str">
        <f>IF(OR(C36="",U36="",R36="",W36="",AA36="",AE36="",AG36=""),"",ROUND(U36*INDEX(STDCOMPRESS[Coincident Peak Demand Savings (kW/unit)],MATCH(C36,STDCOMPRESS[Measure Name],0)),4))</f>
        <v/>
      </c>
      <c r="AX36" s="970"/>
      <c r="AY36" s="970"/>
      <c r="AZ36" s="854" t="str">
        <f>IFERROR(IF(OR(C36="",U36="",R36="",W36="",AA36="",AE36="",AG36=""),"",INDEX(STDCOMPRESS[End Use],MATCH(C36,STDCOMPRESS[Measure Name],0))),"Err")</f>
        <v/>
      </c>
      <c r="BA36" s="970"/>
      <c r="BB36" s="970"/>
      <c r="BC36" s="854" t="str">
        <f>IFERROR(IF(OR(C36="",U36="",R36="",W36="",AA36="",AE36="",AG36="",ISNUMBER(AN36)=FALSE,AN36=0),"",INDEX(STDCOMPRESS[Measure Number],MATCH(C36,STDCOMPRESS[Measure Name],0))),"Err")</f>
        <v/>
      </c>
      <c r="BD36" s="854" t="str">
        <f>IFERROR(IF(OR(C36="",U36="",W36="",AA36="",AE36="",AG36=""),"",
IF(BI36&gt;0,"",
IF(EXPIRATION&lt;&gt;"",PROJSTATEXP,""))),"")</f>
        <v/>
      </c>
      <c r="BE36" s="928" t="str">
        <f>IFERROR(INDEX(STDCOMPRESS[Measure Life (Years)],MATCH(C36,STDCOMPRESS[Measure Name],0)),"")</f>
        <v/>
      </c>
      <c r="BF36" s="930" t="str">
        <f>IFERROR(IF(OR(C36="",U36="",R36="",W36="",AA36="",AE36="",AG36=""),"",
ROUND(((1+ELOSS)*((AV36*INDEX(ELECCB[NPV AEC $/kWh],MATCH(BE36,ELECCB[Year Number],1)))+(AW36*INDEX(ELECCB[NPV ACC $/kW],MATCH(BE36,ELECCB[Year Number],1))))),2)),0)</f>
        <v/>
      </c>
      <c r="BG36" s="937"/>
      <c r="BH36" s="934" t="str">
        <f>IFERROR(IF(OR(C36="",U36="",R36="",W36="",AA36="",AE36="",AG36=""),"",INDEX(STDCOMPRESS[Reporting Methodology],MATCH(C36,STDCOMPRESS[Measure Name],0))),"Err")</f>
        <v/>
      </c>
      <c r="BI36" s="939"/>
    </row>
    <row r="37" spans="2:61" ht="15.95" customHeight="1">
      <c r="B37" s="905"/>
      <c r="C37" s="904"/>
      <c r="D37" s="904"/>
      <c r="E37" s="904"/>
      <c r="F37" s="904"/>
      <c r="G37" s="904"/>
      <c r="H37" s="904"/>
      <c r="I37" s="904"/>
      <c r="J37" s="904"/>
      <c r="K37" s="904"/>
      <c r="L37" s="904"/>
      <c r="M37" s="904"/>
      <c r="N37" s="904"/>
      <c r="O37" s="904"/>
      <c r="P37" s="904"/>
      <c r="Q37" s="904"/>
      <c r="R37" s="969"/>
      <c r="S37" s="969"/>
      <c r="T37" s="969"/>
      <c r="U37" s="888"/>
      <c r="V37" s="888"/>
      <c r="W37" s="904"/>
      <c r="X37" s="904"/>
      <c r="Y37" s="904"/>
      <c r="Z37" s="904"/>
      <c r="AA37" s="904"/>
      <c r="AB37" s="904"/>
      <c r="AC37" s="904"/>
      <c r="AD37" s="827"/>
      <c r="AE37" s="867"/>
      <c r="AF37" s="868"/>
      <c r="AG37" s="868"/>
      <c r="AH37" s="869"/>
      <c r="AI37" s="946"/>
      <c r="AJ37" s="899"/>
      <c r="AK37" s="901"/>
      <c r="AL37" s="901"/>
      <c r="AM37" s="901"/>
      <c r="AN37" s="1010"/>
      <c r="AO37" s="1011"/>
      <c r="AP37" s="1011"/>
      <c r="AQ37" s="974"/>
      <c r="AR37" s="37"/>
      <c r="AS37" s="235"/>
      <c r="AT37" s="973"/>
      <c r="AU37" s="855"/>
      <c r="AV37" s="851"/>
      <c r="AW37" s="851"/>
      <c r="AX37" s="970"/>
      <c r="AY37" s="970"/>
      <c r="AZ37" s="855"/>
      <c r="BA37" s="970"/>
      <c r="BB37" s="970"/>
      <c r="BC37" s="855"/>
      <c r="BD37" s="855"/>
      <c r="BE37" s="929"/>
      <c r="BF37" s="931"/>
      <c r="BG37" s="938"/>
      <c r="BH37" s="934"/>
      <c r="BI37" s="939"/>
    </row>
    <row r="38" spans="2:61" customFormat="1" ht="15.95" customHeight="1">
      <c r="AT38" s="426"/>
    </row>
    <row r="39" spans="2:61" customFormat="1" ht="15.95" hidden="1" customHeight="1">
      <c r="AT39" s="426"/>
    </row>
    <row r="40" spans="2:61" customFormat="1" ht="15.95" hidden="1" customHeight="1">
      <c r="AT40" s="426"/>
    </row>
    <row r="41" spans="2:61" customFormat="1" ht="15.95" hidden="1" customHeight="1">
      <c r="AT41" s="426"/>
    </row>
    <row r="42" spans="2:61" customFormat="1" ht="15.95" hidden="1" customHeight="1">
      <c r="AT42" s="426"/>
    </row>
    <row r="43" spans="2:61" customFormat="1" ht="15.95" hidden="1" customHeight="1">
      <c r="AT43" s="426"/>
    </row>
    <row r="44" spans="2:61" customFormat="1" ht="15.95" hidden="1" customHeight="1">
      <c r="AT44" s="426"/>
    </row>
    <row r="45" spans="2:61" customFormat="1" ht="15.95" hidden="1" customHeight="1">
      <c r="AT45" s="426"/>
    </row>
    <row r="46" spans="2:61" customFormat="1" ht="15.95" hidden="1" customHeight="1">
      <c r="AT46" s="426"/>
    </row>
    <row r="47" spans="2:61" customFormat="1" ht="15.95" hidden="1" customHeight="1">
      <c r="AT47" s="426"/>
    </row>
    <row r="48" spans="2:61" ht="15.95" hidden="1" customHeight="1">
      <c r="AO48" s="235"/>
      <c r="AP48" s="235"/>
      <c r="AQ48" s="235"/>
      <c r="AR48" s="235"/>
      <c r="AS48" s="235"/>
      <c r="AV48" s="57"/>
      <c r="AW48" s="64"/>
    </row>
    <row r="49" spans="41:49" ht="15.95" hidden="1" customHeight="1">
      <c r="AO49" s="235"/>
      <c r="AP49" s="235"/>
      <c r="AQ49" s="235"/>
      <c r="AR49" s="235"/>
      <c r="AS49" s="235"/>
      <c r="AV49" s="57"/>
      <c r="AW49" s="64"/>
    </row>
    <row r="50" spans="41:49" ht="15.95" hidden="1" customHeight="1">
      <c r="AO50" s="235"/>
      <c r="AP50" s="235"/>
      <c r="AQ50" s="235"/>
      <c r="AR50" s="235"/>
      <c r="AS50" s="235"/>
      <c r="AV50" s="57"/>
      <c r="AW50" s="64"/>
    </row>
    <row r="51" spans="41:49" ht="15.95" hidden="1" customHeight="1">
      <c r="AO51" s="235"/>
      <c r="AP51" s="235"/>
      <c r="AQ51" s="235"/>
      <c r="AR51" s="235"/>
      <c r="AS51" s="235"/>
      <c r="AV51" s="57"/>
      <c r="AW51" s="64"/>
    </row>
    <row r="52" spans="41:49" ht="15.95" hidden="1" customHeight="1">
      <c r="AO52" s="235"/>
      <c r="AP52" s="235"/>
      <c r="AQ52" s="235"/>
      <c r="AR52" s="235"/>
      <c r="AS52" s="235"/>
      <c r="AV52" s="57"/>
      <c r="AW52" s="64"/>
    </row>
    <row r="53" spans="41:49" ht="15.95" hidden="1" customHeight="1">
      <c r="AO53" s="235"/>
      <c r="AP53" s="235"/>
      <c r="AQ53" s="235"/>
      <c r="AR53" s="235"/>
      <c r="AS53" s="235"/>
      <c r="AV53" s="57"/>
      <c r="AW53" s="64"/>
    </row>
    <row r="54" spans="41:49" ht="15.95" hidden="1" customHeight="1">
      <c r="AO54" s="235"/>
      <c r="AP54" s="235"/>
      <c r="AQ54" s="235"/>
      <c r="AR54" s="235"/>
      <c r="AS54" s="235"/>
      <c r="AV54" s="57"/>
      <c r="AW54" s="64"/>
    </row>
    <row r="55" spans="41:49" ht="15.95" hidden="1" customHeight="1">
      <c r="AO55" s="235"/>
      <c r="AP55" s="235"/>
      <c r="AQ55" s="235"/>
      <c r="AR55" s="235"/>
      <c r="AS55" s="235"/>
      <c r="AV55" s="57"/>
      <c r="AW55" s="64"/>
    </row>
    <row r="56" spans="41:49" ht="15.95" hidden="1" customHeight="1">
      <c r="AO56" s="235"/>
      <c r="AP56" s="235"/>
      <c r="AQ56" s="235"/>
      <c r="AR56" s="235"/>
      <c r="AS56" s="235"/>
      <c r="AV56" s="57"/>
      <c r="AW56" s="64"/>
    </row>
    <row r="57" spans="41:49" ht="15.95" hidden="1" customHeight="1">
      <c r="AO57" s="235"/>
      <c r="AP57" s="235"/>
      <c r="AQ57" s="235"/>
      <c r="AR57" s="235"/>
      <c r="AS57" s="235"/>
      <c r="AV57" s="57"/>
      <c r="AW57" s="64"/>
    </row>
    <row r="58" spans="41:49" ht="15.95" hidden="1" customHeight="1">
      <c r="AO58" s="235"/>
      <c r="AP58" s="235"/>
      <c r="AQ58" s="235"/>
      <c r="AR58" s="235"/>
      <c r="AS58" s="235"/>
      <c r="AV58" s="57"/>
      <c r="AW58" s="64"/>
    </row>
    <row r="59" spans="41:49" ht="15.95" hidden="1" customHeight="1">
      <c r="AO59" s="235"/>
      <c r="AP59" s="235"/>
      <c r="AQ59" s="235"/>
      <c r="AR59" s="235"/>
      <c r="AS59" s="235"/>
      <c r="AV59" s="57"/>
      <c r="AW59" s="64"/>
    </row>
    <row r="60" spans="41:49" ht="15.95" hidden="1" customHeight="1">
      <c r="AO60" s="235"/>
      <c r="AP60" s="235"/>
      <c r="AQ60" s="235"/>
      <c r="AR60" s="235"/>
      <c r="AS60" s="235"/>
      <c r="AV60" s="57"/>
      <c r="AW60" s="64"/>
    </row>
    <row r="61" spans="41:49" ht="15.95" hidden="1" customHeight="1">
      <c r="AO61" s="235"/>
      <c r="AP61" s="235"/>
      <c r="AQ61" s="235"/>
      <c r="AR61" s="235"/>
      <c r="AS61" s="235"/>
      <c r="AV61" s="57"/>
      <c r="AW61" s="64"/>
    </row>
    <row r="62" spans="41:49" ht="15.95" hidden="1" customHeight="1">
      <c r="AV62" s="57"/>
      <c r="AW62" s="64"/>
    </row>
    <row r="63" spans="41:49" ht="15.95" hidden="1" customHeight="1">
      <c r="AV63" s="57"/>
      <c r="AW63" s="64"/>
    </row>
    <row r="64" spans="41:49" ht="15.95" hidden="1" customHeight="1">
      <c r="AV64" s="57"/>
      <c r="AW64" s="64"/>
    </row>
    <row r="65" spans="48:49" ht="15.95" hidden="1" customHeight="1">
      <c r="AV65" s="57"/>
      <c r="AW65" s="64"/>
    </row>
    <row r="66" spans="48:49" ht="15.95" hidden="1" customHeight="1">
      <c r="AV66" s="57"/>
      <c r="AW66" s="64"/>
    </row>
    <row r="67" spans="48:49" ht="15.95" hidden="1" customHeight="1">
      <c r="AV67" s="57"/>
      <c r="AW67" s="64"/>
    </row>
    <row r="68" spans="48:49" ht="15.95" hidden="1" customHeight="1">
      <c r="AV68" s="57"/>
      <c r="AW68" s="64"/>
    </row>
    <row r="69" spans="48:49" ht="15.95" hidden="1" customHeight="1">
      <c r="AV69" s="57"/>
      <c r="AW69" s="64"/>
    </row>
    <row r="70" spans="48:49" ht="15.95" hidden="1" customHeight="1">
      <c r="AV70" s="57"/>
      <c r="AW70" s="64"/>
    </row>
    <row r="71" spans="48:49" ht="15.95" hidden="1" customHeight="1">
      <c r="AV71" s="57"/>
      <c r="AW71" s="64"/>
    </row>
    <row r="72" spans="48:49" ht="15.95" hidden="1" customHeight="1">
      <c r="AV72" s="57"/>
      <c r="AW72" s="64"/>
    </row>
    <row r="73" spans="48:49" ht="15.95" hidden="1" customHeight="1">
      <c r="AV73" s="57"/>
      <c r="AW73" s="64"/>
    </row>
    <row r="74" spans="48:49" ht="15.95" hidden="1" customHeight="1">
      <c r="AV74" s="57"/>
      <c r="AW74" s="64"/>
    </row>
    <row r="75" spans="48:49" ht="15.95" hidden="1" customHeight="1">
      <c r="AV75" s="57"/>
      <c r="AW75" s="64"/>
    </row>
    <row r="76" spans="48:49" ht="15.95" hidden="1" customHeight="1">
      <c r="AV76" s="57"/>
      <c r="AW76" s="64"/>
    </row>
    <row r="77" spans="48:49" ht="15.95" hidden="1" customHeight="1">
      <c r="AV77" s="57"/>
      <c r="AW77" s="64"/>
    </row>
    <row r="78" spans="48:49" ht="15.95" hidden="1" customHeight="1">
      <c r="AV78" s="57"/>
      <c r="AW78" s="64"/>
    </row>
    <row r="79" spans="48:49" ht="15.95" hidden="1" customHeight="1">
      <c r="AV79" s="57"/>
      <c r="AW79" s="64"/>
    </row>
    <row r="80" spans="48:49" ht="15.95" hidden="1" customHeight="1">
      <c r="AV80" s="57"/>
      <c r="AW80" s="64"/>
    </row>
    <row r="81" spans="48:49" ht="15.95" hidden="1" customHeight="1">
      <c r="AV81" s="57"/>
      <c r="AW81" s="64"/>
    </row>
    <row r="82" spans="48:49" ht="15.95" hidden="1" customHeight="1">
      <c r="AV82" s="57"/>
      <c r="AW82" s="64"/>
    </row>
    <row r="83" spans="48:49" ht="15.95" hidden="1" customHeight="1">
      <c r="AV83" s="57"/>
      <c r="AW83" s="64"/>
    </row>
    <row r="84" spans="48:49" ht="15.95" hidden="1" customHeight="1">
      <c r="AV84" s="57"/>
      <c r="AW84" s="64"/>
    </row>
    <row r="85" spans="48:49" ht="15.95" hidden="1" customHeight="1">
      <c r="AV85" s="57"/>
      <c r="AW85" s="64"/>
    </row>
    <row r="86" spans="48:49" ht="15.95" hidden="1" customHeight="1">
      <c r="AV86" s="57"/>
      <c r="AW86" s="64"/>
    </row>
    <row r="87" spans="48:49" ht="15.95" hidden="1" customHeight="1">
      <c r="AV87" s="57"/>
      <c r="AW87" s="64"/>
    </row>
    <row r="88" spans="48:49" ht="15.95" hidden="1" customHeight="1">
      <c r="AV88" s="57"/>
      <c r="AW88" s="64"/>
    </row>
    <row r="89" spans="48:49" ht="15.95" hidden="1" customHeight="1">
      <c r="AV89" s="57"/>
      <c r="AW89" s="64"/>
    </row>
    <row r="90" spans="48:49" ht="15.95" hidden="1" customHeight="1">
      <c r="AV90" s="57"/>
      <c r="AW90" s="64"/>
    </row>
    <row r="91" spans="48:49" ht="15.95" hidden="1" customHeight="1">
      <c r="AV91" s="57"/>
      <c r="AW91" s="64"/>
    </row>
    <row r="92" spans="48:49" ht="15.95" hidden="1" customHeight="1">
      <c r="AV92" s="57"/>
      <c r="AW92" s="64"/>
    </row>
    <row r="93" spans="48:49" ht="15.95" hidden="1" customHeight="1">
      <c r="AV93" s="57"/>
      <c r="AW93" s="64"/>
    </row>
    <row r="94" spans="48:49" ht="15.95" hidden="1" customHeight="1">
      <c r="AV94" s="57"/>
      <c r="AW94" s="64"/>
    </row>
    <row r="95" spans="48:49" ht="15.95" hidden="1" customHeight="1">
      <c r="AV95" s="57"/>
      <c r="AW95" s="64"/>
    </row>
    <row r="96" spans="48:49" ht="15.95" hidden="1" customHeight="1">
      <c r="AV96" s="57"/>
      <c r="AW96" s="64"/>
    </row>
    <row r="97" spans="48:49" ht="15.95" hidden="1" customHeight="1">
      <c r="AV97" s="57"/>
      <c r="AW97" s="64"/>
    </row>
    <row r="98" spans="48:49" ht="15.95" hidden="1" customHeight="1">
      <c r="AV98" s="57"/>
      <c r="AW98" s="64"/>
    </row>
    <row r="99" spans="48:49" ht="15.95" hidden="1" customHeight="1">
      <c r="AV99" s="57"/>
      <c r="AW99" s="64"/>
    </row>
    <row r="100" spans="48:49" ht="15.95" hidden="1" customHeight="1">
      <c r="AV100" s="57"/>
      <c r="AW100" s="64"/>
    </row>
    <row r="101" spans="48:49" ht="15.95" hidden="1" customHeight="1">
      <c r="AV101" s="57"/>
      <c r="AW101" s="64"/>
    </row>
    <row r="102" spans="48:49" ht="15.95" hidden="1" customHeight="1">
      <c r="AV102" s="57"/>
      <c r="AW102" s="64"/>
    </row>
    <row r="103" spans="48:49" ht="15.95" hidden="1" customHeight="1">
      <c r="AV103" s="57"/>
      <c r="AW103" s="64"/>
    </row>
    <row r="104" spans="48:49" ht="15.95" hidden="1" customHeight="1">
      <c r="AV104" s="57"/>
      <c r="AW104" s="64"/>
    </row>
    <row r="105" spans="48:49" ht="15.95" hidden="1" customHeight="1">
      <c r="AV105" s="57"/>
      <c r="AW105" s="64"/>
    </row>
    <row r="106" spans="48:49" ht="15.95" hidden="1" customHeight="1">
      <c r="AV106" s="57"/>
      <c r="AW106" s="64"/>
    </row>
    <row r="107" spans="48:49" ht="15.95" hidden="1" customHeight="1">
      <c r="AV107" s="57"/>
      <c r="AW107" s="64"/>
    </row>
    <row r="108" spans="48:49" ht="15.95" hidden="1" customHeight="1">
      <c r="AV108" s="57"/>
      <c r="AW108" s="64"/>
    </row>
    <row r="109" spans="48:49" ht="15.95" hidden="1" customHeight="1">
      <c r="AV109" s="57"/>
      <c r="AW109" s="64"/>
    </row>
    <row r="110" spans="48:49" ht="15.95" hidden="1" customHeight="1">
      <c r="AV110" s="57"/>
      <c r="AW110" s="64"/>
    </row>
    <row r="111" spans="48:49" ht="15.95" hidden="1" customHeight="1">
      <c r="AV111" s="57"/>
      <c r="AW111" s="64"/>
    </row>
    <row r="112" spans="48:49" ht="15.95" hidden="1" customHeight="1">
      <c r="AV112" s="57"/>
      <c r="AW112" s="64"/>
    </row>
    <row r="113" spans="48:49" ht="15.95" hidden="1" customHeight="1">
      <c r="AV113" s="57"/>
      <c r="AW113" s="64"/>
    </row>
    <row r="114" spans="48:49" ht="15.95" hidden="1" customHeight="1">
      <c r="AV114" s="57"/>
      <c r="AW114" s="64"/>
    </row>
    <row r="115" spans="48:49" ht="15.95" hidden="1" customHeight="1">
      <c r="AV115" s="57"/>
      <c r="AW115" s="64"/>
    </row>
    <row r="116" spans="48:49" ht="15.95" hidden="1" customHeight="1">
      <c r="AV116" s="57"/>
      <c r="AW116" s="64"/>
    </row>
    <row r="117" spans="48:49" ht="15.95" hidden="1" customHeight="1">
      <c r="AV117" s="57"/>
      <c r="AW117" s="64"/>
    </row>
    <row r="118" spans="48:49" ht="15.95" hidden="1" customHeight="1">
      <c r="AV118" s="57"/>
      <c r="AW118" s="64"/>
    </row>
    <row r="119" spans="48:49" ht="15.95" hidden="1" customHeight="1">
      <c r="AV119" s="57"/>
      <c r="AW119" s="64"/>
    </row>
    <row r="120" spans="48:49" ht="15.95" hidden="1" customHeight="1">
      <c r="AV120" s="57"/>
      <c r="AW120" s="64"/>
    </row>
    <row r="121" spans="48:49" ht="15.95" hidden="1" customHeight="1">
      <c r="AV121" s="57"/>
      <c r="AW121" s="64"/>
    </row>
    <row r="122" spans="48:49" ht="15.95" hidden="1" customHeight="1">
      <c r="AV122" s="57"/>
      <c r="AW122" s="64"/>
    </row>
    <row r="123" spans="48:49" ht="15.95" hidden="1" customHeight="1">
      <c r="AV123" s="57"/>
      <c r="AW123" s="64"/>
    </row>
    <row r="124" spans="48:49" ht="15.95" hidden="1" customHeight="1">
      <c r="AV124" s="57"/>
      <c r="AW124" s="64"/>
    </row>
    <row r="125" spans="48:49" ht="15.95" hidden="1" customHeight="1">
      <c r="AV125" s="57"/>
      <c r="AW125" s="64"/>
    </row>
    <row r="126" spans="48:49" ht="15.95" hidden="1" customHeight="1">
      <c r="AV126" s="57"/>
      <c r="AW126" s="64"/>
    </row>
    <row r="127" spans="48:49" ht="15.95" hidden="1" customHeight="1">
      <c r="AV127" s="57"/>
      <c r="AW127" s="64"/>
    </row>
    <row r="128" spans="48:49" ht="15.95" hidden="1" customHeight="1">
      <c r="AV128" s="57"/>
      <c r="AW128" s="64"/>
    </row>
    <row r="129" spans="48:49" ht="15.95" hidden="1" customHeight="1">
      <c r="AV129" s="57"/>
      <c r="AW129" s="64"/>
    </row>
    <row r="130" spans="48:49" ht="15.95" hidden="1" customHeight="1">
      <c r="AV130" s="57"/>
      <c r="AW130" s="64"/>
    </row>
    <row r="131" spans="48:49" ht="15.95" hidden="1" customHeight="1">
      <c r="AV131" s="57"/>
      <c r="AW131" s="64"/>
    </row>
    <row r="132" spans="48:49" ht="15.95" hidden="1" customHeight="1">
      <c r="AV132" s="57"/>
      <c r="AW132" s="64"/>
    </row>
    <row r="133" spans="48:49" ht="15.95" hidden="1" customHeight="1">
      <c r="AV133" s="57"/>
      <c r="AW133" s="64"/>
    </row>
    <row r="134" spans="48:49" ht="15.95" hidden="1" customHeight="1">
      <c r="AV134" s="57"/>
      <c r="AW134" s="64"/>
    </row>
    <row r="135" spans="48:49" ht="15.95" hidden="1" customHeight="1">
      <c r="AV135" s="57"/>
      <c r="AW135" s="64"/>
    </row>
    <row r="136" spans="48:49" ht="15.95" hidden="1" customHeight="1">
      <c r="AV136" s="57"/>
      <c r="AW136" s="64"/>
    </row>
    <row r="137" spans="48:49" ht="15.95" hidden="1" customHeight="1">
      <c r="AV137" s="57"/>
      <c r="AW137" s="64"/>
    </row>
    <row r="138" spans="48:49" ht="15.95" hidden="1" customHeight="1">
      <c r="AV138" s="57"/>
      <c r="AW138" s="64"/>
    </row>
    <row r="139" spans="48:49" ht="15.95" hidden="1" customHeight="1">
      <c r="AV139" s="57"/>
      <c r="AW139" s="64"/>
    </row>
    <row r="140" spans="48:49" ht="15.95" hidden="1" customHeight="1">
      <c r="AV140" s="57"/>
      <c r="AW140" s="64"/>
    </row>
    <row r="141" spans="48:49" ht="15.95" hidden="1" customHeight="1">
      <c r="AV141" s="57"/>
      <c r="AW141" s="64"/>
    </row>
    <row r="142" spans="48:49" ht="15.95" hidden="1" customHeight="1">
      <c r="AV142" s="57"/>
      <c r="AW142" s="64"/>
    </row>
    <row r="143" spans="48:49" ht="15.95" hidden="1" customHeight="1">
      <c r="AV143" s="57"/>
      <c r="AW143" s="64"/>
    </row>
    <row r="144" spans="48:49" ht="15.95" hidden="1" customHeight="1">
      <c r="AV144" s="57"/>
      <c r="AW144" s="64"/>
    </row>
    <row r="145" spans="48:49" ht="15.95" hidden="1" customHeight="1">
      <c r="AV145" s="57"/>
      <c r="AW145" s="64"/>
    </row>
    <row r="146" spans="48:49" ht="15.95" hidden="1" customHeight="1">
      <c r="AV146" s="57"/>
      <c r="AW146" s="64"/>
    </row>
    <row r="147" spans="48:49" ht="15.95" hidden="1" customHeight="1">
      <c r="AV147" s="57"/>
      <c r="AW147" s="64"/>
    </row>
    <row r="148" spans="48:49" ht="15.95" hidden="1" customHeight="1">
      <c r="AV148" s="57"/>
      <c r="AW148" s="64"/>
    </row>
    <row r="149" spans="48:49" ht="15.95" hidden="1" customHeight="1">
      <c r="AV149" s="57"/>
      <c r="AW149" s="64"/>
    </row>
    <row r="150" spans="48:49" ht="15.95" hidden="1" customHeight="1">
      <c r="AV150" s="57"/>
      <c r="AW150" s="64"/>
    </row>
    <row r="151" spans="48:49" ht="15.95" hidden="1" customHeight="1">
      <c r="AV151" s="57"/>
      <c r="AW151" s="64"/>
    </row>
    <row r="152" spans="48:49" ht="15.95" hidden="1" customHeight="1">
      <c r="AV152" s="57"/>
      <c r="AW152" s="64"/>
    </row>
    <row r="153" spans="48:49" ht="15.95" hidden="1" customHeight="1">
      <c r="AV153" s="57"/>
      <c r="AW153" s="64"/>
    </row>
    <row r="154" spans="48:49" ht="15.95" hidden="1" customHeight="1">
      <c r="AV154" s="57"/>
      <c r="AW154" s="64"/>
    </row>
    <row r="155" spans="48:49" ht="15.95" hidden="1" customHeight="1">
      <c r="AV155" s="57"/>
      <c r="AW155" s="64"/>
    </row>
    <row r="156" spans="48:49" ht="15.95" hidden="1" customHeight="1">
      <c r="AV156" s="57"/>
      <c r="AW156" s="64"/>
    </row>
    <row r="157" spans="48:49" ht="15.95" hidden="1" customHeight="1">
      <c r="AV157" s="57"/>
      <c r="AW157" s="64"/>
    </row>
    <row r="158" spans="48:49" ht="15.95" hidden="1" customHeight="1">
      <c r="AV158" s="57"/>
      <c r="AW158" s="64"/>
    </row>
    <row r="159" spans="48:49" ht="15.95" hidden="1" customHeight="1">
      <c r="AV159" s="57"/>
      <c r="AW159" s="64"/>
    </row>
    <row r="160" spans="48:49" ht="15.95" hidden="1" customHeight="1">
      <c r="AV160" s="57"/>
      <c r="AW160" s="64"/>
    </row>
    <row r="161" spans="48:49" ht="15.95" hidden="1" customHeight="1">
      <c r="AV161" s="57"/>
      <c r="AW161" s="64"/>
    </row>
    <row r="162" spans="48:49" ht="15.95" hidden="1" customHeight="1">
      <c r="AV162" s="57"/>
      <c r="AW162" s="64"/>
    </row>
    <row r="163" spans="48:49" ht="15.95" hidden="1" customHeight="1">
      <c r="AV163" s="57"/>
      <c r="AW163" s="64"/>
    </row>
    <row r="164" spans="48:49" ht="15.95" hidden="1" customHeight="1">
      <c r="AV164" s="57"/>
      <c r="AW164" s="64"/>
    </row>
    <row r="165" spans="48:49" ht="15.95" hidden="1" customHeight="1">
      <c r="AV165" s="57"/>
      <c r="AW165" s="64"/>
    </row>
    <row r="166" spans="48:49" ht="15.95" hidden="1" customHeight="1">
      <c r="AV166" s="57"/>
      <c r="AW166" s="64"/>
    </row>
    <row r="167" spans="48:49" ht="15.95" hidden="1" customHeight="1">
      <c r="AV167" s="57"/>
      <c r="AW167" s="64"/>
    </row>
    <row r="168" spans="48:49" ht="15.95" hidden="1" customHeight="1">
      <c r="AV168" s="57"/>
      <c r="AW168" s="64"/>
    </row>
    <row r="169" spans="48:49" ht="15.95" hidden="1" customHeight="1">
      <c r="AV169" s="57"/>
      <c r="AW169" s="64"/>
    </row>
    <row r="170" spans="48:49" ht="15.95" hidden="1" customHeight="1">
      <c r="AV170" s="57"/>
      <c r="AW170" s="64"/>
    </row>
    <row r="171" spans="48:49" ht="15.95" hidden="1" customHeight="1">
      <c r="AV171" s="57"/>
      <c r="AW171" s="64"/>
    </row>
    <row r="172" spans="48:49" ht="15.95" hidden="1" customHeight="1">
      <c r="AV172" s="57"/>
      <c r="AW172" s="64"/>
    </row>
    <row r="173" spans="48:49" ht="15.95" hidden="1" customHeight="1">
      <c r="AV173" s="57"/>
      <c r="AW173" s="64"/>
    </row>
    <row r="174" spans="48:49" ht="15.95" hidden="1" customHeight="1">
      <c r="AV174" s="57"/>
      <c r="AW174" s="64"/>
    </row>
    <row r="175" spans="48:49" ht="15.95" hidden="1" customHeight="1">
      <c r="AV175" s="57"/>
      <c r="AW175" s="64"/>
    </row>
    <row r="176" spans="48:49" ht="15.95" hidden="1" customHeight="1">
      <c r="AV176" s="57"/>
      <c r="AW176" s="64"/>
    </row>
    <row r="177" spans="48:49" ht="15.95" hidden="1" customHeight="1">
      <c r="AV177" s="57"/>
      <c r="AW177" s="64"/>
    </row>
    <row r="178" spans="48:49" ht="15.95" hidden="1" customHeight="1">
      <c r="AV178" s="57"/>
      <c r="AW178" s="64"/>
    </row>
    <row r="179" spans="48:49" ht="15.95" hidden="1" customHeight="1">
      <c r="AV179" s="57"/>
      <c r="AW179" s="64"/>
    </row>
    <row r="180" spans="48:49" ht="15.95" hidden="1" customHeight="1">
      <c r="AV180" s="57"/>
      <c r="AW180" s="64"/>
    </row>
    <row r="181" spans="48:49" ht="15.95" hidden="1" customHeight="1">
      <c r="AV181" s="57"/>
      <c r="AW181" s="64"/>
    </row>
    <row r="182" spans="48:49" ht="15.95" hidden="1" customHeight="1">
      <c r="AV182" s="57"/>
      <c r="AW182" s="64"/>
    </row>
    <row r="183" spans="48:49" ht="15.95" hidden="1" customHeight="1">
      <c r="AV183" s="57"/>
      <c r="AW183" s="64"/>
    </row>
    <row r="184" spans="48:49" ht="15.95" hidden="1" customHeight="1">
      <c r="AV184" s="57"/>
      <c r="AW184" s="64"/>
    </row>
    <row r="185" spans="48:49" ht="15.95" hidden="1" customHeight="1">
      <c r="AV185" s="57"/>
      <c r="AW185" s="64"/>
    </row>
    <row r="186" spans="48:49" ht="15.95" hidden="1" customHeight="1">
      <c r="AV186" s="57"/>
      <c r="AW186" s="64"/>
    </row>
    <row r="187" spans="48:49" ht="15.95" hidden="1" customHeight="1">
      <c r="AV187" s="57"/>
      <c r="AW187" s="64"/>
    </row>
    <row r="188" spans="48:49" ht="15.95" hidden="1" customHeight="1">
      <c r="AV188" s="57"/>
      <c r="AW188" s="64"/>
    </row>
    <row r="189" spans="48:49" ht="15.95" hidden="1" customHeight="1">
      <c r="AV189" s="57"/>
      <c r="AW189" s="64"/>
    </row>
    <row r="190" spans="48:49" ht="15.95" hidden="1" customHeight="1">
      <c r="AV190" s="57"/>
      <c r="AW190" s="64"/>
    </row>
    <row r="191" spans="48:49" ht="15.95" hidden="1" customHeight="1">
      <c r="AV191" s="57"/>
      <c r="AW191" s="64"/>
    </row>
    <row r="192" spans="48:49" ht="15.95" hidden="1" customHeight="1">
      <c r="AV192" s="57"/>
      <c r="AW192" s="64"/>
    </row>
    <row r="193" spans="1:54" ht="15.95" hidden="1" customHeight="1">
      <c r="AV193" s="57"/>
      <c r="AW193" s="64"/>
    </row>
    <row r="194" spans="1:54" ht="15.95" hidden="1" customHeight="1">
      <c r="AV194" s="57"/>
      <c r="AW194" s="64"/>
    </row>
    <row r="195" spans="1:54" ht="15.95" hidden="1" customHeight="1">
      <c r="AV195" s="57"/>
      <c r="AW195" s="64"/>
    </row>
    <row r="196" spans="1:54" ht="15.95" hidden="1" customHeight="1">
      <c r="AV196" s="57"/>
      <c r="AW196" s="64"/>
    </row>
    <row r="197" spans="1:54" ht="15.95" hidden="1" customHeight="1">
      <c r="AV197" s="57"/>
      <c r="AW197" s="64"/>
    </row>
    <row r="198" spans="1:54" ht="15.95" hidden="1" customHeight="1">
      <c r="AV198" s="57"/>
      <c r="AW198" s="64"/>
    </row>
    <row r="199" spans="1:54" ht="15.95" hidden="1" customHeight="1">
      <c r="AV199" s="57"/>
      <c r="AW199" s="64"/>
    </row>
    <row r="200" spans="1:54"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T200" s="862">
        <f>SUM(AT18:AT199)</f>
        <v>0</v>
      </c>
      <c r="AU200"/>
      <c r="AV200" s="863">
        <f>SUM(AV18:AV199)</f>
        <v>0</v>
      </c>
      <c r="AW200" s="864">
        <f>SUM(AW18:AW199)</f>
        <v>0</v>
      </c>
      <c r="AZ200"/>
      <c r="BB200" s="180"/>
    </row>
    <row r="201" spans="1:54"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T201" s="862"/>
      <c r="AU201"/>
      <c r="AV201" s="863"/>
      <c r="AW201" s="864"/>
      <c r="AZ201"/>
      <c r="BB201" s="180"/>
    </row>
    <row r="202" spans="1:54"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4" ht="15.95" hidden="1" customHeight="1"/>
    <row r="204" spans="1:54" ht="15.95" hidden="1" customHeight="1"/>
  </sheetData>
  <sheetProtection algorithmName="SHA-512" hashValue="k4C5EwQseWBt2UDwIGFnlVkscatEXXYumtvWYbrNJ2t4NHlH0jQ3ugpRSrWJ49v6zOhxWQSsSSmKJRUXNiJ+JA==" saltValue="esrd9ZcBU2M/fHWrur88Pw==" spinCount="100000" sheet="1" objects="1" scenarios="1" selectLockedCells="1"/>
  <mergeCells count="326">
    <mergeCell ref="BI34:BI35"/>
    <mergeCell ref="BI36:BI37"/>
    <mergeCell ref="BI16:BI17"/>
    <mergeCell ref="BI18:BI19"/>
    <mergeCell ref="BI20:BI21"/>
    <mergeCell ref="BI22:BI23"/>
    <mergeCell ref="BI24:BI25"/>
    <mergeCell ref="BI26:BI27"/>
    <mergeCell ref="BI28:BI29"/>
    <mergeCell ref="BI30:BI31"/>
    <mergeCell ref="BI32:BI33"/>
    <mergeCell ref="BG36:BG37"/>
    <mergeCell ref="BH36:BH37"/>
    <mergeCell ref="BG26:BG27"/>
    <mergeCell ref="BH26:BH27"/>
    <mergeCell ref="BG28:BG29"/>
    <mergeCell ref="BH28:BH29"/>
    <mergeCell ref="BG30:BG31"/>
    <mergeCell ref="BH30:BH31"/>
    <mergeCell ref="BG32:BG33"/>
    <mergeCell ref="BH32:BH33"/>
    <mergeCell ref="BG34:BG35"/>
    <mergeCell ref="BH34:BH35"/>
    <mergeCell ref="BG16:BG17"/>
    <mergeCell ref="BH16:BH17"/>
    <mergeCell ref="BG18:BG19"/>
    <mergeCell ref="BH18:BH19"/>
    <mergeCell ref="BG20:BG21"/>
    <mergeCell ref="BH20:BH21"/>
    <mergeCell ref="BG22:BG23"/>
    <mergeCell ref="BH22:BH23"/>
    <mergeCell ref="BG24:BG25"/>
    <mergeCell ref="BH24:BH25"/>
    <mergeCell ref="BE36:BE37"/>
    <mergeCell ref="BF36:BF37"/>
    <mergeCell ref="BE26:BE27"/>
    <mergeCell ref="BF26:BF27"/>
    <mergeCell ref="BE28:BE29"/>
    <mergeCell ref="BF28:BF29"/>
    <mergeCell ref="BE30:BE31"/>
    <mergeCell ref="BF30:BF31"/>
    <mergeCell ref="BE32:BE33"/>
    <mergeCell ref="BF32:BF33"/>
    <mergeCell ref="BE34:BE35"/>
    <mergeCell ref="BF34:BF35"/>
    <mergeCell ref="BE16:BE17"/>
    <mergeCell ref="BF16:BF17"/>
    <mergeCell ref="BE18:BE19"/>
    <mergeCell ref="BF18:BF19"/>
    <mergeCell ref="BE20:BE21"/>
    <mergeCell ref="BF20:BF21"/>
    <mergeCell ref="BE22:BE23"/>
    <mergeCell ref="BF22:BF23"/>
    <mergeCell ref="BE24:BE25"/>
    <mergeCell ref="BF24:BF25"/>
    <mergeCell ref="AZ22:AZ23"/>
    <mergeCell ref="AZ24:AZ25"/>
    <mergeCell ref="AZ26:AZ27"/>
    <mergeCell ref="AY16:AY17"/>
    <mergeCell ref="BA16:BB16"/>
    <mergeCell ref="AX18:AX19"/>
    <mergeCell ref="AY18:AY19"/>
    <mergeCell ref="BA18:BA19"/>
    <mergeCell ref="BB18:BB19"/>
    <mergeCell ref="AX20:AX21"/>
    <mergeCell ref="AY20:AY21"/>
    <mergeCell ref="BA20:BA21"/>
    <mergeCell ref="BB20:BB21"/>
    <mergeCell ref="AZ16:AZ17"/>
    <mergeCell ref="AZ18:AZ19"/>
    <mergeCell ref="AZ20:AZ21"/>
    <mergeCell ref="AX16:AX17"/>
    <mergeCell ref="AF9:AI11"/>
    <mergeCell ref="AJ9:AM11"/>
    <mergeCell ref="AI13:AQ13"/>
    <mergeCell ref="A4:E6"/>
    <mergeCell ref="A7:E8"/>
    <mergeCell ref="F1:I3"/>
    <mergeCell ref="J1:M3"/>
    <mergeCell ref="AH1:AK3"/>
    <mergeCell ref="AL1:AO3"/>
    <mergeCell ref="AP1:AS3"/>
    <mergeCell ref="H9:K11"/>
    <mergeCell ref="L9:O11"/>
    <mergeCell ref="P9:S11"/>
    <mergeCell ref="T9:W11"/>
    <mergeCell ref="X9:AA11"/>
    <mergeCell ref="AB9:AE11"/>
    <mergeCell ref="AO5:AS6"/>
    <mergeCell ref="AO7:AS7"/>
    <mergeCell ref="AO8:AS8"/>
    <mergeCell ref="O1:AE3"/>
    <mergeCell ref="C16:Q17"/>
    <mergeCell ref="R16:T17"/>
    <mergeCell ref="U16:V17"/>
    <mergeCell ref="W16:Z17"/>
    <mergeCell ref="AA16:AD17"/>
    <mergeCell ref="R12:U13"/>
    <mergeCell ref="V12:Y13"/>
    <mergeCell ref="Z12:AC13"/>
    <mergeCell ref="C13:P13"/>
    <mergeCell ref="AG20:AH21"/>
    <mergeCell ref="BD16:BD17"/>
    <mergeCell ref="AE17:AF17"/>
    <mergeCell ref="AG17:AH17"/>
    <mergeCell ref="B18:B19"/>
    <mergeCell ref="C18:Q19"/>
    <mergeCell ref="R18:T19"/>
    <mergeCell ref="U18:V19"/>
    <mergeCell ref="W18:Z19"/>
    <mergeCell ref="AA18:AD19"/>
    <mergeCell ref="AE18:AF19"/>
    <mergeCell ref="AE16:AH16"/>
    <mergeCell ref="AI16:AJ17"/>
    <mergeCell ref="AK16:AM17"/>
    <mergeCell ref="AN16:AQ17"/>
    <mergeCell ref="AT16:AT17"/>
    <mergeCell ref="AV16:AW16"/>
    <mergeCell ref="AW18:AW19"/>
    <mergeCell ref="BD18:BD19"/>
    <mergeCell ref="AI18:AJ19"/>
    <mergeCell ref="AK18:AM19"/>
    <mergeCell ref="AN18:AQ19"/>
    <mergeCell ref="AT18:AT19"/>
    <mergeCell ref="AV18:AV19"/>
    <mergeCell ref="AI24:AJ25"/>
    <mergeCell ref="BD20:BD21"/>
    <mergeCell ref="B22:B23"/>
    <mergeCell ref="C22:Q23"/>
    <mergeCell ref="R22:T23"/>
    <mergeCell ref="U22:V23"/>
    <mergeCell ref="W22:Z23"/>
    <mergeCell ref="AA22:AD23"/>
    <mergeCell ref="AE22:AF23"/>
    <mergeCell ref="AG22:AH23"/>
    <mergeCell ref="AI22:AJ23"/>
    <mergeCell ref="AI20:AJ21"/>
    <mergeCell ref="AK20:AM21"/>
    <mergeCell ref="AN20:AQ21"/>
    <mergeCell ref="AT20:AT21"/>
    <mergeCell ref="AV20:AV21"/>
    <mergeCell ref="AW20:AW21"/>
    <mergeCell ref="B20:B21"/>
    <mergeCell ref="C20:Q21"/>
    <mergeCell ref="R20:T21"/>
    <mergeCell ref="U20:V21"/>
    <mergeCell ref="W20:Z21"/>
    <mergeCell ref="AA20:AD21"/>
    <mergeCell ref="AE20:AF21"/>
    <mergeCell ref="AG24:AH25"/>
    <mergeCell ref="AV22:AV23"/>
    <mergeCell ref="AW22:AW23"/>
    <mergeCell ref="BD22:BD23"/>
    <mergeCell ref="AI26:AJ27"/>
    <mergeCell ref="AK26:AM27"/>
    <mergeCell ref="AN26:AQ27"/>
    <mergeCell ref="AT26:AT27"/>
    <mergeCell ref="AV26:AV27"/>
    <mergeCell ref="AX22:AX23"/>
    <mergeCell ref="AY22:AY23"/>
    <mergeCell ref="BA22:BA23"/>
    <mergeCell ref="BB22:BB23"/>
    <mergeCell ref="AX24:AX25"/>
    <mergeCell ref="AY24:AY25"/>
    <mergeCell ref="BA24:BA25"/>
    <mergeCell ref="BB24:BB25"/>
    <mergeCell ref="AX26:AX27"/>
    <mergeCell ref="AY26:AY27"/>
    <mergeCell ref="BA26:BA27"/>
    <mergeCell ref="BB26:BB27"/>
    <mergeCell ref="AV24:AV25"/>
    <mergeCell ref="AW24:AW25"/>
    <mergeCell ref="BD24:BD25"/>
    <mergeCell ref="B24:B25"/>
    <mergeCell ref="C24:Q25"/>
    <mergeCell ref="R24:T25"/>
    <mergeCell ref="U24:V25"/>
    <mergeCell ref="W24:Z25"/>
    <mergeCell ref="AA24:AD25"/>
    <mergeCell ref="B26:B27"/>
    <mergeCell ref="C26:Q27"/>
    <mergeCell ref="R26:T27"/>
    <mergeCell ref="U26:V27"/>
    <mergeCell ref="W26:Z27"/>
    <mergeCell ref="AA26:AD27"/>
    <mergeCell ref="AW26:AW27"/>
    <mergeCell ref="BD26:BD27"/>
    <mergeCell ref="AG26:AH27"/>
    <mergeCell ref="BC24:BC25"/>
    <mergeCell ref="BD30:BD31"/>
    <mergeCell ref="BD28:BD29"/>
    <mergeCell ref="B30:B31"/>
    <mergeCell ref="C30:Q31"/>
    <mergeCell ref="R30:T31"/>
    <mergeCell ref="U30:V31"/>
    <mergeCell ref="W30:Z31"/>
    <mergeCell ref="AA30:AD31"/>
    <mergeCell ref="AE30:AF31"/>
    <mergeCell ref="AG30:AH31"/>
    <mergeCell ref="AI30:AJ31"/>
    <mergeCell ref="AI28:AJ29"/>
    <mergeCell ref="AK28:AM29"/>
    <mergeCell ref="AN28:AQ29"/>
    <mergeCell ref="AT28:AT29"/>
    <mergeCell ref="AV28:AV29"/>
    <mergeCell ref="AW28:AW29"/>
    <mergeCell ref="B28:B29"/>
    <mergeCell ref="C28:Q29"/>
    <mergeCell ref="AE28:AF29"/>
    <mergeCell ref="AX28:AX29"/>
    <mergeCell ref="AY28:AY29"/>
    <mergeCell ref="BA28:BA29"/>
    <mergeCell ref="B36:B37"/>
    <mergeCell ref="C36:Q37"/>
    <mergeCell ref="R36:T37"/>
    <mergeCell ref="U36:V37"/>
    <mergeCell ref="W36:Z37"/>
    <mergeCell ref="AE36:AF37"/>
    <mergeCell ref="AA36:AD37"/>
    <mergeCell ref="AZ28:AZ29"/>
    <mergeCell ref="AZ30:AZ31"/>
    <mergeCell ref="AX30:AX31"/>
    <mergeCell ref="AY30:AY31"/>
    <mergeCell ref="BA30:BA31"/>
    <mergeCell ref="AX32:AX33"/>
    <mergeCell ref="AY32:AY33"/>
    <mergeCell ref="BA32:BA33"/>
    <mergeCell ref="BD32:BD33"/>
    <mergeCell ref="B34:B35"/>
    <mergeCell ref="C34:Q35"/>
    <mergeCell ref="R34:T35"/>
    <mergeCell ref="U34:V35"/>
    <mergeCell ref="W34:Z35"/>
    <mergeCell ref="AA34:AD35"/>
    <mergeCell ref="AE34:AF35"/>
    <mergeCell ref="AE32:AF33"/>
    <mergeCell ref="AG32:AH33"/>
    <mergeCell ref="AI32:AJ33"/>
    <mergeCell ref="AK32:AM33"/>
    <mergeCell ref="AN32:AQ33"/>
    <mergeCell ref="AT32:AT33"/>
    <mergeCell ref="B32:B33"/>
    <mergeCell ref="C32:Q33"/>
    <mergeCell ref="R32:T33"/>
    <mergeCell ref="AZ32:AZ33"/>
    <mergeCell ref="BB32:BB33"/>
    <mergeCell ref="BD36:BD37"/>
    <mergeCell ref="AI36:AJ37"/>
    <mergeCell ref="AK36:AM37"/>
    <mergeCell ref="AN36:AQ37"/>
    <mergeCell ref="AT36:AT37"/>
    <mergeCell ref="AV36:AV37"/>
    <mergeCell ref="AW36:AW37"/>
    <mergeCell ref="AX36:AX37"/>
    <mergeCell ref="AG34:AH35"/>
    <mergeCell ref="AY36:AY37"/>
    <mergeCell ref="BA36:BA37"/>
    <mergeCell ref="BB36:BB37"/>
    <mergeCell ref="BC34:BC35"/>
    <mergeCell ref="BC36:BC37"/>
    <mergeCell ref="AU34:AU35"/>
    <mergeCell ref="AU36:AU37"/>
    <mergeCell ref="BD34:BD35"/>
    <mergeCell ref="AI34:AJ35"/>
    <mergeCell ref="AX34:AX35"/>
    <mergeCell ref="AY34:AY35"/>
    <mergeCell ref="BA34:BA35"/>
    <mergeCell ref="BB34:BB35"/>
    <mergeCell ref="AZ34:AZ35"/>
    <mergeCell ref="AZ36:AZ37"/>
    <mergeCell ref="AK22:AM23"/>
    <mergeCell ref="AG18:AH19"/>
    <mergeCell ref="R14:U14"/>
    <mergeCell ref="V14:Y14"/>
    <mergeCell ref="AK34:AM35"/>
    <mergeCell ref="AN34:AQ35"/>
    <mergeCell ref="AT34:AT35"/>
    <mergeCell ref="W32:Z33"/>
    <mergeCell ref="AA32:AD33"/>
    <mergeCell ref="R28:T29"/>
    <mergeCell ref="U28:V29"/>
    <mergeCell ref="W28:Z29"/>
    <mergeCell ref="AA28:AD29"/>
    <mergeCell ref="AK30:AM31"/>
    <mergeCell ref="U32:V33"/>
    <mergeCell ref="AN22:AQ23"/>
    <mergeCell ref="AT22:AT23"/>
    <mergeCell ref="Z14:AC14"/>
    <mergeCell ref="AG28:AH29"/>
    <mergeCell ref="AK24:AM25"/>
    <mergeCell ref="AN24:AQ25"/>
    <mergeCell ref="AT24:AT25"/>
    <mergeCell ref="AE26:AF27"/>
    <mergeCell ref="AE24:AF25"/>
    <mergeCell ref="M200:AG201"/>
    <mergeCell ref="AT200:AT201"/>
    <mergeCell ref="AV200:AV201"/>
    <mergeCell ref="AW200:AW201"/>
    <mergeCell ref="AW34:AW35"/>
    <mergeCell ref="AV34:AV35"/>
    <mergeCell ref="AV32:AV33"/>
    <mergeCell ref="AW32:AW33"/>
    <mergeCell ref="AN30:AQ31"/>
    <mergeCell ref="AT30:AT31"/>
    <mergeCell ref="AG36:AH37"/>
    <mergeCell ref="AV30:AV31"/>
    <mergeCell ref="AW30:AW31"/>
    <mergeCell ref="BC16:BC17"/>
    <mergeCell ref="BC18:BC19"/>
    <mergeCell ref="BC20:BC21"/>
    <mergeCell ref="BC22:BC23"/>
    <mergeCell ref="BC26:BC27"/>
    <mergeCell ref="BC28:BC29"/>
    <mergeCell ref="BC30:BC31"/>
    <mergeCell ref="BC32:BC33"/>
    <mergeCell ref="BB28:BB29"/>
    <mergeCell ref="BB30:BB31"/>
    <mergeCell ref="AU16:AU17"/>
    <mergeCell ref="AU18:AU19"/>
    <mergeCell ref="AU20:AU21"/>
    <mergeCell ref="AU22:AU23"/>
    <mergeCell ref="AU24:AU25"/>
    <mergeCell ref="AU26:AU27"/>
    <mergeCell ref="AU28:AU29"/>
    <mergeCell ref="AU30:AU31"/>
    <mergeCell ref="AU32:AU33"/>
  </mergeCells>
  <conditionalFormatting sqref="AO8:AS8">
    <cfRule type="expression" dxfId="95" priority="4">
      <formula>IF($AO$8=PROJSTATMEASURE,FALSE,TRUE)</formula>
    </cfRule>
  </conditionalFormatting>
  <conditionalFormatting sqref="U18:AH21 U24:AH37">
    <cfRule type="expression" dxfId="94" priority="3">
      <formula>AND(ISBLANK($C18)=FALSE,OR(ISBLANK(U18)=TRUE,U18=""))</formula>
    </cfRule>
  </conditionalFormatting>
  <conditionalFormatting sqref="U22:AH23">
    <cfRule type="expression" dxfId="93" priority="2">
      <formula>AND(ISBLANK($C22)=FALSE,OR(ISBLANK(U22)=TRUE,U22=""))</formula>
    </cfRule>
  </conditionalFormatting>
  <dataValidations count="5">
    <dataValidation type="whole" allowBlank="1" showInputMessage="1" showErrorMessage="1" prompt="Reference the &quot;Quantity Type&quot; column to ensure you enter the correct value." sqref="U18:V37" xr:uid="{D3D71481-7B2D-4CD4-9994-EF2B562D3F7D}">
      <formula1>0</formula1>
      <formula2>9999</formula2>
    </dataValidation>
    <dataValidation type="decimal" allowBlank="1" showInputMessage="1" showErrorMessage="1" prompt="This is the TOTAL Labor Cost of the measure, NOT a per unit basis." sqref="AG18:AH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E18:AF37" xr:uid="{2F65C060-EA6E-4719-9BB8-2A11B0BE7471}">
      <formula1>0</formula1>
      <formula2>999999</formula2>
    </dataValidation>
    <dataValidation allowBlank="1" showInputMessage="1" showErrorMessage="1" prompt="Install Location should describe the area where the lighting was installed. (Ex: Room 2b)" sqref="AA18:AD37" xr:uid="{88D906F6-A64B-4068-884B-17C2D1BEF7FA}"/>
  </dataValidations>
  <hyperlinks>
    <hyperlink ref="H9:K11" location="'M03-S02'!C18" tooltip="Lighting" display="'M03-S02'!C18" xr:uid="{50500EFC-A344-462F-9537-46E6CE2D38D2}"/>
    <hyperlink ref="L9:O11" location="'M03-S03'!C18" tooltip="Lighting Controls" display="'M03-S03'!C18" xr:uid="{E7FF4846-9558-4945-98C1-FC4687EB9722}"/>
    <hyperlink ref="P9:S11" location="'M03-S04'!C18" tooltip="Refrigeration" display="'M03-S04'!C18" xr:uid="{405AFAD4-0809-4A9C-82A9-1A36FE766D30}"/>
    <hyperlink ref="T9:W11" location="'M03-S05'!C18" tooltip="HVAC" display="'M03-S05'!C18" xr:uid="{96F90B57-791D-4B4A-A328-6ADA6104BCC8}"/>
    <hyperlink ref="AB9:AE11" location="'M03-S06'!C18" tooltip="Compressed Air / Process" display="'M03-S06'!C18" xr:uid="{4F5E570E-AC9B-427C-9C6A-531C2999D620}"/>
    <hyperlink ref="AF9:AI11" location="'M03-S07'!C18" tooltip="Water Heating / Cooking" display="'M03-S07'!C18" xr:uid="{A84DFC61-A096-417B-AECA-54F03B7B3440}"/>
    <hyperlink ref="X9:AA11" location="'M03-S08'!C18" tooltip="Motors and Drives" display="'M03-S08'!C18" xr:uid="{63666FF6-6C71-4676-BC51-07D15F2EEE71}"/>
    <hyperlink ref="AJ9:AM11" location="'M04-S09'!C18" tooltip="Miscellaneous" display="'M04-S09'!C18" xr:uid="{E4D075CC-123F-4F7F-9A46-AF6264B7147B}"/>
    <hyperlink ref="J1:M3" location="'M01-S02'!J1" tooltip="Instructions" display="'M01-S02'!J1" xr:uid="{9D1C91EA-51D6-49F8-80EF-DF799E490B63}"/>
    <hyperlink ref="AL1:AO3" location="'M05-S05'!AL1" tooltip=" " display="'M05-S05'!AL1" xr:uid="{E7619C53-9F46-4284-8C90-7BB07FA00669}"/>
    <hyperlink ref="AH1:AK3" location="'M05-S04'!AH1" tooltip=" " display="'M05-S04'!AH1" xr:uid="{62A4420F-7B2A-42EF-934F-479F73ACDE0F}"/>
    <hyperlink ref="AP1:AS3" location="'M01-S03'!AP1" tooltip="Contact" display="'M01-S03'!AP1" xr:uid="{0CD741CB-111E-443B-9BF7-9A4A8E4D56BC}"/>
    <hyperlink ref="B202" r:id="rId1" xr:uid="{54BC69C9-2CE0-453A-87D0-9F3BA6FF497C}"/>
  </hyperlinks>
  <printOptions horizontalCentered="1"/>
  <pageMargins left="0.25" right="0.25" top="0.25" bottom="0.25" header="0.25" footer="0.25"/>
  <pageSetup scale="62"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pageSetUpPr fitToPage="1"/>
  </sheetPr>
  <dimension ref="A1:BI204"/>
  <sheetViews>
    <sheetView showGridLines="0" showRowColHeaders="0" zoomScale="85" zoomScaleNormal="85" workbookViewId="0">
      <selection activeCell="C18" sqref="C18:Q19"/>
    </sheetView>
  </sheetViews>
  <sheetFormatPr defaultColWidth="0" defaultRowHeight="15" zeroHeight="1"/>
  <cols>
    <col min="1" max="45" width="4.7109375" style="14" customWidth="1"/>
    <col min="46" max="46" width="9.5703125" style="14" hidden="1" customWidth="1"/>
    <col min="47" max="47" width="15.7109375" style="180" hidden="1" customWidth="1"/>
    <col min="48" max="51" width="9.5703125" style="14" hidden="1" customWidth="1"/>
    <col min="52" max="52" width="9.5703125" style="180" hidden="1" customWidth="1"/>
    <col min="53" max="54" width="9.5703125" style="14" hidden="1" customWidth="1"/>
    <col min="55" max="55" width="9.5703125" style="180" hidden="1" customWidth="1"/>
    <col min="56" max="59" width="9.5703125" style="14" hidden="1" customWidth="1"/>
    <col min="60" max="60" width="12.42578125" style="14" hidden="1" customWidth="1"/>
    <col min="61" max="61" width="9.5703125" style="14" hidden="1" customWidth="1"/>
    <col min="62" max="71" width="4.7109375" style="14" hidden="1" customWidth="1"/>
    <col min="72" max="16384" width="4.7109375" style="14" hidden="1"/>
  </cols>
  <sheetData>
    <row r="1" spans="1:61" customFormat="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61" customFormat="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61" customFormat="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61" ht="15.95" customHeight="1">
      <c r="A4" s="773">
        <f>INCENTOTAL</f>
        <v>0</v>
      </c>
      <c r="B4" s="773"/>
      <c r="C4" s="773"/>
      <c r="D4" s="773"/>
      <c r="E4" s="773"/>
      <c r="U4" s="180"/>
      <c r="V4" s="180"/>
      <c r="W4" s="180"/>
      <c r="X4" s="180"/>
      <c r="Y4" s="180"/>
      <c r="AO4" s="180"/>
      <c r="AP4" s="180"/>
      <c r="AQ4" s="180"/>
      <c r="AR4" s="180"/>
      <c r="AS4" s="180"/>
      <c r="AT4"/>
    </row>
    <row r="5" spans="1:61"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c r="AT5"/>
      <c r="AU5" s="290"/>
      <c r="AV5" s="194" t="s">
        <v>1438</v>
      </c>
      <c r="AW5" s="194" t="s">
        <v>336</v>
      </c>
    </row>
    <row r="6" spans="1:61"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c r="AT6"/>
      <c r="AU6" s="193" t="s">
        <v>1443</v>
      </c>
      <c r="AV6" s="192" t="str">
        <f>CBPRESE</f>
        <v>NA</v>
      </c>
      <c r="AW6" s="192" t="str">
        <f>PAYPRESE</f>
        <v>NA</v>
      </c>
    </row>
    <row r="7" spans="1:61"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c r="AU7" s="193" t="s">
        <v>144</v>
      </c>
      <c r="AV7" s="192" t="str">
        <f>CBCUSE</f>
        <v>NA</v>
      </c>
      <c r="AW7" s="192" t="str">
        <f>PAYCUSE</f>
        <v>NA</v>
      </c>
    </row>
    <row r="8" spans="1:61"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c r="AU8" s="193" t="s">
        <v>651</v>
      </c>
      <c r="AV8" s="192" t="str">
        <f>CBALL</f>
        <v>NA</v>
      </c>
      <c r="AW8" s="192" t="str">
        <f>PAYALL</f>
        <v>NA</v>
      </c>
    </row>
    <row r="9" spans="1:61" s="148" customFormat="1" ht="15.95" customHeight="1">
      <c r="B9" s="179"/>
      <c r="C9" s="179"/>
      <c r="D9" s="179"/>
      <c r="E9" s="181"/>
      <c r="F9" s="181"/>
      <c r="G9" s="181"/>
      <c r="H9" s="910" t="str">
        <f>M3S2</f>
        <v>Lighting</v>
      </c>
      <c r="I9" s="911"/>
      <c r="J9" s="911"/>
      <c r="K9" s="911"/>
      <c r="L9" s="910" t="str">
        <f>M3S3</f>
        <v>Lighting Controls</v>
      </c>
      <c r="M9" s="911"/>
      <c r="N9" s="911"/>
      <c r="O9" s="911"/>
      <c r="P9" s="910" t="str">
        <f>M3S4</f>
        <v>Refrigeration</v>
      </c>
      <c r="Q9" s="911"/>
      <c r="R9" s="911"/>
      <c r="S9" s="911"/>
      <c r="T9" s="910" t="str">
        <f>M3S5</f>
        <v>HVAC</v>
      </c>
      <c r="U9" s="911"/>
      <c r="V9" s="911"/>
      <c r="W9" s="911"/>
      <c r="X9" s="910" t="str">
        <f>M4S8</f>
        <v>Motors and Drives</v>
      </c>
      <c r="Y9" s="911"/>
      <c r="Z9" s="911"/>
      <c r="AA9" s="911"/>
      <c r="AB9" s="910" t="str">
        <f>M3S6</f>
        <v>Compressed Air / Process</v>
      </c>
      <c r="AC9" s="911"/>
      <c r="AD9" s="911"/>
      <c r="AE9" s="911"/>
      <c r="AF9" s="913" t="str">
        <f>M3S7</f>
        <v>Water Heating / Food Services</v>
      </c>
      <c r="AG9" s="913"/>
      <c r="AH9" s="913"/>
      <c r="AI9" s="913"/>
      <c r="AJ9" s="910" t="str">
        <f>M4S9</f>
        <v>Miscellaneous</v>
      </c>
      <c r="AK9" s="911"/>
      <c r="AL9" s="911"/>
      <c r="AM9" s="911"/>
      <c r="AN9" s="182"/>
      <c r="AO9" s="356"/>
      <c r="AP9" s="235"/>
      <c r="AQ9" s="352"/>
      <c r="AR9" s="352"/>
      <c r="AS9" s="336"/>
    </row>
    <row r="10" spans="1:61" s="148" customFormat="1" ht="15.95" customHeight="1">
      <c r="B10" s="152"/>
      <c r="C10" s="152"/>
      <c r="D10" s="152"/>
      <c r="E10" s="183"/>
      <c r="F10" s="183"/>
      <c r="G10" s="183"/>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4"/>
      <c r="AG10" s="914"/>
      <c r="AH10" s="914"/>
      <c r="AI10" s="914"/>
      <c r="AJ10" s="912"/>
      <c r="AK10" s="912"/>
      <c r="AL10" s="912"/>
      <c r="AM10" s="912"/>
      <c r="AN10" s="13"/>
      <c r="AO10" s="235"/>
      <c r="AP10" s="235"/>
      <c r="AQ10" s="344"/>
      <c r="AR10" s="344"/>
      <c r="AS10" s="336"/>
    </row>
    <row r="11" spans="1:61" ht="15.95" customHeight="1">
      <c r="A11" s="180"/>
      <c r="B11" s="171"/>
      <c r="C11" s="171"/>
      <c r="D11" s="171"/>
      <c r="E11" s="13"/>
      <c r="F11" s="13"/>
      <c r="G11" s="13"/>
      <c r="H11" s="912"/>
      <c r="I11" s="912"/>
      <c r="J11" s="912"/>
      <c r="K11" s="912"/>
      <c r="L11" s="912"/>
      <c r="M11" s="912"/>
      <c r="N11" s="912"/>
      <c r="O11" s="912"/>
      <c r="P11" s="912"/>
      <c r="Q11" s="912"/>
      <c r="R11" s="912"/>
      <c r="S11" s="912"/>
      <c r="T11" s="912"/>
      <c r="U11" s="912"/>
      <c r="V11" s="912"/>
      <c r="W11" s="912"/>
      <c r="X11" s="912"/>
      <c r="Y11" s="912"/>
      <c r="Z11" s="912"/>
      <c r="AA11" s="912"/>
      <c r="AB11" s="912"/>
      <c r="AC11" s="912"/>
      <c r="AD11" s="912"/>
      <c r="AE11" s="912"/>
      <c r="AF11" s="914"/>
      <c r="AG11" s="914"/>
      <c r="AH11" s="914"/>
      <c r="AI11" s="914"/>
      <c r="AJ11" s="912"/>
      <c r="AK11" s="912"/>
      <c r="AL11" s="912"/>
      <c r="AM11" s="912"/>
      <c r="AN11" s="13"/>
      <c r="AO11" s="235"/>
      <c r="AP11" s="235"/>
      <c r="AQ11" s="337"/>
      <c r="AR11" s="337"/>
      <c r="AS11" s="235"/>
    </row>
    <row r="12" spans="1:61" ht="15.95" customHeight="1">
      <c r="A12" s="172"/>
      <c r="B12" s="172"/>
      <c r="C12" s="172"/>
      <c r="D12" s="172"/>
      <c r="E12" s="172"/>
      <c r="R12" s="916">
        <f>SUM(AN18:AQ199)</f>
        <v>0</v>
      </c>
      <c r="S12" s="916"/>
      <c r="T12" s="916"/>
      <c r="U12" s="916"/>
      <c r="V12" s="916">
        <f>SUM(AT18:AT199)</f>
        <v>0</v>
      </c>
      <c r="W12" s="916"/>
      <c r="X12" s="916"/>
      <c r="Y12" s="916"/>
      <c r="Z12" s="915">
        <f ca="1">SUMIF(AN18:AQ199,"&gt;0",AK18:AM199)</f>
        <v>0</v>
      </c>
      <c r="AA12" s="915"/>
      <c r="AB12" s="915"/>
      <c r="AC12" s="915"/>
      <c r="AO12" s="235"/>
      <c r="AP12" s="235"/>
      <c r="AQ12" s="235"/>
      <c r="AR12" s="235"/>
      <c r="AS12" s="235"/>
    </row>
    <row r="13" spans="1:61" ht="15.95" customHeight="1">
      <c r="A13" s="172"/>
      <c r="B13" s="172"/>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c r="AJ13"/>
      <c r="AK13"/>
      <c r="AL13"/>
      <c r="AM13"/>
      <c r="AN13"/>
      <c r="AO13" s="235"/>
      <c r="AP13" s="235"/>
      <c r="AQ13" s="235"/>
      <c r="AR13" s="235"/>
      <c r="AS13" s="235"/>
    </row>
    <row r="14" spans="1:61" ht="15.95" customHeight="1">
      <c r="C14" s="180"/>
      <c r="D14" s="180"/>
      <c r="E14" s="180"/>
      <c r="F14" s="180"/>
      <c r="G14" s="180"/>
      <c r="H14" s="180"/>
      <c r="I14" s="180"/>
      <c r="J14" s="180"/>
      <c r="K14" s="180"/>
      <c r="L14" s="180"/>
      <c r="M14" s="180"/>
      <c r="N14" s="180"/>
      <c r="O14" s="180"/>
      <c r="P14" s="180"/>
      <c r="R14" s="860" t="s">
        <v>1979</v>
      </c>
      <c r="S14" s="860"/>
      <c r="T14" s="860"/>
      <c r="U14" s="860"/>
      <c r="V14" s="860" t="s">
        <v>67</v>
      </c>
      <c r="W14" s="860"/>
      <c r="X14" s="860"/>
      <c r="Y14" s="860"/>
      <c r="Z14" s="860" t="s">
        <v>1248</v>
      </c>
      <c r="AA14" s="860"/>
      <c r="AB14" s="860"/>
      <c r="AC14" s="860"/>
      <c r="AI14" s="180"/>
      <c r="AJ14" s="180"/>
      <c r="AK14" s="180"/>
      <c r="AL14" s="180"/>
      <c r="AM14" s="180"/>
      <c r="AN14" s="180"/>
      <c r="AO14" s="235"/>
      <c r="AP14" s="235"/>
      <c r="AQ14" s="235"/>
      <c r="AR14" s="235"/>
      <c r="AS14" s="235"/>
    </row>
    <row r="15" spans="1:61" ht="15.95" customHeight="1">
      <c r="C15" s="180"/>
      <c r="D15" s="180"/>
      <c r="E15" s="180"/>
      <c r="F15" s="180"/>
      <c r="G15" s="180"/>
      <c r="H15" s="180"/>
      <c r="I15" s="180"/>
      <c r="J15" s="180"/>
      <c r="K15" s="180"/>
      <c r="L15" s="180"/>
      <c r="M15" s="180"/>
      <c r="N15" s="180"/>
      <c r="O15" s="180"/>
      <c r="P15" s="180"/>
      <c r="AO15" s="235"/>
      <c r="AP15" s="235"/>
      <c r="AQ15" s="235"/>
      <c r="AR15" s="235"/>
      <c r="AS15" s="235"/>
    </row>
    <row r="16" spans="1:61" ht="15.95" customHeight="1">
      <c r="C16" s="836" t="s">
        <v>1370</v>
      </c>
      <c r="D16" s="836"/>
      <c r="E16" s="836"/>
      <c r="F16" s="836"/>
      <c r="G16" s="836"/>
      <c r="H16" s="836"/>
      <c r="I16" s="836"/>
      <c r="J16" s="836"/>
      <c r="K16" s="836"/>
      <c r="L16" s="836"/>
      <c r="M16" s="836"/>
      <c r="N16" s="836"/>
      <c r="O16" s="836"/>
      <c r="P16" s="836"/>
      <c r="Q16" s="836"/>
      <c r="R16" s="836" t="s">
        <v>1381</v>
      </c>
      <c r="S16" s="836"/>
      <c r="T16" s="836"/>
      <c r="U16" s="836" t="s">
        <v>74</v>
      </c>
      <c r="V16" s="836"/>
      <c r="W16" s="836" t="s">
        <v>1378</v>
      </c>
      <c r="X16" s="836"/>
      <c r="Y16" s="836"/>
      <c r="Z16" s="836"/>
      <c r="AA16" s="836" t="s">
        <v>1369</v>
      </c>
      <c r="AB16" s="836"/>
      <c r="AC16" s="836"/>
      <c r="AD16" s="836"/>
      <c r="AE16" s="907" t="s">
        <v>1355</v>
      </c>
      <c r="AF16" s="907"/>
      <c r="AG16" s="907"/>
      <c r="AH16" s="907"/>
      <c r="AI16" s="836" t="s">
        <v>1980</v>
      </c>
      <c r="AJ16" s="836"/>
      <c r="AK16" s="836" t="s">
        <v>1187</v>
      </c>
      <c r="AL16" s="836"/>
      <c r="AM16" s="836"/>
      <c r="AN16" s="836" t="s">
        <v>83</v>
      </c>
      <c r="AO16" s="908"/>
      <c r="AP16" s="908"/>
      <c r="AQ16" s="908"/>
      <c r="AR16" s="235"/>
      <c r="AS16" s="235"/>
      <c r="AT16" s="856" t="s">
        <v>1377</v>
      </c>
      <c r="AU16" s="856" t="s">
        <v>1195</v>
      </c>
      <c r="AV16" s="861" t="s">
        <v>1373</v>
      </c>
      <c r="AW16" s="861"/>
      <c r="AX16" s="856" t="s">
        <v>1375</v>
      </c>
      <c r="AY16" s="856" t="s">
        <v>1376</v>
      </c>
      <c r="AZ16" s="856" t="s">
        <v>1426</v>
      </c>
      <c r="BA16" s="861" t="s">
        <v>1374</v>
      </c>
      <c r="BB16" s="861"/>
      <c r="BC16" s="856" t="s">
        <v>85</v>
      </c>
      <c r="BD16" s="856" t="s">
        <v>319</v>
      </c>
      <c r="BE16" s="932" t="s">
        <v>88</v>
      </c>
      <c r="BF16" s="932" t="s">
        <v>2500</v>
      </c>
      <c r="BG16" s="935"/>
      <c r="BH16" s="932" t="s">
        <v>2715</v>
      </c>
      <c r="BI16" s="932" t="s">
        <v>2893</v>
      </c>
    </row>
    <row r="17" spans="1:61" ht="15.95" customHeight="1" thickBot="1">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c r="AE17" s="837" t="s">
        <v>1353</v>
      </c>
      <c r="AF17" s="837"/>
      <c r="AG17" s="837" t="s">
        <v>1354</v>
      </c>
      <c r="AH17" s="837"/>
      <c r="AI17" s="837"/>
      <c r="AJ17" s="837"/>
      <c r="AK17" s="837"/>
      <c r="AL17" s="837"/>
      <c r="AM17" s="837"/>
      <c r="AN17" s="837"/>
      <c r="AO17" s="909"/>
      <c r="AP17" s="909"/>
      <c r="AQ17" s="909"/>
      <c r="AR17" s="235"/>
      <c r="AS17" s="235"/>
      <c r="AT17" s="857"/>
      <c r="AU17" s="857"/>
      <c r="AV17" s="174" t="s">
        <v>1371</v>
      </c>
      <c r="AW17" s="174" t="s">
        <v>1372</v>
      </c>
      <c r="AX17" s="857"/>
      <c r="AY17" s="857" t="s">
        <v>1376</v>
      </c>
      <c r="AZ17" s="857"/>
      <c r="BA17" s="174" t="s">
        <v>1371</v>
      </c>
      <c r="BB17" s="174" t="s">
        <v>1644</v>
      </c>
      <c r="BC17" s="857"/>
      <c r="BD17" s="857"/>
      <c r="BE17" s="933"/>
      <c r="BF17" s="933"/>
      <c r="BG17" s="936"/>
      <c r="BH17" s="933"/>
      <c r="BI17" s="933"/>
    </row>
    <row r="18" spans="1:61" ht="15.95" customHeight="1">
      <c r="B18" s="905">
        <v>1</v>
      </c>
      <c r="C18" s="906"/>
      <c r="D18" s="906"/>
      <c r="E18" s="906"/>
      <c r="F18" s="906"/>
      <c r="G18" s="906"/>
      <c r="H18" s="906"/>
      <c r="I18" s="906"/>
      <c r="J18" s="906"/>
      <c r="K18" s="906"/>
      <c r="L18" s="906"/>
      <c r="M18" s="906"/>
      <c r="N18" s="906"/>
      <c r="O18" s="906"/>
      <c r="P18" s="906"/>
      <c r="Q18" s="906"/>
      <c r="R18" s="971" t="str">
        <f>IF(C18="","",INDEX(STDWATER[Current Unit],MATCH(C18,STDWATER[Measure Name],0)))</f>
        <v/>
      </c>
      <c r="S18" s="971"/>
      <c r="T18" s="971"/>
      <c r="U18" s="887"/>
      <c r="V18" s="887"/>
      <c r="W18" s="906"/>
      <c r="X18" s="906"/>
      <c r="Y18" s="906"/>
      <c r="Z18" s="906"/>
      <c r="AA18" s="906"/>
      <c r="AB18" s="906"/>
      <c r="AC18" s="906"/>
      <c r="AD18" s="833"/>
      <c r="AE18" s="1014"/>
      <c r="AF18" s="1012"/>
      <c r="AG18" s="1012"/>
      <c r="AH18" s="1013"/>
      <c r="AI18" s="1023" t="str">
        <f>IFERROR(IF(C18="","",INDEX(STDWATER[Current Incentive],MATCH(C18,STDWATER[Measure Name],0))),"")</f>
        <v/>
      </c>
      <c r="AJ18" s="1024"/>
      <c r="AK18" s="1017" t="str">
        <f>IFERROR(IF(OR(C18="",U18="",R18="",W18="",AA18="",AE18="",AG18=""),"",IF(BH18="Deemed",AV18,IF(BH18="Calculated",BA18,""))),"")</f>
        <v/>
      </c>
      <c r="AL18" s="1017"/>
      <c r="AM18" s="1017"/>
      <c r="AN18" s="1007" t="str">
        <f>IFERROR(IF(OR(C18="",U18="",R18="",W18="",AA18="",AE18="",AG18=""),"",IF(BD18&lt;&gt;"",BD18,IF(BI18&gt;0,BI18,ROUND(IF(AK18&lt;=0,0,MIN(AT18,U18*AI18)),2)))),"")</f>
        <v/>
      </c>
      <c r="AO18" s="1008"/>
      <c r="AP18" s="1008"/>
      <c r="AQ18" s="1009"/>
      <c r="AR18" s="37"/>
      <c r="AS18" s="235"/>
      <c r="AT18" s="972" t="str">
        <f>IF(OR(C18="",U18="",R18="",W18="",AA18="",AE18="",AG18=""),"",IF(AK18=0,"",ROUND(AE18+AG18,2)))</f>
        <v/>
      </c>
      <c r="AU18" s="854" t="str">
        <f>IFERROR(IF(OR(C18="",U18="",R18="",W18="",AA18="",AE18="",AG18=""),"",INDEX(STDWATER[Current Unit],MATCH(C18,STDWATER[Measure Name],0))),"Err")</f>
        <v/>
      </c>
      <c r="AV18" s="848" t="str">
        <f>IF(OR(C18="",U18="",R18="",W18="",AA18="",AE18="",AG18=""),"",ROUND(U18*INDEX(STDWATER[Electric Energy Savings (Annual kWh/unit)],MATCH(C18,STDWATER[Measure Name],0)),4))</f>
        <v/>
      </c>
      <c r="AW18" s="850" t="str">
        <f>IF(OR(C18="",U18="",R18="",W18="",AA18="",AE18="",AG18=""),"",ROUND(U18*INDEX(STDWATER[Coincident Peak Demand Savings (kW/unit)],MATCH(C18,STDWATER[Measure Name],0)),4))</f>
        <v/>
      </c>
      <c r="AX18" s="975"/>
      <c r="AY18" s="975"/>
      <c r="AZ18" s="854" t="str">
        <f>IFERROR(IF(OR(C18="",U18="",R18="",W18="",AA18="",AE18="",AG18=""),"",INDEX(STDWATER[End Use],MATCH(C18,STDWATER[Measure Name],0))),"Err")</f>
        <v/>
      </c>
      <c r="BA18" s="975"/>
      <c r="BB18" s="975"/>
      <c r="BC18" s="854" t="str">
        <f>IFERROR(IF(OR(C18="",U18="",R18="",W18="",AA18="",AE18="",AG18="",ISNUMBER(AN18)=FALSE,AN18=0),"",INDEX(STDWATER[Measure Number],MATCH(C18,STDWATER[Measure Name],0))),"Err")</f>
        <v/>
      </c>
      <c r="BD18" s="854" t="str">
        <f>IFERROR(IF(OR(C18="",U18="",W18="",AA18="",AE18="",AG18=""),"",
IF(BI18&gt;0,"",
IF(EXPIRATION&lt;&gt;"",PROJSTATEXP,""))),"")</f>
        <v/>
      </c>
      <c r="BE18" s="928" t="str">
        <f>IFERROR(INDEX(STDWATER[Measure Life (Years)],MATCH(C18,STDWATER[Measure Name],0)),"")</f>
        <v/>
      </c>
      <c r="BF18" s="930" t="str">
        <f>IFERROR(IF(OR(C18="",U18="",R18="",W18="",AA18="",AE18="",AG18=""),"",
ROUND(((1+ELOSS)*((AV18*INDEX(ELECCB[NPV AEC $/kWh],MATCH(BE18,ELECCB[Year Number],1)))+(AW18*INDEX(ELECCB[NPV ACC $/kW],MATCH(BE18,ELECCB[Year Number],1))))),2)),0)</f>
        <v/>
      </c>
      <c r="BG18" s="937"/>
      <c r="BH18" s="934" t="str">
        <f>IFERROR(IF(OR(C18="",U18="",R18="",W18="",AA18="",AE18="",AG18=""),"",INDEX(STDWATER[Reporting Methodology],MATCH(C18,STDWATER[Measure Name],0))),"Err")</f>
        <v/>
      </c>
      <c r="BI18" s="939"/>
    </row>
    <row r="19" spans="1:61" ht="15.95" customHeight="1">
      <c r="B19" s="905"/>
      <c r="C19" s="904"/>
      <c r="D19" s="904"/>
      <c r="E19" s="904"/>
      <c r="F19" s="904"/>
      <c r="G19" s="904"/>
      <c r="H19" s="904"/>
      <c r="I19" s="904"/>
      <c r="J19" s="904"/>
      <c r="K19" s="904"/>
      <c r="L19" s="904"/>
      <c r="M19" s="904"/>
      <c r="N19" s="904"/>
      <c r="O19" s="904"/>
      <c r="P19" s="904"/>
      <c r="Q19" s="904"/>
      <c r="R19" s="969"/>
      <c r="S19" s="969"/>
      <c r="T19" s="969"/>
      <c r="U19" s="888"/>
      <c r="V19" s="888"/>
      <c r="W19" s="904"/>
      <c r="X19" s="904"/>
      <c r="Y19" s="904"/>
      <c r="Z19" s="904"/>
      <c r="AA19" s="904"/>
      <c r="AB19" s="904"/>
      <c r="AC19" s="904"/>
      <c r="AD19" s="827"/>
      <c r="AE19" s="867"/>
      <c r="AF19" s="868"/>
      <c r="AG19" s="868"/>
      <c r="AH19" s="869"/>
      <c r="AI19" s="1021"/>
      <c r="AJ19" s="1022"/>
      <c r="AK19" s="901"/>
      <c r="AL19" s="901"/>
      <c r="AM19" s="901"/>
      <c r="AN19" s="1010"/>
      <c r="AO19" s="1011"/>
      <c r="AP19" s="1011"/>
      <c r="AQ19" s="974"/>
      <c r="AR19" s="37"/>
      <c r="AS19" s="235"/>
      <c r="AT19" s="973"/>
      <c r="AU19" s="855"/>
      <c r="AV19" s="849"/>
      <c r="AW19" s="851"/>
      <c r="AX19" s="970"/>
      <c r="AY19" s="970"/>
      <c r="AZ19" s="855"/>
      <c r="BA19" s="970"/>
      <c r="BB19" s="970"/>
      <c r="BC19" s="855"/>
      <c r="BD19" s="855"/>
      <c r="BE19" s="929"/>
      <c r="BF19" s="931"/>
      <c r="BG19" s="938"/>
      <c r="BH19" s="934"/>
      <c r="BI19" s="939"/>
    </row>
    <row r="20" spans="1:61" ht="15.95" customHeight="1">
      <c r="A20" s="145"/>
      <c r="B20" s="905">
        <v>2</v>
      </c>
      <c r="C20" s="904"/>
      <c r="D20" s="904"/>
      <c r="E20" s="904"/>
      <c r="F20" s="904"/>
      <c r="G20" s="904"/>
      <c r="H20" s="904"/>
      <c r="I20" s="904"/>
      <c r="J20" s="904"/>
      <c r="K20" s="904"/>
      <c r="L20" s="904"/>
      <c r="M20" s="904"/>
      <c r="N20" s="904"/>
      <c r="O20" s="904"/>
      <c r="P20" s="904"/>
      <c r="Q20" s="904"/>
      <c r="R20" s="969" t="str">
        <f>IF(C20="","",INDEX(STDWATER[Current Unit],MATCH(C20,STDWATER[Measure Name],0)))</f>
        <v/>
      </c>
      <c r="S20" s="969"/>
      <c r="T20" s="969"/>
      <c r="U20" s="888"/>
      <c r="V20" s="888"/>
      <c r="W20" s="904"/>
      <c r="X20" s="904"/>
      <c r="Y20" s="904"/>
      <c r="Z20" s="904"/>
      <c r="AA20" s="904"/>
      <c r="AB20" s="904"/>
      <c r="AC20" s="904"/>
      <c r="AD20" s="827"/>
      <c r="AE20" s="867"/>
      <c r="AF20" s="868"/>
      <c r="AG20" s="868"/>
      <c r="AH20" s="869"/>
      <c r="AI20" s="1021" t="str">
        <f>IFERROR(IF(C20="","",INDEX(STDWATER[Current Incentive],MATCH(C20,STDWATER[Measure Name],0))),"")</f>
        <v/>
      </c>
      <c r="AJ20" s="1022"/>
      <c r="AK20" s="901" t="str">
        <f t="shared" ref="AK20" si="0">IFERROR(IF(OR(C20="",U20="",R20="",W20="",AA20="",AE20="",AG20=""),"",IF(BH20="Deemed",AV20,IF(BH20="Calculated",BA20,""))),"")</f>
        <v/>
      </c>
      <c r="AL20" s="901"/>
      <c r="AM20" s="901"/>
      <c r="AN20" s="1007" t="str">
        <f>IFERROR(IF(OR(C20="",U20="",R20="",W20="",AA20="",AE20="",AG20=""),"",IF(BD20&lt;&gt;"",BD20,IF(BI20&gt;0,BI20,ROUND(IF(AK20&lt;=0,0,MIN(AT20,U20*AI20)),2)))),"")</f>
        <v/>
      </c>
      <c r="AO20" s="1008"/>
      <c r="AP20" s="1008"/>
      <c r="AQ20" s="1009"/>
      <c r="AR20" s="37"/>
      <c r="AS20" s="235"/>
      <c r="AT20" s="972" t="str">
        <f t="shared" ref="AT20" si="1">IF(OR(C20="",U20="",R20="",W20="",AA20="",AE20="",AG20=""),"",IF(AK20=0,"",ROUND(AE20+AG20,2)))</f>
        <v/>
      </c>
      <c r="AU20" s="854" t="str">
        <f>IFERROR(IF(OR(C20="",U20="",R20="",W20="",AA20="",AE20="",AG20=""),"",INDEX(STDWATER[Current Unit],MATCH(C20,STDWATER[Measure Name],0))),"Err")</f>
        <v/>
      </c>
      <c r="AV20" s="848" t="str">
        <f>IF(OR(C20="",U20="",R20="",W20="",AA20="",AE20="",AG20=""),"",ROUND(U20*INDEX(STDWATER[Electric Energy Savings (Annual kWh/unit)],MATCH(C20,STDWATER[Measure Name],0)),4))</f>
        <v/>
      </c>
      <c r="AW20" s="850" t="str">
        <f>IF(OR(C20="",U20="",R20="",W20="",AA20="",AE20="",AG20=""),"",ROUND(U20*INDEX(STDWATER[Coincident Peak Demand Savings (kW/unit)],MATCH(C20,STDWATER[Measure Name],0)),4))</f>
        <v/>
      </c>
      <c r="AX20" s="970"/>
      <c r="AY20" s="970"/>
      <c r="AZ20" s="854" t="str">
        <f>IFERROR(IF(OR(C20="",U20="",R20="",W20="",AA20="",AE20="",AG20=""),"",INDEX(STDWATER[End Use],MATCH(C20,STDWATER[Measure Name],0))),"Err")</f>
        <v/>
      </c>
      <c r="BA20" s="970"/>
      <c r="BB20" s="970"/>
      <c r="BC20" s="854" t="str">
        <f>IFERROR(IF(OR(C20="",U20="",R20="",W20="",AA20="",AE20="",AG20="",ISNUMBER(AN20)=FALSE,AN20=0),"",INDEX(STDWATER[Measure Number],MATCH(C20,STDWATER[Measure Name],0))),"Err")</f>
        <v/>
      </c>
      <c r="BD20" s="854" t="str">
        <f>IFERROR(IF(OR(C20="",U20="",W20="",AA20="",AE20="",AG20=""),"",
IF(BI20&gt;0,"",
IF(EXPIRATION&lt;&gt;"",PROJSTATEXP,""))),"")</f>
        <v/>
      </c>
      <c r="BE20" s="928" t="str">
        <f>IFERROR(INDEX(STDWATER[Measure Life (Years)],MATCH(C20,STDWATER[Measure Name],0)),"")</f>
        <v/>
      </c>
      <c r="BF20" s="930" t="str">
        <f>IFERROR(IF(OR(C20="",U20="",R20="",W20="",AA20="",AE20="",AG20=""),"",
ROUND(((1+ELOSS)*((AV20*INDEX(ELECCB[NPV AEC $/kWh],MATCH(BE20,ELECCB[Year Number],1)))+(AW20*INDEX(ELECCB[NPV ACC $/kW],MATCH(BE20,ELECCB[Year Number],1))))),2)),0)</f>
        <v/>
      </c>
      <c r="BG20" s="937"/>
      <c r="BH20" s="934" t="str">
        <f>IFERROR(IF(OR(C20="",U20="",R20="",W20="",AA20="",AE20="",AG20=""),"",INDEX(STDWATER[Reporting Methodology],MATCH(C20,STDWATER[Measure Name],0))),"Err")</f>
        <v/>
      </c>
      <c r="BI20" s="939"/>
    </row>
    <row r="21" spans="1:61" ht="15.95" customHeight="1">
      <c r="B21" s="905"/>
      <c r="C21" s="904"/>
      <c r="D21" s="904"/>
      <c r="E21" s="904"/>
      <c r="F21" s="904"/>
      <c r="G21" s="904"/>
      <c r="H21" s="904"/>
      <c r="I21" s="904"/>
      <c r="J21" s="904"/>
      <c r="K21" s="904"/>
      <c r="L21" s="904"/>
      <c r="M21" s="904"/>
      <c r="N21" s="904"/>
      <c r="O21" s="904"/>
      <c r="P21" s="904"/>
      <c r="Q21" s="904"/>
      <c r="R21" s="969"/>
      <c r="S21" s="969"/>
      <c r="T21" s="969"/>
      <c r="U21" s="888"/>
      <c r="V21" s="888"/>
      <c r="W21" s="904"/>
      <c r="X21" s="904"/>
      <c r="Y21" s="904"/>
      <c r="Z21" s="904"/>
      <c r="AA21" s="904"/>
      <c r="AB21" s="904"/>
      <c r="AC21" s="904"/>
      <c r="AD21" s="827"/>
      <c r="AE21" s="867"/>
      <c r="AF21" s="868"/>
      <c r="AG21" s="868"/>
      <c r="AH21" s="869"/>
      <c r="AI21" s="1021"/>
      <c r="AJ21" s="1022"/>
      <c r="AK21" s="901"/>
      <c r="AL21" s="901"/>
      <c r="AM21" s="901"/>
      <c r="AN21" s="1010"/>
      <c r="AO21" s="1011"/>
      <c r="AP21" s="1011"/>
      <c r="AQ21" s="974"/>
      <c r="AR21" s="37"/>
      <c r="AS21" s="235"/>
      <c r="AT21" s="973"/>
      <c r="AU21" s="855"/>
      <c r="AV21" s="849"/>
      <c r="AW21" s="851"/>
      <c r="AX21" s="970"/>
      <c r="AY21" s="970"/>
      <c r="AZ21" s="855"/>
      <c r="BA21" s="970"/>
      <c r="BB21" s="970"/>
      <c r="BC21" s="855"/>
      <c r="BD21" s="855"/>
      <c r="BE21" s="929"/>
      <c r="BF21" s="931"/>
      <c r="BG21" s="938"/>
      <c r="BH21" s="934"/>
      <c r="BI21" s="939"/>
    </row>
    <row r="22" spans="1:61" s="180" customFormat="1" ht="15.95" customHeight="1">
      <c r="A22" s="145"/>
      <c r="B22" s="905">
        <v>3</v>
      </c>
      <c r="C22" s="904"/>
      <c r="D22" s="904"/>
      <c r="E22" s="904"/>
      <c r="F22" s="904"/>
      <c r="G22" s="904"/>
      <c r="H22" s="904"/>
      <c r="I22" s="904"/>
      <c r="J22" s="904"/>
      <c r="K22" s="904"/>
      <c r="L22" s="904"/>
      <c r="M22" s="904"/>
      <c r="N22" s="904"/>
      <c r="O22" s="904"/>
      <c r="P22" s="904"/>
      <c r="Q22" s="904"/>
      <c r="R22" s="969" t="str">
        <f>IF(C22="","",INDEX(STDWATER[Current Unit],MATCH(C22,STDWATER[Measure Name],0)))</f>
        <v/>
      </c>
      <c r="S22" s="969"/>
      <c r="T22" s="969"/>
      <c r="U22" s="888"/>
      <c r="V22" s="888"/>
      <c r="W22" s="904"/>
      <c r="X22" s="904"/>
      <c r="Y22" s="904"/>
      <c r="Z22" s="904"/>
      <c r="AA22" s="904"/>
      <c r="AB22" s="904"/>
      <c r="AC22" s="904"/>
      <c r="AD22" s="827"/>
      <c r="AE22" s="867"/>
      <c r="AF22" s="868"/>
      <c r="AG22" s="868"/>
      <c r="AH22" s="869"/>
      <c r="AI22" s="1021" t="str">
        <f>IFERROR(IF(C22="","",INDEX(STDWATER[Current Incentive],MATCH(C22,STDWATER[Measure Name],0))),"")</f>
        <v/>
      </c>
      <c r="AJ22" s="1022"/>
      <c r="AK22" s="901" t="str">
        <f t="shared" ref="AK22" si="2">IFERROR(IF(OR(C22="",U22="",R22="",W22="",AA22="",AE22="",AG22=""),"",IF(BH22="Deemed",AV22,IF(BH22="Calculated",BA22,""))),"")</f>
        <v/>
      </c>
      <c r="AL22" s="901"/>
      <c r="AM22" s="901"/>
      <c r="AN22" s="1007" t="str">
        <f t="shared" ref="AN22" si="3">IFERROR(IF(OR(C22="",U22="",R22="",W22="",AA22="",AE22="",AG22=""),"",IF(BD22&lt;&gt;"",BD22,IF(BI22&gt;0,BI22,ROUND(IF(AK22&lt;=0,0,MIN(AT22,U22*AI22)),2)))),"")</f>
        <v/>
      </c>
      <c r="AO22" s="1008"/>
      <c r="AP22" s="1008"/>
      <c r="AQ22" s="1009"/>
      <c r="AR22" s="37"/>
      <c r="AS22" s="235"/>
      <c r="AT22" s="972" t="str">
        <f t="shared" ref="AT22" si="4">IF(OR(C22="",U22="",R22="",W22="",AA22="",AE22="",AG22=""),"",IF(AK22=0,"",ROUND(AE22+AG22,2)))</f>
        <v/>
      </c>
      <c r="AU22" s="854" t="str">
        <f>IFERROR(IF(OR(C22="",U22="",R22="",W22="",AA22="",AE22="",AG22=""),"",INDEX(STDWATER[Current Unit],MATCH(C22,STDWATER[Measure Name],0))),"Err")</f>
        <v/>
      </c>
      <c r="AV22" s="848" t="str">
        <f>IF(OR(C22="",U22="",R22="",W22="",AA22="",AE22="",AG22=""),"",ROUND(U22*INDEX(STDWATER[Electric Energy Savings (Annual kWh/unit)],MATCH(C22,STDWATER[Measure Name],0)),4))</f>
        <v/>
      </c>
      <c r="AW22" s="850" t="str">
        <f>IF(OR(C22="",U22="",R22="",W22="",AA22="",AE22="",AG22=""),"",ROUND(U22*INDEX(STDWATER[Coincident Peak Demand Savings (kW/unit)],MATCH(C22,STDWATER[Measure Name],0)),4))</f>
        <v/>
      </c>
      <c r="AX22" s="970"/>
      <c r="AY22" s="970"/>
      <c r="AZ22" s="854" t="str">
        <f>IFERROR(IF(OR(C22="",U22="",R22="",W22="",AA22="",AE22="",AG22=""),"",INDEX(STDWATER[End Use],MATCH(C22,STDWATER[Measure Name],0))),"Err")</f>
        <v/>
      </c>
      <c r="BA22" s="970"/>
      <c r="BB22" s="970"/>
      <c r="BC22" s="854" t="str">
        <f>IFERROR(IF(OR(C22="",U22="",R22="",W22="",AA22="",AE22="",AG22="",ISNUMBER(AN22)=FALSE,AN22=0),"",INDEX(STDWATER[Measure Number],MATCH(C22,STDWATER[Measure Name],0))),"Err")</f>
        <v/>
      </c>
      <c r="BD22" s="854" t="str">
        <f>IFERROR(IF(OR(C22="",U22="",W22="",AA22="",AE22="",AG22=""),"",
IF(BI22&gt;0,"",
IF(EXPIRATION&lt;&gt;"",PROJSTATEXP,""))),"")</f>
        <v/>
      </c>
      <c r="BE22" s="928" t="str">
        <f>IFERROR(INDEX(STDWATER[Measure Life (Years)],MATCH(C22,STDWATER[Measure Name],0)),"")</f>
        <v/>
      </c>
      <c r="BF22" s="930" t="str">
        <f>IFERROR(IF(OR(C22="",U22="",R22="",W22="",AA22="",AE22="",AG22=""),"",
ROUND(((1+ELOSS)*((AV22*INDEX(ELECCB[NPV AEC $/kWh],MATCH(BE22,ELECCB[Year Number],1)))+(AW22*INDEX(ELECCB[NPV ACC $/kW],MATCH(BE22,ELECCB[Year Number],1))))),2)),0)</f>
        <v/>
      </c>
      <c r="BG22" s="937"/>
      <c r="BH22" s="934" t="str">
        <f>IFERROR(IF(OR(C22="",U22="",R22="",W22="",AA22="",AE22="",AG22=""),"",INDEX(STDWATER[Reporting Methodology],MATCH(C22,STDWATER[Measure Name],0))),"Err")</f>
        <v/>
      </c>
      <c r="BI22" s="939"/>
    </row>
    <row r="23" spans="1:61" s="180" customFormat="1" ht="15.95" customHeight="1">
      <c r="B23" s="905"/>
      <c r="C23" s="904"/>
      <c r="D23" s="904"/>
      <c r="E23" s="904"/>
      <c r="F23" s="904"/>
      <c r="G23" s="904"/>
      <c r="H23" s="904"/>
      <c r="I23" s="904"/>
      <c r="J23" s="904"/>
      <c r="K23" s="904"/>
      <c r="L23" s="904"/>
      <c r="M23" s="904"/>
      <c r="N23" s="904"/>
      <c r="O23" s="904"/>
      <c r="P23" s="904"/>
      <c r="Q23" s="904"/>
      <c r="R23" s="969"/>
      <c r="S23" s="969"/>
      <c r="T23" s="969"/>
      <c r="U23" s="888"/>
      <c r="V23" s="888"/>
      <c r="W23" s="904"/>
      <c r="X23" s="904"/>
      <c r="Y23" s="904"/>
      <c r="Z23" s="904"/>
      <c r="AA23" s="904"/>
      <c r="AB23" s="904"/>
      <c r="AC23" s="904"/>
      <c r="AD23" s="827"/>
      <c r="AE23" s="867"/>
      <c r="AF23" s="868"/>
      <c r="AG23" s="868"/>
      <c r="AH23" s="869"/>
      <c r="AI23" s="1021"/>
      <c r="AJ23" s="1022"/>
      <c r="AK23" s="901"/>
      <c r="AL23" s="901"/>
      <c r="AM23" s="901"/>
      <c r="AN23" s="1010"/>
      <c r="AO23" s="1011"/>
      <c r="AP23" s="1011"/>
      <c r="AQ23" s="974"/>
      <c r="AR23" s="37"/>
      <c r="AS23" s="235"/>
      <c r="AT23" s="973"/>
      <c r="AU23" s="855"/>
      <c r="AV23" s="849"/>
      <c r="AW23" s="851"/>
      <c r="AX23" s="970"/>
      <c r="AY23" s="970"/>
      <c r="AZ23" s="855"/>
      <c r="BA23" s="970"/>
      <c r="BB23" s="970"/>
      <c r="BC23" s="855"/>
      <c r="BD23" s="855"/>
      <c r="BE23" s="929"/>
      <c r="BF23" s="931"/>
      <c r="BG23" s="938"/>
      <c r="BH23" s="934"/>
      <c r="BI23" s="939"/>
    </row>
    <row r="24" spans="1:61" ht="15.95" customHeight="1">
      <c r="B24" s="905">
        <v>4</v>
      </c>
      <c r="C24" s="904"/>
      <c r="D24" s="904"/>
      <c r="E24" s="904"/>
      <c r="F24" s="904"/>
      <c r="G24" s="904"/>
      <c r="H24" s="904"/>
      <c r="I24" s="904"/>
      <c r="J24" s="904"/>
      <c r="K24" s="904"/>
      <c r="L24" s="904"/>
      <c r="M24" s="904"/>
      <c r="N24" s="904"/>
      <c r="O24" s="904"/>
      <c r="P24" s="904"/>
      <c r="Q24" s="904"/>
      <c r="R24" s="969" t="str">
        <f>IF(C24="","",INDEX(STDWATER[Current Unit],MATCH(C24,STDWATER[Measure Name],0)))</f>
        <v/>
      </c>
      <c r="S24" s="969"/>
      <c r="T24" s="969"/>
      <c r="U24" s="888"/>
      <c r="V24" s="888"/>
      <c r="W24" s="904"/>
      <c r="X24" s="904"/>
      <c r="Y24" s="904"/>
      <c r="Z24" s="904"/>
      <c r="AA24" s="904"/>
      <c r="AB24" s="904"/>
      <c r="AC24" s="904"/>
      <c r="AD24" s="827"/>
      <c r="AE24" s="867"/>
      <c r="AF24" s="868"/>
      <c r="AG24" s="868"/>
      <c r="AH24" s="869"/>
      <c r="AI24" s="1021" t="str">
        <f>IFERROR(IF(C24="","",INDEX(STDWATER[Current Incentive],MATCH(C24,STDWATER[Measure Name],0))),"")</f>
        <v/>
      </c>
      <c r="AJ24" s="1022"/>
      <c r="AK24" s="901" t="str">
        <f t="shared" ref="AK24" si="5">IFERROR(IF(OR(C24="",U24="",R24="",W24="",AA24="",AE24="",AG24=""),"",IF(BH24="Deemed",AV24,IF(BH24="Calculated",BA24,""))),"")</f>
        <v/>
      </c>
      <c r="AL24" s="901"/>
      <c r="AM24" s="901"/>
      <c r="AN24" s="1007" t="str">
        <f t="shared" ref="AN24" si="6">IFERROR(IF(OR(C24="",U24="",R24="",W24="",AA24="",AE24="",AG24=""),"",IF(BD24&lt;&gt;"",BD24,IF(BI24&gt;0,BI24,ROUND(IF(AK24&lt;=0,0,MIN(AT24,U24*AI24)),2)))),"")</f>
        <v/>
      </c>
      <c r="AO24" s="1008"/>
      <c r="AP24" s="1008"/>
      <c r="AQ24" s="1009"/>
      <c r="AR24" s="37"/>
      <c r="AS24" s="235"/>
      <c r="AT24" s="972" t="str">
        <f t="shared" ref="AT24" si="7">IF(OR(C24="",U24="",R24="",W24="",AA24="",AE24="",AG24=""),"",IF(AK24=0,"",ROUND(AE24+AG24,2)))</f>
        <v/>
      </c>
      <c r="AU24" s="854" t="str">
        <f>IFERROR(IF(OR(C24="",U24="",R24="",W24="",AA24="",AE24="",AG24=""),"",INDEX(STDWATER[Current Unit],MATCH(C24,STDWATER[Measure Name],0))),"Err")</f>
        <v/>
      </c>
      <c r="AV24" s="848" t="str">
        <f>IF(OR(C24="",U24="",R24="",W24="",AA24="",AE24="",AG24=""),"",ROUND(U24*INDEX(STDWATER[Electric Energy Savings (Annual kWh/unit)],MATCH(C24,STDWATER[Measure Name],0)),4))</f>
        <v/>
      </c>
      <c r="AW24" s="850" t="str">
        <f>IF(OR(C24="",U24="",R24="",W24="",AA24="",AE24="",AG24=""),"",ROUND(U24*INDEX(STDWATER[Coincident Peak Demand Savings (kW/unit)],MATCH(C24,STDWATER[Measure Name],0)),4))</f>
        <v/>
      </c>
      <c r="AX24" s="970"/>
      <c r="AY24" s="970"/>
      <c r="AZ24" s="854" t="str">
        <f>IFERROR(IF(OR(C24="",U24="",R24="",W24="",AA24="",AE24="",AG24=""),"",INDEX(STDWATER[End Use],MATCH(C24,STDWATER[Measure Name],0))),"Err")</f>
        <v/>
      </c>
      <c r="BA24" s="970"/>
      <c r="BB24" s="970"/>
      <c r="BC24" s="854" t="str">
        <f>IFERROR(IF(OR(C24="",U24="",R24="",W24="",AA24="",AE24="",AG24="",ISNUMBER(AN24)=FALSE,AN24=0),"",INDEX(STDWATER[Measure Number],MATCH(C24,STDWATER[Measure Name],0))),"Err")</f>
        <v/>
      </c>
      <c r="BD24" s="854" t="str">
        <f>IFERROR(IF(OR(C24="",U24="",W24="",AA24="",AE24="",AG24=""),"",
IF(BI24&gt;0,"",
IF(EXPIRATION&lt;&gt;"",PROJSTATEXP,""))),"")</f>
        <v/>
      </c>
      <c r="BE24" s="928" t="str">
        <f>IFERROR(INDEX(STDWATER[Measure Life (Years)],MATCH(C24,STDWATER[Measure Name],0)),"")</f>
        <v/>
      </c>
      <c r="BF24" s="930" t="str">
        <f>IFERROR(IF(OR(C24="",U24="",R24="",W24="",AA24="",AE24="",AG24=""),"",
ROUND(((1+ELOSS)*((AV24*INDEX(ELECCB[NPV AEC $/kWh],MATCH(BE24,ELECCB[Year Number],1)))+(AW24*INDEX(ELECCB[NPV ACC $/kW],MATCH(BE24,ELECCB[Year Number],1))))),2)),0)</f>
        <v/>
      </c>
      <c r="BG24" s="937"/>
      <c r="BH24" s="934" t="str">
        <f>IFERROR(IF(OR(C24="",U24="",R24="",W24="",AA24="",AE24="",AG24=""),"",INDEX(STDWATER[Reporting Methodology],MATCH(C24,STDWATER[Measure Name],0))),"Err")</f>
        <v/>
      </c>
      <c r="BI24" s="939"/>
    </row>
    <row r="25" spans="1:61" ht="15.95" customHeight="1">
      <c r="A25" s="145"/>
      <c r="B25" s="905"/>
      <c r="C25" s="904"/>
      <c r="D25" s="904"/>
      <c r="E25" s="904"/>
      <c r="F25" s="904"/>
      <c r="G25" s="904"/>
      <c r="H25" s="904"/>
      <c r="I25" s="904"/>
      <c r="J25" s="904"/>
      <c r="K25" s="904"/>
      <c r="L25" s="904"/>
      <c r="M25" s="904"/>
      <c r="N25" s="904"/>
      <c r="O25" s="904"/>
      <c r="P25" s="904"/>
      <c r="Q25" s="904"/>
      <c r="R25" s="969"/>
      <c r="S25" s="969"/>
      <c r="T25" s="969"/>
      <c r="U25" s="888"/>
      <c r="V25" s="888"/>
      <c r="W25" s="904"/>
      <c r="X25" s="904"/>
      <c r="Y25" s="904"/>
      <c r="Z25" s="904"/>
      <c r="AA25" s="904"/>
      <c r="AB25" s="904"/>
      <c r="AC25" s="904"/>
      <c r="AD25" s="827"/>
      <c r="AE25" s="867"/>
      <c r="AF25" s="868"/>
      <c r="AG25" s="868"/>
      <c r="AH25" s="869"/>
      <c r="AI25" s="1021"/>
      <c r="AJ25" s="1022"/>
      <c r="AK25" s="901"/>
      <c r="AL25" s="901"/>
      <c r="AM25" s="901"/>
      <c r="AN25" s="1010"/>
      <c r="AO25" s="1011"/>
      <c r="AP25" s="1011"/>
      <c r="AQ25" s="974"/>
      <c r="AR25" s="37"/>
      <c r="AS25" s="235"/>
      <c r="AT25" s="973"/>
      <c r="AU25" s="855"/>
      <c r="AV25" s="849"/>
      <c r="AW25" s="851"/>
      <c r="AX25" s="970"/>
      <c r="AY25" s="970"/>
      <c r="AZ25" s="855"/>
      <c r="BA25" s="970"/>
      <c r="BB25" s="970"/>
      <c r="BC25" s="855"/>
      <c r="BD25" s="855"/>
      <c r="BE25" s="929"/>
      <c r="BF25" s="931"/>
      <c r="BG25" s="938"/>
      <c r="BH25" s="934"/>
      <c r="BI25" s="939"/>
    </row>
    <row r="26" spans="1:61" ht="15.95" customHeight="1">
      <c r="B26" s="905">
        <v>5</v>
      </c>
      <c r="C26" s="904"/>
      <c r="D26" s="904"/>
      <c r="E26" s="904"/>
      <c r="F26" s="904"/>
      <c r="G26" s="904"/>
      <c r="H26" s="904"/>
      <c r="I26" s="904"/>
      <c r="J26" s="904"/>
      <c r="K26" s="904"/>
      <c r="L26" s="904"/>
      <c r="M26" s="904"/>
      <c r="N26" s="904"/>
      <c r="O26" s="904"/>
      <c r="P26" s="904"/>
      <c r="Q26" s="904"/>
      <c r="R26" s="969" t="str">
        <f>IF(C26="","",INDEX(STDWATER[Current Unit],MATCH(C26,STDWATER[Measure Name],0)))</f>
        <v/>
      </c>
      <c r="S26" s="969"/>
      <c r="T26" s="969"/>
      <c r="U26" s="888"/>
      <c r="V26" s="888"/>
      <c r="W26" s="904"/>
      <c r="X26" s="904"/>
      <c r="Y26" s="904"/>
      <c r="Z26" s="904"/>
      <c r="AA26" s="904"/>
      <c r="AB26" s="904"/>
      <c r="AC26" s="904"/>
      <c r="AD26" s="827"/>
      <c r="AE26" s="867"/>
      <c r="AF26" s="868"/>
      <c r="AG26" s="868"/>
      <c r="AH26" s="869"/>
      <c r="AI26" s="1021" t="str">
        <f>IFERROR(IF(C26="","",INDEX(STDWATER[Current Incentive],MATCH(C26,STDWATER[Measure Name],0))),"")</f>
        <v/>
      </c>
      <c r="AJ26" s="1022"/>
      <c r="AK26" s="901" t="str">
        <f t="shared" ref="AK26" si="8">IFERROR(IF(OR(C26="",U26="",R26="",W26="",AA26="",AE26="",AG26=""),"",IF(BH26="Deemed",AV26,IF(BH26="Calculated",BA26,""))),"")</f>
        <v/>
      </c>
      <c r="AL26" s="901"/>
      <c r="AM26" s="901"/>
      <c r="AN26" s="1007" t="str">
        <f t="shared" ref="AN26" si="9">IFERROR(IF(OR(C26="",U26="",R26="",W26="",AA26="",AE26="",AG26=""),"",IF(BD26&lt;&gt;"",BD26,IF(BI26&gt;0,BI26,ROUND(IF(AK26&lt;=0,0,MIN(AT26,U26*AI26)),2)))),"")</f>
        <v/>
      </c>
      <c r="AO26" s="1008"/>
      <c r="AP26" s="1008"/>
      <c r="AQ26" s="1009"/>
      <c r="AR26" s="37"/>
      <c r="AS26" s="235"/>
      <c r="AT26" s="972" t="str">
        <f t="shared" ref="AT26" si="10">IF(OR(C26="",U26="",R26="",W26="",AA26="",AE26="",AG26=""),"",IF(AK26=0,"",ROUND(AE26+AG26,2)))</f>
        <v/>
      </c>
      <c r="AU26" s="854" t="str">
        <f>IFERROR(IF(OR(C26="",U26="",R26="",W26="",AA26="",AE26="",AG26=""),"",INDEX(STDWATER[Current Unit],MATCH(C26,STDWATER[Measure Name],0))),"Err")</f>
        <v/>
      </c>
      <c r="AV26" s="848" t="str">
        <f>IF(OR(C26="",U26="",R26="",W26="",AA26="",AE26="",AG26=""),"",ROUND(U26*INDEX(STDWATER[Electric Energy Savings (Annual kWh/unit)],MATCH(C26,STDWATER[Measure Name],0)),4))</f>
        <v/>
      </c>
      <c r="AW26" s="850" t="str">
        <f>IF(OR(C26="",U26="",R26="",W26="",AA26="",AE26="",AG26=""),"",ROUND(U26*INDEX(STDWATER[Coincident Peak Demand Savings (kW/unit)],MATCH(C26,STDWATER[Measure Name],0)),4))</f>
        <v/>
      </c>
      <c r="AX26" s="970"/>
      <c r="AY26" s="970"/>
      <c r="AZ26" s="854" t="str">
        <f>IFERROR(IF(OR(C26="",U26="",R26="",W26="",AA26="",AE26="",AG26=""),"",INDEX(STDWATER[End Use],MATCH(C26,STDWATER[Measure Name],0))),"Err")</f>
        <v/>
      </c>
      <c r="BA26" s="970"/>
      <c r="BB26" s="970"/>
      <c r="BC26" s="854" t="str">
        <f>IFERROR(IF(OR(C26="",U26="",R26="",W26="",AA26="",AE26="",AG26="",ISNUMBER(AN26)=FALSE,AN26=0),"",INDEX(STDWATER[Measure Number],MATCH(C26,STDWATER[Measure Name],0))),"Err")</f>
        <v/>
      </c>
      <c r="BD26" s="854" t="str">
        <f>IFERROR(IF(OR(C26="",U26="",W26="",AA26="",AE26="",AG26=""),"",
IF(BI26&gt;0,"",
IF(EXPIRATION&lt;&gt;"",PROJSTATEXP,""))),"")</f>
        <v/>
      </c>
      <c r="BE26" s="928" t="str">
        <f>IFERROR(INDEX(STDWATER[Measure Life (Years)],MATCH(C26,STDWATER[Measure Name],0)),"")</f>
        <v/>
      </c>
      <c r="BF26" s="930" t="str">
        <f>IFERROR(IF(OR(C26="",U26="",R26="",W26="",AA26="",AE26="",AG26=""),"",
ROUND(((1+ELOSS)*((AV26*INDEX(ELECCB[NPV AEC $/kWh],MATCH(BE26,ELECCB[Year Number],1)))+(AW26*INDEX(ELECCB[NPV ACC $/kW],MATCH(BE26,ELECCB[Year Number],1))))),2)),0)</f>
        <v/>
      </c>
      <c r="BG26" s="937"/>
      <c r="BH26" s="934" t="str">
        <f>IFERROR(IF(OR(C26="",U26="",R26="",W26="",AA26="",AE26="",AG26=""),"",INDEX(STDWATER[Reporting Methodology],MATCH(C26,STDWATER[Measure Name],0))),"Err")</f>
        <v/>
      </c>
      <c r="BI26" s="939"/>
    </row>
    <row r="27" spans="1:61" ht="15.95" customHeight="1">
      <c r="B27" s="905"/>
      <c r="C27" s="904"/>
      <c r="D27" s="904"/>
      <c r="E27" s="904"/>
      <c r="F27" s="904"/>
      <c r="G27" s="904"/>
      <c r="H27" s="904"/>
      <c r="I27" s="904"/>
      <c r="J27" s="904"/>
      <c r="K27" s="904"/>
      <c r="L27" s="904"/>
      <c r="M27" s="904"/>
      <c r="N27" s="904"/>
      <c r="O27" s="904"/>
      <c r="P27" s="904"/>
      <c r="Q27" s="904"/>
      <c r="R27" s="969"/>
      <c r="S27" s="969"/>
      <c r="T27" s="969"/>
      <c r="U27" s="888"/>
      <c r="V27" s="888"/>
      <c r="W27" s="904"/>
      <c r="X27" s="904"/>
      <c r="Y27" s="904"/>
      <c r="Z27" s="904"/>
      <c r="AA27" s="904"/>
      <c r="AB27" s="904"/>
      <c r="AC27" s="904"/>
      <c r="AD27" s="827"/>
      <c r="AE27" s="867"/>
      <c r="AF27" s="868"/>
      <c r="AG27" s="868"/>
      <c r="AH27" s="869"/>
      <c r="AI27" s="1021"/>
      <c r="AJ27" s="1022"/>
      <c r="AK27" s="901"/>
      <c r="AL27" s="901"/>
      <c r="AM27" s="901"/>
      <c r="AN27" s="1010"/>
      <c r="AO27" s="1011"/>
      <c r="AP27" s="1011"/>
      <c r="AQ27" s="974"/>
      <c r="AR27" s="37"/>
      <c r="AS27" s="235"/>
      <c r="AT27" s="973"/>
      <c r="AU27" s="855"/>
      <c r="AV27" s="849"/>
      <c r="AW27" s="851"/>
      <c r="AX27" s="970"/>
      <c r="AY27" s="970"/>
      <c r="AZ27" s="855"/>
      <c r="BA27" s="970"/>
      <c r="BB27" s="970"/>
      <c r="BC27" s="855"/>
      <c r="BD27" s="855"/>
      <c r="BE27" s="929"/>
      <c r="BF27" s="931"/>
      <c r="BG27" s="938"/>
      <c r="BH27" s="934"/>
      <c r="BI27" s="939"/>
    </row>
    <row r="28" spans="1:61" ht="15.95" customHeight="1">
      <c r="B28" s="905">
        <v>6</v>
      </c>
      <c r="C28" s="904"/>
      <c r="D28" s="904"/>
      <c r="E28" s="904"/>
      <c r="F28" s="904"/>
      <c r="G28" s="904"/>
      <c r="H28" s="904"/>
      <c r="I28" s="904"/>
      <c r="J28" s="904"/>
      <c r="K28" s="904"/>
      <c r="L28" s="904"/>
      <c r="M28" s="904"/>
      <c r="N28" s="904"/>
      <c r="O28" s="904"/>
      <c r="P28" s="904"/>
      <c r="Q28" s="904"/>
      <c r="R28" s="969" t="str">
        <f>IF(C28="","",INDEX(STDWATER[Current Unit],MATCH(C28,STDWATER[Measure Name],0)))</f>
        <v/>
      </c>
      <c r="S28" s="969"/>
      <c r="T28" s="969"/>
      <c r="U28" s="888"/>
      <c r="V28" s="888"/>
      <c r="W28" s="904"/>
      <c r="X28" s="904"/>
      <c r="Y28" s="904"/>
      <c r="Z28" s="904"/>
      <c r="AA28" s="904"/>
      <c r="AB28" s="904"/>
      <c r="AC28" s="904"/>
      <c r="AD28" s="827"/>
      <c r="AE28" s="867"/>
      <c r="AF28" s="868"/>
      <c r="AG28" s="868"/>
      <c r="AH28" s="869"/>
      <c r="AI28" s="1021" t="str">
        <f>IFERROR(IF(C28="","",INDEX(STDWATER[Current Incentive],MATCH(C28,STDWATER[Measure Name],0))),"")</f>
        <v/>
      </c>
      <c r="AJ28" s="1022"/>
      <c r="AK28" s="901" t="str">
        <f t="shared" ref="AK28" si="11">IFERROR(IF(OR(C28="",U28="",R28="",W28="",AA28="",AE28="",AG28=""),"",IF(BH28="Deemed",AV28,IF(BH28="Calculated",BA28,""))),"")</f>
        <v/>
      </c>
      <c r="AL28" s="901"/>
      <c r="AM28" s="901"/>
      <c r="AN28" s="1007" t="str">
        <f t="shared" ref="AN28" si="12">IFERROR(IF(OR(C28="",U28="",R28="",W28="",AA28="",AE28="",AG28=""),"",IF(BD28&lt;&gt;"",BD28,IF(BI28&gt;0,BI28,ROUND(IF(AK28&lt;=0,0,MIN(AT28,U28*AI28)),2)))),"")</f>
        <v/>
      </c>
      <c r="AO28" s="1008"/>
      <c r="AP28" s="1008"/>
      <c r="AQ28" s="1009"/>
      <c r="AR28" s="37"/>
      <c r="AS28" s="235"/>
      <c r="AT28" s="972" t="str">
        <f t="shared" ref="AT28" si="13">IF(OR(C28="",U28="",R28="",W28="",AA28="",AE28="",AG28=""),"",IF(AK28=0,"",ROUND(AE28+AG28,2)))</f>
        <v/>
      </c>
      <c r="AU28" s="854" t="str">
        <f>IFERROR(IF(OR(C28="",U28="",R28="",W28="",AA28="",AE28="",AG28=""),"",INDEX(STDWATER[Current Unit],MATCH(C28,STDWATER[Measure Name],0))),"Err")</f>
        <v/>
      </c>
      <c r="AV28" s="848" t="str">
        <f>IF(OR(C28="",U28="",R28="",W28="",AA28="",AE28="",AG28=""),"",ROUND(U28*INDEX(STDWATER[Electric Energy Savings (Annual kWh/unit)],MATCH(C28,STDWATER[Measure Name],0)),4))</f>
        <v/>
      </c>
      <c r="AW28" s="850" t="str">
        <f>IF(OR(C28="",U28="",R28="",W28="",AA28="",AE28="",AG28=""),"",ROUND(U28*INDEX(STDWATER[Coincident Peak Demand Savings (kW/unit)],MATCH(C28,STDWATER[Measure Name],0)),4))</f>
        <v/>
      </c>
      <c r="AX28" s="970"/>
      <c r="AY28" s="970"/>
      <c r="AZ28" s="854" t="str">
        <f>IFERROR(IF(OR(C28="",U28="",R28="",W28="",AA28="",AE28="",AG28=""),"",INDEX(STDWATER[End Use],MATCH(C28,STDWATER[Measure Name],0))),"Err")</f>
        <v/>
      </c>
      <c r="BA28" s="970"/>
      <c r="BB28" s="970"/>
      <c r="BC28" s="854" t="str">
        <f>IFERROR(IF(OR(C28="",U28="",R28="",W28="",AA28="",AE28="",AG28="",ISNUMBER(AN28)=FALSE,AN28=0),"",INDEX(STDWATER[Measure Number],MATCH(C28,STDWATER[Measure Name],0))),"Err")</f>
        <v/>
      </c>
      <c r="BD28" s="854" t="str">
        <f>IFERROR(IF(OR(C28="",U28="",W28="",AA28="",AE28="",AG28=""),"",
IF(BI28&gt;0,"",
IF(EXPIRATION&lt;&gt;"",PROJSTATEXP,""))),"")</f>
        <v/>
      </c>
      <c r="BE28" s="928" t="str">
        <f>IFERROR(INDEX(STDWATER[Measure Life (Years)],MATCH(C28,STDWATER[Measure Name],0)),"")</f>
        <v/>
      </c>
      <c r="BF28" s="930" t="str">
        <f>IFERROR(IF(OR(C28="",U28="",R28="",W28="",AA28="",AE28="",AG28=""),"",
ROUND(((1+ELOSS)*((AV28*INDEX(ELECCB[NPV AEC $/kWh],MATCH(BE28,ELECCB[Year Number],1)))+(AW28*INDEX(ELECCB[NPV ACC $/kW],MATCH(BE28,ELECCB[Year Number],1))))),2)),0)</f>
        <v/>
      </c>
      <c r="BG28" s="937"/>
      <c r="BH28" s="934" t="str">
        <f>IFERROR(IF(OR(C28="",U28="",R28="",W28="",AA28="",AE28="",AG28=""),"",INDEX(STDWATER[Reporting Methodology],MATCH(C28,STDWATER[Measure Name],0))),"Err")</f>
        <v/>
      </c>
      <c r="BI28" s="939"/>
    </row>
    <row r="29" spans="1:61" ht="15.95" customHeight="1">
      <c r="B29" s="905"/>
      <c r="C29" s="904"/>
      <c r="D29" s="904"/>
      <c r="E29" s="904"/>
      <c r="F29" s="904"/>
      <c r="G29" s="904"/>
      <c r="H29" s="904"/>
      <c r="I29" s="904"/>
      <c r="J29" s="904"/>
      <c r="K29" s="904"/>
      <c r="L29" s="904"/>
      <c r="M29" s="904"/>
      <c r="N29" s="904"/>
      <c r="O29" s="904"/>
      <c r="P29" s="904"/>
      <c r="Q29" s="904"/>
      <c r="R29" s="969"/>
      <c r="S29" s="969"/>
      <c r="T29" s="969"/>
      <c r="U29" s="888"/>
      <c r="V29" s="888"/>
      <c r="W29" s="904"/>
      <c r="X29" s="904"/>
      <c r="Y29" s="904"/>
      <c r="Z29" s="904"/>
      <c r="AA29" s="904"/>
      <c r="AB29" s="904"/>
      <c r="AC29" s="904"/>
      <c r="AD29" s="827"/>
      <c r="AE29" s="867"/>
      <c r="AF29" s="868"/>
      <c r="AG29" s="868"/>
      <c r="AH29" s="869"/>
      <c r="AI29" s="1021"/>
      <c r="AJ29" s="1022"/>
      <c r="AK29" s="901"/>
      <c r="AL29" s="901"/>
      <c r="AM29" s="901"/>
      <c r="AN29" s="1010"/>
      <c r="AO29" s="1011"/>
      <c r="AP29" s="1011"/>
      <c r="AQ29" s="974"/>
      <c r="AR29" s="37"/>
      <c r="AS29" s="235"/>
      <c r="AT29" s="973"/>
      <c r="AU29" s="855"/>
      <c r="AV29" s="849"/>
      <c r="AW29" s="851"/>
      <c r="AX29" s="970"/>
      <c r="AY29" s="970"/>
      <c r="AZ29" s="855"/>
      <c r="BA29" s="970"/>
      <c r="BB29" s="970"/>
      <c r="BC29" s="855"/>
      <c r="BD29" s="855"/>
      <c r="BE29" s="929"/>
      <c r="BF29" s="931"/>
      <c r="BG29" s="938"/>
      <c r="BH29" s="934"/>
      <c r="BI29" s="939"/>
    </row>
    <row r="30" spans="1:61" ht="15.95" customHeight="1">
      <c r="B30" s="905">
        <v>7</v>
      </c>
      <c r="C30" s="904"/>
      <c r="D30" s="904"/>
      <c r="E30" s="904"/>
      <c r="F30" s="904"/>
      <c r="G30" s="904"/>
      <c r="H30" s="904"/>
      <c r="I30" s="904"/>
      <c r="J30" s="904"/>
      <c r="K30" s="904"/>
      <c r="L30" s="904"/>
      <c r="M30" s="904"/>
      <c r="N30" s="904"/>
      <c r="O30" s="904"/>
      <c r="P30" s="904"/>
      <c r="Q30" s="904"/>
      <c r="R30" s="969" t="str">
        <f>IF(C30="","",INDEX(STDWATER[Current Unit],MATCH(C30,STDWATER[Measure Name],0)))</f>
        <v/>
      </c>
      <c r="S30" s="969"/>
      <c r="T30" s="969"/>
      <c r="U30" s="888"/>
      <c r="V30" s="888"/>
      <c r="W30" s="904"/>
      <c r="X30" s="904"/>
      <c r="Y30" s="904"/>
      <c r="Z30" s="904"/>
      <c r="AA30" s="904"/>
      <c r="AB30" s="904"/>
      <c r="AC30" s="904"/>
      <c r="AD30" s="827"/>
      <c r="AE30" s="867"/>
      <c r="AF30" s="868"/>
      <c r="AG30" s="868"/>
      <c r="AH30" s="869"/>
      <c r="AI30" s="1021" t="str">
        <f>IFERROR(IF(C30="","",INDEX(STDWATER[Current Incentive],MATCH(C30,STDWATER[Measure Name],0))),"")</f>
        <v/>
      </c>
      <c r="AJ30" s="1022"/>
      <c r="AK30" s="901" t="str">
        <f t="shared" ref="AK30" si="14">IFERROR(IF(OR(C30="",U30="",R30="",W30="",AA30="",AE30="",AG30=""),"",IF(BH30="Deemed",AV30,IF(BH30="Calculated",BA30,""))),"")</f>
        <v/>
      </c>
      <c r="AL30" s="901"/>
      <c r="AM30" s="901"/>
      <c r="AN30" s="1007" t="str">
        <f t="shared" ref="AN30" si="15">IFERROR(IF(OR(C30="",U30="",R30="",W30="",AA30="",AE30="",AG30=""),"",IF(BD30&lt;&gt;"",BD30,IF(BI30&gt;0,BI30,ROUND(IF(AK30&lt;=0,0,MIN(AT30,U30*AI30)),2)))),"")</f>
        <v/>
      </c>
      <c r="AO30" s="1008"/>
      <c r="AP30" s="1008"/>
      <c r="AQ30" s="1009"/>
      <c r="AR30" s="37"/>
      <c r="AS30" s="235"/>
      <c r="AT30" s="972" t="str">
        <f t="shared" ref="AT30" si="16">IF(OR(C30="",U30="",R30="",W30="",AA30="",AE30="",AG30=""),"",IF(AK30=0,"",ROUND(AE30+AG30,2)))</f>
        <v/>
      </c>
      <c r="AU30" s="854" t="str">
        <f>IFERROR(IF(OR(C30="",U30="",R30="",W30="",AA30="",AE30="",AG30=""),"",INDEX(STDWATER[Current Unit],MATCH(C30,STDWATER[Measure Name],0))),"Err")</f>
        <v/>
      </c>
      <c r="AV30" s="848" t="str">
        <f>IF(OR(C30="",U30="",R30="",W30="",AA30="",AE30="",AG30=""),"",ROUND(U30*INDEX(STDWATER[Electric Energy Savings (Annual kWh/unit)],MATCH(C30,STDWATER[Measure Name],0)),4))</f>
        <v/>
      </c>
      <c r="AW30" s="850" t="str">
        <f>IF(OR(C30="",U30="",R30="",W30="",AA30="",AE30="",AG30=""),"",ROUND(U30*INDEX(STDWATER[Coincident Peak Demand Savings (kW/unit)],MATCH(C30,STDWATER[Measure Name],0)),4))</f>
        <v/>
      </c>
      <c r="AX30" s="970"/>
      <c r="AY30" s="970"/>
      <c r="AZ30" s="854" t="str">
        <f>IFERROR(IF(OR(C30="",U30="",R30="",W30="",AA30="",AE30="",AG30=""),"",INDEX(STDWATER[End Use],MATCH(C30,STDWATER[Measure Name],0))),"Err")</f>
        <v/>
      </c>
      <c r="BA30" s="970"/>
      <c r="BB30" s="970"/>
      <c r="BC30" s="854" t="str">
        <f>IFERROR(IF(OR(C30="",U30="",R30="",W30="",AA30="",AE30="",AG30="",ISNUMBER(AN30)=FALSE,AN30=0),"",INDEX(STDWATER[Measure Number],MATCH(C30,STDWATER[Measure Name],0))),"Err")</f>
        <v/>
      </c>
      <c r="BD30" s="854" t="str">
        <f>IFERROR(IF(OR(C30="",U30="",W30="",AA30="",AE30="",AG30=""),"",
IF(BI30&gt;0,"",
IF(EXPIRATION&lt;&gt;"",PROJSTATEXP,""))),"")</f>
        <v/>
      </c>
      <c r="BE30" s="928" t="str">
        <f>IFERROR(INDEX(STDWATER[Measure Life (Years)],MATCH(C30,STDWATER[Measure Name],0)),"")</f>
        <v/>
      </c>
      <c r="BF30" s="930" t="str">
        <f>IFERROR(IF(OR(C30="",U30="",R30="",W30="",AA30="",AE30="",AG30=""),"",
ROUND(((1+ELOSS)*((AV30*INDEX(ELECCB[NPV AEC $/kWh],MATCH(BE30,ELECCB[Year Number],1)))+(AW30*INDEX(ELECCB[NPV ACC $/kW],MATCH(BE30,ELECCB[Year Number],1))))),2)),0)</f>
        <v/>
      </c>
      <c r="BG30" s="937"/>
      <c r="BH30" s="934" t="str">
        <f>IFERROR(IF(OR(C30="",U30="",R30="",W30="",AA30="",AE30="",AG30=""),"",INDEX(STDWATER[Reporting Methodology],MATCH(C30,STDWATER[Measure Name],0))),"Err")</f>
        <v/>
      </c>
      <c r="BI30" s="939"/>
    </row>
    <row r="31" spans="1:61" ht="15.95" customHeight="1">
      <c r="B31" s="905"/>
      <c r="C31" s="904"/>
      <c r="D31" s="904"/>
      <c r="E31" s="904"/>
      <c r="F31" s="904"/>
      <c r="G31" s="904"/>
      <c r="H31" s="904"/>
      <c r="I31" s="904"/>
      <c r="J31" s="904"/>
      <c r="K31" s="904"/>
      <c r="L31" s="904"/>
      <c r="M31" s="904"/>
      <c r="N31" s="904"/>
      <c r="O31" s="904"/>
      <c r="P31" s="904"/>
      <c r="Q31" s="904"/>
      <c r="R31" s="969"/>
      <c r="S31" s="969"/>
      <c r="T31" s="969"/>
      <c r="U31" s="888"/>
      <c r="V31" s="888"/>
      <c r="W31" s="904"/>
      <c r="X31" s="904"/>
      <c r="Y31" s="904"/>
      <c r="Z31" s="904"/>
      <c r="AA31" s="904"/>
      <c r="AB31" s="904"/>
      <c r="AC31" s="904"/>
      <c r="AD31" s="827"/>
      <c r="AE31" s="867"/>
      <c r="AF31" s="868"/>
      <c r="AG31" s="868"/>
      <c r="AH31" s="869"/>
      <c r="AI31" s="1021"/>
      <c r="AJ31" s="1022"/>
      <c r="AK31" s="901"/>
      <c r="AL31" s="901"/>
      <c r="AM31" s="901"/>
      <c r="AN31" s="1010"/>
      <c r="AO31" s="1011"/>
      <c r="AP31" s="1011"/>
      <c r="AQ31" s="974"/>
      <c r="AR31" s="37"/>
      <c r="AS31" s="235"/>
      <c r="AT31" s="973"/>
      <c r="AU31" s="855"/>
      <c r="AV31" s="849"/>
      <c r="AW31" s="851"/>
      <c r="AX31" s="970"/>
      <c r="AY31" s="970"/>
      <c r="AZ31" s="855"/>
      <c r="BA31" s="970"/>
      <c r="BB31" s="970"/>
      <c r="BC31" s="855"/>
      <c r="BD31" s="855"/>
      <c r="BE31" s="929"/>
      <c r="BF31" s="931"/>
      <c r="BG31" s="938"/>
      <c r="BH31" s="934"/>
      <c r="BI31" s="939"/>
    </row>
    <row r="32" spans="1:61" ht="15.95" customHeight="1">
      <c r="B32" s="905">
        <v>8</v>
      </c>
      <c r="C32" s="904"/>
      <c r="D32" s="904"/>
      <c r="E32" s="904"/>
      <c r="F32" s="904"/>
      <c r="G32" s="904"/>
      <c r="H32" s="904"/>
      <c r="I32" s="904"/>
      <c r="J32" s="904"/>
      <c r="K32" s="904"/>
      <c r="L32" s="904"/>
      <c r="M32" s="904"/>
      <c r="N32" s="904"/>
      <c r="O32" s="904"/>
      <c r="P32" s="904"/>
      <c r="Q32" s="904"/>
      <c r="R32" s="969" t="str">
        <f>IF(C32="","",INDEX(STDWATER[Current Unit],MATCH(C32,STDWATER[Measure Name],0)))</f>
        <v/>
      </c>
      <c r="S32" s="969"/>
      <c r="T32" s="969"/>
      <c r="U32" s="888"/>
      <c r="V32" s="888"/>
      <c r="W32" s="904"/>
      <c r="X32" s="904"/>
      <c r="Y32" s="904"/>
      <c r="Z32" s="904"/>
      <c r="AA32" s="904"/>
      <c r="AB32" s="904"/>
      <c r="AC32" s="904"/>
      <c r="AD32" s="827"/>
      <c r="AE32" s="867"/>
      <c r="AF32" s="868"/>
      <c r="AG32" s="868"/>
      <c r="AH32" s="869"/>
      <c r="AI32" s="1021" t="str">
        <f>IFERROR(IF(C32="","",INDEX(STDWATER[Current Incentive],MATCH(C32,STDWATER[Measure Name],0))),"")</f>
        <v/>
      </c>
      <c r="AJ32" s="1022"/>
      <c r="AK32" s="901" t="str">
        <f t="shared" ref="AK32" si="17">IFERROR(IF(OR(C32="",U32="",R32="",W32="",AA32="",AE32="",AG32=""),"",IF(BH32="Deemed",AV32,IF(BH32="Calculated",BA32,""))),"")</f>
        <v/>
      </c>
      <c r="AL32" s="901"/>
      <c r="AM32" s="901"/>
      <c r="AN32" s="1007" t="str">
        <f t="shared" ref="AN32" si="18">IFERROR(IF(OR(C32="",U32="",R32="",W32="",AA32="",AE32="",AG32=""),"",IF(BD32&lt;&gt;"",BD32,IF(BI32&gt;0,BI32,ROUND(IF(AK32&lt;=0,0,MIN(AT32,U32*AI32)),2)))),"")</f>
        <v/>
      </c>
      <c r="AO32" s="1008"/>
      <c r="AP32" s="1008"/>
      <c r="AQ32" s="1009"/>
      <c r="AR32" s="37"/>
      <c r="AS32" s="235"/>
      <c r="AT32" s="972" t="str">
        <f t="shared" ref="AT32" si="19">IF(OR(C32="",U32="",R32="",W32="",AA32="",AE32="",AG32=""),"",IF(AK32=0,"",ROUND(AE32+AG32,2)))</f>
        <v/>
      </c>
      <c r="AU32" s="854" t="str">
        <f>IFERROR(IF(OR(C32="",U32="",R32="",W32="",AA32="",AE32="",AG32=""),"",INDEX(STDWATER[Current Unit],MATCH(C32,STDWATER[Measure Name],0))),"Err")</f>
        <v/>
      </c>
      <c r="AV32" s="848" t="str">
        <f>IF(OR(C32="",U32="",R32="",W32="",AA32="",AE32="",AG32=""),"",ROUND(U32*INDEX(STDWATER[Electric Energy Savings (Annual kWh/unit)],MATCH(C32,STDWATER[Measure Name],0)),4))</f>
        <v/>
      </c>
      <c r="AW32" s="850" t="str">
        <f>IF(OR(C32="",U32="",R32="",W32="",AA32="",AE32="",AG32=""),"",ROUND(U32*INDEX(STDWATER[Coincident Peak Demand Savings (kW/unit)],MATCH(C32,STDWATER[Measure Name],0)),4))</f>
        <v/>
      </c>
      <c r="AX32" s="970"/>
      <c r="AY32" s="970"/>
      <c r="AZ32" s="854" t="str">
        <f>IFERROR(IF(OR(C32="",U32="",R32="",W32="",AA32="",AE32="",AG32=""),"",INDEX(STDWATER[End Use],MATCH(C32,STDWATER[Measure Name],0))),"Err")</f>
        <v/>
      </c>
      <c r="BA32" s="970"/>
      <c r="BB32" s="970"/>
      <c r="BC32" s="854" t="str">
        <f>IFERROR(IF(OR(C32="",U32="",R32="",W32="",AA32="",AE32="",AG32="",ISNUMBER(AN32)=FALSE,AN32=0),"",INDEX(STDWATER[Measure Number],MATCH(C32,STDWATER[Measure Name],0))),"Err")</f>
        <v/>
      </c>
      <c r="BD32" s="854" t="str">
        <f>IFERROR(IF(OR(C32="",U32="",W32="",AA32="",AE32="",AG32=""),"",
IF(BI32&gt;0,"",
IF(EXPIRATION&lt;&gt;"",PROJSTATEXP,""))),"")</f>
        <v/>
      </c>
      <c r="BE32" s="928" t="str">
        <f>IFERROR(INDEX(STDWATER[Measure Life (Years)],MATCH(C32,STDWATER[Measure Name],0)),"")</f>
        <v/>
      </c>
      <c r="BF32" s="930" t="str">
        <f>IFERROR(IF(OR(C32="",U32="",R32="",W32="",AA32="",AE32="",AG32=""),"",
ROUND(((1+ELOSS)*((AV32*INDEX(ELECCB[NPV AEC $/kWh],MATCH(BE32,ELECCB[Year Number],1)))+(AW32*INDEX(ELECCB[NPV ACC $/kW],MATCH(BE32,ELECCB[Year Number],1))))),2)),0)</f>
        <v/>
      </c>
      <c r="BG32" s="937"/>
      <c r="BH32" s="934" t="str">
        <f>IFERROR(IF(OR(C32="",U32="",R32="",W32="",AA32="",AE32="",AG32=""),"",INDEX(STDWATER[Reporting Methodology],MATCH(C32,STDWATER[Measure Name],0))),"Err")</f>
        <v/>
      </c>
      <c r="BI32" s="939"/>
    </row>
    <row r="33" spans="2:61" ht="15.95" customHeight="1">
      <c r="B33" s="905"/>
      <c r="C33" s="904"/>
      <c r="D33" s="904"/>
      <c r="E33" s="904"/>
      <c r="F33" s="904"/>
      <c r="G33" s="904"/>
      <c r="H33" s="904"/>
      <c r="I33" s="904"/>
      <c r="J33" s="904"/>
      <c r="K33" s="904"/>
      <c r="L33" s="904"/>
      <c r="M33" s="904"/>
      <c r="N33" s="904"/>
      <c r="O33" s="904"/>
      <c r="P33" s="904"/>
      <c r="Q33" s="904"/>
      <c r="R33" s="969"/>
      <c r="S33" s="969"/>
      <c r="T33" s="969"/>
      <c r="U33" s="888"/>
      <c r="V33" s="888"/>
      <c r="W33" s="904"/>
      <c r="X33" s="904"/>
      <c r="Y33" s="904"/>
      <c r="Z33" s="904"/>
      <c r="AA33" s="904"/>
      <c r="AB33" s="904"/>
      <c r="AC33" s="904"/>
      <c r="AD33" s="827"/>
      <c r="AE33" s="867"/>
      <c r="AF33" s="868"/>
      <c r="AG33" s="868"/>
      <c r="AH33" s="869"/>
      <c r="AI33" s="1021"/>
      <c r="AJ33" s="1022"/>
      <c r="AK33" s="901"/>
      <c r="AL33" s="901"/>
      <c r="AM33" s="901"/>
      <c r="AN33" s="1010"/>
      <c r="AO33" s="1011"/>
      <c r="AP33" s="1011"/>
      <c r="AQ33" s="974"/>
      <c r="AR33" s="37"/>
      <c r="AS33" s="235"/>
      <c r="AT33" s="973"/>
      <c r="AU33" s="855"/>
      <c r="AV33" s="849"/>
      <c r="AW33" s="851"/>
      <c r="AX33" s="970"/>
      <c r="AY33" s="970"/>
      <c r="AZ33" s="855"/>
      <c r="BA33" s="970"/>
      <c r="BB33" s="970"/>
      <c r="BC33" s="855"/>
      <c r="BD33" s="855"/>
      <c r="BE33" s="929"/>
      <c r="BF33" s="931"/>
      <c r="BG33" s="938"/>
      <c r="BH33" s="934"/>
      <c r="BI33" s="939"/>
    </row>
    <row r="34" spans="2:61" ht="15.95" customHeight="1">
      <c r="B34" s="905">
        <v>9</v>
      </c>
      <c r="C34" s="904"/>
      <c r="D34" s="904"/>
      <c r="E34" s="904"/>
      <c r="F34" s="904"/>
      <c r="G34" s="904"/>
      <c r="H34" s="904"/>
      <c r="I34" s="904"/>
      <c r="J34" s="904"/>
      <c r="K34" s="904"/>
      <c r="L34" s="904"/>
      <c r="M34" s="904"/>
      <c r="N34" s="904"/>
      <c r="O34" s="904"/>
      <c r="P34" s="904"/>
      <c r="Q34" s="904"/>
      <c r="R34" s="969" t="str">
        <f>IF(C34="","",INDEX(STDWATER[Current Unit],MATCH(C34,STDWATER[Measure Name],0)))</f>
        <v/>
      </c>
      <c r="S34" s="969"/>
      <c r="T34" s="969"/>
      <c r="U34" s="888"/>
      <c r="V34" s="888"/>
      <c r="W34" s="904"/>
      <c r="X34" s="904"/>
      <c r="Y34" s="904"/>
      <c r="Z34" s="904"/>
      <c r="AA34" s="904"/>
      <c r="AB34" s="904"/>
      <c r="AC34" s="904"/>
      <c r="AD34" s="827"/>
      <c r="AE34" s="867"/>
      <c r="AF34" s="868"/>
      <c r="AG34" s="868"/>
      <c r="AH34" s="869"/>
      <c r="AI34" s="1021" t="str">
        <f>IFERROR(IF(C34="","",INDEX(STDWATER[Current Incentive],MATCH(C34,STDWATER[Measure Name],0))),"")</f>
        <v/>
      </c>
      <c r="AJ34" s="1022"/>
      <c r="AK34" s="901" t="str">
        <f t="shared" ref="AK34" si="20">IFERROR(IF(OR(C34="",U34="",R34="",W34="",AA34="",AE34="",AG34=""),"",IF(BH34="Deemed",AV34,IF(BH34="Calculated",BA34,""))),"")</f>
        <v/>
      </c>
      <c r="AL34" s="901"/>
      <c r="AM34" s="901"/>
      <c r="AN34" s="1007" t="str">
        <f t="shared" ref="AN34" si="21">IFERROR(IF(OR(C34="",U34="",R34="",W34="",AA34="",AE34="",AG34=""),"",IF(BD34&lt;&gt;"",BD34,IF(BI34&gt;0,BI34,ROUND(IF(AK34&lt;=0,0,MIN(AT34,U34*AI34)),2)))),"")</f>
        <v/>
      </c>
      <c r="AO34" s="1008"/>
      <c r="AP34" s="1008"/>
      <c r="AQ34" s="1009"/>
      <c r="AR34" s="37"/>
      <c r="AS34" s="235"/>
      <c r="AT34" s="972" t="str">
        <f t="shared" ref="AT34" si="22">IF(OR(C34="",U34="",R34="",W34="",AA34="",AE34="",AG34=""),"",IF(AK34=0,"",ROUND(AE34+AG34,2)))</f>
        <v/>
      </c>
      <c r="AU34" s="854" t="str">
        <f>IFERROR(IF(OR(C34="",U34="",R34="",W34="",AA34="",AE34="",AG34=""),"",INDEX(STDWATER[Current Unit],MATCH(C34,STDWATER[Measure Name],0))),"Err")</f>
        <v/>
      </c>
      <c r="AV34" s="848" t="str">
        <f>IF(OR(C34="",U34="",R34="",W34="",AA34="",AE34="",AG34=""),"",ROUND(U34*INDEX(STDWATER[Electric Energy Savings (Annual kWh/unit)],MATCH(C34,STDWATER[Measure Name],0)),4))</f>
        <v/>
      </c>
      <c r="AW34" s="850" t="str">
        <f>IF(OR(C34="",U34="",R34="",W34="",AA34="",AE34="",AG34=""),"",ROUND(U34*INDEX(STDWATER[Coincident Peak Demand Savings (kW/unit)],MATCH(C34,STDWATER[Measure Name],0)),4))</f>
        <v/>
      </c>
      <c r="AX34" s="970"/>
      <c r="AY34" s="970"/>
      <c r="AZ34" s="854" t="str">
        <f>IFERROR(IF(OR(C34="",U34="",R34="",W34="",AA34="",AE34="",AG34=""),"",INDEX(STDWATER[End Use],MATCH(C34,STDWATER[Measure Name],0))),"Err")</f>
        <v/>
      </c>
      <c r="BA34" s="970"/>
      <c r="BB34" s="970"/>
      <c r="BC34" s="854" t="str">
        <f>IFERROR(IF(OR(C34="",U34="",R34="",W34="",AA34="",AE34="",AG34="",ISNUMBER(AN34)=FALSE,AN34=0),"",INDEX(STDWATER[Measure Number],MATCH(C34,STDWATER[Measure Name],0))),"Err")</f>
        <v/>
      </c>
      <c r="BD34" s="854" t="str">
        <f>IFERROR(IF(OR(C34="",U34="",W34="",AA34="",AE34="",AG34=""),"",
IF(BI34&gt;0,"",
IF(EXPIRATION&lt;&gt;"",PROJSTATEXP,""))),"")</f>
        <v/>
      </c>
      <c r="BE34" s="928" t="str">
        <f>IFERROR(INDEX(STDWATER[Measure Life (Years)],MATCH(C34,STDWATER[Measure Name],0)),"")</f>
        <v/>
      </c>
      <c r="BF34" s="930" t="str">
        <f>IFERROR(IF(OR(C34="",U34="",R34="",W34="",AA34="",AE34="",AG34=""),"",
ROUND(((1+ELOSS)*((AV34*INDEX(ELECCB[NPV AEC $/kWh],MATCH(BE34,ELECCB[Year Number],1)))+(AW34*INDEX(ELECCB[NPV ACC $/kW],MATCH(BE34,ELECCB[Year Number],1))))),2)),0)</f>
        <v/>
      </c>
      <c r="BG34" s="937"/>
      <c r="BH34" s="934" t="str">
        <f>IFERROR(IF(OR(C34="",U34="",R34="",W34="",AA34="",AE34="",AG34=""),"",INDEX(STDWATER[Reporting Methodology],MATCH(C34,STDWATER[Measure Name],0))),"Err")</f>
        <v/>
      </c>
      <c r="BI34" s="939"/>
    </row>
    <row r="35" spans="2:61" ht="15.95" customHeight="1">
      <c r="B35" s="905"/>
      <c r="C35" s="904"/>
      <c r="D35" s="904"/>
      <c r="E35" s="904"/>
      <c r="F35" s="904"/>
      <c r="G35" s="904"/>
      <c r="H35" s="904"/>
      <c r="I35" s="904"/>
      <c r="J35" s="904"/>
      <c r="K35" s="904"/>
      <c r="L35" s="904"/>
      <c r="M35" s="904"/>
      <c r="N35" s="904"/>
      <c r="O35" s="904"/>
      <c r="P35" s="904"/>
      <c r="Q35" s="904"/>
      <c r="R35" s="969"/>
      <c r="S35" s="969"/>
      <c r="T35" s="969"/>
      <c r="U35" s="888"/>
      <c r="V35" s="888"/>
      <c r="W35" s="904"/>
      <c r="X35" s="904"/>
      <c r="Y35" s="904"/>
      <c r="Z35" s="904"/>
      <c r="AA35" s="904"/>
      <c r="AB35" s="904"/>
      <c r="AC35" s="904"/>
      <c r="AD35" s="827"/>
      <c r="AE35" s="867"/>
      <c r="AF35" s="868"/>
      <c r="AG35" s="868"/>
      <c r="AH35" s="869"/>
      <c r="AI35" s="1021"/>
      <c r="AJ35" s="1022"/>
      <c r="AK35" s="901"/>
      <c r="AL35" s="901"/>
      <c r="AM35" s="901"/>
      <c r="AN35" s="1010"/>
      <c r="AO35" s="1011"/>
      <c r="AP35" s="1011"/>
      <c r="AQ35" s="974"/>
      <c r="AR35" s="37"/>
      <c r="AS35" s="235"/>
      <c r="AT35" s="973"/>
      <c r="AU35" s="855"/>
      <c r="AV35" s="849"/>
      <c r="AW35" s="851"/>
      <c r="AX35" s="970"/>
      <c r="AY35" s="970"/>
      <c r="AZ35" s="855"/>
      <c r="BA35" s="970"/>
      <c r="BB35" s="970"/>
      <c r="BC35" s="855"/>
      <c r="BD35" s="855"/>
      <c r="BE35" s="929"/>
      <c r="BF35" s="931"/>
      <c r="BG35" s="938"/>
      <c r="BH35" s="934"/>
      <c r="BI35" s="939"/>
    </row>
    <row r="36" spans="2:61" ht="15.95" customHeight="1">
      <c r="B36" s="905">
        <v>10</v>
      </c>
      <c r="C36" s="904"/>
      <c r="D36" s="904"/>
      <c r="E36" s="904"/>
      <c r="F36" s="904"/>
      <c r="G36" s="904"/>
      <c r="H36" s="904"/>
      <c r="I36" s="904"/>
      <c r="J36" s="904"/>
      <c r="K36" s="904"/>
      <c r="L36" s="904"/>
      <c r="M36" s="904"/>
      <c r="N36" s="904"/>
      <c r="O36" s="904"/>
      <c r="P36" s="904"/>
      <c r="Q36" s="904"/>
      <c r="R36" s="969" t="str">
        <f>IF(C36="","",INDEX(STDWATER[Current Unit],MATCH(C36,STDWATER[Measure Name],0)))</f>
        <v/>
      </c>
      <c r="S36" s="969"/>
      <c r="T36" s="969"/>
      <c r="U36" s="888"/>
      <c r="V36" s="888"/>
      <c r="W36" s="904"/>
      <c r="X36" s="904"/>
      <c r="Y36" s="904"/>
      <c r="Z36" s="904"/>
      <c r="AA36" s="904"/>
      <c r="AB36" s="904"/>
      <c r="AC36" s="904"/>
      <c r="AD36" s="827"/>
      <c r="AE36" s="867"/>
      <c r="AF36" s="868"/>
      <c r="AG36" s="868"/>
      <c r="AH36" s="869"/>
      <c r="AI36" s="1021" t="str">
        <f>IFERROR(IF(C36="","",INDEX(STDWATER[Current Incentive],MATCH(C36,STDWATER[Measure Name],0))),"")</f>
        <v/>
      </c>
      <c r="AJ36" s="1022"/>
      <c r="AK36" s="901" t="str">
        <f t="shared" ref="AK36" si="23">IFERROR(IF(OR(C36="",U36="",R36="",W36="",AA36="",AE36="",AG36=""),"",IF(BH36="Deemed",AV36,IF(BH36="Calculated",BA36,""))),"")</f>
        <v/>
      </c>
      <c r="AL36" s="901"/>
      <c r="AM36" s="901"/>
      <c r="AN36" s="1007" t="str">
        <f t="shared" ref="AN36" si="24">IFERROR(IF(OR(C36="",U36="",R36="",W36="",AA36="",AE36="",AG36=""),"",IF(BD36&lt;&gt;"",BD36,IF(BI36&gt;0,BI36,ROUND(IF(AK36&lt;=0,0,MIN(AT36,U36*AI36)),2)))),"")</f>
        <v/>
      </c>
      <c r="AO36" s="1008"/>
      <c r="AP36" s="1008"/>
      <c r="AQ36" s="1009"/>
      <c r="AR36" s="37"/>
      <c r="AS36" s="235"/>
      <c r="AT36" s="972" t="str">
        <f t="shared" ref="AT36" si="25">IF(OR(C36="",U36="",R36="",W36="",AA36="",AE36="",AG36=""),"",IF(AK36=0,"",ROUND(AE36+AG36,2)))</f>
        <v/>
      </c>
      <c r="AU36" s="854" t="str">
        <f>IFERROR(IF(OR(C36="",U36="",R36="",W36="",AA36="",AE36="",AG36=""),"",INDEX(STDWATER[Current Unit],MATCH(C36,STDWATER[Measure Name],0))),"Err")</f>
        <v/>
      </c>
      <c r="AV36" s="848" t="str">
        <f>IF(OR(C36="",U36="",R36="",W36="",AA36="",AE36="",AG36=""),"",ROUND(U36*INDEX(STDWATER[Electric Energy Savings (Annual kWh/unit)],MATCH(C36,STDWATER[Measure Name],0)),4))</f>
        <v/>
      </c>
      <c r="AW36" s="850" t="str">
        <f>IF(OR(C36="",U36="",R36="",W36="",AA36="",AE36="",AG36=""),"",ROUND(U36*INDEX(STDWATER[Coincident Peak Demand Savings (kW/unit)],MATCH(C36,STDWATER[Measure Name],0)),4))</f>
        <v/>
      </c>
      <c r="AX36" s="970"/>
      <c r="AY36" s="970"/>
      <c r="AZ36" s="854" t="str">
        <f>IFERROR(IF(OR(C36="",U36="",R36="",W36="",AA36="",AE36="",AG36=""),"",INDEX(STDWATER[End Use],MATCH(C36,STDWATER[Measure Name],0))),"Err")</f>
        <v/>
      </c>
      <c r="BA36" s="970"/>
      <c r="BB36" s="970"/>
      <c r="BC36" s="854" t="str">
        <f>IFERROR(IF(OR(C36="",U36="",R36="",W36="",AA36="",AE36="",AG36="",ISNUMBER(AN36)=FALSE,AN36=0),"",INDEX(STDWATER[Measure Number],MATCH(C36,STDWATER[Measure Name],0))),"Err")</f>
        <v/>
      </c>
      <c r="BD36" s="854" t="str">
        <f>IFERROR(IF(OR(C36="",U36="",W36="",AA36="",AE36="",AG36=""),"",
IF(BI36&gt;0,"",
IF(EXPIRATION&lt;&gt;"",PROJSTATEXP,""))),"")</f>
        <v/>
      </c>
      <c r="BE36" s="928" t="str">
        <f>IFERROR(INDEX(STDWATER[Measure Life (Years)],MATCH(C36,STDWATER[Measure Name],0)),"")</f>
        <v/>
      </c>
      <c r="BF36" s="930" t="str">
        <f>IFERROR(IF(OR(C36="",U36="",R36="",W36="",AA36="",AE36="",AG36=""),"",
ROUND(((1+ELOSS)*((AV36*INDEX(ELECCB[NPV AEC $/kWh],MATCH(BE36,ELECCB[Year Number],1)))+(AW36*INDEX(ELECCB[NPV ACC $/kW],MATCH(BE36,ELECCB[Year Number],1))))),2)),0)</f>
        <v/>
      </c>
      <c r="BG36" s="937"/>
      <c r="BH36" s="934" t="str">
        <f>IFERROR(IF(OR(C36="",U36="",R36="",W36="",AA36="",AE36="",AG36=""),"",INDEX(STDWATER[Reporting Methodology],MATCH(C36,STDWATER[Measure Name],0))),"Err")</f>
        <v/>
      </c>
      <c r="BI36" s="939"/>
    </row>
    <row r="37" spans="2:61" ht="15.95" customHeight="1">
      <c r="B37" s="905"/>
      <c r="C37" s="904"/>
      <c r="D37" s="904"/>
      <c r="E37" s="904"/>
      <c r="F37" s="904"/>
      <c r="G37" s="904"/>
      <c r="H37" s="904"/>
      <c r="I37" s="904"/>
      <c r="J37" s="904"/>
      <c r="K37" s="904"/>
      <c r="L37" s="904"/>
      <c r="M37" s="904"/>
      <c r="N37" s="904"/>
      <c r="O37" s="904"/>
      <c r="P37" s="904"/>
      <c r="Q37" s="904"/>
      <c r="R37" s="969"/>
      <c r="S37" s="969"/>
      <c r="T37" s="969"/>
      <c r="U37" s="888"/>
      <c r="V37" s="888"/>
      <c r="W37" s="904"/>
      <c r="X37" s="904"/>
      <c r="Y37" s="904"/>
      <c r="Z37" s="904"/>
      <c r="AA37" s="904"/>
      <c r="AB37" s="904"/>
      <c r="AC37" s="904"/>
      <c r="AD37" s="827"/>
      <c r="AE37" s="867"/>
      <c r="AF37" s="868"/>
      <c r="AG37" s="868"/>
      <c r="AH37" s="869"/>
      <c r="AI37" s="1021"/>
      <c r="AJ37" s="1022"/>
      <c r="AK37" s="901"/>
      <c r="AL37" s="901"/>
      <c r="AM37" s="901"/>
      <c r="AN37" s="1010"/>
      <c r="AO37" s="1011"/>
      <c r="AP37" s="1011"/>
      <c r="AQ37" s="974"/>
      <c r="AR37" s="37"/>
      <c r="AS37" s="235"/>
      <c r="AT37" s="973"/>
      <c r="AU37" s="855"/>
      <c r="AV37" s="849"/>
      <c r="AW37" s="851"/>
      <c r="AX37" s="970"/>
      <c r="AY37" s="970"/>
      <c r="AZ37" s="855"/>
      <c r="BA37" s="970"/>
      <c r="BB37" s="970"/>
      <c r="BC37" s="855"/>
      <c r="BD37" s="855"/>
      <c r="BE37" s="929"/>
      <c r="BF37" s="931"/>
      <c r="BG37" s="938"/>
      <c r="BH37" s="934"/>
      <c r="BI37" s="939"/>
    </row>
    <row r="38" spans="2:61" customFormat="1" ht="15.95" customHeight="1">
      <c r="AT38" s="426"/>
    </row>
    <row r="39" spans="2:61" customFormat="1" ht="15.95" hidden="1" customHeight="1">
      <c r="AT39" s="426"/>
    </row>
    <row r="40" spans="2:61" customFormat="1" ht="15.95" hidden="1" customHeight="1">
      <c r="AT40" s="426"/>
    </row>
    <row r="41" spans="2:61" customFormat="1" ht="15.95" hidden="1" customHeight="1">
      <c r="AT41" s="426"/>
    </row>
    <row r="42" spans="2:61" customFormat="1" ht="15.95" hidden="1" customHeight="1">
      <c r="AT42" s="426"/>
    </row>
    <row r="43" spans="2:61" customFormat="1" ht="15.95" hidden="1" customHeight="1">
      <c r="AT43" s="426"/>
    </row>
    <row r="44" spans="2:61" customFormat="1" ht="15.95" hidden="1" customHeight="1">
      <c r="AT44" s="426"/>
    </row>
    <row r="45" spans="2:61" customFormat="1" ht="15.95" hidden="1" customHeight="1">
      <c r="AT45" s="426"/>
    </row>
    <row r="46" spans="2:61" customFormat="1" ht="15.95" hidden="1" customHeight="1">
      <c r="AT46" s="426"/>
    </row>
    <row r="47" spans="2:61" customFormat="1" ht="15.95" hidden="1" customHeight="1">
      <c r="AT47" s="426"/>
    </row>
    <row r="48" spans="2:61" ht="15.95" hidden="1" customHeight="1">
      <c r="AO48" s="235"/>
      <c r="AP48" s="235"/>
      <c r="AQ48" s="235"/>
      <c r="AR48" s="235"/>
      <c r="AS48" s="235"/>
      <c r="AV48" s="57"/>
      <c r="AW48" s="64"/>
    </row>
    <row r="49" spans="41:49" ht="15.95" hidden="1" customHeight="1">
      <c r="AO49" s="235"/>
      <c r="AP49" s="235"/>
      <c r="AQ49" s="235"/>
      <c r="AR49" s="235"/>
      <c r="AS49" s="235"/>
      <c r="AV49" s="57"/>
      <c r="AW49" s="64"/>
    </row>
    <row r="50" spans="41:49" ht="15.95" hidden="1" customHeight="1">
      <c r="AO50" s="235"/>
      <c r="AP50" s="235"/>
      <c r="AQ50" s="235"/>
      <c r="AR50" s="235"/>
      <c r="AS50" s="235"/>
      <c r="AV50" s="57"/>
      <c r="AW50" s="64"/>
    </row>
    <row r="51" spans="41:49" ht="15.95" hidden="1" customHeight="1">
      <c r="AO51" s="235"/>
      <c r="AP51" s="235"/>
      <c r="AQ51" s="235"/>
      <c r="AR51" s="235"/>
      <c r="AS51" s="235"/>
      <c r="AV51" s="57"/>
      <c r="AW51" s="64"/>
    </row>
    <row r="52" spans="41:49" ht="15.95" hidden="1" customHeight="1">
      <c r="AO52" s="235"/>
      <c r="AP52" s="235"/>
      <c r="AQ52" s="235"/>
      <c r="AR52" s="235"/>
      <c r="AS52" s="235"/>
      <c r="AV52" s="57"/>
      <c r="AW52" s="64"/>
    </row>
    <row r="53" spans="41:49" ht="15.95" hidden="1" customHeight="1">
      <c r="AO53" s="235"/>
      <c r="AP53" s="235"/>
      <c r="AQ53" s="235"/>
      <c r="AR53" s="235"/>
      <c r="AS53" s="235"/>
      <c r="AV53" s="57"/>
      <c r="AW53" s="64"/>
    </row>
    <row r="54" spans="41:49" ht="15.95" hidden="1" customHeight="1">
      <c r="AO54" s="235"/>
      <c r="AP54" s="235"/>
      <c r="AQ54" s="235"/>
      <c r="AR54" s="235"/>
      <c r="AS54" s="235"/>
      <c r="AV54" s="57"/>
      <c r="AW54" s="64"/>
    </row>
    <row r="55" spans="41:49" ht="15.95" hidden="1" customHeight="1">
      <c r="AO55" s="235"/>
      <c r="AP55" s="235"/>
      <c r="AQ55" s="235"/>
      <c r="AR55" s="235"/>
      <c r="AS55" s="235"/>
      <c r="AV55" s="57"/>
      <c r="AW55" s="64"/>
    </row>
    <row r="56" spans="41:49" ht="15.95" hidden="1" customHeight="1">
      <c r="AO56" s="235"/>
      <c r="AP56" s="235"/>
      <c r="AQ56" s="235"/>
      <c r="AR56" s="235"/>
      <c r="AS56" s="235"/>
      <c r="AV56" s="57"/>
      <c r="AW56" s="64"/>
    </row>
    <row r="57" spans="41:49" ht="15.95" hidden="1" customHeight="1">
      <c r="AO57" s="235"/>
      <c r="AP57" s="235"/>
      <c r="AQ57" s="235"/>
      <c r="AR57" s="235"/>
      <c r="AS57" s="235"/>
      <c r="AV57" s="57"/>
      <c r="AW57" s="64"/>
    </row>
    <row r="58" spans="41:49" ht="15.95" hidden="1" customHeight="1">
      <c r="AO58" s="235"/>
      <c r="AP58" s="235"/>
      <c r="AQ58" s="235"/>
      <c r="AR58" s="235"/>
      <c r="AS58" s="235"/>
      <c r="AV58" s="57"/>
      <c r="AW58" s="64"/>
    </row>
    <row r="59" spans="41:49" ht="15.95" hidden="1" customHeight="1">
      <c r="AO59" s="235"/>
      <c r="AP59" s="235"/>
      <c r="AQ59" s="235"/>
      <c r="AR59" s="235"/>
      <c r="AS59" s="235"/>
      <c r="AV59" s="57"/>
      <c r="AW59" s="64"/>
    </row>
    <row r="60" spans="41:49" ht="15.95" hidden="1" customHeight="1">
      <c r="AO60" s="235"/>
      <c r="AP60" s="235"/>
      <c r="AQ60" s="235"/>
      <c r="AR60" s="235"/>
      <c r="AS60" s="235"/>
      <c r="AV60" s="57"/>
      <c r="AW60" s="64"/>
    </row>
    <row r="61" spans="41:49" ht="15.95" hidden="1" customHeight="1">
      <c r="AO61" s="235"/>
      <c r="AP61" s="235"/>
      <c r="AQ61" s="235"/>
      <c r="AR61" s="235"/>
      <c r="AS61" s="235"/>
      <c r="AV61" s="57"/>
      <c r="AW61" s="64"/>
    </row>
    <row r="62" spans="41:49" ht="15.95" hidden="1" customHeight="1">
      <c r="AV62" s="57"/>
      <c r="AW62" s="64"/>
    </row>
    <row r="63" spans="41:49" ht="15.95" hidden="1" customHeight="1">
      <c r="AV63" s="57"/>
      <c r="AW63" s="64"/>
    </row>
    <row r="64" spans="41:49" ht="15.95" hidden="1" customHeight="1">
      <c r="AV64" s="57"/>
      <c r="AW64" s="64"/>
    </row>
    <row r="65" spans="48:49" ht="15.95" hidden="1" customHeight="1">
      <c r="AV65" s="57"/>
      <c r="AW65" s="64"/>
    </row>
    <row r="66" spans="48:49" ht="15.95" hidden="1" customHeight="1">
      <c r="AV66" s="57"/>
      <c r="AW66" s="64"/>
    </row>
    <row r="67" spans="48:49" ht="15.95" hidden="1" customHeight="1">
      <c r="AV67" s="57"/>
      <c r="AW67" s="64"/>
    </row>
    <row r="68" spans="48:49" ht="15.95" hidden="1" customHeight="1">
      <c r="AV68" s="57"/>
      <c r="AW68" s="64"/>
    </row>
    <row r="69" spans="48:49" ht="15.95" hidden="1" customHeight="1">
      <c r="AV69" s="57"/>
      <c r="AW69" s="64"/>
    </row>
    <row r="70" spans="48:49" ht="15.95" hidden="1" customHeight="1">
      <c r="AV70" s="57"/>
      <c r="AW70" s="64"/>
    </row>
    <row r="71" spans="48:49" ht="15.95" hidden="1" customHeight="1">
      <c r="AV71" s="57"/>
      <c r="AW71" s="64"/>
    </row>
    <row r="72" spans="48:49" ht="15.95" hidden="1" customHeight="1">
      <c r="AV72" s="57"/>
      <c r="AW72" s="64"/>
    </row>
    <row r="73" spans="48:49" ht="15.95" hidden="1" customHeight="1">
      <c r="AV73" s="57"/>
      <c r="AW73" s="64"/>
    </row>
    <row r="74" spans="48:49" ht="15.95" hidden="1" customHeight="1">
      <c r="AV74" s="57"/>
      <c r="AW74" s="64"/>
    </row>
    <row r="75" spans="48:49" ht="15.95" hidden="1" customHeight="1">
      <c r="AV75" s="57"/>
      <c r="AW75" s="64"/>
    </row>
    <row r="76" spans="48:49" ht="15.95" hidden="1" customHeight="1">
      <c r="AV76" s="57"/>
      <c r="AW76" s="64"/>
    </row>
    <row r="77" spans="48:49" ht="15.95" hidden="1" customHeight="1">
      <c r="AV77" s="57"/>
      <c r="AW77" s="64"/>
    </row>
    <row r="78" spans="48:49" ht="15.95" hidden="1" customHeight="1">
      <c r="AV78" s="57"/>
      <c r="AW78" s="64"/>
    </row>
    <row r="79" spans="48:49" ht="15.95" hidden="1" customHeight="1">
      <c r="AV79" s="57"/>
      <c r="AW79" s="64"/>
    </row>
    <row r="80" spans="48:49" ht="15.95" hidden="1" customHeight="1">
      <c r="AV80" s="57"/>
      <c r="AW80" s="64"/>
    </row>
    <row r="81" spans="48:49" ht="15.95" hidden="1" customHeight="1">
      <c r="AV81" s="57"/>
      <c r="AW81" s="64"/>
    </row>
    <row r="82" spans="48:49" ht="15.95" hidden="1" customHeight="1">
      <c r="AV82" s="57"/>
      <c r="AW82" s="64"/>
    </row>
    <row r="83" spans="48:49" ht="15.95" hidden="1" customHeight="1">
      <c r="AV83" s="57"/>
      <c r="AW83" s="64"/>
    </row>
    <row r="84" spans="48:49" ht="15.95" hidden="1" customHeight="1">
      <c r="AV84" s="57"/>
      <c r="AW84" s="64"/>
    </row>
    <row r="85" spans="48:49" ht="15.95" hidden="1" customHeight="1">
      <c r="AV85" s="57"/>
      <c r="AW85" s="64"/>
    </row>
    <row r="86" spans="48:49" ht="15.95" hidden="1" customHeight="1">
      <c r="AV86" s="57"/>
      <c r="AW86" s="64"/>
    </row>
    <row r="87" spans="48:49" ht="15.95" hidden="1" customHeight="1">
      <c r="AV87" s="57"/>
      <c r="AW87" s="64"/>
    </row>
    <row r="88" spans="48:49" ht="15.95" hidden="1" customHeight="1">
      <c r="AV88" s="57"/>
      <c r="AW88" s="64"/>
    </row>
    <row r="89" spans="48:49" ht="15.95" hidden="1" customHeight="1">
      <c r="AV89" s="57"/>
      <c r="AW89" s="64"/>
    </row>
    <row r="90" spans="48:49" ht="15.95" hidden="1" customHeight="1">
      <c r="AV90" s="57"/>
      <c r="AW90" s="64"/>
    </row>
    <row r="91" spans="48:49" ht="15.95" hidden="1" customHeight="1">
      <c r="AV91" s="57"/>
      <c r="AW91" s="64"/>
    </row>
    <row r="92" spans="48:49" ht="15.95" hidden="1" customHeight="1">
      <c r="AV92" s="57"/>
      <c r="AW92" s="64"/>
    </row>
    <row r="93" spans="48:49" ht="15.95" hidden="1" customHeight="1">
      <c r="AV93" s="57"/>
      <c r="AW93" s="64"/>
    </row>
    <row r="94" spans="48:49" ht="15.95" hidden="1" customHeight="1">
      <c r="AV94" s="57"/>
      <c r="AW94" s="64"/>
    </row>
    <row r="95" spans="48:49" ht="15.95" hidden="1" customHeight="1">
      <c r="AV95" s="57"/>
      <c r="AW95" s="64"/>
    </row>
    <row r="96" spans="48:49" ht="15.95" hidden="1" customHeight="1">
      <c r="AV96" s="57"/>
      <c r="AW96" s="64"/>
    </row>
    <row r="97" spans="48:49" ht="15.95" hidden="1" customHeight="1">
      <c r="AV97" s="57"/>
      <c r="AW97" s="64"/>
    </row>
    <row r="98" spans="48:49" ht="15.95" hidden="1" customHeight="1">
      <c r="AV98" s="57"/>
      <c r="AW98" s="64"/>
    </row>
    <row r="99" spans="48:49" ht="15.95" hidden="1" customHeight="1">
      <c r="AV99" s="57"/>
      <c r="AW99" s="64"/>
    </row>
    <row r="100" spans="48:49" ht="15.95" hidden="1" customHeight="1">
      <c r="AV100" s="57"/>
      <c r="AW100" s="64"/>
    </row>
    <row r="101" spans="48:49" ht="15.95" hidden="1" customHeight="1">
      <c r="AV101" s="57"/>
      <c r="AW101" s="64"/>
    </row>
    <row r="102" spans="48:49" ht="15.95" hidden="1" customHeight="1">
      <c r="AV102" s="57"/>
      <c r="AW102" s="64"/>
    </row>
    <row r="103" spans="48:49" ht="15.95" hidden="1" customHeight="1">
      <c r="AV103" s="57"/>
      <c r="AW103" s="64"/>
    </row>
    <row r="104" spans="48:49" ht="15.95" hidden="1" customHeight="1">
      <c r="AV104" s="57"/>
      <c r="AW104" s="64"/>
    </row>
    <row r="105" spans="48:49" ht="15.95" hidden="1" customHeight="1">
      <c r="AV105" s="57"/>
      <c r="AW105" s="64"/>
    </row>
    <row r="106" spans="48:49" ht="15.95" hidden="1" customHeight="1">
      <c r="AV106" s="57"/>
      <c r="AW106" s="64"/>
    </row>
    <row r="107" spans="48:49" ht="15.95" hidden="1" customHeight="1">
      <c r="AV107" s="57"/>
      <c r="AW107" s="64"/>
    </row>
    <row r="108" spans="48:49" ht="15.95" hidden="1" customHeight="1">
      <c r="AV108" s="57"/>
      <c r="AW108" s="64"/>
    </row>
    <row r="109" spans="48:49" ht="15.95" hidden="1" customHeight="1">
      <c r="AV109" s="57"/>
      <c r="AW109" s="64"/>
    </row>
    <row r="110" spans="48:49" ht="15.95" hidden="1" customHeight="1">
      <c r="AV110" s="57"/>
      <c r="AW110" s="64"/>
    </row>
    <row r="111" spans="48:49" ht="15.95" hidden="1" customHeight="1">
      <c r="AV111" s="57"/>
      <c r="AW111" s="64"/>
    </row>
    <row r="112" spans="48:49" ht="15.95" hidden="1" customHeight="1">
      <c r="AV112" s="57"/>
      <c r="AW112" s="64"/>
    </row>
    <row r="113" spans="48:49" ht="15.95" hidden="1" customHeight="1">
      <c r="AV113" s="57"/>
      <c r="AW113" s="64"/>
    </row>
    <row r="114" spans="48:49" ht="15.95" hidden="1" customHeight="1">
      <c r="AV114" s="57"/>
      <c r="AW114" s="64"/>
    </row>
    <row r="115" spans="48:49" ht="15.95" hidden="1" customHeight="1">
      <c r="AV115" s="57"/>
      <c r="AW115" s="64"/>
    </row>
    <row r="116" spans="48:49" ht="15.95" hidden="1" customHeight="1">
      <c r="AV116" s="57"/>
      <c r="AW116" s="64"/>
    </row>
    <row r="117" spans="48:49" ht="15.95" hidden="1" customHeight="1">
      <c r="AV117" s="57"/>
      <c r="AW117" s="64"/>
    </row>
    <row r="118" spans="48:49" ht="15.95" hidden="1" customHeight="1">
      <c r="AV118" s="57"/>
      <c r="AW118" s="64"/>
    </row>
    <row r="119" spans="48:49" ht="15.95" hidden="1" customHeight="1">
      <c r="AV119" s="57"/>
      <c r="AW119" s="64"/>
    </row>
    <row r="120" spans="48:49" ht="15.95" hidden="1" customHeight="1">
      <c r="AV120" s="57"/>
      <c r="AW120" s="64"/>
    </row>
    <row r="121" spans="48:49" ht="15.95" hidden="1" customHeight="1">
      <c r="AV121" s="57"/>
      <c r="AW121" s="64"/>
    </row>
    <row r="122" spans="48:49" ht="15.95" hidden="1" customHeight="1">
      <c r="AV122" s="57"/>
      <c r="AW122" s="64"/>
    </row>
    <row r="123" spans="48:49" ht="15.95" hidden="1" customHeight="1">
      <c r="AV123" s="57"/>
      <c r="AW123" s="64"/>
    </row>
    <row r="124" spans="48:49" ht="15.95" hidden="1" customHeight="1">
      <c r="AV124" s="57"/>
      <c r="AW124" s="64"/>
    </row>
    <row r="125" spans="48:49" ht="15.95" hidden="1" customHeight="1">
      <c r="AV125" s="57"/>
      <c r="AW125" s="64"/>
    </row>
    <row r="126" spans="48:49" ht="15.95" hidden="1" customHeight="1">
      <c r="AV126" s="57"/>
      <c r="AW126" s="64"/>
    </row>
    <row r="127" spans="48:49" ht="15.95" hidden="1" customHeight="1">
      <c r="AV127" s="57"/>
      <c r="AW127" s="64"/>
    </row>
    <row r="128" spans="48:49" ht="15.95" hidden="1" customHeight="1">
      <c r="AV128" s="57"/>
      <c r="AW128" s="64"/>
    </row>
    <row r="129" spans="48:49" ht="15.95" hidden="1" customHeight="1">
      <c r="AV129" s="57"/>
      <c r="AW129" s="64"/>
    </row>
    <row r="130" spans="48:49" ht="15.95" hidden="1" customHeight="1">
      <c r="AV130" s="57"/>
      <c r="AW130" s="64"/>
    </row>
    <row r="131" spans="48:49" ht="15.95" hidden="1" customHeight="1">
      <c r="AV131" s="57"/>
      <c r="AW131" s="64"/>
    </row>
    <row r="132" spans="48:49" ht="15.95" hidden="1" customHeight="1">
      <c r="AV132" s="57"/>
      <c r="AW132" s="64"/>
    </row>
    <row r="133" spans="48:49" ht="15.95" hidden="1" customHeight="1">
      <c r="AV133" s="57"/>
      <c r="AW133" s="64"/>
    </row>
    <row r="134" spans="48:49" ht="15.95" hidden="1" customHeight="1">
      <c r="AV134" s="57"/>
      <c r="AW134" s="64"/>
    </row>
    <row r="135" spans="48:49" ht="15.95" hidden="1" customHeight="1">
      <c r="AV135" s="57"/>
      <c r="AW135" s="64"/>
    </row>
    <row r="136" spans="48:49" ht="15.95" hidden="1" customHeight="1">
      <c r="AV136" s="57"/>
      <c r="AW136" s="64"/>
    </row>
    <row r="137" spans="48:49" ht="15.95" hidden="1" customHeight="1">
      <c r="AV137" s="57"/>
      <c r="AW137" s="64"/>
    </row>
    <row r="138" spans="48:49" ht="15.95" hidden="1" customHeight="1">
      <c r="AV138" s="57"/>
      <c r="AW138" s="64"/>
    </row>
    <row r="139" spans="48:49" ht="15.95" hidden="1" customHeight="1">
      <c r="AV139" s="57"/>
      <c r="AW139" s="64"/>
    </row>
    <row r="140" spans="48:49" ht="15.95" hidden="1" customHeight="1">
      <c r="AV140" s="57"/>
      <c r="AW140" s="64"/>
    </row>
    <row r="141" spans="48:49" ht="15.95" hidden="1" customHeight="1">
      <c r="AV141" s="57"/>
      <c r="AW141" s="64"/>
    </row>
    <row r="142" spans="48:49" ht="15.95" hidden="1" customHeight="1">
      <c r="AV142" s="57"/>
      <c r="AW142" s="64"/>
    </row>
    <row r="143" spans="48:49" ht="15.95" hidden="1" customHeight="1">
      <c r="AV143" s="57"/>
      <c r="AW143" s="64"/>
    </row>
    <row r="144" spans="48:49" ht="15.95" hidden="1" customHeight="1">
      <c r="AV144" s="57"/>
      <c r="AW144" s="64"/>
    </row>
    <row r="145" spans="48:49" ht="15.95" hidden="1" customHeight="1">
      <c r="AV145" s="57"/>
      <c r="AW145" s="64"/>
    </row>
    <row r="146" spans="48:49" ht="15.95" hidden="1" customHeight="1">
      <c r="AV146" s="57"/>
      <c r="AW146" s="64"/>
    </row>
    <row r="147" spans="48:49" ht="15.95" hidden="1" customHeight="1">
      <c r="AV147" s="57"/>
      <c r="AW147" s="64"/>
    </row>
    <row r="148" spans="48:49" ht="15.95" hidden="1" customHeight="1">
      <c r="AV148" s="57"/>
      <c r="AW148" s="64"/>
    </row>
    <row r="149" spans="48:49" ht="15.95" hidden="1" customHeight="1">
      <c r="AV149" s="57"/>
      <c r="AW149" s="64"/>
    </row>
    <row r="150" spans="48:49" ht="15.95" hidden="1" customHeight="1">
      <c r="AV150" s="57"/>
      <c r="AW150" s="64"/>
    </row>
    <row r="151" spans="48:49" ht="15.95" hidden="1" customHeight="1">
      <c r="AV151" s="57"/>
      <c r="AW151" s="64"/>
    </row>
    <row r="152" spans="48:49" ht="15.95" hidden="1" customHeight="1">
      <c r="AV152" s="57"/>
      <c r="AW152" s="64"/>
    </row>
    <row r="153" spans="48:49" ht="15.95" hidden="1" customHeight="1">
      <c r="AV153" s="57"/>
      <c r="AW153" s="64"/>
    </row>
    <row r="154" spans="48:49" ht="15.95" hidden="1" customHeight="1">
      <c r="AV154" s="57"/>
      <c r="AW154" s="64"/>
    </row>
    <row r="155" spans="48:49" ht="15.95" hidden="1" customHeight="1">
      <c r="AV155" s="57"/>
      <c r="AW155" s="64"/>
    </row>
    <row r="156" spans="48:49" ht="15.95" hidden="1" customHeight="1">
      <c r="AV156" s="57"/>
      <c r="AW156" s="64"/>
    </row>
    <row r="157" spans="48:49" ht="15.95" hidden="1" customHeight="1">
      <c r="AV157" s="57"/>
      <c r="AW157" s="64"/>
    </row>
    <row r="158" spans="48:49" ht="15.95" hidden="1" customHeight="1">
      <c r="AV158" s="57"/>
      <c r="AW158" s="64"/>
    </row>
    <row r="159" spans="48:49" ht="15.95" hidden="1" customHeight="1">
      <c r="AV159" s="57"/>
      <c r="AW159" s="64"/>
    </row>
    <row r="160" spans="48:49" ht="15.95" hidden="1" customHeight="1">
      <c r="AV160" s="57"/>
      <c r="AW160" s="64"/>
    </row>
    <row r="161" spans="48:49" ht="15.95" hidden="1" customHeight="1">
      <c r="AV161" s="57"/>
      <c r="AW161" s="64"/>
    </row>
    <row r="162" spans="48:49" ht="15.95" hidden="1" customHeight="1">
      <c r="AV162" s="57"/>
      <c r="AW162" s="64"/>
    </row>
    <row r="163" spans="48:49" ht="15.95" hidden="1" customHeight="1">
      <c r="AV163" s="57"/>
      <c r="AW163" s="64"/>
    </row>
    <row r="164" spans="48:49" ht="15.95" hidden="1" customHeight="1">
      <c r="AV164" s="57"/>
      <c r="AW164" s="64"/>
    </row>
    <row r="165" spans="48:49" ht="15.95" hidden="1" customHeight="1">
      <c r="AV165" s="57"/>
      <c r="AW165" s="64"/>
    </row>
    <row r="166" spans="48:49" ht="15.95" hidden="1" customHeight="1">
      <c r="AV166" s="57"/>
      <c r="AW166" s="64"/>
    </row>
    <row r="167" spans="48:49" ht="15.95" hidden="1" customHeight="1">
      <c r="AV167" s="57"/>
      <c r="AW167" s="64"/>
    </row>
    <row r="168" spans="48:49" ht="15.95" hidden="1" customHeight="1">
      <c r="AV168" s="57"/>
      <c r="AW168" s="64"/>
    </row>
    <row r="169" spans="48:49" ht="15.95" hidden="1" customHeight="1">
      <c r="AV169" s="57"/>
      <c r="AW169" s="64"/>
    </row>
    <row r="170" spans="48:49" ht="15.95" hidden="1" customHeight="1">
      <c r="AV170" s="57"/>
      <c r="AW170" s="64"/>
    </row>
    <row r="171" spans="48:49" ht="15.95" hidden="1" customHeight="1">
      <c r="AV171" s="57"/>
      <c r="AW171" s="64"/>
    </row>
    <row r="172" spans="48:49" ht="15.95" hidden="1" customHeight="1">
      <c r="AV172" s="57"/>
      <c r="AW172" s="64"/>
    </row>
    <row r="173" spans="48:49" ht="15.95" hidden="1" customHeight="1">
      <c r="AV173" s="57"/>
      <c r="AW173" s="64"/>
    </row>
    <row r="174" spans="48:49" ht="15.95" hidden="1" customHeight="1">
      <c r="AV174" s="57"/>
      <c r="AW174" s="64"/>
    </row>
    <row r="175" spans="48:49" ht="15.95" hidden="1" customHeight="1">
      <c r="AV175" s="57"/>
      <c r="AW175" s="64"/>
    </row>
    <row r="176" spans="48:49" ht="15.95" hidden="1" customHeight="1">
      <c r="AV176" s="57"/>
      <c r="AW176" s="64"/>
    </row>
    <row r="177" spans="48:49" ht="15.95" hidden="1" customHeight="1">
      <c r="AV177" s="57"/>
      <c r="AW177" s="64"/>
    </row>
    <row r="178" spans="48:49" ht="15.95" hidden="1" customHeight="1">
      <c r="AV178" s="57"/>
      <c r="AW178" s="64"/>
    </row>
    <row r="179" spans="48:49" ht="15.95" hidden="1" customHeight="1">
      <c r="AV179" s="57"/>
      <c r="AW179" s="64"/>
    </row>
    <row r="180" spans="48:49" ht="15.95" hidden="1" customHeight="1">
      <c r="AV180" s="57"/>
      <c r="AW180" s="64"/>
    </row>
    <row r="181" spans="48:49" ht="15.95" hidden="1" customHeight="1">
      <c r="AV181" s="57"/>
      <c r="AW181" s="64"/>
    </row>
    <row r="182" spans="48:49" ht="15.95" hidden="1" customHeight="1">
      <c r="AV182" s="57"/>
      <c r="AW182" s="64"/>
    </row>
    <row r="183" spans="48:49" ht="15.95" hidden="1" customHeight="1">
      <c r="AV183" s="57"/>
      <c r="AW183" s="64"/>
    </row>
    <row r="184" spans="48:49" ht="15.95" hidden="1" customHeight="1">
      <c r="AV184" s="57"/>
      <c r="AW184" s="64"/>
    </row>
    <row r="185" spans="48:49" ht="15.95" hidden="1" customHeight="1">
      <c r="AV185" s="57"/>
      <c r="AW185" s="64"/>
    </row>
    <row r="186" spans="48:49" ht="15.95" hidden="1" customHeight="1">
      <c r="AV186" s="57"/>
      <c r="AW186" s="64"/>
    </row>
    <row r="187" spans="48:49" ht="15.95" hidden="1" customHeight="1">
      <c r="AV187" s="57"/>
      <c r="AW187" s="64"/>
    </row>
    <row r="188" spans="48:49" ht="15.95" hidden="1" customHeight="1">
      <c r="AV188" s="57"/>
      <c r="AW188" s="64"/>
    </row>
    <row r="189" spans="48:49" ht="15.95" hidden="1" customHeight="1">
      <c r="AV189" s="57"/>
      <c r="AW189" s="64"/>
    </row>
    <row r="190" spans="48:49" ht="15.95" hidden="1" customHeight="1">
      <c r="AV190" s="57"/>
      <c r="AW190" s="64"/>
    </row>
    <row r="191" spans="48:49" ht="15.95" hidden="1" customHeight="1">
      <c r="AV191" s="57"/>
      <c r="AW191" s="64"/>
    </row>
    <row r="192" spans="48:49" ht="15.95" hidden="1" customHeight="1">
      <c r="AV192" s="57"/>
      <c r="AW192" s="64"/>
    </row>
    <row r="193" spans="1:54" ht="15.95" hidden="1" customHeight="1">
      <c r="AV193" s="57"/>
      <c r="AW193" s="64"/>
    </row>
    <row r="194" spans="1:54" ht="15.95" hidden="1" customHeight="1">
      <c r="AV194" s="57"/>
      <c r="AW194" s="64"/>
    </row>
    <row r="195" spans="1:54" ht="15.95" hidden="1" customHeight="1">
      <c r="AV195" s="57"/>
      <c r="AW195" s="64"/>
    </row>
    <row r="196" spans="1:54" ht="15.95" hidden="1" customHeight="1">
      <c r="AV196" s="57"/>
      <c r="AW196" s="64"/>
    </row>
    <row r="197" spans="1:54" ht="15.95" hidden="1" customHeight="1">
      <c r="AV197" s="57"/>
      <c r="AW197" s="64"/>
    </row>
    <row r="198" spans="1:54" ht="15.95" hidden="1" customHeight="1">
      <c r="AV198" s="57"/>
      <c r="AW198" s="64"/>
    </row>
    <row r="199" spans="1:54" ht="15.95" hidden="1" customHeight="1">
      <c r="AV199" s="57"/>
      <c r="AW199" s="64"/>
    </row>
    <row r="200" spans="1:54"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T200" s="862">
        <f>SUM(AT18:AT199)</f>
        <v>0</v>
      </c>
      <c r="AU200"/>
      <c r="AV200" s="863">
        <f>SUM(AV18:AV199)</f>
        <v>0</v>
      </c>
      <c r="AW200" s="864">
        <f>SUM(AW18:AW199)</f>
        <v>0</v>
      </c>
      <c r="AZ200"/>
      <c r="BB200" s="180"/>
    </row>
    <row r="201" spans="1:54"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T201" s="862"/>
      <c r="AU201"/>
      <c r="AV201" s="863"/>
      <c r="AW201" s="864"/>
      <c r="AZ201"/>
      <c r="BB201" s="180"/>
    </row>
    <row r="202" spans="1:54"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4" ht="15.95" hidden="1" customHeight="1"/>
    <row r="204" spans="1:54" ht="15.95" hidden="1" customHeight="1"/>
  </sheetData>
  <sheetProtection algorithmName="SHA-512" hashValue="1S714wtVrCH8aintWZ4zUEPsmbFbivzvXmpExqZgif/Vd5pDL4Bojd0EInWecDgCsITMt6u4IUp65MEHlqHtXw==" saltValue="hS6eKYL6rYNimjPFZzZ6GA==" spinCount="100000" sheet="1" objects="1" scenarios="1" selectLockedCells="1"/>
  <mergeCells count="325">
    <mergeCell ref="BI34:BI35"/>
    <mergeCell ref="BI36:BI37"/>
    <mergeCell ref="BI16:BI17"/>
    <mergeCell ref="BI18:BI19"/>
    <mergeCell ref="BI20:BI21"/>
    <mergeCell ref="BI22:BI23"/>
    <mergeCell ref="BI24:BI25"/>
    <mergeCell ref="BI26:BI27"/>
    <mergeCell ref="BI28:BI29"/>
    <mergeCell ref="BI30:BI31"/>
    <mergeCell ref="BI32:BI33"/>
    <mergeCell ref="BG36:BG37"/>
    <mergeCell ref="BH36:BH37"/>
    <mergeCell ref="BG26:BG27"/>
    <mergeCell ref="BH26:BH27"/>
    <mergeCell ref="BG28:BG29"/>
    <mergeCell ref="BH28:BH29"/>
    <mergeCell ref="BG30:BG31"/>
    <mergeCell ref="BH30:BH31"/>
    <mergeCell ref="BG32:BG33"/>
    <mergeCell ref="BH32:BH33"/>
    <mergeCell ref="BG34:BG35"/>
    <mergeCell ref="BH34:BH35"/>
    <mergeCell ref="BG16:BG17"/>
    <mergeCell ref="BH16:BH17"/>
    <mergeCell ref="BG18:BG19"/>
    <mergeCell ref="BH18:BH19"/>
    <mergeCell ref="BG20:BG21"/>
    <mergeCell ref="BH20:BH21"/>
    <mergeCell ref="BG22:BG23"/>
    <mergeCell ref="BH22:BH23"/>
    <mergeCell ref="BG24:BG25"/>
    <mergeCell ref="BH24:BH25"/>
    <mergeCell ref="BE36:BE37"/>
    <mergeCell ref="BF36:BF37"/>
    <mergeCell ref="BE26:BE27"/>
    <mergeCell ref="BF26:BF27"/>
    <mergeCell ref="BE28:BE29"/>
    <mergeCell ref="BF28:BF29"/>
    <mergeCell ref="BE30:BE31"/>
    <mergeCell ref="BF30:BF31"/>
    <mergeCell ref="BE32:BE33"/>
    <mergeCell ref="BF32:BF33"/>
    <mergeCell ref="BE34:BE35"/>
    <mergeCell ref="BF34:BF35"/>
    <mergeCell ref="BE16:BE17"/>
    <mergeCell ref="BF16:BF17"/>
    <mergeCell ref="BE18:BE19"/>
    <mergeCell ref="BF18:BF19"/>
    <mergeCell ref="BE20:BE21"/>
    <mergeCell ref="BF20:BF21"/>
    <mergeCell ref="BE22:BE23"/>
    <mergeCell ref="BF22:BF23"/>
    <mergeCell ref="BE24:BE25"/>
    <mergeCell ref="BF24:BF25"/>
    <mergeCell ref="AZ22:AZ23"/>
    <mergeCell ref="AZ24:AZ25"/>
    <mergeCell ref="AZ26:AZ27"/>
    <mergeCell ref="AY16:AY17"/>
    <mergeCell ref="BA16:BB16"/>
    <mergeCell ref="AX18:AX19"/>
    <mergeCell ref="AY18:AY19"/>
    <mergeCell ref="BA18:BA19"/>
    <mergeCell ref="BB18:BB19"/>
    <mergeCell ref="AX20:AX21"/>
    <mergeCell ref="AY20:AY21"/>
    <mergeCell ref="BA20:BA21"/>
    <mergeCell ref="BB20:BB21"/>
    <mergeCell ref="AZ16:AZ17"/>
    <mergeCell ref="AZ18:AZ19"/>
    <mergeCell ref="AZ20:AZ21"/>
    <mergeCell ref="AX16:AX17"/>
    <mergeCell ref="AF9:AI11"/>
    <mergeCell ref="AJ9:AM11"/>
    <mergeCell ref="A4:E6"/>
    <mergeCell ref="A7:E8"/>
    <mergeCell ref="F1:I3"/>
    <mergeCell ref="J1:M3"/>
    <mergeCell ref="AH1:AK3"/>
    <mergeCell ref="AL1:AO3"/>
    <mergeCell ref="AP1:AS3"/>
    <mergeCell ref="H9:K11"/>
    <mergeCell ref="L9:O11"/>
    <mergeCell ref="P9:S11"/>
    <mergeCell ref="T9:W11"/>
    <mergeCell ref="X9:AA11"/>
    <mergeCell ref="AB9:AE11"/>
    <mergeCell ref="AO5:AS6"/>
    <mergeCell ref="AO7:AS7"/>
    <mergeCell ref="AO8:AS8"/>
    <mergeCell ref="O1:AE3"/>
    <mergeCell ref="C16:Q17"/>
    <mergeCell ref="R16:T17"/>
    <mergeCell ref="U16:V17"/>
    <mergeCell ref="W16:Z17"/>
    <mergeCell ref="AA16:AD17"/>
    <mergeCell ref="R12:U13"/>
    <mergeCell ref="V12:Y13"/>
    <mergeCell ref="Z12:AC13"/>
    <mergeCell ref="C13:P13"/>
    <mergeCell ref="AG20:AH21"/>
    <mergeCell ref="BD16:BD17"/>
    <mergeCell ref="AE17:AF17"/>
    <mergeCell ref="AG17:AH17"/>
    <mergeCell ref="B18:B19"/>
    <mergeCell ref="C18:Q19"/>
    <mergeCell ref="R18:T19"/>
    <mergeCell ref="U18:V19"/>
    <mergeCell ref="W18:Z19"/>
    <mergeCell ref="AA18:AD19"/>
    <mergeCell ref="AE18:AF19"/>
    <mergeCell ref="AE16:AH16"/>
    <mergeCell ref="AI16:AJ17"/>
    <mergeCell ref="AK16:AM17"/>
    <mergeCell ref="AN16:AQ17"/>
    <mergeCell ref="AT16:AT17"/>
    <mergeCell ref="AV16:AW16"/>
    <mergeCell ref="AW18:AW19"/>
    <mergeCell ref="BD18:BD19"/>
    <mergeCell ref="AI18:AJ19"/>
    <mergeCell ref="AK18:AM19"/>
    <mergeCell ref="AN18:AQ19"/>
    <mergeCell ref="AT18:AT19"/>
    <mergeCell ref="AV18:AV19"/>
    <mergeCell ref="AI24:AJ25"/>
    <mergeCell ref="BD20:BD21"/>
    <mergeCell ref="B22:B23"/>
    <mergeCell ref="C22:Q23"/>
    <mergeCell ref="R22:T23"/>
    <mergeCell ref="U22:V23"/>
    <mergeCell ref="W22:Z23"/>
    <mergeCell ref="AA22:AD23"/>
    <mergeCell ref="AE22:AF23"/>
    <mergeCell ref="AG22:AH23"/>
    <mergeCell ref="AI22:AJ23"/>
    <mergeCell ref="AI20:AJ21"/>
    <mergeCell ref="AK20:AM21"/>
    <mergeCell ref="AN20:AQ21"/>
    <mergeCell ref="AT20:AT21"/>
    <mergeCell ref="AV20:AV21"/>
    <mergeCell ref="AW20:AW21"/>
    <mergeCell ref="B20:B21"/>
    <mergeCell ref="C20:Q21"/>
    <mergeCell ref="R20:T21"/>
    <mergeCell ref="U20:V21"/>
    <mergeCell ref="W20:Z21"/>
    <mergeCell ref="AA20:AD21"/>
    <mergeCell ref="AE20:AF21"/>
    <mergeCell ref="AG24:AH25"/>
    <mergeCell ref="AV22:AV23"/>
    <mergeCell ref="AW22:AW23"/>
    <mergeCell ref="BD22:BD23"/>
    <mergeCell ref="AI26:AJ27"/>
    <mergeCell ref="AK26:AM27"/>
    <mergeCell ref="AN26:AQ27"/>
    <mergeCell ref="AT26:AT27"/>
    <mergeCell ref="AV26:AV27"/>
    <mergeCell ref="AX22:AX23"/>
    <mergeCell ref="AY22:AY23"/>
    <mergeCell ref="BA22:BA23"/>
    <mergeCell ref="BB22:BB23"/>
    <mergeCell ref="AX24:AX25"/>
    <mergeCell ref="AY24:AY25"/>
    <mergeCell ref="BA24:BA25"/>
    <mergeCell ref="BB24:BB25"/>
    <mergeCell ref="AX26:AX27"/>
    <mergeCell ref="AY26:AY27"/>
    <mergeCell ref="BA26:BA27"/>
    <mergeCell ref="BB26:BB27"/>
    <mergeCell ref="AV24:AV25"/>
    <mergeCell ref="AW24:AW25"/>
    <mergeCell ref="BD24:BD25"/>
    <mergeCell ref="B24:B25"/>
    <mergeCell ref="C24:Q25"/>
    <mergeCell ref="R24:T25"/>
    <mergeCell ref="U24:V25"/>
    <mergeCell ref="W24:Z25"/>
    <mergeCell ref="AA24:AD25"/>
    <mergeCell ref="B26:B27"/>
    <mergeCell ref="C26:Q27"/>
    <mergeCell ref="R26:T27"/>
    <mergeCell ref="U26:V27"/>
    <mergeCell ref="W26:Z27"/>
    <mergeCell ref="AA26:AD27"/>
    <mergeCell ref="AW26:AW27"/>
    <mergeCell ref="BD26:BD27"/>
    <mergeCell ref="AG26:AH27"/>
    <mergeCell ref="BC24:BC25"/>
    <mergeCell ref="BD30:BD31"/>
    <mergeCell ref="BD28:BD29"/>
    <mergeCell ref="B30:B31"/>
    <mergeCell ref="C30:Q31"/>
    <mergeCell ref="R30:T31"/>
    <mergeCell ref="U30:V31"/>
    <mergeCell ref="W30:Z31"/>
    <mergeCell ref="AA30:AD31"/>
    <mergeCell ref="AE30:AF31"/>
    <mergeCell ref="AG30:AH31"/>
    <mergeCell ref="AI30:AJ31"/>
    <mergeCell ref="AI28:AJ29"/>
    <mergeCell ref="AK28:AM29"/>
    <mergeCell ref="AN28:AQ29"/>
    <mergeCell ref="AT28:AT29"/>
    <mergeCell ref="AV28:AV29"/>
    <mergeCell ref="AW28:AW29"/>
    <mergeCell ref="B28:B29"/>
    <mergeCell ref="C28:Q29"/>
    <mergeCell ref="AE28:AF29"/>
    <mergeCell ref="AX28:AX29"/>
    <mergeCell ref="AY28:AY29"/>
    <mergeCell ref="BA28:BA29"/>
    <mergeCell ref="B36:B37"/>
    <mergeCell ref="C36:Q37"/>
    <mergeCell ref="R36:T37"/>
    <mergeCell ref="U36:V37"/>
    <mergeCell ref="W36:Z37"/>
    <mergeCell ref="AE36:AF37"/>
    <mergeCell ref="AA36:AD37"/>
    <mergeCell ref="AZ28:AZ29"/>
    <mergeCell ref="AZ30:AZ31"/>
    <mergeCell ref="AX30:AX31"/>
    <mergeCell ref="AY30:AY31"/>
    <mergeCell ref="BA30:BA31"/>
    <mergeCell ref="AX32:AX33"/>
    <mergeCell ref="AY32:AY33"/>
    <mergeCell ref="BA32:BA33"/>
    <mergeCell ref="BD32:BD33"/>
    <mergeCell ref="B34:B35"/>
    <mergeCell ref="C34:Q35"/>
    <mergeCell ref="R34:T35"/>
    <mergeCell ref="U34:V35"/>
    <mergeCell ref="W34:Z35"/>
    <mergeCell ref="AA34:AD35"/>
    <mergeCell ref="AE34:AF35"/>
    <mergeCell ref="AE32:AF33"/>
    <mergeCell ref="AG32:AH33"/>
    <mergeCell ref="AI32:AJ33"/>
    <mergeCell ref="AK32:AM33"/>
    <mergeCell ref="AN32:AQ33"/>
    <mergeCell ref="AT32:AT33"/>
    <mergeCell ref="B32:B33"/>
    <mergeCell ref="C32:Q33"/>
    <mergeCell ref="R32:T33"/>
    <mergeCell ref="AZ32:AZ33"/>
    <mergeCell ref="BB32:BB33"/>
    <mergeCell ref="BD36:BD37"/>
    <mergeCell ref="AI36:AJ37"/>
    <mergeCell ref="AK36:AM37"/>
    <mergeCell ref="AN36:AQ37"/>
    <mergeCell ref="AT36:AT37"/>
    <mergeCell ref="AV36:AV37"/>
    <mergeCell ref="AW36:AW37"/>
    <mergeCell ref="AX36:AX37"/>
    <mergeCell ref="AG34:AH35"/>
    <mergeCell ref="AY36:AY37"/>
    <mergeCell ref="BA36:BA37"/>
    <mergeCell ref="BB36:BB37"/>
    <mergeCell ref="BC34:BC35"/>
    <mergeCell ref="BC36:BC37"/>
    <mergeCell ref="AU34:AU35"/>
    <mergeCell ref="AU36:AU37"/>
    <mergeCell ref="BD34:BD35"/>
    <mergeCell ref="AI34:AJ35"/>
    <mergeCell ref="AX34:AX35"/>
    <mergeCell ref="AY34:AY35"/>
    <mergeCell ref="BA34:BA35"/>
    <mergeCell ref="BB34:BB35"/>
    <mergeCell ref="AZ34:AZ35"/>
    <mergeCell ref="AZ36:AZ37"/>
    <mergeCell ref="AK22:AM23"/>
    <mergeCell ref="AG18:AH19"/>
    <mergeCell ref="R14:U14"/>
    <mergeCell ref="V14:Y14"/>
    <mergeCell ref="AK34:AM35"/>
    <mergeCell ref="AN34:AQ35"/>
    <mergeCell ref="AT34:AT35"/>
    <mergeCell ref="W32:Z33"/>
    <mergeCell ref="AA32:AD33"/>
    <mergeCell ref="R28:T29"/>
    <mergeCell ref="U28:V29"/>
    <mergeCell ref="W28:Z29"/>
    <mergeCell ref="AA28:AD29"/>
    <mergeCell ref="AK30:AM31"/>
    <mergeCell ref="U32:V33"/>
    <mergeCell ref="AN22:AQ23"/>
    <mergeCell ref="AT22:AT23"/>
    <mergeCell ref="Z14:AC14"/>
    <mergeCell ref="AG28:AH29"/>
    <mergeCell ref="AK24:AM25"/>
    <mergeCell ref="AN24:AQ25"/>
    <mergeCell ref="AT24:AT25"/>
    <mergeCell ref="AE26:AF27"/>
    <mergeCell ref="AE24:AF25"/>
    <mergeCell ref="M200:AG201"/>
    <mergeCell ref="AT200:AT201"/>
    <mergeCell ref="AV200:AV201"/>
    <mergeCell ref="AW200:AW201"/>
    <mergeCell ref="AW34:AW35"/>
    <mergeCell ref="AV34:AV35"/>
    <mergeCell ref="AV32:AV33"/>
    <mergeCell ref="AW32:AW33"/>
    <mergeCell ref="AN30:AQ31"/>
    <mergeCell ref="AT30:AT31"/>
    <mergeCell ref="AG36:AH37"/>
    <mergeCell ref="AV30:AV31"/>
    <mergeCell ref="AW30:AW31"/>
    <mergeCell ref="BC16:BC17"/>
    <mergeCell ref="BC18:BC19"/>
    <mergeCell ref="BC20:BC21"/>
    <mergeCell ref="BC22:BC23"/>
    <mergeCell ref="BC26:BC27"/>
    <mergeCell ref="BC28:BC29"/>
    <mergeCell ref="BC30:BC31"/>
    <mergeCell ref="BC32:BC33"/>
    <mergeCell ref="BB28:BB29"/>
    <mergeCell ref="BB30:BB31"/>
    <mergeCell ref="AU16:AU17"/>
    <mergeCell ref="AU18:AU19"/>
    <mergeCell ref="AU20:AU21"/>
    <mergeCell ref="AU22:AU23"/>
    <mergeCell ref="AU24:AU25"/>
    <mergeCell ref="AU26:AU27"/>
    <mergeCell ref="AU28:AU29"/>
    <mergeCell ref="AU30:AU31"/>
    <mergeCell ref="AU32:AU33"/>
  </mergeCells>
  <conditionalFormatting sqref="AO8:AS8">
    <cfRule type="expression" dxfId="92" priority="4">
      <formula>IF($AO$8=PROJSTATMEASURE,FALSE,TRUE)</formula>
    </cfRule>
  </conditionalFormatting>
  <conditionalFormatting sqref="U18:AH21 U24:AH37">
    <cfRule type="expression" dxfId="91" priority="3">
      <formula>AND(ISBLANK($C18)=FALSE,OR(ISBLANK(U18)=TRUE,U18=""))</formula>
    </cfRule>
  </conditionalFormatting>
  <conditionalFormatting sqref="U22:AH23">
    <cfRule type="expression" dxfId="90" priority="2">
      <formula>AND(ISBLANK($C22)=FALSE,OR(ISBLANK(U22)=TRUE,U22=""))</formula>
    </cfRule>
  </conditionalFormatting>
  <conditionalFormatting sqref="AN18:AQ37">
    <cfRule type="expression" dxfId="89" priority="1">
      <formula>ISNUMBER($AN18)=FALSE</formula>
    </cfRule>
  </conditionalFormatting>
  <dataValidations count="5">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G18:AH37" xr:uid="{84B56016-9045-4E26-85E9-663E1D6F2B8C}">
      <formula1>0</formula1>
      <formula2>999999</formula2>
    </dataValidation>
    <dataValidation type="whole" allowBlank="1" showInputMessage="1" showErrorMessage="1" prompt="Reference the &quot;Quantity Type&quot; column to ensure you enter the correct value." sqref="U18:V37" xr:uid="{0ED6D37F-BFC7-4AA9-B30C-C18AB2B60DA4}">
      <formula1>0</formula1>
      <formula2>9999</formula2>
    </dataValidation>
    <dataValidation type="decimal" allowBlank="1" showInputMessage="1" showErrorMessage="1" prompt="This is the TOTAL Material Cost of the measure, NOT a per unit basis." sqref="AE18:AF37" xr:uid="{187875EE-3C0B-41DC-B881-14AAF245B769}">
      <formula1>0</formula1>
      <formula2>999999</formula2>
    </dataValidation>
    <dataValidation allowBlank="1" showInputMessage="1" showErrorMessage="1" prompt="Install Location should describe the area where the lighting was installed. (Ex: Room 2b)" sqref="AA18:AD37" xr:uid="{37ED8118-EEB8-4CB0-B7B0-AED125D6E9A3}"/>
  </dataValidations>
  <hyperlinks>
    <hyperlink ref="H9:K11" location="'M03-S02'!C18" tooltip="Lighting" display="'M03-S02'!C18" xr:uid="{C615D756-2872-49DE-BAFA-028458FE149A}"/>
    <hyperlink ref="L9:O11" location="'M03-S03'!C18" tooltip="Lighting Controls" display="'M03-S03'!C18" xr:uid="{32D60A0E-8AC4-479D-A5E5-FF16704B2392}"/>
    <hyperlink ref="P9:S11" location="'M03-S04'!C18" tooltip="Refrigeration" display="'M03-S04'!C18" xr:uid="{08AB5F9D-64DE-4279-9ACF-7F92C7EC1AC1}"/>
    <hyperlink ref="T9:W11" location="'M03-S05'!C18" tooltip="HVAC" display="'M03-S05'!C18" xr:uid="{FE5AD64E-4A37-4494-90BE-0002E62C3BF5}"/>
    <hyperlink ref="AB9:AE11" location="'M03-S06'!C18" tooltip="Compressed Air / Process" display="'M03-S06'!C18" xr:uid="{A24C2292-0D82-4801-90B5-D54797D97602}"/>
    <hyperlink ref="AF9:AI11" location="'M03-S07'!C18" tooltip="Water Heating / Cooking" display="'M03-S07'!C18" xr:uid="{7803F5BA-164F-474C-A50E-25D4ADBC4E57}"/>
    <hyperlink ref="X9:AA11" location="'M03-S08'!C18" tooltip="Motors and Drives" display="'M03-S08'!C18" xr:uid="{178401CF-58A3-4E89-986C-F01DCE11F533}"/>
    <hyperlink ref="AJ9:AM11" location="'M04-S09'!C18" tooltip="Miscellaneous" display="'M04-S09'!C18" xr:uid="{CB8E586D-8FB2-40E7-9F11-32D845067A68}"/>
    <hyperlink ref="J1:M3" location="'M01-S02'!J1" tooltip="Instructions" display="'M01-S02'!J1" xr:uid="{183356A3-9D71-461A-98B7-320791BD6B78}"/>
    <hyperlink ref="AL1:AO3" location="'M05-S05'!AL1" tooltip=" " display="'M05-S05'!AL1" xr:uid="{791CBA1E-8635-4EE9-BBA1-41CE32906721}"/>
    <hyperlink ref="AH1:AK3" location="'M05-S04'!AH1" tooltip=" " display="'M05-S04'!AH1" xr:uid="{2B417298-E7C5-4C58-B308-A4D42A8C57F1}"/>
    <hyperlink ref="AP1:AS3" location="'M01-S03'!AP1" tooltip="Contact" display="'M01-S03'!AP1" xr:uid="{22924B0A-30C3-408F-8876-4CDFE0411651}"/>
    <hyperlink ref="B202" r:id="rId1" xr:uid="{9A4DB520-8245-4120-AEBC-4C229B09ED19}"/>
  </hyperlinks>
  <printOptions horizontalCentered="1"/>
  <pageMargins left="0.25" right="0.25" top="0.25" bottom="0.25" header="0.25" footer="0.25"/>
  <pageSetup scale="62"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pageSetUpPr fitToPage="1"/>
  </sheetPr>
  <dimension ref="A1:BL204"/>
  <sheetViews>
    <sheetView showGridLines="0" showRowColHeaders="0" zoomScale="85" zoomScaleNormal="85" workbookViewId="0">
      <selection activeCell="C18" sqref="C18:D19"/>
    </sheetView>
  </sheetViews>
  <sheetFormatPr defaultColWidth="0" defaultRowHeight="15" zeroHeight="1"/>
  <cols>
    <col min="1" max="45" width="4.7109375" style="180" customWidth="1"/>
    <col min="46" max="47" width="9.42578125" style="180" hidden="1" customWidth="1"/>
    <col min="48" max="48" width="15.7109375" style="180" hidden="1" customWidth="1"/>
    <col min="49" max="63" width="9.42578125" style="180" hidden="1" customWidth="1"/>
    <col min="64" max="64" width="11.7109375" style="180" hidden="1" customWidth="1"/>
    <col min="65" max="71" width="4.7109375" style="180" hidden="1" customWidth="1"/>
    <col min="72" max="16384" width="4.7109375" style="180" hidden="1"/>
  </cols>
  <sheetData>
    <row r="1" spans="1:64" customFormat="1" ht="15.95" customHeight="1">
      <c r="A1" s="297"/>
      <c r="B1" s="139"/>
      <c r="C1" s="139"/>
      <c r="D1" s="139"/>
      <c r="E1" s="139"/>
      <c r="F1" s="713" t="str">
        <f>M1S1</f>
        <v>Welcome</v>
      </c>
      <c r="G1" s="714"/>
      <c r="H1" s="714"/>
      <c r="I1" s="714"/>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714"/>
      <c r="G2" s="714"/>
      <c r="H2" s="714"/>
      <c r="I2" s="714"/>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715"/>
      <c r="G3" s="715"/>
      <c r="H3" s="715"/>
      <c r="I3" s="715"/>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c r="AZ4" s="148"/>
    </row>
    <row r="5" spans="1:64" ht="15.95" customHeight="1">
      <c r="A5" s="1046"/>
      <c r="B5" s="1046"/>
      <c r="C5" s="1046"/>
      <c r="D5" s="1046"/>
      <c r="E5" s="1046"/>
      <c r="AO5" s="1117">
        <f ca="1">PROGRESSSTATUS</f>
        <v>0</v>
      </c>
      <c r="AP5" s="1117"/>
      <c r="AQ5" s="1117"/>
      <c r="AR5" s="1117"/>
      <c r="AS5" s="1117"/>
      <c r="AT5" s="40"/>
      <c r="AU5" s="194" t="s">
        <v>1438</v>
      </c>
      <c r="AV5" s="194" t="s">
        <v>336</v>
      </c>
      <c r="AW5" s="197"/>
      <c r="AX5" s="197"/>
    </row>
    <row r="6" spans="1:64" ht="15.95" customHeight="1">
      <c r="A6" s="1046"/>
      <c r="B6" s="1046"/>
      <c r="C6" s="1046"/>
      <c r="D6" s="1046"/>
      <c r="E6" s="1046"/>
      <c r="AO6" s="1117"/>
      <c r="AP6" s="1117"/>
      <c r="AQ6" s="1117"/>
      <c r="AR6" s="1117"/>
      <c r="AS6" s="1117"/>
      <c r="AT6" s="193" t="s">
        <v>1443</v>
      </c>
      <c r="AU6" s="192" t="str">
        <f>CBPRESE</f>
        <v>NA</v>
      </c>
      <c r="AV6" s="286" t="str">
        <f>PAYPRESE</f>
        <v>NA</v>
      </c>
      <c r="AW6" s="197"/>
      <c r="AX6" s="197"/>
    </row>
    <row r="7" spans="1:64" ht="15.95" customHeight="1">
      <c r="A7" s="725" t="s">
        <v>83</v>
      </c>
      <c r="B7" s="725"/>
      <c r="C7" s="725"/>
      <c r="D7" s="725"/>
      <c r="E7" s="725"/>
      <c r="AO7" s="725" t="s">
        <v>309</v>
      </c>
      <c r="AP7" s="725"/>
      <c r="AQ7" s="725"/>
      <c r="AR7" s="725"/>
      <c r="AS7" s="725"/>
      <c r="AT7" s="193" t="s">
        <v>144</v>
      </c>
      <c r="AU7" s="192" t="str">
        <f>CBCUSE</f>
        <v>NA</v>
      </c>
      <c r="AV7" s="286" t="str">
        <f>PAYCUSE</f>
        <v>NA</v>
      </c>
      <c r="AW7" s="197"/>
      <c r="AX7" s="197"/>
    </row>
    <row r="8" spans="1:64" ht="15.95" customHeight="1" thickBot="1">
      <c r="A8" s="774"/>
      <c r="B8" s="774"/>
      <c r="C8" s="774"/>
      <c r="D8" s="774"/>
      <c r="E8" s="725"/>
      <c r="AO8" s="749" t="str">
        <f ca="1">PROJSTATUS</f>
        <v>Enter Measures</v>
      </c>
      <c r="AP8" s="749"/>
      <c r="AQ8" s="749"/>
      <c r="AR8" s="749"/>
      <c r="AS8" s="749"/>
      <c r="AT8" s="193" t="s">
        <v>651</v>
      </c>
      <c r="AU8" s="192" t="str">
        <f>CBALL</f>
        <v>NA</v>
      </c>
      <c r="AV8" s="286" t="str">
        <f>PAYALL</f>
        <v>NA</v>
      </c>
      <c r="AW8" s="197"/>
      <c r="AX8" s="197"/>
    </row>
    <row r="9" spans="1:64" s="148" customFormat="1" ht="15.95" customHeight="1">
      <c r="B9" s="152"/>
      <c r="C9" s="152"/>
      <c r="D9" s="152"/>
      <c r="E9" s="181"/>
      <c r="F9" s="181"/>
      <c r="G9" s="181"/>
      <c r="H9" s="913" t="str">
        <f>M3S2</f>
        <v>Lighting</v>
      </c>
      <c r="I9" s="913"/>
      <c r="J9" s="913"/>
      <c r="K9" s="913"/>
      <c r="L9" s="910" t="str">
        <f>M3S3</f>
        <v>Lighting Controls</v>
      </c>
      <c r="M9" s="911"/>
      <c r="N9" s="911"/>
      <c r="O9" s="911"/>
      <c r="P9" s="910" t="str">
        <f>M3S4</f>
        <v>Refrigeration</v>
      </c>
      <c r="Q9" s="911"/>
      <c r="R9" s="911"/>
      <c r="S9" s="911"/>
      <c r="T9" s="910" t="str">
        <f>M3S5</f>
        <v>HVAC</v>
      </c>
      <c r="U9" s="911"/>
      <c r="V9" s="911"/>
      <c r="W9" s="911"/>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2"/>
      <c r="AP9" s="352"/>
      <c r="AQ9" s="352"/>
      <c r="AR9" s="352"/>
      <c r="AS9" s="336"/>
    </row>
    <row r="10" spans="1:64" s="148" customFormat="1" ht="15.95" customHeight="1">
      <c r="B10" s="152"/>
      <c r="C10" s="152"/>
      <c r="D10" s="152"/>
      <c r="E10" s="183"/>
      <c r="F10" s="183"/>
      <c r="G10" s="183"/>
      <c r="H10" s="914"/>
      <c r="I10" s="914"/>
      <c r="J10" s="914"/>
      <c r="K10" s="914"/>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152"/>
      <c r="AO10" s="344"/>
      <c r="AP10" s="344"/>
      <c r="AQ10" s="344"/>
      <c r="AR10" s="344"/>
      <c r="AS10" s="336"/>
    </row>
    <row r="11" spans="1:64" ht="15.95" customHeight="1">
      <c r="B11" s="190"/>
      <c r="C11" s="190"/>
      <c r="D11" s="190"/>
      <c r="E11" s="13"/>
      <c r="F11" s="13"/>
      <c r="G11" s="13"/>
      <c r="H11" s="914"/>
      <c r="I11" s="914"/>
      <c r="J11" s="914"/>
      <c r="K11" s="914"/>
      <c r="L11" s="912"/>
      <c r="M11" s="912"/>
      <c r="N11" s="912"/>
      <c r="O11" s="912"/>
      <c r="P11" s="912"/>
      <c r="Q11" s="912"/>
      <c r="R11" s="912"/>
      <c r="S11" s="912"/>
      <c r="T11" s="912"/>
      <c r="U11" s="912"/>
      <c r="V11" s="912"/>
      <c r="W11" s="912"/>
      <c r="X11" s="912"/>
      <c r="Y11" s="912"/>
      <c r="Z11" s="912"/>
      <c r="AA11" s="912"/>
      <c r="AB11" s="912"/>
      <c r="AC11" s="912"/>
      <c r="AD11" s="912"/>
      <c r="AE11" s="912"/>
      <c r="AF11" s="912"/>
      <c r="AG11" s="912"/>
      <c r="AH11" s="912"/>
      <c r="AI11" s="912"/>
      <c r="AJ11" s="912"/>
      <c r="AK11" s="912"/>
      <c r="AL11" s="912"/>
      <c r="AM11" s="912"/>
      <c r="AN11" s="394"/>
      <c r="AO11" s="337"/>
      <c r="AP11" s="337"/>
      <c r="AQ11" s="337"/>
      <c r="AR11" s="337"/>
      <c r="AS11" s="235"/>
    </row>
    <row r="12" spans="1:64" ht="15.95" customHeight="1">
      <c r="A12" s="185"/>
      <c r="B12" s="185"/>
      <c r="C12" s="185"/>
      <c r="D12" s="185"/>
      <c r="E12" s="185"/>
      <c r="R12" s="916">
        <f>SUM(AN18:AQ184)</f>
        <v>0</v>
      </c>
      <c r="S12" s="916"/>
      <c r="T12" s="916"/>
      <c r="U12" s="916"/>
      <c r="V12" s="916">
        <f ca="1">SUMIF(AN18:AQ184,"&gt;0",AH18:AJ184)</f>
        <v>0</v>
      </c>
      <c r="W12" s="916"/>
      <c r="X12" s="916"/>
      <c r="Y12" s="916"/>
      <c r="Z12" s="915">
        <f ca="1">SUMIF(AN18:AQ184,"&gt;0",AK18:AM184)</f>
        <v>0</v>
      </c>
      <c r="AA12" s="915"/>
      <c r="AB12" s="915"/>
      <c r="AC12" s="915"/>
      <c r="AO12" s="235"/>
      <c r="AP12" s="333"/>
      <c r="AQ12" s="235"/>
      <c r="AR12" s="235"/>
      <c r="AS12" s="235"/>
      <c r="AY12" s="17"/>
      <c r="BD12" s="13"/>
    </row>
    <row r="13" spans="1:64" ht="15.95" customHeight="1">
      <c r="A13" s="185"/>
      <c r="B13" s="185"/>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s="860"/>
      <c r="AJ13" s="860"/>
      <c r="AK13" s="860"/>
      <c r="AL13" s="860"/>
      <c r="AM13" s="860"/>
      <c r="AN13" s="860"/>
      <c r="AO13" s="1002"/>
      <c r="AP13" s="1002"/>
      <c r="AQ13" s="1002"/>
      <c r="AR13" s="235"/>
      <c r="AS13" s="235"/>
    </row>
    <row r="14" spans="1:64" ht="15.95" customHeight="1">
      <c r="R14" s="860" t="s">
        <v>1979</v>
      </c>
      <c r="S14" s="860"/>
      <c r="T14" s="860"/>
      <c r="U14" s="860"/>
      <c r="V14" s="860" t="s">
        <v>67</v>
      </c>
      <c r="W14" s="860"/>
      <c r="X14" s="860"/>
      <c r="Y14" s="860"/>
      <c r="Z14" s="860" t="s">
        <v>1248</v>
      </c>
      <c r="AA14" s="860"/>
      <c r="AB14" s="860"/>
      <c r="AC14" s="860"/>
      <c r="AO14" s="235"/>
      <c r="AP14" s="235"/>
      <c r="AQ14" s="235"/>
      <c r="AR14" s="235"/>
      <c r="AS14" s="235"/>
    </row>
    <row r="15" spans="1:64" ht="15.95" customHeight="1">
      <c r="AO15" s="235"/>
      <c r="AP15" s="235"/>
      <c r="AQ15" s="235"/>
      <c r="AR15" s="235"/>
      <c r="AS15" s="235"/>
    </row>
    <row r="16" spans="1:64" ht="15.95" customHeight="1">
      <c r="C16" s="836" t="s">
        <v>1369</v>
      </c>
      <c r="D16" s="836"/>
      <c r="E16" s="836" t="s">
        <v>1419</v>
      </c>
      <c r="F16" s="836"/>
      <c r="G16" s="836" t="s">
        <v>2092</v>
      </c>
      <c r="H16" s="836"/>
      <c r="I16" s="836"/>
      <c r="J16" s="836"/>
      <c r="K16" s="836" t="s">
        <v>1451</v>
      </c>
      <c r="L16" s="836"/>
      <c r="M16" s="836" t="s">
        <v>1446</v>
      </c>
      <c r="N16" s="836"/>
      <c r="O16" s="836" t="s">
        <v>1447</v>
      </c>
      <c r="P16" s="836"/>
      <c r="Q16" s="836" t="s">
        <v>1448</v>
      </c>
      <c r="R16" s="836"/>
      <c r="S16" s="836" t="s">
        <v>1449</v>
      </c>
      <c r="T16" s="836"/>
      <c r="U16" s="836"/>
      <c r="V16" s="836"/>
      <c r="W16" s="836" t="s">
        <v>1445</v>
      </c>
      <c r="X16" s="836"/>
      <c r="Y16" s="836"/>
      <c r="Z16" s="836" t="s">
        <v>1450</v>
      </c>
      <c r="AA16" s="836"/>
      <c r="AB16" s="836" t="s">
        <v>1447</v>
      </c>
      <c r="AC16" s="836"/>
      <c r="AD16" s="907" t="s">
        <v>1377</v>
      </c>
      <c r="AE16" s="907"/>
      <c r="AF16" s="907"/>
      <c r="AG16" s="907"/>
      <c r="AH16" s="1032" t="s">
        <v>1425</v>
      </c>
      <c r="AI16" s="1032"/>
      <c r="AJ16" s="1032"/>
      <c r="AK16" s="1032" t="s">
        <v>1187</v>
      </c>
      <c r="AL16" s="1032"/>
      <c r="AM16" s="1032"/>
      <c r="AN16" s="1032" t="s">
        <v>83</v>
      </c>
      <c r="AO16" s="1034"/>
      <c r="AP16" s="1034"/>
      <c r="AQ16" s="1034"/>
      <c r="AR16" s="235"/>
      <c r="AS16" s="235"/>
      <c r="AT16" s="1028" t="s">
        <v>141</v>
      </c>
      <c r="AU16" s="1028" t="s">
        <v>336</v>
      </c>
      <c r="AV16" s="1028" t="s">
        <v>1195</v>
      </c>
      <c r="AW16" s="1028" t="s">
        <v>699</v>
      </c>
      <c r="AX16" s="1028" t="s">
        <v>1376</v>
      </c>
      <c r="AY16" s="1028" t="s">
        <v>88</v>
      </c>
      <c r="AZ16" s="1028" t="s">
        <v>1426</v>
      </c>
      <c r="BA16" s="1028" t="s">
        <v>1428</v>
      </c>
      <c r="BB16" s="1028" t="s">
        <v>1645</v>
      </c>
      <c r="BC16" s="1030" t="s">
        <v>2495</v>
      </c>
      <c r="BD16" s="1030" t="s">
        <v>780</v>
      </c>
      <c r="BE16" s="1028" t="s">
        <v>1982</v>
      </c>
      <c r="BF16" s="1028" t="s">
        <v>1983</v>
      </c>
      <c r="BG16" s="858" t="s">
        <v>2046</v>
      </c>
      <c r="BH16" s="1028" t="s">
        <v>85</v>
      </c>
      <c r="BI16" s="932" t="s">
        <v>1427</v>
      </c>
      <c r="BJ16" s="932" t="s">
        <v>319</v>
      </c>
      <c r="BK16" s="932" t="s">
        <v>2500</v>
      </c>
      <c r="BL16" s="932" t="s">
        <v>2893</v>
      </c>
    </row>
    <row r="17" spans="1:64" ht="15.95" customHeight="1" thickBot="1">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1033"/>
      <c r="AI17" s="1033"/>
      <c r="AJ17" s="1033"/>
      <c r="AK17" s="1033"/>
      <c r="AL17" s="1033"/>
      <c r="AM17" s="1033"/>
      <c r="AN17" s="1033"/>
      <c r="AO17" s="1035"/>
      <c r="AP17" s="1035"/>
      <c r="AQ17" s="1035"/>
      <c r="AR17" s="235"/>
      <c r="AS17" s="235"/>
      <c r="AT17" s="1029"/>
      <c r="AU17" s="1029"/>
      <c r="AV17" s="1029"/>
      <c r="AW17" s="1029"/>
      <c r="AX17" s="1029"/>
      <c r="AY17" s="1029"/>
      <c r="AZ17" s="1029"/>
      <c r="BA17" s="1029"/>
      <c r="BB17" s="1029"/>
      <c r="BC17" s="1031"/>
      <c r="BD17" s="1031"/>
      <c r="BE17" s="1029"/>
      <c r="BF17" s="1029"/>
      <c r="BG17" s="859"/>
      <c r="BH17" s="1029"/>
      <c r="BI17" s="933"/>
      <c r="BJ17" s="933"/>
      <c r="BK17" s="933"/>
      <c r="BL17" s="933"/>
    </row>
    <row r="18" spans="1:64" ht="15.95" customHeight="1">
      <c r="B18" s="905">
        <v>1</v>
      </c>
      <c r="C18" s="1036"/>
      <c r="D18" s="1036"/>
      <c r="E18" s="1036"/>
      <c r="F18" s="1038"/>
      <c r="G18" s="1063"/>
      <c r="H18" s="1036"/>
      <c r="I18" s="1036"/>
      <c r="J18" s="1036"/>
      <c r="K18" s="1036"/>
      <c r="L18" s="1036"/>
      <c r="M18" s="1062"/>
      <c r="N18" s="1062"/>
      <c r="O18" s="1055" t="str">
        <f>IFERROR(IF(G18="","",INDEX(CMLIGHTBASE[Base Watt 1],MATCH(G18,CMLIGHTBASE[Base Desc 1],0))),"")</f>
        <v/>
      </c>
      <c r="P18" s="1055"/>
      <c r="Q18" s="1056"/>
      <c r="R18" s="1057"/>
      <c r="S18" s="1060"/>
      <c r="T18" s="1036"/>
      <c r="U18" s="1036"/>
      <c r="V18" s="1036"/>
      <c r="W18" s="1036"/>
      <c r="X18" s="1036"/>
      <c r="Y18" s="1036"/>
      <c r="Z18" s="1062"/>
      <c r="AA18" s="1062"/>
      <c r="AB18" s="1042"/>
      <c r="AC18" s="1043"/>
      <c r="AD18" s="1051"/>
      <c r="AE18" s="1052"/>
      <c r="AF18" s="1052"/>
      <c r="AG18" s="1082"/>
      <c r="AH18" s="1067" t="str">
        <f>IF(OR(C18="",E18="",G18="",K18="",M18="",O18="",Q18="",S18="",W18="",Z18="",AB18="",AD18="",AF18=""),"",ROUND(AD18+AF18,2))</f>
        <v/>
      </c>
      <c r="AI18" s="1068"/>
      <c r="AJ18" s="1068"/>
      <c r="AK18" s="1081" t="str">
        <f>IF(OR(C18="",E18="",G18="",K18="",M18="",O18="",Q18="",S18="",W18="",Z18="",AB18="",AD18="",AF18=""),"",IF(AW18-AX18&lt;=0,0,AW18-AX18))</f>
        <v/>
      </c>
      <c r="AL18" s="1081"/>
      <c r="AM18" s="1081"/>
      <c r="AN18" s="1047" t="str">
        <f>IF(OR(C18="",E18="",G18="",K18="",M18="",O18="",Q18="",S18="",W18="",Z18="",AB18="",AD18="",AF18=""),"",
IF(BJ18&lt;&gt;"",BJ18,IF(BL18&gt;0,BL18,
IF(ACTIVEBLOCK="Yes",ROUND(MIN(AH18*0.75,AK18*BLOCKBIDRATE),2),
IF(BG18&lt;&gt;"",ROUND(MIN(AH18*0.75,BG18),2),
IF(BD18&lt;KWHRATEMIN,ROUND(MIN(AH18*0.75,BE18),2),
IF(BD18&gt;KWHRATEMAX,ROUND(MIN(AH18*0.75,BF18),2),
ROUND(MIN(AH18*0.75,BC18),2))))))))</f>
        <v/>
      </c>
      <c r="AO18" s="1048"/>
      <c r="AP18" s="1048"/>
      <c r="AQ18" s="1048"/>
      <c r="AR18" s="235"/>
      <c r="AS18" s="235"/>
      <c r="AT18" s="1112" t="str">
        <f>IFERROR(IF(OR(C18="",E18="",G18="",K18="",M18="",O18="",Q18="",S18="",W18="",Z18="",AB18="",AD18="",AF18=""),"",
ROUND(((1+ELOSS)*((AK18*INDEX(ELECCB[NPV AEC $/kWh],MATCH(AY18,ELECCB[Year Number],1)))+(BA18*INDEX(ELECCB[NPV ACC $/kW],MATCH(AY18,ELECCB[Year Number],1))))/AH18),2)),0)</f>
        <v/>
      </c>
      <c r="AU18" s="1112" t="str">
        <f>IFERROR(AH18/M02S04F06/AK18,"")</f>
        <v/>
      </c>
      <c r="AV18" s="1108" t="str">
        <f>IF(OR(G18="",S18=""),"",IF(INDEX(CMLIGHTEFF[Unit],MATCH(S18,CMLIGHTEFF[Eff Desc 1],0))="","",INDEX(CMLIGHTEFF[Unit],MATCH(S18,CMLIGHTEFF[Eff Desc 1],0))))</f>
        <v/>
      </c>
      <c r="AW18" s="1103" t="str">
        <f>IF(OR(C18="",E18="",G18="",K18="",M18="",O18="",Q18="",S18="",W18="",Z18="",AB18="",AD18="",AF18=""),"",
IF(OR(ISNUMBER(SEARCH("Exterior",E18)),ISNUMBER(SEARCH("Garage",E18))),ROUND(M18*O18*Q18/1000,0),
ROUND(M18*O18*Q18/1000*INDEX(BUILDINGTYPE[Waste Heat Factor (e)],MATCH(M02S04F19,BUILDINGTYPE[Building Type],0)),4)))</f>
        <v/>
      </c>
      <c r="AX18" s="1103" t="str">
        <f>IF(OR(C18="",E18="",G18="",K18="",M18="",O18="",Q18="",S18="",W18="",Z18="",AB18="",AD18="",AF18=""),"",
IF(OR(ISNUMBER(SEARCH("Exterior",E18)),ISNUMBER(SEARCH("Garage",E18))),ROUND(Z18*AB18*Q18/1000,4),
ROUND(Z18*AB18*Q18/1000*INDEX(BUILDINGTYPE[Waste Heat Factor (e)],MATCH(M02S04F19,BUILDINGTYPE[Building Type],0)),4)))</f>
        <v/>
      </c>
      <c r="AY18" s="1113" t="str">
        <f>IF(OR(G18="",S18=""),"",IF(INDEX(CMLIGHTEFF[EUL],MATCH(S18,CMLIGHTEFF[Eff Desc 1],0))="","",INDEX(CMLIGHTEFF[EUL],MATCH(S18,CMLIGHTEFF[Eff Desc 1],0))))</f>
        <v/>
      </c>
      <c r="AZ18" s="1115" t="str">
        <f>IF(OR(E18="",G18="",S18=""),"",IF(ISNUMBER(SEARCH("24/7",E18)),"Ext Lighting w/ Peak ",IF(E18="Interior","Interior Lighting",IF(OR(E18="Garage",E18="Exterior"),"Ext Lighting w/o Peak","Err"))))</f>
        <v/>
      </c>
      <c r="BA18" s="1027" t="str">
        <f>IFERROR(IF(OR(C18="",E18="",G18="",K18="",M18="",O18="",Q18="",S18="",W18="",Z18="",AB18="",AD18="",AF18=""),"",ROUND(AK18*INDEX(ENDUSEALL[Factor],MATCH(AZ18,ENDUSEALL[End Use to Coincident Peak Demand Factors],0)),4)),"")</f>
        <v/>
      </c>
      <c r="BB18" s="1110" t="str">
        <f>IFERROR(IF(OR(C18="",E18="",G18="",K18="",M18="",O18="",Q18="",S18="",W18="",Z18="",AB18="",AD18="",AF18=""),"",IF(OR(E18="Garage",E18="Exterior"),0,
ROUND((((M18*O18)-(Z18*AB18))/1000)*INDEX(BUILDINGTYPE[Waste Heat Factor (e)],MATCH(M02S04F19,BUILDINGTYPE[Building Type],0))*INDEX(BUILDINGTYPE[Lighting Coincidence Factor],MATCH(M02S04F19,BUILDINGTYPE[Building Type],0)),4))),"")</f>
        <v/>
      </c>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IF(OR(C18="",E18="",G18="",K18="",M18="",O18="",Q18="",S18="",W18="",Z18="",AB18="",AD18="",AF18=""),"",IF(BJ18&lt;&gt;"",SPILLOVERNUMBER,
221&amp;INDEX(LOCATIONTYPE[Measure Number],MATCH(E18,LOCATIONTYPE[Location Type],0))&amp;INDEX(ENDUSEALL[Measure Number Indicator],MATCH(AZ18,ENDUSEALL[End Use to Coincident Peak Demand Factors],0))&amp;INDEX(CMLIGHTEFF[Measure Number],MATCH(S18,CMLIGHTEFF[Eff Desc 1],0))))</f>
        <v/>
      </c>
      <c r="BI18" s="1108" t="str">
        <f>IFERROR(IF(ROUND(AN18/AH18,2)=TOTCOSTCAP,"Cost Cap at 75%",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IF(M02S04F19="",MEASUREBLDG,
IF(PAYCUSE&lt;PAYBACKREQ,PROJECTSTATPAYBACK,
IF(CBCUSE&lt;CBREQ,PROJECTSTATCB,""))))))),MEASURESUBMIT)</f>
        <v>Submit for Review</v>
      </c>
      <c r="BK18" s="930" t="str">
        <f>IFERROR(IF(OR(C18="",E18="",G18="",K18="",M18="",O18="",Q18="",S18="",W18="",Z18="",AB18="",AD18="",AF18=""),"",
ROUND(((1+ELOSS)*((AK18*INDEX(ELECCB[NPV AEC $/kWh],MATCH(AY18,ELECCB[Year Number],1)))+(BA18*INDEX(ELECCB[NPV ACC $/kW],MATCH(AY18,ELECCB[Year Number],1))))),2)),0)</f>
        <v/>
      </c>
      <c r="BL18" s="1118"/>
    </row>
    <row r="19" spans="1:64" ht="15.95" customHeight="1">
      <c r="B19" s="905"/>
      <c r="C19" s="1037"/>
      <c r="D19" s="1037"/>
      <c r="E19" s="1037"/>
      <c r="F19" s="1039"/>
      <c r="G19" s="1040"/>
      <c r="H19" s="1037"/>
      <c r="I19" s="1037"/>
      <c r="J19" s="1037"/>
      <c r="K19" s="1037"/>
      <c r="L19" s="1037"/>
      <c r="M19" s="1041"/>
      <c r="N19" s="1041"/>
      <c r="O19" s="1055"/>
      <c r="P19" s="1055"/>
      <c r="Q19" s="1058"/>
      <c r="R19" s="1059"/>
      <c r="S19" s="1061"/>
      <c r="T19" s="1037"/>
      <c r="U19" s="1037"/>
      <c r="V19" s="1037"/>
      <c r="W19" s="1037"/>
      <c r="X19" s="1037"/>
      <c r="Y19" s="1037"/>
      <c r="Z19" s="1041"/>
      <c r="AA19" s="1041"/>
      <c r="AB19" s="1044"/>
      <c r="AC19" s="1045"/>
      <c r="AD19" s="1053"/>
      <c r="AE19" s="1054"/>
      <c r="AF19" s="1054"/>
      <c r="AG19" s="1083"/>
      <c r="AH19" s="1064"/>
      <c r="AI19" s="1065"/>
      <c r="AJ19" s="1065"/>
      <c r="AK19" s="1066"/>
      <c r="AL19" s="1066"/>
      <c r="AM19" s="1066"/>
      <c r="AN19" s="1049"/>
      <c r="AO19" s="1050"/>
      <c r="AP19" s="1050"/>
      <c r="AQ19" s="1050"/>
      <c r="AR19" s="235"/>
      <c r="AS19" s="235"/>
      <c r="AT19" s="1104"/>
      <c r="AU19" s="1104"/>
      <c r="AV19" s="1105"/>
      <c r="AW19" s="1025"/>
      <c r="AX19" s="1025"/>
      <c r="AY19" s="1114"/>
      <c r="AZ19" s="1116"/>
      <c r="BA19" s="1109"/>
      <c r="BB19" s="1111"/>
      <c r="BC19" s="931"/>
      <c r="BD19" s="931"/>
      <c r="BE19" s="931"/>
      <c r="BF19" s="931"/>
      <c r="BG19" s="931"/>
      <c r="BH19" s="1107"/>
      <c r="BI19" s="1105"/>
      <c r="BJ19" s="1105"/>
      <c r="BK19" s="931"/>
      <c r="BL19" s="1119"/>
    </row>
    <row r="20" spans="1:64" ht="15.95" customHeight="1">
      <c r="A20" s="145"/>
      <c r="B20" s="905">
        <v>2</v>
      </c>
      <c r="C20" s="1036"/>
      <c r="D20" s="1036"/>
      <c r="E20" s="1036"/>
      <c r="F20" s="1038"/>
      <c r="G20" s="1040"/>
      <c r="H20" s="1037"/>
      <c r="I20" s="1037"/>
      <c r="J20" s="1037"/>
      <c r="K20" s="1037"/>
      <c r="L20" s="1037"/>
      <c r="M20" s="1041"/>
      <c r="N20" s="1041"/>
      <c r="O20" s="1055" t="str">
        <f>IFERROR(IF(G20="","",INDEX(CMLIGHTBASE[Base Watt 1],MATCH(G20,CMLIGHTBASE[Base Desc 1],0))),"")</f>
        <v/>
      </c>
      <c r="P20" s="1055"/>
      <c r="Q20" s="1058"/>
      <c r="R20" s="1059"/>
      <c r="S20" s="1061"/>
      <c r="T20" s="1037"/>
      <c r="U20" s="1037"/>
      <c r="V20" s="1037"/>
      <c r="W20" s="1037"/>
      <c r="X20" s="1037"/>
      <c r="Y20" s="1037"/>
      <c r="Z20" s="1041"/>
      <c r="AA20" s="1041"/>
      <c r="AB20" s="1044"/>
      <c r="AC20" s="1045"/>
      <c r="AD20" s="1053"/>
      <c r="AE20" s="1054"/>
      <c r="AF20" s="1054"/>
      <c r="AG20" s="1083"/>
      <c r="AH20" s="1064" t="str">
        <f t="shared" ref="AH20" si="0">IF(OR(C20="",E20="",G20="",K20="",M20="",O20="",Q20="",S20="",W20="",Z20="",AB20="",AD20="",AF20=""),"",ROUND(AD20+AF20,2))</f>
        <v/>
      </c>
      <c r="AI20" s="1065"/>
      <c r="AJ20" s="1065"/>
      <c r="AK20" s="1066" t="str">
        <f t="shared" ref="AK20" si="1">IF(OR(C20="",E20="",G20="",K20="",M20="",O20="",Q20="",S20="",W20="",Z20="",AB20="",AD20="",AF20=""),"",IF(AW20-AX20&lt;=0,0,AW20-AX20))</f>
        <v/>
      </c>
      <c r="AL20" s="1066"/>
      <c r="AM20" s="1066"/>
      <c r="AN20" s="1047" t="str">
        <f>IF(OR(C20="",E20="",G20="",K20="",M20="",O20="",Q20="",S20="",W20="",Z20="",AB20="",AD20="",AF20=""),"",
IF(BJ20&lt;&gt;"",BJ20,IF(BL20&gt;0,BL20,
IF(ACTIVEBLOCK="Yes",ROUND(MIN(AH20*0.75,AK20*BLOCKBIDRATE),2),
IF(BG20&lt;&gt;"",ROUND(MIN(AH20*0.75,BG20),2),
IF(BD20&lt;KWHRATEMIN,ROUND(MIN(AH20*0.75,BE20),2),
IF(BD20&gt;KWHRATEMAX,ROUND(MIN(AH20*0.75,BF20),2),
ROUND(MIN(AH20*0.75,BC20),2))))))))</f>
        <v/>
      </c>
      <c r="AO20" s="1048"/>
      <c r="AP20" s="1048"/>
      <c r="AQ20" s="1048"/>
      <c r="AR20" s="235"/>
      <c r="AS20" s="235"/>
      <c r="AT20" s="1104" t="str">
        <f>IFERROR(IF(OR(C20="",E20="",G20="",K20="",M20="",O20="",Q20="",S20="",W20="",Z20="",AB20="",AD20="",AF20=""),"",
ROUND(((1+ELOSS)*((AK20*INDEX(ELECCB[NPV AEC $/kWh],MATCH(AY20,ELECCB[Year Number],1)))+(BA20*INDEX(ELECCB[NPV ACC $/kW],MATCH(AY20,ELECCB[Year Number],1))))/AH20),2)),0)</f>
        <v/>
      </c>
      <c r="AU20" s="1104" t="str">
        <f>IFERROR(AH20/M02S04F06/AK20,"")</f>
        <v/>
      </c>
      <c r="AV20" s="1105" t="str">
        <f>IF(OR(G20="",S20=""),"",IF(INDEX(CMLIGHTEFF[Unit],MATCH(S20,CMLIGHTEFF[Eff Desc 1],0))="","",INDEX(CMLIGHTEFF[Unit],MATCH(S20,CMLIGHTEFF[Eff Desc 1],0))))</f>
        <v/>
      </c>
      <c r="AW20" s="1103" t="str">
        <f>IF(OR(C20="",E20="",G20="",K20="",M20="",O20="",Q20="",S20="",W20="",Z20="",AB20="",AD20="",AF20=""),"",
IF(OR(ISNUMBER(SEARCH("Exterior",E20)),ISNUMBER(SEARCH("Garage",E20))),ROUND(M20*O20*Q20/1000,0),
ROUND(M20*O20*Q20/1000*INDEX(BUILDINGTYPE[Waste Heat Factor (e)],MATCH(M02S04F19,BUILDINGTYPE[Building Type],0)),4)))</f>
        <v/>
      </c>
      <c r="AX20" s="1103" t="str">
        <f>IF(OR(C20="",E20="",G20="",K20="",M20="",O20="",Q20="",S20="",W20="",Z20="",AB20="",AD20="",AF20=""),"",
IF(OR(ISNUMBER(SEARCH("Exterior",E20)),ISNUMBER(SEARCH("Garage",E20))),ROUND(Z20*AB20*Q20/1000,4),
ROUND(Z20*AB20*Q20/1000*INDEX(BUILDINGTYPE[Waste Heat Factor (e)],MATCH(M02S04F19,BUILDINGTYPE[Building Type],0)),4)))</f>
        <v/>
      </c>
      <c r="AY20" s="1114" t="str">
        <f>IF(OR(G20="",S20=""),"",IF(INDEX(CMLIGHTEFF[EUL],MATCH(S20,CMLIGHTEFF[Eff Desc 1],0))="","",INDEX(CMLIGHTEFF[EUL],MATCH(S20,CMLIGHTEFF[Eff Desc 1],0))))</f>
        <v/>
      </c>
      <c r="AZ20" s="1115" t="str">
        <f t="shared" ref="AZ20" si="2">IF(OR(E20="",G20="",S20=""),"",IF(ISNUMBER(SEARCH("24/7",E20)),"Ext Lighting w/ Peak ",IF(E20="Interior","Interior Lighting",IF(OR(E20="Garage",E20="Exterior"),"Ext Lighting w/o Peak","Err"))))</f>
        <v/>
      </c>
      <c r="BA20" s="1109" t="str">
        <f>IFERROR(IF(OR(C20="",E20="",G20="",K20="",M20="",O20="",Q20="",S20="",W20="",Z20="",AB20="",AD20="",AF20=""),"",ROUND(AK20*INDEX(ENDUSEALL[Factor],MATCH(AZ20,ENDUSEALL[End Use to Coincident Peak Demand Factors],0)),4)),"")</f>
        <v/>
      </c>
      <c r="BB20" s="1111" t="str">
        <f>IFERROR(IF(OR(C20="",E20="",G20="",K20="",M20="",O20="",Q20="",S20="",W20="",Z20="",AB20="",AD20="",AF20=""),"",IF(OR(E20="Garage",E20="Exterior"),0,
ROUND((((M20*O20)-(Z20*AB20))/1000)*INDEX(BUILDINGTYPE[Waste Heat Factor (e)],MATCH(M02S04F19,BUILDINGTYPE[Building Type],0))*INDEX(BUILDINGTYPE[Lighting Coincidence Factor],MATCH(M02S04F19,BUILDINGTYPE[Building Type],0)),4))),"")</f>
        <v/>
      </c>
      <c r="BC20" s="930" t="str">
        <f t="shared" ref="BC20" si="3">IFERROR(ROUND(AK20*BD20,2),"")</f>
        <v/>
      </c>
      <c r="BD20" s="930" t="str">
        <f>IFERROR(INDEX(ENDUSEALL[Rate ($/kWh)],MATCH(AZ20,ENDUSEALL[End Use to Coincident Peak Demand Factors],0)),"")</f>
        <v/>
      </c>
      <c r="BE20" s="931" t="str">
        <f>IFERROR(ROUND(AK20*KWHRATEMIN,2),"")</f>
        <v/>
      </c>
      <c r="BF20" s="931" t="str">
        <f>IFERROR(ROUND(AK20*KWHRATEMAX,2),"")</f>
        <v/>
      </c>
      <c r="BG20" s="930" t="str">
        <f>IFERROR(IF(INDEX(ENDUSEALL[Bonus Rate ($/kWh)],MATCH(AZ20,ENDUSEALL[End Use to Coincident Peak Demand Factors],0))="","",INDEX(ENDUSEALL[Bonus Rate ($/kWh)],MATCH(AZ20,ENDUSEALL[End Use to Coincident Peak Demand Factors],0))*AK20),"")</f>
        <v/>
      </c>
      <c r="BH20" s="1107" t="str">
        <f>IF(OR(C20="",E20="",G20="",K20="",M20="",O20="",Q20="",S20="",W20="",Z20="",AB20="",AD20="",AF20=""),"",IF(BJ20&lt;&gt;"",SPILLOVERNUMBER,
221&amp;INDEX(LOCATIONTYPE[Measure Number],MATCH(E20,LOCATIONTYPE[Location Type],0))&amp;INDEX(ENDUSEALL[Measure Number Indicator],MATCH(AZ20,ENDUSEALL[End Use to Coincident Peak Demand Factors],0))&amp;INDEX(CMLIGHTEFF[Measure Number],MATCH(S20,CMLIGHTEFF[Eff Desc 1],0))))</f>
        <v/>
      </c>
      <c r="BI20" s="1108" t="str">
        <f>IFERROR(IF(ROUND(AN20/AH20,2)=TOTCOSTCAP,"Cost Cap at 75%",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IF(M02S04F19="",MEASUREBLDG,
IF(PAYCUSE&lt;PAYBACKREQ,PROJECTSTATPAYBACK,
IF(CBCUSE&lt;CBREQ,PROJECTSTATCB,""))))))),MEASURESUBMIT)</f>
        <v>Submit for Review</v>
      </c>
      <c r="BK20" s="930" t="str">
        <f>IFERROR(IF(OR(C20="",E20="",G20="",K20="",M20="",O20="",Q20="",S20="",W20="",Z20="",AB20="",AD20="",AF20=""),"",
ROUND(((1+ELOSS)*((AK20*INDEX(ELECCB[NPV AEC $/kWh],MATCH(AY20,ELECCB[Year Number],1)))+(BA20*INDEX(ELECCB[NPV ACC $/kW],MATCH(AY20,ELECCB[Year Number],1))))),2)),0)</f>
        <v/>
      </c>
      <c r="BL20" s="1118"/>
    </row>
    <row r="21" spans="1:64" ht="15.95" customHeight="1">
      <c r="B21" s="905"/>
      <c r="C21" s="1037"/>
      <c r="D21" s="1037"/>
      <c r="E21" s="1037"/>
      <c r="F21" s="1039"/>
      <c r="G21" s="1040"/>
      <c r="H21" s="1037"/>
      <c r="I21" s="1037"/>
      <c r="J21" s="1037"/>
      <c r="K21" s="1037"/>
      <c r="L21" s="1037"/>
      <c r="M21" s="1041"/>
      <c r="N21" s="1041"/>
      <c r="O21" s="1055"/>
      <c r="P21" s="1055"/>
      <c r="Q21" s="1058"/>
      <c r="R21" s="1059"/>
      <c r="S21" s="1061"/>
      <c r="T21" s="1037"/>
      <c r="U21" s="1037"/>
      <c r="V21" s="1037"/>
      <c r="W21" s="1037"/>
      <c r="X21" s="1037"/>
      <c r="Y21" s="1037"/>
      <c r="Z21" s="1041"/>
      <c r="AA21" s="1041"/>
      <c r="AB21" s="1044"/>
      <c r="AC21" s="1045"/>
      <c r="AD21" s="1053"/>
      <c r="AE21" s="1054"/>
      <c r="AF21" s="1054"/>
      <c r="AG21" s="1083"/>
      <c r="AH21" s="1064"/>
      <c r="AI21" s="1065"/>
      <c r="AJ21" s="1065"/>
      <c r="AK21" s="1066"/>
      <c r="AL21" s="1066"/>
      <c r="AM21" s="1066"/>
      <c r="AN21" s="1049"/>
      <c r="AO21" s="1050"/>
      <c r="AP21" s="1050"/>
      <c r="AQ21" s="1050"/>
      <c r="AR21" s="235"/>
      <c r="AS21" s="235"/>
      <c r="AT21" s="1104"/>
      <c r="AU21" s="1104"/>
      <c r="AV21" s="1105"/>
      <c r="AW21" s="1025"/>
      <c r="AX21" s="1025"/>
      <c r="AY21" s="1114"/>
      <c r="AZ21" s="1116"/>
      <c r="BA21" s="1109"/>
      <c r="BB21" s="1111"/>
      <c r="BC21" s="931"/>
      <c r="BD21" s="931"/>
      <c r="BE21" s="931"/>
      <c r="BF21" s="931"/>
      <c r="BG21" s="931"/>
      <c r="BH21" s="1107"/>
      <c r="BI21" s="1105"/>
      <c r="BJ21" s="1105"/>
      <c r="BK21" s="931"/>
      <c r="BL21" s="1119"/>
    </row>
    <row r="22" spans="1:64" ht="15.95" customHeight="1">
      <c r="A22" s="145"/>
      <c r="B22" s="905">
        <v>3</v>
      </c>
      <c r="C22" s="1069"/>
      <c r="D22" s="1074"/>
      <c r="E22" s="1069"/>
      <c r="F22" s="1070"/>
      <c r="G22" s="1072"/>
      <c r="H22" s="1073"/>
      <c r="I22" s="1073"/>
      <c r="J22" s="1074"/>
      <c r="K22" s="1069"/>
      <c r="L22" s="1074"/>
      <c r="M22" s="1077"/>
      <c r="N22" s="1078"/>
      <c r="O22" s="1092" t="str">
        <f>IFERROR(IF(G22="","",INDEX(CMLIGHTBASE[Base Watt 1],MATCH(G22,CMLIGHTBASE[Base Desc 1],0))),"")</f>
        <v/>
      </c>
      <c r="P22" s="1093"/>
      <c r="Q22" s="1096"/>
      <c r="R22" s="1097"/>
      <c r="S22" s="1072"/>
      <c r="T22" s="1073"/>
      <c r="U22" s="1073"/>
      <c r="V22" s="1074"/>
      <c r="W22" s="1069"/>
      <c r="X22" s="1073"/>
      <c r="Y22" s="1074"/>
      <c r="Z22" s="1077"/>
      <c r="AA22" s="1078"/>
      <c r="AB22" s="1100"/>
      <c r="AC22" s="1101"/>
      <c r="AD22" s="1084"/>
      <c r="AE22" s="1085"/>
      <c r="AF22" s="1088"/>
      <c r="AG22" s="1089"/>
      <c r="AH22" s="1064" t="str">
        <f t="shared" ref="AH22" si="4">IF(OR(C22="",E22="",G22="",K22="",M22="",O22="",Q22="",S22="",W22="",Z22="",AB22="",AD22="",AF22=""),"",ROUND(AD22+AF22,2))</f>
        <v/>
      </c>
      <c r="AI22" s="1065"/>
      <c r="AJ22" s="1065"/>
      <c r="AK22" s="1066" t="str">
        <f t="shared" ref="AK22" si="5">IF(OR(C22="",E22="",G22="",K22="",M22="",O22="",Q22="",S22="",W22="",Z22="",AB22="",AD22="",AF22=""),"",IF(AW22-AX22&lt;=0,0,AW22-AX22))</f>
        <v/>
      </c>
      <c r="AL22" s="1066"/>
      <c r="AM22" s="1066"/>
      <c r="AN22" s="1047" t="str">
        <f>IF(OR(C22="",E22="",G22="",K22="",M22="",O22="",Q22="",S22="",W22="",Z22="",AB22="",AD22="",AF22=""),"",
IF(BJ22&lt;&gt;"",BJ22,IF(BL22&gt;0,BL22,
IF(ACTIVEBLOCK="Yes",ROUND(MIN(AH22*0.75,AK22*BLOCKBIDRATE),2),
IF(BG22&lt;&gt;"",ROUND(MIN(AH22*0.75,BG22),2),
IF(BD22&lt;KWHRATEMIN,ROUND(MIN(AH22*0.75,BE22),2),
IF(BD22&gt;KWHRATEMAX,ROUND(MIN(AH22*0.75,BF22),2),
ROUND(MIN(AH22*0.75,BC22),2))))))))</f>
        <v/>
      </c>
      <c r="AO22" s="1048"/>
      <c r="AP22" s="1048"/>
      <c r="AQ22" s="1048"/>
      <c r="AR22" s="235"/>
      <c r="AS22" s="235"/>
      <c r="AT22" s="1104" t="str">
        <f>IFERROR(IF(OR(C22="",E22="",G22="",K22="",M22="",O22="",Q22="",S22="",W22="",Z22="",AB22="",AD22="",AF22=""),"",
ROUND(((1+ELOSS)*((AK22*INDEX(ELECCB[NPV AEC $/kWh],MATCH(AY22,ELECCB[Year Number],1)))+(BA22*INDEX(ELECCB[NPV ACC $/kW],MATCH(AY22,ELECCB[Year Number],1))))/AH22),2)),0)</f>
        <v/>
      </c>
      <c r="AU22" s="1104" t="str">
        <f>IFERROR(AH22/M02S04F06/AK22,"")</f>
        <v/>
      </c>
      <c r="AV22" s="1105" t="str">
        <f>IF(OR(G22="",S22=""),"",IF(INDEX(CMLIGHTEFF[Unit],MATCH(S22,CMLIGHTEFF[Eff Desc 1],0))="","",INDEX(CMLIGHTEFF[Unit],MATCH(S22,CMLIGHTEFF[Eff Desc 1],0))))</f>
        <v/>
      </c>
      <c r="AW22" s="1103" t="str">
        <f>IF(OR(C22="",E22="",G22="",K22="",M22="",O22="",Q22="",S22="",W22="",Z22="",AB22="",AD22="",AF22=""),"",
IF(OR(ISNUMBER(SEARCH("Exterior",E22)),ISNUMBER(SEARCH("Garage",E22))),ROUND(M22*O22*Q22/1000,0),
ROUND(M22*O22*Q22/1000*INDEX(BUILDINGTYPE[Waste Heat Factor (e)],MATCH(M02S04F19,BUILDINGTYPE[Building Type],0)),4)))</f>
        <v/>
      </c>
      <c r="AX22" s="1103" t="str">
        <f>IF(OR(C22="",E22="",G22="",K22="",M22="",O22="",Q22="",S22="",W22="",Z22="",AB22="",AD22="",AF22=""),"",
IF(OR(ISNUMBER(SEARCH("Exterior",E22)),ISNUMBER(SEARCH("Garage",E22))),ROUND(Z22*AB22*Q22/1000,4),
ROUND(Z22*AB22*Q22/1000*INDEX(BUILDINGTYPE[Waste Heat Factor (e)],MATCH(M02S04F19,BUILDINGTYPE[Building Type],0)),4)))</f>
        <v/>
      </c>
      <c r="AY22" s="1114" t="str">
        <f>IF(OR(G22="",S22=""),"",IF(INDEX(CMLIGHTEFF[EUL],MATCH(S22,CMLIGHTEFF[Eff Desc 1],0))="","",INDEX(CMLIGHTEFF[EUL],MATCH(S22,CMLIGHTEFF[Eff Desc 1],0))))</f>
        <v/>
      </c>
      <c r="AZ22" s="1115" t="str">
        <f t="shared" ref="AZ22" si="6">IF(OR(E22="",G22="",S22=""),"",IF(ISNUMBER(SEARCH("24/7",E22)),"Ext Lighting w/ Peak ",IF(E22="Interior","Interior Lighting",IF(OR(E22="Garage",E22="Exterior"),"Ext Lighting w/o Peak","Err"))))</f>
        <v/>
      </c>
      <c r="BA22" s="1109" t="str">
        <f>IFERROR(IF(OR(C22="",E22="",G22="",K22="",M22="",O22="",Q22="",S22="",W22="",Z22="",AB22="",AD22="",AF22=""),"",ROUND(AK22*INDEX(ENDUSEALL[Factor],MATCH(AZ22,ENDUSEALL[End Use to Coincident Peak Demand Factors],0)),4)),"")</f>
        <v/>
      </c>
      <c r="BB22" s="1111" t="str">
        <f>IFERROR(IF(OR(C22="",E22="",G22="",K22="",M22="",O22="",Q22="",S22="",W22="",Z22="",AB22="",AD22="",AF22=""),"",IF(OR(E22="Garage",E22="Exterior"),0,
ROUND((((M22*O22)-(Z22*AB22))/1000)*INDEX(BUILDINGTYPE[Waste Heat Factor (e)],MATCH(M02S04F19,BUILDINGTYPE[Building Type],0))*INDEX(BUILDINGTYPE[Lighting Coincidence Factor],MATCH(M02S04F19,BUILDINGTYPE[Building Type],0)),4))),"")</f>
        <v/>
      </c>
      <c r="BC22" s="930" t="str">
        <f t="shared" ref="BC22" si="7">IFERROR(ROUND(AK22*BD22,2),"")</f>
        <v/>
      </c>
      <c r="BD22" s="930" t="str">
        <f>IFERROR(INDEX(ENDUSEALL[Rate ($/kWh)],MATCH(AZ22,ENDUSEALL[End Use to Coincident Peak Demand Factors],0)),"")</f>
        <v/>
      </c>
      <c r="BE22" s="931" t="str">
        <f>IFERROR(ROUND(AK22*KWHRATEMIN,2),"")</f>
        <v/>
      </c>
      <c r="BF22" s="931" t="str">
        <f>IFERROR(ROUND(AK22*KWHRATEMAX,2),"")</f>
        <v/>
      </c>
      <c r="BG22" s="930" t="str">
        <f>IFERROR(IF(INDEX(ENDUSEALL[Bonus Rate ($/kWh)],MATCH(AZ22,ENDUSEALL[End Use to Coincident Peak Demand Factors],0))="","",INDEX(ENDUSEALL[Bonus Rate ($/kWh)],MATCH(AZ22,ENDUSEALL[End Use to Coincident Peak Demand Factors],0))*AK22),"")</f>
        <v/>
      </c>
      <c r="BH22" s="1107" t="str">
        <f>IF(OR(C22="",E22="",G22="",K22="",M22="",O22="",Q22="",S22="",W22="",Z22="",AB22="",AD22="",AF22=""),"",IF(BJ22&lt;&gt;"",SPILLOVERNUMBER,
221&amp;INDEX(LOCATIONTYPE[Measure Number],MATCH(E22,LOCATIONTYPE[Location Type],0))&amp;INDEX(ENDUSEALL[Measure Number Indicator],MATCH(AZ22,ENDUSEALL[End Use to Coincident Peak Demand Factors],0))&amp;INDEX(CMLIGHTEFF[Measure Number],MATCH(S22,CMLIGHTEFF[Eff Desc 1],0))))</f>
        <v/>
      </c>
      <c r="BI22" s="1108" t="str">
        <f>IFERROR(IF(ROUND(AN22/AH22,2)=TOTCOSTCAP,"Cost Cap at 75%",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IF(M02S04F19="",MEASUREBLDG,
IF(PAYCUSE&lt;PAYBACKREQ,PROJECTSTATPAYBACK,
IF(CBCUSE&lt;CBREQ,PROJECTSTATCB,""))))))),MEASURESUBMIT)</f>
        <v>Submit for Review</v>
      </c>
      <c r="BK22" s="930" t="str">
        <f>IFERROR(IF(OR(C22="",E22="",G22="",K22="",M22="",O22="",Q22="",S22="",W22="",Z22="",AB22="",AD22="",AF22=""),"",
ROUND(((1+ELOSS)*((AK22*INDEX(ELECCB[NPV AEC $/kWh],MATCH(AY22,ELECCB[Year Number],1)))+(BA22*INDEX(ELECCB[NPV ACC $/kW],MATCH(AY22,ELECCB[Year Number],1))))),2)),0)</f>
        <v/>
      </c>
      <c r="BL22" s="1118"/>
    </row>
    <row r="23" spans="1:64" ht="15.95" customHeight="1">
      <c r="B23" s="905"/>
      <c r="C23" s="1038"/>
      <c r="D23" s="1060"/>
      <c r="E23" s="1038"/>
      <c r="F23" s="1071"/>
      <c r="G23" s="1075"/>
      <c r="H23" s="1076"/>
      <c r="I23" s="1076"/>
      <c r="J23" s="1060"/>
      <c r="K23" s="1038"/>
      <c r="L23" s="1060"/>
      <c r="M23" s="1079"/>
      <c r="N23" s="1080"/>
      <c r="O23" s="1094"/>
      <c r="P23" s="1095"/>
      <c r="Q23" s="1098"/>
      <c r="R23" s="1099"/>
      <c r="S23" s="1075"/>
      <c r="T23" s="1076"/>
      <c r="U23" s="1076"/>
      <c r="V23" s="1060"/>
      <c r="W23" s="1038"/>
      <c r="X23" s="1076"/>
      <c r="Y23" s="1060"/>
      <c r="Z23" s="1079"/>
      <c r="AA23" s="1080"/>
      <c r="AB23" s="1043"/>
      <c r="AC23" s="1102"/>
      <c r="AD23" s="1086"/>
      <c r="AE23" s="1087"/>
      <c r="AF23" s="1090"/>
      <c r="AG23" s="1091"/>
      <c r="AH23" s="1064"/>
      <c r="AI23" s="1065"/>
      <c r="AJ23" s="1065"/>
      <c r="AK23" s="1066"/>
      <c r="AL23" s="1066"/>
      <c r="AM23" s="1066"/>
      <c r="AN23" s="1049"/>
      <c r="AO23" s="1050"/>
      <c r="AP23" s="1050"/>
      <c r="AQ23" s="1050"/>
      <c r="AR23" s="235"/>
      <c r="AS23" s="235"/>
      <c r="AT23" s="1104"/>
      <c r="AU23" s="1104"/>
      <c r="AV23" s="1105"/>
      <c r="AW23" s="1025"/>
      <c r="AX23" s="1025"/>
      <c r="AY23" s="1114"/>
      <c r="AZ23" s="1116"/>
      <c r="BA23" s="1109"/>
      <c r="BB23" s="1111"/>
      <c r="BC23" s="931"/>
      <c r="BD23" s="931"/>
      <c r="BE23" s="931"/>
      <c r="BF23" s="931"/>
      <c r="BG23" s="931"/>
      <c r="BH23" s="1107"/>
      <c r="BI23" s="1105"/>
      <c r="BJ23" s="1105"/>
      <c r="BK23" s="931"/>
      <c r="BL23" s="1119"/>
    </row>
    <row r="24" spans="1:64" ht="15.95" customHeight="1">
      <c r="B24" s="905">
        <v>4</v>
      </c>
      <c r="C24" s="1036"/>
      <c r="D24" s="1036"/>
      <c r="E24" s="1036"/>
      <c r="F24" s="1038"/>
      <c r="G24" s="1040"/>
      <c r="H24" s="1037"/>
      <c r="I24" s="1037"/>
      <c r="J24" s="1037"/>
      <c r="K24" s="1037"/>
      <c r="L24" s="1037"/>
      <c r="M24" s="1041"/>
      <c r="N24" s="1041"/>
      <c r="O24" s="1055" t="str">
        <f>IFERROR(IF(G24="","",INDEX(CMLIGHTBASE[Base Watt 1],MATCH(G24,CMLIGHTBASE[Base Desc 1],0))),"")</f>
        <v/>
      </c>
      <c r="P24" s="1055"/>
      <c r="Q24" s="1058"/>
      <c r="R24" s="1059"/>
      <c r="S24" s="1061"/>
      <c r="T24" s="1037"/>
      <c r="U24" s="1037"/>
      <c r="V24" s="1037"/>
      <c r="W24" s="1037"/>
      <c r="X24" s="1037"/>
      <c r="Y24" s="1037"/>
      <c r="Z24" s="1041"/>
      <c r="AA24" s="1041"/>
      <c r="AB24" s="1044"/>
      <c r="AC24" s="1045"/>
      <c r="AD24" s="1053"/>
      <c r="AE24" s="1054"/>
      <c r="AF24" s="1054"/>
      <c r="AG24" s="1083"/>
      <c r="AH24" s="1064" t="str">
        <f t="shared" ref="AH24" si="8">IF(OR(C24="",E24="",G24="",K24="",M24="",O24="",Q24="",S24="",W24="",Z24="",AB24="",AD24="",AF24=""),"",ROUND(AD24+AF24,2))</f>
        <v/>
      </c>
      <c r="AI24" s="1065"/>
      <c r="AJ24" s="1065"/>
      <c r="AK24" s="1066" t="str">
        <f t="shared" ref="AK24" si="9">IF(OR(C24="",E24="",G24="",K24="",M24="",O24="",Q24="",S24="",W24="",Z24="",AB24="",AD24="",AF24=""),"",IF(AW24-AX24&lt;=0,0,AW24-AX24))</f>
        <v/>
      </c>
      <c r="AL24" s="1066"/>
      <c r="AM24" s="1066"/>
      <c r="AN24" s="1047" t="str">
        <f>IF(OR(C24="",E24="",G24="",K24="",M24="",O24="",Q24="",S24="",W24="",Z24="",AB24="",AD24="",AF24=""),"",
IF(BJ24&lt;&gt;"",BJ24,IF(BL24&gt;0,BL24,
IF(ACTIVEBLOCK="Yes",ROUND(MIN(AH24*0.75,AK24*BLOCKBIDRATE),2),
IF(BG24&lt;&gt;"",ROUND(MIN(AH24*0.75,BG24),2),
IF(BD24&lt;KWHRATEMIN,ROUND(MIN(AH24*0.75,BE24),2),
IF(BD24&gt;KWHRATEMAX,ROUND(MIN(AH24*0.75,BF24),2),
ROUND(MIN(AH24*0.75,BC24),2))))))))</f>
        <v/>
      </c>
      <c r="AO24" s="1048"/>
      <c r="AP24" s="1048"/>
      <c r="AQ24" s="1048"/>
      <c r="AR24" s="235"/>
      <c r="AS24" s="235"/>
      <c r="AT24" s="1104" t="str">
        <f>IFERROR(IF(OR(C24="",E24="",G24="",K24="",M24="",O24="",Q24="",S24="",W24="",Z24="",AB24="",AD24="",AF24=""),"",
ROUND(((1+ELOSS)*((AK24*INDEX(ELECCB[NPV AEC $/kWh],MATCH(AY24,ELECCB[Year Number],1)))+(BA24*INDEX(ELECCB[NPV ACC $/kW],MATCH(AY24,ELECCB[Year Number],1))))/AH24),2)),0)</f>
        <v/>
      </c>
      <c r="AU24" s="1104" t="str">
        <f>IFERROR(AH24/M02S04F06/AK24,"")</f>
        <v/>
      </c>
      <c r="AV24" s="1105" t="str">
        <f>IF(OR(G24="",S24=""),"",IF(INDEX(CMLIGHTEFF[Unit],MATCH(S24,CMLIGHTEFF[Eff Desc 1],0))="","",INDEX(CMLIGHTEFF[Unit],MATCH(S24,CMLIGHTEFF[Eff Desc 1],0))))</f>
        <v/>
      </c>
      <c r="AW24" s="1103" t="str">
        <f>IF(OR(C24="",E24="",G24="",K24="",M24="",O24="",Q24="",S24="",W24="",Z24="",AB24="",AD24="",AF24=""),"",
IF(OR(ISNUMBER(SEARCH("Exterior",E24)),ISNUMBER(SEARCH("Garage",E24))),ROUND(M24*O24*Q24/1000,0),
ROUND(M24*O24*Q24/1000*INDEX(BUILDINGTYPE[Waste Heat Factor (e)],MATCH(M02S04F19,BUILDINGTYPE[Building Type],0)),4)))</f>
        <v/>
      </c>
      <c r="AX24" s="1103" t="str">
        <f>IF(OR(C24="",E24="",G24="",K24="",M24="",O24="",Q24="",S24="",W24="",Z24="",AB24="",AD24="",AF24=""),"",
IF(OR(ISNUMBER(SEARCH("Exterior",E24)),ISNUMBER(SEARCH("Garage",E24))),ROUND(Z24*AB24*Q24/1000,4),
ROUND(Z24*AB24*Q24/1000*INDEX(BUILDINGTYPE[Waste Heat Factor (e)],MATCH(M02S04F19,BUILDINGTYPE[Building Type],0)),4)))</f>
        <v/>
      </c>
      <c r="AY24" s="1114" t="str">
        <f>IF(OR(G24="",S24=""),"",IF(INDEX(CMLIGHTEFF[EUL],MATCH(S24,CMLIGHTEFF[Eff Desc 1],0))="","",INDEX(CMLIGHTEFF[EUL],MATCH(S24,CMLIGHTEFF[Eff Desc 1],0))))</f>
        <v/>
      </c>
      <c r="AZ24" s="1115" t="str">
        <f t="shared" ref="AZ24" si="10">IF(OR(E24="",G24="",S24=""),"",IF(ISNUMBER(SEARCH("24/7",E24)),"Ext Lighting w/ Peak ",IF(E24="Interior","Interior Lighting",IF(OR(E24="Garage",E24="Exterior"),"Ext Lighting w/o Peak","Err"))))</f>
        <v/>
      </c>
      <c r="BA24" s="1109" t="str">
        <f>IFERROR(IF(OR(C24="",E24="",G24="",K24="",M24="",O24="",Q24="",S24="",W24="",Z24="",AB24="",AD24="",AF24=""),"",ROUND(AK24*INDEX(ENDUSEALL[Factor],MATCH(AZ24,ENDUSEALL[End Use to Coincident Peak Demand Factors],0)),4)),"")</f>
        <v/>
      </c>
      <c r="BB24" s="1111" t="str">
        <f>IFERROR(IF(OR(C24="",E24="",G24="",K24="",M24="",O24="",Q24="",S24="",W24="",Z24="",AB24="",AD24="",AF24=""),"",IF(OR(E24="Garage",E24="Exterior"),0,
ROUND((((M24*O24)-(Z24*AB24))/1000)*INDEX(BUILDINGTYPE[Waste Heat Factor (e)],MATCH(M02S04F19,BUILDINGTYPE[Building Type],0))*INDEX(BUILDINGTYPE[Lighting Coincidence Factor],MATCH(M02S04F19,BUILDINGTYPE[Building Type],0)),4))),"")</f>
        <v/>
      </c>
      <c r="BC24" s="930" t="str">
        <f t="shared" ref="BC24" si="11">IFERROR(ROUND(AK24*BD24,2),"")</f>
        <v/>
      </c>
      <c r="BD24" s="930" t="str">
        <f>IFERROR(INDEX(ENDUSEALL[Rate ($/kWh)],MATCH(AZ24,ENDUSEALL[End Use to Coincident Peak Demand Factors],0)),"")</f>
        <v/>
      </c>
      <c r="BE24" s="931" t="str">
        <f>IFERROR(ROUND(AK24*KWHRATEMIN,2),"")</f>
        <v/>
      </c>
      <c r="BF24" s="931" t="str">
        <f>IFERROR(ROUND(AK24*KWHRATEMAX,2),"")</f>
        <v/>
      </c>
      <c r="BG24" s="930" t="str">
        <f>IFERROR(IF(INDEX(ENDUSEALL[Bonus Rate ($/kWh)],MATCH(AZ24,ENDUSEALL[End Use to Coincident Peak Demand Factors],0))="","",INDEX(ENDUSEALL[Bonus Rate ($/kWh)],MATCH(AZ24,ENDUSEALL[End Use to Coincident Peak Demand Factors],0))*AK24),"")</f>
        <v/>
      </c>
      <c r="BH24" s="1107" t="str">
        <f>IF(OR(C24="",E24="",G24="",K24="",M24="",O24="",Q24="",S24="",W24="",Z24="",AB24="",AD24="",AF24=""),"",IF(BJ24&lt;&gt;"",SPILLOVERNUMBER,
221&amp;INDEX(LOCATIONTYPE[Measure Number],MATCH(E24,LOCATIONTYPE[Location Type],0))&amp;INDEX(ENDUSEALL[Measure Number Indicator],MATCH(AZ24,ENDUSEALL[End Use to Coincident Peak Demand Factors],0))&amp;INDEX(CMLIGHTEFF[Measure Number],MATCH(S24,CMLIGHTEFF[Eff Desc 1],0))))</f>
        <v/>
      </c>
      <c r="BI24" s="1108" t="str">
        <f>IFERROR(IF(ROUND(AN24/AH24,2)=TOTCOSTCAP,"Cost Cap at 75%",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IF(M02S04F19="",MEASUREBLDG,
IF(PAYCUSE&lt;PAYBACKREQ,PROJECTSTATPAYBACK,
IF(CBCUSE&lt;CBREQ,PROJECTSTATCB,""))))))),MEASURESUBMIT)</f>
        <v>Submit for Review</v>
      </c>
      <c r="BK24" s="930" t="str">
        <f>IFERROR(IF(OR(C24="",E24="",G24="",K24="",M24="",O24="",Q24="",S24="",W24="",Z24="",AB24="",AD24="",AF24=""),"",
ROUND(((1+ELOSS)*((AK24*INDEX(ELECCB[NPV AEC $/kWh],MATCH(AY24,ELECCB[Year Number],1)))+(BA24*INDEX(ELECCB[NPV ACC $/kW],MATCH(AY24,ELECCB[Year Number],1))))),2)),0)</f>
        <v/>
      </c>
      <c r="BL24" s="1118"/>
    </row>
    <row r="25" spans="1:64" ht="15.95" customHeight="1">
      <c r="A25" s="145"/>
      <c r="B25" s="905"/>
      <c r="C25" s="1037"/>
      <c r="D25" s="1037"/>
      <c r="E25" s="1037"/>
      <c r="F25" s="1039"/>
      <c r="G25" s="1040"/>
      <c r="H25" s="1037"/>
      <c r="I25" s="1037"/>
      <c r="J25" s="1037"/>
      <c r="K25" s="1037"/>
      <c r="L25" s="1037"/>
      <c r="M25" s="1041"/>
      <c r="N25" s="1041"/>
      <c r="O25" s="1055"/>
      <c r="P25" s="1055"/>
      <c r="Q25" s="1058"/>
      <c r="R25" s="1059"/>
      <c r="S25" s="1061"/>
      <c r="T25" s="1037"/>
      <c r="U25" s="1037"/>
      <c r="V25" s="1037"/>
      <c r="W25" s="1037"/>
      <c r="X25" s="1037"/>
      <c r="Y25" s="1037"/>
      <c r="Z25" s="1041"/>
      <c r="AA25" s="1041"/>
      <c r="AB25" s="1044"/>
      <c r="AC25" s="1045"/>
      <c r="AD25" s="1053"/>
      <c r="AE25" s="1054"/>
      <c r="AF25" s="1054"/>
      <c r="AG25" s="1083"/>
      <c r="AH25" s="1064"/>
      <c r="AI25" s="1065"/>
      <c r="AJ25" s="1065"/>
      <c r="AK25" s="1066"/>
      <c r="AL25" s="1066"/>
      <c r="AM25" s="1066"/>
      <c r="AN25" s="1049"/>
      <c r="AO25" s="1050"/>
      <c r="AP25" s="1050"/>
      <c r="AQ25" s="1050"/>
      <c r="AR25" s="235"/>
      <c r="AS25" s="235"/>
      <c r="AT25" s="1104"/>
      <c r="AU25" s="1104"/>
      <c r="AV25" s="1105"/>
      <c r="AW25" s="1025"/>
      <c r="AX25" s="1025"/>
      <c r="AY25" s="1114"/>
      <c r="AZ25" s="1116"/>
      <c r="BA25" s="1109"/>
      <c r="BB25" s="1111"/>
      <c r="BC25" s="931"/>
      <c r="BD25" s="931"/>
      <c r="BE25" s="931"/>
      <c r="BF25" s="931"/>
      <c r="BG25" s="931"/>
      <c r="BH25" s="1107"/>
      <c r="BI25" s="1105"/>
      <c r="BJ25" s="1105"/>
      <c r="BK25" s="931"/>
      <c r="BL25" s="1119"/>
    </row>
    <row r="26" spans="1:64" ht="15.95" customHeight="1">
      <c r="B26" s="905">
        <v>5</v>
      </c>
      <c r="C26" s="1037"/>
      <c r="D26" s="1037"/>
      <c r="E26" s="1037"/>
      <c r="F26" s="1039"/>
      <c r="G26" s="1040"/>
      <c r="H26" s="1037"/>
      <c r="I26" s="1037"/>
      <c r="J26" s="1037"/>
      <c r="K26" s="1037"/>
      <c r="L26" s="1037"/>
      <c r="M26" s="1041"/>
      <c r="N26" s="1041"/>
      <c r="O26" s="1055" t="str">
        <f>IFERROR(IF(G26="","",INDEX(CMLIGHTBASE[Base Watt 1],MATCH(G26,CMLIGHTBASE[Base Desc 1],0))),"")</f>
        <v/>
      </c>
      <c r="P26" s="1055"/>
      <c r="Q26" s="1058"/>
      <c r="R26" s="1059"/>
      <c r="S26" s="1061"/>
      <c r="T26" s="1037"/>
      <c r="U26" s="1037"/>
      <c r="V26" s="1037"/>
      <c r="W26" s="1037"/>
      <c r="X26" s="1037"/>
      <c r="Y26" s="1037"/>
      <c r="Z26" s="1041"/>
      <c r="AA26" s="1041"/>
      <c r="AB26" s="1044"/>
      <c r="AC26" s="1045"/>
      <c r="AD26" s="1053"/>
      <c r="AE26" s="1054"/>
      <c r="AF26" s="1054"/>
      <c r="AG26" s="1083"/>
      <c r="AH26" s="1064" t="str">
        <f t="shared" ref="AH26" si="12">IF(OR(C26="",E26="",G26="",K26="",M26="",O26="",Q26="",S26="",W26="",Z26="",AB26="",AD26="",AF26=""),"",ROUND(AD26+AF26,2))</f>
        <v/>
      </c>
      <c r="AI26" s="1065"/>
      <c r="AJ26" s="1065"/>
      <c r="AK26" s="1066" t="str">
        <f t="shared" ref="AK26" si="13">IF(OR(C26="",E26="",G26="",K26="",M26="",O26="",Q26="",S26="",W26="",Z26="",AB26="",AD26="",AF26=""),"",IF(AW26-AX26&lt;=0,0,AW26-AX26))</f>
        <v/>
      </c>
      <c r="AL26" s="1066"/>
      <c r="AM26" s="1066"/>
      <c r="AN26" s="1047" t="str">
        <f>IF(OR(C26="",E26="",G26="",K26="",M26="",O26="",Q26="",S26="",W26="",Z26="",AB26="",AD26="",AF26=""),"",
IF(BJ26&lt;&gt;"",BJ26,IF(BL26&gt;0,BL26,
IF(ACTIVEBLOCK="Yes",ROUND(MIN(AH26*0.75,AK26*BLOCKBIDRATE),2),
IF(BG26&lt;&gt;"",ROUND(MIN(AH26*0.75,BG26),2),
IF(BD26&lt;KWHRATEMIN,ROUND(MIN(AH26*0.75,BE26),2),
IF(BD26&gt;KWHRATEMAX,ROUND(MIN(AH26*0.75,BF26),2),
ROUND(MIN(AH26*0.75,BC26),2))))))))</f>
        <v/>
      </c>
      <c r="AO26" s="1048"/>
      <c r="AP26" s="1048"/>
      <c r="AQ26" s="1048"/>
      <c r="AR26" s="235"/>
      <c r="AS26" s="235"/>
      <c r="AT26" s="1104" t="str">
        <f>IFERROR(IF(OR(C26="",E26="",G26="",K26="",M26="",O26="",Q26="",S26="",W26="",Z26="",AB26="",AD26="",AF26=""),"",
ROUND(((1+ELOSS)*((AK26*INDEX(ELECCB[NPV AEC $/kWh],MATCH(AY26,ELECCB[Year Number],1)))+(BA26*INDEX(ELECCB[NPV ACC $/kW],MATCH(AY26,ELECCB[Year Number],1))))/AH26),2)),0)</f>
        <v/>
      </c>
      <c r="AU26" s="1104" t="str">
        <f>IFERROR(AH26/M02S04F06/AK26,"")</f>
        <v/>
      </c>
      <c r="AV26" s="1105" t="str">
        <f>IF(OR(G26="",S26=""),"",IF(INDEX(CMLIGHTEFF[Unit],MATCH(S26,CMLIGHTEFF[Eff Desc 1],0))="","",INDEX(CMLIGHTEFF[Unit],MATCH(S26,CMLIGHTEFF[Eff Desc 1],0))))</f>
        <v/>
      </c>
      <c r="AW26" s="1103" t="str">
        <f>IF(OR(C26="",E26="",G26="",K26="",M26="",O26="",Q26="",S26="",W26="",Z26="",AB26="",AD26="",AF26=""),"",
IF(OR(ISNUMBER(SEARCH("Exterior",E26)),ISNUMBER(SEARCH("Garage",E26))),ROUND(M26*O26*Q26/1000,0),
ROUND(M26*O26*Q26/1000*INDEX(BUILDINGTYPE[Waste Heat Factor (e)],MATCH(M02S04F19,BUILDINGTYPE[Building Type],0)),4)))</f>
        <v/>
      </c>
      <c r="AX26" s="1103" t="str">
        <f>IF(OR(C26="",E26="",G26="",K26="",M26="",O26="",Q26="",S26="",W26="",Z26="",AB26="",AD26="",AF26=""),"",
IF(OR(ISNUMBER(SEARCH("Exterior",E26)),ISNUMBER(SEARCH("Garage",E26))),ROUND(Z26*AB26*Q26/1000,4),
ROUND(Z26*AB26*Q26/1000*INDEX(BUILDINGTYPE[Waste Heat Factor (e)],MATCH(M02S04F19,BUILDINGTYPE[Building Type],0)),4)))</f>
        <v/>
      </c>
      <c r="AY26" s="1114" t="str">
        <f>IF(OR(G26="",S26=""),"",IF(INDEX(CMLIGHTEFF[EUL],MATCH(S26,CMLIGHTEFF[Eff Desc 1],0))="","",INDEX(CMLIGHTEFF[EUL],MATCH(S26,CMLIGHTEFF[Eff Desc 1],0))))</f>
        <v/>
      </c>
      <c r="AZ26" s="1115" t="str">
        <f t="shared" ref="AZ26" si="14">IF(OR(E26="",G26="",S26=""),"",IF(ISNUMBER(SEARCH("24/7",E26)),"Ext Lighting w/ Peak ",IF(E26="Interior","Interior Lighting",IF(OR(E26="Garage",E26="Exterior"),"Ext Lighting w/o Peak","Err"))))</f>
        <v/>
      </c>
      <c r="BA26" s="1109" t="str">
        <f>IFERROR(IF(OR(C26="",E26="",G26="",K26="",M26="",O26="",Q26="",S26="",W26="",Z26="",AB26="",AD26="",AF26=""),"",ROUND(AK26*INDEX(ENDUSEALL[Factor],MATCH(AZ26,ENDUSEALL[End Use to Coincident Peak Demand Factors],0)),4)),"")</f>
        <v/>
      </c>
      <c r="BB26" s="1111" t="str">
        <f>IFERROR(IF(OR(C26="",E26="",G26="",K26="",M26="",O26="",Q26="",S26="",W26="",Z26="",AB26="",AD26="",AF26=""),"",IF(OR(E26="Garage",E26="Exterior"),0,
ROUND((((M26*O26)-(Z26*AB26))/1000)*INDEX(BUILDINGTYPE[Waste Heat Factor (e)],MATCH(M02S04F19,BUILDINGTYPE[Building Type],0))*INDEX(BUILDINGTYPE[Lighting Coincidence Factor],MATCH(M02S04F19,BUILDINGTYPE[Building Type],0)),4))),"")</f>
        <v/>
      </c>
      <c r="BC26" s="930" t="str">
        <f t="shared" ref="BC26" si="15">IFERROR(ROUND(AK26*BD26,2),"")</f>
        <v/>
      </c>
      <c r="BD26" s="930" t="str">
        <f>IFERROR(INDEX(ENDUSEALL[Rate ($/kWh)],MATCH(AZ26,ENDUSEALL[End Use to Coincident Peak Demand Factors],0)),"")</f>
        <v/>
      </c>
      <c r="BE26" s="931" t="str">
        <f>IFERROR(ROUND(AK26*KWHRATEMIN,2),"")</f>
        <v/>
      </c>
      <c r="BF26" s="931" t="str">
        <f>IFERROR(ROUND(AK26*KWHRATEMAX,2),"")</f>
        <v/>
      </c>
      <c r="BG26" s="930" t="str">
        <f>IFERROR(IF(INDEX(ENDUSEALL[Bonus Rate ($/kWh)],MATCH(AZ26,ENDUSEALL[End Use to Coincident Peak Demand Factors],0))="","",INDEX(ENDUSEALL[Bonus Rate ($/kWh)],MATCH(AZ26,ENDUSEALL[End Use to Coincident Peak Demand Factors],0))*AK26),"")</f>
        <v/>
      </c>
      <c r="BH26" s="1107" t="str">
        <f>IF(OR(C26="",E26="",G26="",K26="",M26="",O26="",Q26="",S26="",W26="",Z26="",AB26="",AD26="",AF26=""),"",IF(BJ26&lt;&gt;"",SPILLOVERNUMBER,
221&amp;INDEX(LOCATIONTYPE[Measure Number],MATCH(E26,LOCATIONTYPE[Location Type],0))&amp;INDEX(ENDUSEALL[Measure Number Indicator],MATCH(AZ26,ENDUSEALL[End Use to Coincident Peak Demand Factors],0))&amp;INDEX(CMLIGHTEFF[Measure Number],MATCH(S26,CMLIGHTEFF[Eff Desc 1],0))))</f>
        <v/>
      </c>
      <c r="BI26" s="1108" t="str">
        <f>IFERROR(IF(ROUND(AN26/AH26,2)=TOTCOSTCAP,"Cost Cap at 75%",
IF(BD26&lt;KWHRATEMIN, "kWh Incentive Rate Min",
IF(BD26&gt;KWHRATEMAX,"kWh Incentive Rate Cap",
IF(AN26=BG26,"Bonus Incentive",
"kWh Incentive")))),"")</f>
        <v/>
      </c>
      <c r="BJ26" s="1108" t="str">
        <f ca="1">IFERROR(IF(EXPIRATION&lt;&gt;"",PROJSTATEXP,
IF(BL26&gt;0,"",
IF(AW26-AX26&lt;=0,MEASURESAVE,
IF(OR(M02S04F06="",M02S04F06="Select Rate Code",M02S04F06=0),MEASURERATE,
IF(M02S04F19="",MEASUREBLDG,
IF(PAYCUSE&lt;PAYBACKREQ,PROJECTSTATPAYBACK,
IF(CBCUSE&lt;CBREQ,PROJECTSTATCB,""))))))),MEASURESUBMIT)</f>
        <v>Submit for Review</v>
      </c>
      <c r="BK26" s="930" t="str">
        <f>IFERROR(IF(OR(C26="",E26="",G26="",K26="",M26="",O26="",Q26="",S26="",W26="",Z26="",AB26="",AD26="",AF26=""),"",
ROUND(((1+ELOSS)*((AK26*INDEX(ELECCB[NPV AEC $/kWh],MATCH(AY26,ELECCB[Year Number],1)))+(BA26*INDEX(ELECCB[NPV ACC $/kW],MATCH(AY26,ELECCB[Year Number],1))))),2)),0)</f>
        <v/>
      </c>
      <c r="BL26" s="1118"/>
    </row>
    <row r="27" spans="1:64" ht="15.95" customHeight="1">
      <c r="B27" s="905"/>
      <c r="C27" s="1037"/>
      <c r="D27" s="1037"/>
      <c r="E27" s="1037"/>
      <c r="F27" s="1039"/>
      <c r="G27" s="1040"/>
      <c r="H27" s="1037"/>
      <c r="I27" s="1037"/>
      <c r="J27" s="1037"/>
      <c r="K27" s="1037"/>
      <c r="L27" s="1037"/>
      <c r="M27" s="1041"/>
      <c r="N27" s="1041"/>
      <c r="O27" s="1055"/>
      <c r="P27" s="1055"/>
      <c r="Q27" s="1058"/>
      <c r="R27" s="1059"/>
      <c r="S27" s="1061"/>
      <c r="T27" s="1037"/>
      <c r="U27" s="1037"/>
      <c r="V27" s="1037"/>
      <c r="W27" s="1037"/>
      <c r="X27" s="1037"/>
      <c r="Y27" s="1037"/>
      <c r="Z27" s="1041"/>
      <c r="AA27" s="1041"/>
      <c r="AB27" s="1044"/>
      <c r="AC27" s="1045"/>
      <c r="AD27" s="1053"/>
      <c r="AE27" s="1054"/>
      <c r="AF27" s="1054"/>
      <c r="AG27" s="1083"/>
      <c r="AH27" s="1064"/>
      <c r="AI27" s="1065"/>
      <c r="AJ27" s="1065"/>
      <c r="AK27" s="1066"/>
      <c r="AL27" s="1066"/>
      <c r="AM27" s="1066"/>
      <c r="AN27" s="1049"/>
      <c r="AO27" s="1050"/>
      <c r="AP27" s="1050"/>
      <c r="AQ27" s="1050"/>
      <c r="AR27" s="235"/>
      <c r="AS27" s="235"/>
      <c r="AT27" s="1104"/>
      <c r="AU27" s="1104"/>
      <c r="AV27" s="1105"/>
      <c r="AW27" s="1025"/>
      <c r="AX27" s="1025"/>
      <c r="AY27" s="1114"/>
      <c r="AZ27" s="1116"/>
      <c r="BA27" s="1109"/>
      <c r="BB27" s="1111"/>
      <c r="BC27" s="931"/>
      <c r="BD27" s="931"/>
      <c r="BE27" s="931"/>
      <c r="BF27" s="931"/>
      <c r="BG27" s="931"/>
      <c r="BH27" s="1107"/>
      <c r="BI27" s="1105"/>
      <c r="BJ27" s="1105"/>
      <c r="BK27" s="931"/>
      <c r="BL27" s="1119"/>
    </row>
    <row r="28" spans="1:64" ht="15.95" customHeight="1">
      <c r="B28" s="905">
        <v>6</v>
      </c>
      <c r="C28" s="1037"/>
      <c r="D28" s="1037"/>
      <c r="E28" s="1037"/>
      <c r="F28" s="1039"/>
      <c r="G28" s="1040"/>
      <c r="H28" s="1037"/>
      <c r="I28" s="1037"/>
      <c r="J28" s="1037"/>
      <c r="K28" s="1037"/>
      <c r="L28" s="1037"/>
      <c r="M28" s="1041"/>
      <c r="N28" s="1041"/>
      <c r="O28" s="1055" t="str">
        <f>IFERROR(IF(G28="","",INDEX(CMLIGHTBASE[Base Watt 1],MATCH(G28,CMLIGHTBASE[Base Desc 1],0))),"")</f>
        <v/>
      </c>
      <c r="P28" s="1055"/>
      <c r="Q28" s="1058"/>
      <c r="R28" s="1059"/>
      <c r="S28" s="1061"/>
      <c r="T28" s="1037"/>
      <c r="U28" s="1037"/>
      <c r="V28" s="1037"/>
      <c r="W28" s="1037"/>
      <c r="X28" s="1037"/>
      <c r="Y28" s="1037"/>
      <c r="Z28" s="1041"/>
      <c r="AA28" s="1041"/>
      <c r="AB28" s="1044"/>
      <c r="AC28" s="1045"/>
      <c r="AD28" s="1053"/>
      <c r="AE28" s="1054"/>
      <c r="AF28" s="1054"/>
      <c r="AG28" s="1083"/>
      <c r="AH28" s="1064" t="str">
        <f t="shared" ref="AH28" si="16">IF(OR(C28="",E28="",G28="",K28="",M28="",O28="",Q28="",S28="",W28="",Z28="",AB28="",AD28="",AF28=""),"",ROUND(AD28+AF28,2))</f>
        <v/>
      </c>
      <c r="AI28" s="1065"/>
      <c r="AJ28" s="1065"/>
      <c r="AK28" s="1066" t="str">
        <f t="shared" ref="AK28" si="17">IF(OR(C28="",E28="",G28="",K28="",M28="",O28="",Q28="",S28="",W28="",Z28="",AB28="",AD28="",AF28=""),"",IF(AW28-AX28&lt;=0,0,AW28-AX28))</f>
        <v/>
      </c>
      <c r="AL28" s="1066"/>
      <c r="AM28" s="1066"/>
      <c r="AN28" s="1047" t="str">
        <f>IF(OR(C28="",E28="",G28="",K28="",M28="",O28="",Q28="",S28="",W28="",Z28="",AB28="",AD28="",AF28=""),"",
IF(BJ28&lt;&gt;"",BJ28,IF(BL28&gt;0,BL28,
IF(ACTIVEBLOCK="Yes",ROUND(MIN(AH28*0.75,AK28*BLOCKBIDRATE),2),
IF(BG28&lt;&gt;"",ROUND(MIN(AH28*0.75,BG28),2),
IF(BD28&lt;KWHRATEMIN,ROUND(MIN(AH28*0.75,BE28),2),
IF(BD28&gt;KWHRATEMAX,ROUND(MIN(AH28*0.75,BF28),2),
ROUND(MIN(AH28*0.75,BC28),2))))))))</f>
        <v/>
      </c>
      <c r="AO28" s="1048"/>
      <c r="AP28" s="1048"/>
      <c r="AQ28" s="1048"/>
      <c r="AR28" s="235"/>
      <c r="AS28" s="235"/>
      <c r="AT28" s="1104" t="str">
        <f>IFERROR(IF(OR(C28="",E28="",G28="",K28="",M28="",O28="",Q28="",S28="",W28="",Z28="",AB28="",AD28="",AF28=""),"",
ROUND(((1+ELOSS)*((AK28*INDEX(ELECCB[NPV AEC $/kWh],MATCH(AY28,ELECCB[Year Number],1)))+(BA28*INDEX(ELECCB[NPV ACC $/kW],MATCH(AY28,ELECCB[Year Number],1))))/AH28),2)),0)</f>
        <v/>
      </c>
      <c r="AU28" s="1104" t="str">
        <f>IFERROR(AH28/M02S04F06/AK28,"")</f>
        <v/>
      </c>
      <c r="AV28" s="1105" t="str">
        <f>IF(OR(G28="",S28=""),"",IF(INDEX(CMLIGHTEFF[Unit],MATCH(S28,CMLIGHTEFF[Eff Desc 1],0))="","",INDEX(CMLIGHTEFF[Unit],MATCH(S28,CMLIGHTEFF[Eff Desc 1],0))))</f>
        <v/>
      </c>
      <c r="AW28" s="1103" t="str">
        <f>IF(OR(C28="",E28="",G28="",K28="",M28="",O28="",Q28="",S28="",W28="",Z28="",AB28="",AD28="",AF28=""),"",
IF(OR(ISNUMBER(SEARCH("Exterior",E28)),ISNUMBER(SEARCH("Garage",E28))),ROUND(M28*O28*Q28/1000,0),
ROUND(M28*O28*Q28/1000*INDEX(BUILDINGTYPE[Waste Heat Factor (e)],MATCH(M02S04F19,BUILDINGTYPE[Building Type],0)),4)))</f>
        <v/>
      </c>
      <c r="AX28" s="1103" t="str">
        <f>IF(OR(C28="",E28="",G28="",K28="",M28="",O28="",Q28="",S28="",W28="",Z28="",AB28="",AD28="",AF28=""),"",
IF(OR(ISNUMBER(SEARCH("Exterior",E28)),ISNUMBER(SEARCH("Garage",E28))),ROUND(Z28*AB28*Q28/1000,4),
ROUND(Z28*AB28*Q28/1000*INDEX(BUILDINGTYPE[Waste Heat Factor (e)],MATCH(M02S04F19,BUILDINGTYPE[Building Type],0)),4)))</f>
        <v/>
      </c>
      <c r="AY28" s="1114" t="str">
        <f>IF(OR(G28="",S28=""),"",IF(INDEX(CMLIGHTEFF[EUL],MATCH(S28,CMLIGHTEFF[Eff Desc 1],0))="","",INDEX(CMLIGHTEFF[EUL],MATCH(S28,CMLIGHTEFF[Eff Desc 1],0))))</f>
        <v/>
      </c>
      <c r="AZ28" s="1115" t="str">
        <f t="shared" ref="AZ28" si="18">IF(OR(E28="",G28="",S28=""),"",IF(ISNUMBER(SEARCH("24/7",E28)),"Ext Lighting w/ Peak ",IF(E28="Interior","Interior Lighting",IF(OR(E28="Garage",E28="Exterior"),"Ext Lighting w/o Peak","Err"))))</f>
        <v/>
      </c>
      <c r="BA28" s="1109" t="str">
        <f>IFERROR(IF(OR(C28="",E28="",G28="",K28="",M28="",O28="",Q28="",S28="",W28="",Z28="",AB28="",AD28="",AF28=""),"",ROUND(AK28*INDEX(ENDUSEALL[Factor],MATCH(AZ28,ENDUSEALL[End Use to Coincident Peak Demand Factors],0)),4)),"")</f>
        <v/>
      </c>
      <c r="BB28" s="1111" t="str">
        <f>IFERROR(IF(OR(C28="",E28="",G28="",K28="",M28="",O28="",Q28="",S28="",W28="",Z28="",AB28="",AD28="",AF28=""),"",IF(OR(E28="Garage",E28="Exterior"),0,
ROUND((((M28*O28)-(Z28*AB28))/1000)*INDEX(BUILDINGTYPE[Waste Heat Factor (e)],MATCH(M02S04F19,BUILDINGTYPE[Building Type],0))*INDEX(BUILDINGTYPE[Lighting Coincidence Factor],MATCH(M02S04F19,BUILDINGTYPE[Building Type],0)),4))),"")</f>
        <v/>
      </c>
      <c r="BC28" s="930" t="str">
        <f t="shared" ref="BC28" si="19">IFERROR(ROUND(AK28*BD28,2),"")</f>
        <v/>
      </c>
      <c r="BD28" s="930" t="str">
        <f>IFERROR(INDEX(ENDUSEALL[Rate ($/kWh)],MATCH(AZ28,ENDUSEALL[End Use to Coincident Peak Demand Factors],0)),"")</f>
        <v/>
      </c>
      <c r="BE28" s="931" t="str">
        <f>IFERROR(ROUND(AK28*KWHRATEMIN,2),"")</f>
        <v/>
      </c>
      <c r="BF28" s="931" t="str">
        <f>IFERROR(ROUND(AK28*KWHRATEMAX,2),"")</f>
        <v/>
      </c>
      <c r="BG28" s="930" t="str">
        <f>IFERROR(IF(INDEX(ENDUSEALL[Bonus Rate ($/kWh)],MATCH(AZ28,ENDUSEALL[End Use to Coincident Peak Demand Factors],0))="","",INDEX(ENDUSEALL[Bonus Rate ($/kWh)],MATCH(AZ28,ENDUSEALL[End Use to Coincident Peak Demand Factors],0))*AK28),"")</f>
        <v/>
      </c>
      <c r="BH28" s="1107" t="str">
        <f>IF(OR(C28="",E28="",G28="",K28="",M28="",O28="",Q28="",S28="",W28="",Z28="",AB28="",AD28="",AF28=""),"",IF(BJ28&lt;&gt;"",SPILLOVERNUMBER,
221&amp;INDEX(LOCATIONTYPE[Measure Number],MATCH(E28,LOCATIONTYPE[Location Type],0))&amp;INDEX(ENDUSEALL[Measure Number Indicator],MATCH(AZ28,ENDUSEALL[End Use to Coincident Peak Demand Factors],0))&amp;INDEX(CMLIGHTEFF[Measure Number],MATCH(S28,CMLIGHTEFF[Eff Desc 1],0))))</f>
        <v/>
      </c>
      <c r="BI28" s="1108" t="str">
        <f>IFERROR(IF(ROUND(AN28/AH28,2)=TOTCOSTCAP,"Cost Cap at 75%",
IF(BD28&lt;KWHRATEMIN, "kWh Incentive Rate Min",
IF(BD28&gt;KWHRATEMAX,"kWh Incentive Rate Cap",
IF(AN28=BG28,"Bonus Incentive",
"kWh Incentive")))),"")</f>
        <v/>
      </c>
      <c r="BJ28" s="1108" t="str">
        <f ca="1">IFERROR(IF(EXPIRATION&lt;&gt;"",PROJSTATEXP,
IF(BL28&gt;0,"",
IF(AW28-AX28&lt;=0,MEASURESAVE,
IF(OR(M02S04F06="",M02S04F06="Select Rate Code",M02S04F06=0),MEASURERATE,
IF(M02S04F19="",MEASUREBLDG,
IF(PAYCUSE&lt;PAYBACKREQ,PROJECTSTATPAYBACK,
IF(CBCUSE&lt;CBREQ,PROJECTSTATCB,""))))))),MEASURESUBMIT)</f>
        <v>Submit for Review</v>
      </c>
      <c r="BK28" s="930" t="str">
        <f>IFERROR(IF(OR(C28="",E28="",G28="",K28="",M28="",O28="",Q28="",S28="",W28="",Z28="",AB28="",AD28="",AF28=""),"",
ROUND(((1+ELOSS)*((AK28*INDEX(ELECCB[NPV AEC $/kWh],MATCH(AY28,ELECCB[Year Number],1)))+(BA28*INDEX(ELECCB[NPV ACC $/kW],MATCH(AY28,ELECCB[Year Number],1))))),2)),0)</f>
        <v/>
      </c>
      <c r="BL28" s="1118"/>
    </row>
    <row r="29" spans="1:64" ht="15.95" customHeight="1">
      <c r="B29" s="905"/>
      <c r="C29" s="1037"/>
      <c r="D29" s="1037"/>
      <c r="E29" s="1037"/>
      <c r="F29" s="1039"/>
      <c r="G29" s="1040"/>
      <c r="H29" s="1037"/>
      <c r="I29" s="1037"/>
      <c r="J29" s="1037"/>
      <c r="K29" s="1037"/>
      <c r="L29" s="1037"/>
      <c r="M29" s="1041"/>
      <c r="N29" s="1041"/>
      <c r="O29" s="1055"/>
      <c r="P29" s="1055"/>
      <c r="Q29" s="1058"/>
      <c r="R29" s="1059"/>
      <c r="S29" s="1061"/>
      <c r="T29" s="1037"/>
      <c r="U29" s="1037"/>
      <c r="V29" s="1037"/>
      <c r="W29" s="1037"/>
      <c r="X29" s="1037"/>
      <c r="Y29" s="1037"/>
      <c r="Z29" s="1041"/>
      <c r="AA29" s="1041"/>
      <c r="AB29" s="1044"/>
      <c r="AC29" s="1045"/>
      <c r="AD29" s="1053"/>
      <c r="AE29" s="1054"/>
      <c r="AF29" s="1054"/>
      <c r="AG29" s="1083"/>
      <c r="AH29" s="1064"/>
      <c r="AI29" s="1065"/>
      <c r="AJ29" s="1065"/>
      <c r="AK29" s="1066"/>
      <c r="AL29" s="1066"/>
      <c r="AM29" s="1066"/>
      <c r="AN29" s="1049"/>
      <c r="AO29" s="1050"/>
      <c r="AP29" s="1050"/>
      <c r="AQ29" s="1050"/>
      <c r="AR29" s="235"/>
      <c r="AS29" s="235"/>
      <c r="AT29" s="1104"/>
      <c r="AU29" s="1104"/>
      <c r="AV29" s="1105"/>
      <c r="AW29" s="1025"/>
      <c r="AX29" s="1025"/>
      <c r="AY29" s="1114"/>
      <c r="AZ29" s="1116"/>
      <c r="BA29" s="1109"/>
      <c r="BB29" s="1111"/>
      <c r="BC29" s="931"/>
      <c r="BD29" s="931"/>
      <c r="BE29" s="931"/>
      <c r="BF29" s="931"/>
      <c r="BG29" s="931"/>
      <c r="BH29" s="1107"/>
      <c r="BI29" s="1105"/>
      <c r="BJ29" s="1105"/>
      <c r="BK29" s="931"/>
      <c r="BL29" s="1119"/>
    </row>
    <row r="30" spans="1:64" ht="15.95" customHeight="1">
      <c r="B30" s="905">
        <v>7</v>
      </c>
      <c r="C30" s="1037"/>
      <c r="D30" s="1037"/>
      <c r="E30" s="1037"/>
      <c r="F30" s="1039"/>
      <c r="G30" s="1040"/>
      <c r="H30" s="1037"/>
      <c r="I30" s="1037"/>
      <c r="J30" s="1037"/>
      <c r="K30" s="1037"/>
      <c r="L30" s="1037"/>
      <c r="M30" s="1041"/>
      <c r="N30" s="1041"/>
      <c r="O30" s="1055" t="str">
        <f>IFERROR(IF(G30="","",INDEX(CMLIGHTBASE[Base Watt 1],MATCH(G30,CMLIGHTBASE[Base Desc 1],0))),"")</f>
        <v/>
      </c>
      <c r="P30" s="1055"/>
      <c r="Q30" s="1058"/>
      <c r="R30" s="1059"/>
      <c r="S30" s="1061"/>
      <c r="T30" s="1037"/>
      <c r="U30" s="1037"/>
      <c r="V30" s="1037"/>
      <c r="W30" s="1037"/>
      <c r="X30" s="1037"/>
      <c r="Y30" s="1037"/>
      <c r="Z30" s="1041"/>
      <c r="AA30" s="1041"/>
      <c r="AB30" s="1044"/>
      <c r="AC30" s="1045"/>
      <c r="AD30" s="1053"/>
      <c r="AE30" s="1054"/>
      <c r="AF30" s="1054"/>
      <c r="AG30" s="1083"/>
      <c r="AH30" s="1064" t="str">
        <f t="shared" ref="AH30" si="20">IF(OR(C30="",E30="",G30="",K30="",M30="",O30="",Q30="",S30="",W30="",Z30="",AB30="",AD30="",AF30=""),"",ROUND(AD30+AF30,2))</f>
        <v/>
      </c>
      <c r="AI30" s="1065"/>
      <c r="AJ30" s="1065"/>
      <c r="AK30" s="1066" t="str">
        <f t="shared" ref="AK30" si="21">IF(OR(C30="",E30="",G30="",K30="",M30="",O30="",Q30="",S30="",W30="",Z30="",AB30="",AD30="",AF30=""),"",IF(AW30-AX30&lt;=0,0,AW30-AX30))</f>
        <v/>
      </c>
      <c r="AL30" s="1066"/>
      <c r="AM30" s="1066"/>
      <c r="AN30" s="1047" t="str">
        <f>IF(OR(C30="",E30="",G30="",K30="",M30="",O30="",Q30="",S30="",W30="",Z30="",AB30="",AD30="",AF30=""),"",
IF(BJ30&lt;&gt;"",BJ30,IF(BL30&gt;0,BL30,
IF(ACTIVEBLOCK="Yes",ROUND(MIN(AH30*0.75,AK30*BLOCKBIDRATE),2),
IF(BG30&lt;&gt;"",ROUND(MIN(AH30*0.75,BG30),2),
IF(BD30&lt;KWHRATEMIN,ROUND(MIN(AH30*0.75,BE30),2),
IF(BD30&gt;KWHRATEMAX,ROUND(MIN(AH30*0.75,BF30),2),
ROUND(MIN(AH30*0.75,BC30),2))))))))</f>
        <v/>
      </c>
      <c r="AO30" s="1048"/>
      <c r="AP30" s="1048"/>
      <c r="AQ30" s="1048"/>
      <c r="AR30" s="235"/>
      <c r="AS30" s="235"/>
      <c r="AT30" s="1104" t="str">
        <f>IFERROR(IF(OR(C30="",E30="",G30="",K30="",M30="",O30="",Q30="",S30="",W30="",Z30="",AB30="",AD30="",AF30=""),"",
ROUND(((1+ELOSS)*((AK30*INDEX(ELECCB[NPV AEC $/kWh],MATCH(AY30,ELECCB[Year Number],1)))+(BA30*INDEX(ELECCB[NPV ACC $/kW],MATCH(AY30,ELECCB[Year Number],1))))/AH30),2)),0)</f>
        <v/>
      </c>
      <c r="AU30" s="1104" t="str">
        <f>IFERROR(AH30/M02S04F06/AK30,"")</f>
        <v/>
      </c>
      <c r="AV30" s="1105" t="str">
        <f>IF(OR(G30="",S30=""),"",IF(INDEX(CMLIGHTEFF[Unit],MATCH(S30,CMLIGHTEFF[Eff Desc 1],0))="","",INDEX(CMLIGHTEFF[Unit],MATCH(S30,CMLIGHTEFF[Eff Desc 1],0))))</f>
        <v/>
      </c>
      <c r="AW30" s="1103" t="str">
        <f>IF(OR(C30="",E30="",G30="",K30="",M30="",O30="",Q30="",S30="",W30="",Z30="",AB30="",AD30="",AF30=""),"",
IF(OR(ISNUMBER(SEARCH("Exterior",E30)),ISNUMBER(SEARCH("Garage",E30))),ROUND(M30*O30*Q30/1000,0),
ROUND(M30*O30*Q30/1000*INDEX(BUILDINGTYPE[Waste Heat Factor (e)],MATCH(M02S04F19,BUILDINGTYPE[Building Type],0)),4)))</f>
        <v/>
      </c>
      <c r="AX30" s="1103" t="str">
        <f>IF(OR(C30="",E30="",G30="",K30="",M30="",O30="",Q30="",S30="",W30="",Z30="",AB30="",AD30="",AF30=""),"",
IF(OR(ISNUMBER(SEARCH("Exterior",E30)),ISNUMBER(SEARCH("Garage",E30))),ROUND(Z30*AB30*Q30/1000,4),
ROUND(Z30*AB30*Q30/1000*INDEX(BUILDINGTYPE[Waste Heat Factor (e)],MATCH(M02S04F19,BUILDINGTYPE[Building Type],0)),4)))</f>
        <v/>
      </c>
      <c r="AY30" s="1114" t="str">
        <f>IF(OR(G30="",S30=""),"",IF(INDEX(CMLIGHTEFF[EUL],MATCH(S30,CMLIGHTEFF[Eff Desc 1],0))="","",INDEX(CMLIGHTEFF[EUL],MATCH(S30,CMLIGHTEFF[Eff Desc 1],0))))</f>
        <v/>
      </c>
      <c r="AZ30" s="1115" t="str">
        <f t="shared" ref="AZ30" si="22">IF(OR(E30="",G30="",S30=""),"",IF(ISNUMBER(SEARCH("24/7",E30)),"Ext Lighting w/ Peak ",IF(E30="Interior","Interior Lighting",IF(OR(E30="Garage",E30="Exterior"),"Ext Lighting w/o Peak","Err"))))</f>
        <v/>
      </c>
      <c r="BA30" s="1109" t="str">
        <f>IFERROR(IF(OR(C30="",E30="",G30="",K30="",M30="",O30="",Q30="",S30="",W30="",Z30="",AB30="",AD30="",AF30=""),"",ROUND(AK30*INDEX(ENDUSEALL[Factor],MATCH(AZ30,ENDUSEALL[End Use to Coincident Peak Demand Factors],0)),4)),"")</f>
        <v/>
      </c>
      <c r="BB30" s="1111" t="str">
        <f>IFERROR(IF(OR(C30="",E30="",G30="",K30="",M30="",O30="",Q30="",S30="",W30="",Z30="",AB30="",AD30="",AF30=""),"",IF(OR(E30="Garage",E30="Exterior"),0,
ROUND((((M30*O30)-(Z30*AB30))/1000)*INDEX(BUILDINGTYPE[Waste Heat Factor (e)],MATCH(M02S04F19,BUILDINGTYPE[Building Type],0))*INDEX(BUILDINGTYPE[Lighting Coincidence Factor],MATCH(M02S04F19,BUILDINGTYPE[Building Type],0)),4))),"")</f>
        <v/>
      </c>
      <c r="BC30" s="930" t="str">
        <f t="shared" ref="BC30" si="23">IFERROR(ROUND(AK30*BD30,2),"")</f>
        <v/>
      </c>
      <c r="BD30" s="930" t="str">
        <f>IFERROR(INDEX(ENDUSEALL[Rate ($/kWh)],MATCH(AZ30,ENDUSEALL[End Use to Coincident Peak Demand Factors],0)),"")</f>
        <v/>
      </c>
      <c r="BE30" s="931" t="str">
        <f>IFERROR(ROUND(AK30*KWHRATEMIN,2),"")</f>
        <v/>
      </c>
      <c r="BF30" s="931" t="str">
        <f>IFERROR(ROUND(AK30*KWHRATEMAX,2),"")</f>
        <v/>
      </c>
      <c r="BG30" s="930" t="str">
        <f>IFERROR(IF(INDEX(ENDUSEALL[Bonus Rate ($/kWh)],MATCH(AZ30,ENDUSEALL[End Use to Coincident Peak Demand Factors],0))="","",INDEX(ENDUSEALL[Bonus Rate ($/kWh)],MATCH(AZ30,ENDUSEALL[End Use to Coincident Peak Demand Factors],0))*AK30),"")</f>
        <v/>
      </c>
      <c r="BH30" s="1107" t="str">
        <f>IF(OR(C30="",E30="",G30="",K30="",M30="",O30="",Q30="",S30="",W30="",Z30="",AB30="",AD30="",AF30=""),"",IF(BJ30&lt;&gt;"",SPILLOVERNUMBER,
221&amp;INDEX(LOCATIONTYPE[Measure Number],MATCH(E30,LOCATIONTYPE[Location Type],0))&amp;INDEX(ENDUSEALL[Measure Number Indicator],MATCH(AZ30,ENDUSEALL[End Use to Coincident Peak Demand Factors],0))&amp;INDEX(CMLIGHTEFF[Measure Number],MATCH(S30,CMLIGHTEFF[Eff Desc 1],0))))</f>
        <v/>
      </c>
      <c r="BI30" s="1108" t="str">
        <f>IFERROR(IF(ROUND(AN30/AH30,2)=TOTCOSTCAP,"Cost Cap at 75%",
IF(BD30&lt;KWHRATEMIN, "kWh Incentive Rate Min",
IF(BD30&gt;KWHRATEMAX,"kWh Incentive Rate Cap",
IF(AN30=BG30,"Bonus Incentive",
"kWh Incentive")))),"")</f>
        <v/>
      </c>
      <c r="BJ30" s="1108" t="str">
        <f ca="1">IFERROR(IF(EXPIRATION&lt;&gt;"",PROJSTATEXP,
IF(BL30&gt;0,"",
IF(AW30-AX30&lt;=0,MEASURESAVE,
IF(OR(M02S04F06="",M02S04F06="Select Rate Code",M02S04F06=0),MEASURERATE,
IF(M02S04F19="",MEASUREBLDG,
IF(PAYCUSE&lt;PAYBACKREQ,PROJECTSTATPAYBACK,
IF(CBCUSE&lt;CBREQ,PROJECTSTATCB,""))))))),MEASURESUBMIT)</f>
        <v>Submit for Review</v>
      </c>
      <c r="BK30" s="930" t="str">
        <f>IFERROR(IF(OR(C30="",E30="",G30="",K30="",M30="",O30="",Q30="",S30="",W30="",Z30="",AB30="",AD30="",AF30=""),"",
ROUND(((1+ELOSS)*((AK30*INDEX(ELECCB[NPV AEC $/kWh],MATCH(AY30,ELECCB[Year Number],1)))+(BA30*INDEX(ELECCB[NPV ACC $/kW],MATCH(AY30,ELECCB[Year Number],1))))),2)),0)</f>
        <v/>
      </c>
      <c r="BL30" s="1118"/>
    </row>
    <row r="31" spans="1:64" ht="15.95" customHeight="1">
      <c r="B31" s="905"/>
      <c r="C31" s="1037"/>
      <c r="D31" s="1037"/>
      <c r="E31" s="1037"/>
      <c r="F31" s="1039"/>
      <c r="G31" s="1040"/>
      <c r="H31" s="1037"/>
      <c r="I31" s="1037"/>
      <c r="J31" s="1037"/>
      <c r="K31" s="1037"/>
      <c r="L31" s="1037"/>
      <c r="M31" s="1041"/>
      <c r="N31" s="1041"/>
      <c r="O31" s="1055"/>
      <c r="P31" s="1055"/>
      <c r="Q31" s="1058"/>
      <c r="R31" s="1059"/>
      <c r="S31" s="1061"/>
      <c r="T31" s="1037"/>
      <c r="U31" s="1037"/>
      <c r="V31" s="1037"/>
      <c r="W31" s="1037"/>
      <c r="X31" s="1037"/>
      <c r="Y31" s="1037"/>
      <c r="Z31" s="1041"/>
      <c r="AA31" s="1041"/>
      <c r="AB31" s="1044"/>
      <c r="AC31" s="1045"/>
      <c r="AD31" s="1053"/>
      <c r="AE31" s="1054"/>
      <c r="AF31" s="1054"/>
      <c r="AG31" s="1083"/>
      <c r="AH31" s="1064"/>
      <c r="AI31" s="1065"/>
      <c r="AJ31" s="1065"/>
      <c r="AK31" s="1066"/>
      <c r="AL31" s="1066"/>
      <c r="AM31" s="1066"/>
      <c r="AN31" s="1049"/>
      <c r="AO31" s="1050"/>
      <c r="AP31" s="1050"/>
      <c r="AQ31" s="1050"/>
      <c r="AR31" s="235"/>
      <c r="AS31" s="235"/>
      <c r="AT31" s="1104"/>
      <c r="AU31" s="1104"/>
      <c r="AV31" s="1105"/>
      <c r="AW31" s="1025"/>
      <c r="AX31" s="1025"/>
      <c r="AY31" s="1114"/>
      <c r="AZ31" s="1116"/>
      <c r="BA31" s="1109"/>
      <c r="BB31" s="1111"/>
      <c r="BC31" s="931"/>
      <c r="BD31" s="931"/>
      <c r="BE31" s="931"/>
      <c r="BF31" s="931"/>
      <c r="BG31" s="931"/>
      <c r="BH31" s="1107"/>
      <c r="BI31" s="1105"/>
      <c r="BJ31" s="1105"/>
      <c r="BK31" s="931"/>
      <c r="BL31" s="1119"/>
    </row>
    <row r="32" spans="1:64" ht="15.95" customHeight="1">
      <c r="B32" s="905">
        <v>8</v>
      </c>
      <c r="C32" s="1037"/>
      <c r="D32" s="1037"/>
      <c r="E32" s="1037"/>
      <c r="F32" s="1039"/>
      <c r="G32" s="1040"/>
      <c r="H32" s="1037"/>
      <c r="I32" s="1037"/>
      <c r="J32" s="1037"/>
      <c r="K32" s="1037"/>
      <c r="L32" s="1037"/>
      <c r="M32" s="1041"/>
      <c r="N32" s="1041"/>
      <c r="O32" s="1055" t="str">
        <f>IFERROR(IF(G32="","",INDEX(CMLIGHTBASE[Base Watt 1],MATCH(G32,CMLIGHTBASE[Base Desc 1],0))),"")</f>
        <v/>
      </c>
      <c r="P32" s="1055"/>
      <c r="Q32" s="1058"/>
      <c r="R32" s="1059"/>
      <c r="S32" s="1061"/>
      <c r="T32" s="1037"/>
      <c r="U32" s="1037"/>
      <c r="V32" s="1037"/>
      <c r="W32" s="1037"/>
      <c r="X32" s="1037"/>
      <c r="Y32" s="1037"/>
      <c r="Z32" s="1041"/>
      <c r="AA32" s="1041"/>
      <c r="AB32" s="1044"/>
      <c r="AC32" s="1045"/>
      <c r="AD32" s="1053"/>
      <c r="AE32" s="1054"/>
      <c r="AF32" s="1054"/>
      <c r="AG32" s="1083"/>
      <c r="AH32" s="1064" t="str">
        <f t="shared" ref="AH32" si="24">IF(OR(C32="",E32="",G32="",K32="",M32="",O32="",Q32="",S32="",W32="",Z32="",AB32="",AD32="",AF32=""),"",ROUND(AD32+AF32,2))</f>
        <v/>
      </c>
      <c r="AI32" s="1065"/>
      <c r="AJ32" s="1065"/>
      <c r="AK32" s="1066" t="str">
        <f t="shared" ref="AK32" si="25">IF(OR(C32="",E32="",G32="",K32="",M32="",O32="",Q32="",S32="",W32="",Z32="",AB32="",AD32="",AF32=""),"",IF(AW32-AX32&lt;=0,0,AW32-AX32))</f>
        <v/>
      </c>
      <c r="AL32" s="1066"/>
      <c r="AM32" s="1066"/>
      <c r="AN32" s="1047" t="str">
        <f>IF(OR(C32="",E32="",G32="",K32="",M32="",O32="",Q32="",S32="",W32="",Z32="",AB32="",AD32="",AF32=""),"",
IF(BJ32&lt;&gt;"",BJ32,IF(BL32&gt;0,BL32,
IF(ACTIVEBLOCK="Yes",ROUND(MIN(AH32*0.75,AK32*BLOCKBIDRATE),2),
IF(BG32&lt;&gt;"",ROUND(MIN(AH32*0.75,BG32),2),
IF(BD32&lt;KWHRATEMIN,ROUND(MIN(AH32*0.75,BE32),2),
IF(BD32&gt;KWHRATEMAX,ROUND(MIN(AH32*0.75,BF32),2),
ROUND(MIN(AH32*0.75,BC32),2))))))))</f>
        <v/>
      </c>
      <c r="AO32" s="1048"/>
      <c r="AP32" s="1048"/>
      <c r="AQ32" s="1048"/>
      <c r="AR32" s="235"/>
      <c r="AS32" s="235"/>
      <c r="AT32" s="1104" t="str">
        <f>IFERROR(IF(OR(C32="",E32="",G32="",K32="",M32="",O32="",Q32="",S32="",W32="",Z32="",AB32="",AD32="",AF32=""),"",
ROUND(((1+ELOSS)*((AK32*INDEX(ELECCB[NPV AEC $/kWh],MATCH(AY32,ELECCB[Year Number],1)))+(BA32*INDEX(ELECCB[NPV ACC $/kW],MATCH(AY32,ELECCB[Year Number],1))))/AH32),2)),0)</f>
        <v/>
      </c>
      <c r="AU32" s="1104" t="str">
        <f>IFERROR(AH32/M02S04F06/AK32,"")</f>
        <v/>
      </c>
      <c r="AV32" s="1105" t="str">
        <f>IF(OR(G32="",S32=""),"",IF(INDEX(CMLIGHTEFF[Unit],MATCH(S32,CMLIGHTEFF[Eff Desc 1],0))="","",INDEX(CMLIGHTEFF[Unit],MATCH(S32,CMLIGHTEFF[Eff Desc 1],0))))</f>
        <v/>
      </c>
      <c r="AW32" s="1103" t="str">
        <f>IF(OR(C32="",E32="",G32="",K32="",M32="",O32="",Q32="",S32="",W32="",Z32="",AB32="",AD32="",AF32=""),"",
IF(OR(ISNUMBER(SEARCH("Exterior",E32)),ISNUMBER(SEARCH("Garage",E32))),ROUND(M32*O32*Q32/1000,0),
ROUND(M32*O32*Q32/1000*INDEX(BUILDINGTYPE[Waste Heat Factor (e)],MATCH(M02S04F19,BUILDINGTYPE[Building Type],0)),4)))</f>
        <v/>
      </c>
      <c r="AX32" s="1103" t="str">
        <f>IF(OR(C32="",E32="",G32="",K32="",M32="",O32="",Q32="",S32="",W32="",Z32="",AB32="",AD32="",AF32=""),"",
IF(OR(ISNUMBER(SEARCH("Exterior",E32)),ISNUMBER(SEARCH("Garage",E32))),ROUND(Z32*AB32*Q32/1000,4),
ROUND(Z32*AB32*Q32/1000*INDEX(BUILDINGTYPE[Waste Heat Factor (e)],MATCH(M02S04F19,BUILDINGTYPE[Building Type],0)),4)))</f>
        <v/>
      </c>
      <c r="AY32" s="1114" t="str">
        <f>IF(OR(G32="",S32=""),"",IF(INDEX(CMLIGHTEFF[EUL],MATCH(S32,CMLIGHTEFF[Eff Desc 1],0))="","",INDEX(CMLIGHTEFF[EUL],MATCH(S32,CMLIGHTEFF[Eff Desc 1],0))))</f>
        <v/>
      </c>
      <c r="AZ32" s="1115" t="str">
        <f t="shared" ref="AZ32" si="26">IF(OR(E32="",G32="",S32=""),"",IF(ISNUMBER(SEARCH("24/7",E32)),"Ext Lighting w/ Peak ",IF(E32="Interior","Interior Lighting",IF(OR(E32="Garage",E32="Exterior"),"Ext Lighting w/o Peak","Err"))))</f>
        <v/>
      </c>
      <c r="BA32" s="1109" t="str">
        <f>IFERROR(IF(OR(C32="",E32="",G32="",K32="",M32="",O32="",Q32="",S32="",W32="",Z32="",AB32="",AD32="",AF32=""),"",ROUND(AK32*INDEX(ENDUSEALL[Factor],MATCH(AZ32,ENDUSEALL[End Use to Coincident Peak Demand Factors],0)),4)),"")</f>
        <v/>
      </c>
      <c r="BB32" s="1111" t="str">
        <f>IFERROR(IF(OR(C32="",E32="",G32="",K32="",M32="",O32="",Q32="",S32="",W32="",Z32="",AB32="",AD32="",AF32=""),"",IF(OR(E32="Garage",E32="Exterior"),0,
ROUND((((M32*O32)-(Z32*AB32))/1000)*INDEX(BUILDINGTYPE[Waste Heat Factor (e)],MATCH(M02S04F19,BUILDINGTYPE[Building Type],0))*INDEX(BUILDINGTYPE[Lighting Coincidence Factor],MATCH(M02S04F19,BUILDINGTYPE[Building Type],0)),4))),"")</f>
        <v/>
      </c>
      <c r="BC32" s="930" t="str">
        <f t="shared" ref="BC32" si="27">IFERROR(ROUND(AK32*BD32,2),"")</f>
        <v/>
      </c>
      <c r="BD32" s="930" t="str">
        <f>IFERROR(INDEX(ENDUSEALL[Rate ($/kWh)],MATCH(AZ32,ENDUSEALL[End Use to Coincident Peak Demand Factors],0)),"")</f>
        <v/>
      </c>
      <c r="BE32" s="931" t="str">
        <f>IFERROR(ROUND(AK32*KWHRATEMIN,2),"")</f>
        <v/>
      </c>
      <c r="BF32" s="931" t="str">
        <f>IFERROR(ROUND(AK32*KWHRATEMAX,2),"")</f>
        <v/>
      </c>
      <c r="BG32" s="930" t="str">
        <f>IFERROR(IF(INDEX(ENDUSEALL[Bonus Rate ($/kWh)],MATCH(AZ32,ENDUSEALL[End Use to Coincident Peak Demand Factors],0))="","",INDEX(ENDUSEALL[Bonus Rate ($/kWh)],MATCH(AZ32,ENDUSEALL[End Use to Coincident Peak Demand Factors],0))*AK32),"")</f>
        <v/>
      </c>
      <c r="BH32" s="1107" t="str">
        <f>IF(OR(C32="",E32="",G32="",K32="",M32="",O32="",Q32="",S32="",W32="",Z32="",AB32="",AD32="",AF32=""),"",IF(BJ32&lt;&gt;"",SPILLOVERNUMBER,
221&amp;INDEX(LOCATIONTYPE[Measure Number],MATCH(E32,LOCATIONTYPE[Location Type],0))&amp;INDEX(ENDUSEALL[Measure Number Indicator],MATCH(AZ32,ENDUSEALL[End Use to Coincident Peak Demand Factors],0))&amp;INDEX(CMLIGHTEFF[Measure Number],MATCH(S32,CMLIGHTEFF[Eff Desc 1],0))))</f>
        <v/>
      </c>
      <c r="BI32" s="1108" t="str">
        <f>IFERROR(IF(ROUND(AN32/AH32,2)=TOTCOSTCAP,"Cost Cap at 75%",
IF(BD32&lt;KWHRATEMIN, "kWh Incentive Rate Min",
IF(BD32&gt;KWHRATEMAX,"kWh Incentive Rate Cap",
IF(AN32=BG32,"Bonus Incentive",
"kWh Incentive")))),"")</f>
        <v/>
      </c>
      <c r="BJ32" s="1108" t="str">
        <f ca="1">IFERROR(IF(EXPIRATION&lt;&gt;"",PROJSTATEXP,
IF(BL32&gt;0,"",
IF(AW32-AX32&lt;=0,MEASURESAVE,
IF(OR(M02S04F06="",M02S04F06="Select Rate Code",M02S04F06=0),MEASURERATE,
IF(M02S04F19="",MEASUREBLDG,
IF(PAYCUSE&lt;PAYBACKREQ,PROJECTSTATPAYBACK,
IF(CBCUSE&lt;CBREQ,PROJECTSTATCB,""))))))),MEASURESUBMIT)</f>
        <v>Submit for Review</v>
      </c>
      <c r="BK32" s="930" t="str">
        <f>IFERROR(IF(OR(C32="",E32="",G32="",K32="",M32="",O32="",Q32="",S32="",W32="",Z32="",AB32="",AD32="",AF32=""),"",
ROUND(((1+ELOSS)*((AK32*INDEX(ELECCB[NPV AEC $/kWh],MATCH(AY32,ELECCB[Year Number],1)))+(BA32*INDEX(ELECCB[NPV ACC $/kW],MATCH(AY32,ELECCB[Year Number],1))))),2)),0)</f>
        <v/>
      </c>
      <c r="BL32" s="1118"/>
    </row>
    <row r="33" spans="2:64" ht="15.95" customHeight="1">
      <c r="B33" s="905"/>
      <c r="C33" s="1037"/>
      <c r="D33" s="1037"/>
      <c r="E33" s="1037"/>
      <c r="F33" s="1039"/>
      <c r="G33" s="1040"/>
      <c r="H33" s="1037"/>
      <c r="I33" s="1037"/>
      <c r="J33" s="1037"/>
      <c r="K33" s="1037"/>
      <c r="L33" s="1037"/>
      <c r="M33" s="1041"/>
      <c r="N33" s="1041"/>
      <c r="O33" s="1055"/>
      <c r="P33" s="1055"/>
      <c r="Q33" s="1058"/>
      <c r="R33" s="1059"/>
      <c r="S33" s="1061"/>
      <c r="T33" s="1037"/>
      <c r="U33" s="1037"/>
      <c r="V33" s="1037"/>
      <c r="W33" s="1037"/>
      <c r="X33" s="1037"/>
      <c r="Y33" s="1037"/>
      <c r="Z33" s="1041"/>
      <c r="AA33" s="1041"/>
      <c r="AB33" s="1044"/>
      <c r="AC33" s="1045"/>
      <c r="AD33" s="1053"/>
      <c r="AE33" s="1054"/>
      <c r="AF33" s="1054"/>
      <c r="AG33" s="1083"/>
      <c r="AH33" s="1064"/>
      <c r="AI33" s="1065"/>
      <c r="AJ33" s="1065"/>
      <c r="AK33" s="1066"/>
      <c r="AL33" s="1066"/>
      <c r="AM33" s="1066"/>
      <c r="AN33" s="1049"/>
      <c r="AO33" s="1050"/>
      <c r="AP33" s="1050"/>
      <c r="AQ33" s="1050"/>
      <c r="AR33" s="235"/>
      <c r="AS33" s="235"/>
      <c r="AT33" s="1104"/>
      <c r="AU33" s="1104"/>
      <c r="AV33" s="1105"/>
      <c r="AW33" s="1025"/>
      <c r="AX33" s="1025"/>
      <c r="AY33" s="1114"/>
      <c r="AZ33" s="1116"/>
      <c r="BA33" s="1109"/>
      <c r="BB33" s="1111"/>
      <c r="BC33" s="931"/>
      <c r="BD33" s="931"/>
      <c r="BE33" s="931"/>
      <c r="BF33" s="931"/>
      <c r="BG33" s="931"/>
      <c r="BH33" s="1107"/>
      <c r="BI33" s="1105"/>
      <c r="BJ33" s="1105"/>
      <c r="BK33" s="931"/>
      <c r="BL33" s="1119"/>
    </row>
    <row r="34" spans="2:64" ht="15.95" customHeight="1">
      <c r="B34" s="905">
        <v>9</v>
      </c>
      <c r="C34" s="1037"/>
      <c r="D34" s="1037"/>
      <c r="E34" s="1037"/>
      <c r="F34" s="1039"/>
      <c r="G34" s="1040"/>
      <c r="H34" s="1037"/>
      <c r="I34" s="1037"/>
      <c r="J34" s="1037"/>
      <c r="K34" s="1037"/>
      <c r="L34" s="1037"/>
      <c r="M34" s="1041"/>
      <c r="N34" s="1041"/>
      <c r="O34" s="1055" t="str">
        <f>IFERROR(IF(G34="","",INDEX(CMLIGHTBASE[Base Watt 1],MATCH(G34,CMLIGHTBASE[Base Desc 1],0))),"")</f>
        <v/>
      </c>
      <c r="P34" s="1055"/>
      <c r="Q34" s="1058"/>
      <c r="R34" s="1059"/>
      <c r="S34" s="1061"/>
      <c r="T34" s="1037"/>
      <c r="U34" s="1037"/>
      <c r="V34" s="1037"/>
      <c r="W34" s="1037"/>
      <c r="X34" s="1037"/>
      <c r="Y34" s="1037"/>
      <c r="Z34" s="1041"/>
      <c r="AA34" s="1041"/>
      <c r="AB34" s="1044"/>
      <c r="AC34" s="1045"/>
      <c r="AD34" s="1053"/>
      <c r="AE34" s="1054"/>
      <c r="AF34" s="1054"/>
      <c r="AG34" s="1083"/>
      <c r="AH34" s="1064" t="str">
        <f t="shared" ref="AH34" si="28">IF(OR(C34="",E34="",G34="",K34="",M34="",O34="",Q34="",S34="",W34="",Z34="",AB34="",AD34="",AF34=""),"",ROUND(AD34+AF34,2))</f>
        <v/>
      </c>
      <c r="AI34" s="1065"/>
      <c r="AJ34" s="1065"/>
      <c r="AK34" s="1066" t="str">
        <f t="shared" ref="AK34" si="29">IF(OR(C34="",E34="",G34="",K34="",M34="",O34="",Q34="",S34="",W34="",Z34="",AB34="",AD34="",AF34=""),"",IF(AW34-AX34&lt;=0,0,AW34-AX34))</f>
        <v/>
      </c>
      <c r="AL34" s="1066"/>
      <c r="AM34" s="1066"/>
      <c r="AN34" s="1047" t="str">
        <f>IF(OR(C34="",E34="",G34="",K34="",M34="",O34="",Q34="",S34="",W34="",Z34="",AB34="",AD34="",AF34=""),"",
IF(BJ34&lt;&gt;"",BJ34,IF(BL34&gt;0,BL34,
IF(ACTIVEBLOCK="Yes",ROUND(MIN(AH34*0.75,AK34*BLOCKBIDRATE),2),
IF(BG34&lt;&gt;"",ROUND(MIN(AH34*0.75,BG34),2),
IF(BD34&lt;KWHRATEMIN,ROUND(MIN(AH34*0.75,BE34),2),
IF(BD34&gt;KWHRATEMAX,ROUND(MIN(AH34*0.75,BF34),2),
ROUND(MIN(AH34*0.75,BC34),2))))))))</f>
        <v/>
      </c>
      <c r="AO34" s="1048"/>
      <c r="AP34" s="1048"/>
      <c r="AQ34" s="1048"/>
      <c r="AR34" s="235"/>
      <c r="AS34" s="235"/>
      <c r="AT34" s="1104" t="str">
        <f>IFERROR(IF(OR(C34="",E34="",G34="",K34="",M34="",O34="",Q34="",S34="",W34="",Z34="",AB34="",AD34="",AF34=""),"",
ROUND(((1+ELOSS)*((AK34*INDEX(ELECCB[NPV AEC $/kWh],MATCH(AY34,ELECCB[Year Number],1)))+(BA34*INDEX(ELECCB[NPV ACC $/kW],MATCH(AY34,ELECCB[Year Number],1))))/AH34),2)),0)</f>
        <v/>
      </c>
      <c r="AU34" s="1104" t="str">
        <f>IFERROR(AH34/M02S04F06/AK34,"")</f>
        <v/>
      </c>
      <c r="AV34" s="1105" t="str">
        <f>IF(OR(G34="",S34=""),"",IF(INDEX(CMLIGHTEFF[Unit],MATCH(S34,CMLIGHTEFF[Eff Desc 1],0))="","",INDEX(CMLIGHTEFF[Unit],MATCH(S34,CMLIGHTEFF[Eff Desc 1],0))))</f>
        <v/>
      </c>
      <c r="AW34" s="1103" t="str">
        <f>IF(OR(C34="",E34="",G34="",K34="",M34="",O34="",Q34="",S34="",W34="",Z34="",AB34="",AD34="",AF34=""),"",
IF(OR(ISNUMBER(SEARCH("Exterior",E34)),ISNUMBER(SEARCH("Garage",E34))),ROUND(M34*O34*Q34/1000,0),
ROUND(M34*O34*Q34/1000*INDEX(BUILDINGTYPE[Waste Heat Factor (e)],MATCH(M02S04F19,BUILDINGTYPE[Building Type],0)),4)))</f>
        <v/>
      </c>
      <c r="AX34" s="1103" t="str">
        <f>IF(OR(C34="",E34="",G34="",K34="",M34="",O34="",Q34="",S34="",W34="",Z34="",AB34="",AD34="",AF34=""),"",
IF(OR(ISNUMBER(SEARCH("Exterior",E34)),ISNUMBER(SEARCH("Garage",E34))),ROUND(Z34*AB34*Q34/1000,4),
ROUND(Z34*AB34*Q34/1000*INDEX(BUILDINGTYPE[Waste Heat Factor (e)],MATCH(M02S04F19,BUILDINGTYPE[Building Type],0)),4)))</f>
        <v/>
      </c>
      <c r="AY34" s="1114" t="str">
        <f>IF(OR(G34="",S34=""),"",IF(INDEX(CMLIGHTEFF[EUL],MATCH(S34,CMLIGHTEFF[Eff Desc 1],0))="","",INDEX(CMLIGHTEFF[EUL],MATCH(S34,CMLIGHTEFF[Eff Desc 1],0))))</f>
        <v/>
      </c>
      <c r="AZ34" s="1115" t="str">
        <f t="shared" ref="AZ34" si="30">IF(OR(E34="",G34="",S34=""),"",IF(ISNUMBER(SEARCH("24/7",E34)),"Ext Lighting w/ Peak ",IF(E34="Interior","Interior Lighting",IF(OR(E34="Garage",E34="Exterior"),"Ext Lighting w/o Peak","Err"))))</f>
        <v/>
      </c>
      <c r="BA34" s="1109" t="str">
        <f>IFERROR(IF(OR(C34="",E34="",G34="",K34="",M34="",O34="",Q34="",S34="",W34="",Z34="",AB34="",AD34="",AF34=""),"",ROUND(AK34*INDEX(ENDUSEALL[Factor],MATCH(AZ34,ENDUSEALL[End Use to Coincident Peak Demand Factors],0)),4)),"")</f>
        <v/>
      </c>
      <c r="BB34" s="1111" t="str">
        <f>IFERROR(IF(OR(C34="",E34="",G34="",K34="",M34="",O34="",Q34="",S34="",W34="",Z34="",AB34="",AD34="",AF34=""),"",IF(OR(E34="Garage",E34="Exterior"),0,
ROUND((((M34*O34)-(Z34*AB34))/1000)*INDEX(BUILDINGTYPE[Waste Heat Factor (e)],MATCH(M02S04F19,BUILDINGTYPE[Building Type],0))*INDEX(BUILDINGTYPE[Lighting Coincidence Factor],MATCH(M02S04F19,BUILDINGTYPE[Building Type],0)),4))),"")</f>
        <v/>
      </c>
      <c r="BC34" s="930" t="str">
        <f t="shared" ref="BC34" si="31">IFERROR(ROUND(AK34*BD34,2),"")</f>
        <v/>
      </c>
      <c r="BD34" s="930" t="str">
        <f>IFERROR(INDEX(ENDUSEALL[Rate ($/kWh)],MATCH(AZ34,ENDUSEALL[End Use to Coincident Peak Demand Factors],0)),"")</f>
        <v/>
      </c>
      <c r="BE34" s="931" t="str">
        <f>IFERROR(ROUND(AK34*KWHRATEMIN,2),"")</f>
        <v/>
      </c>
      <c r="BF34" s="931" t="str">
        <f>IFERROR(ROUND(AK34*KWHRATEMAX,2),"")</f>
        <v/>
      </c>
      <c r="BG34" s="930" t="str">
        <f>IFERROR(IF(INDEX(ENDUSEALL[Bonus Rate ($/kWh)],MATCH(AZ34,ENDUSEALL[End Use to Coincident Peak Demand Factors],0))="","",INDEX(ENDUSEALL[Bonus Rate ($/kWh)],MATCH(AZ34,ENDUSEALL[End Use to Coincident Peak Demand Factors],0))*AK34),"")</f>
        <v/>
      </c>
      <c r="BH34" s="1107" t="str">
        <f>IF(OR(C34="",E34="",G34="",K34="",M34="",O34="",Q34="",S34="",W34="",Z34="",AB34="",AD34="",AF34=""),"",IF(BJ34&lt;&gt;"",SPILLOVERNUMBER,
221&amp;INDEX(LOCATIONTYPE[Measure Number],MATCH(E34,LOCATIONTYPE[Location Type],0))&amp;INDEX(ENDUSEALL[Measure Number Indicator],MATCH(AZ34,ENDUSEALL[End Use to Coincident Peak Demand Factors],0))&amp;INDEX(CMLIGHTEFF[Measure Number],MATCH(S34,CMLIGHTEFF[Eff Desc 1],0))))</f>
        <v/>
      </c>
      <c r="BI34" s="1108" t="str">
        <f>IFERROR(IF(ROUND(AN34/AH34,2)=TOTCOSTCAP,"Cost Cap at 75%",
IF(BD34&lt;KWHRATEMIN, "kWh Incentive Rate Min",
IF(BD34&gt;KWHRATEMAX,"kWh Incentive Rate Cap",
IF(AN34=BG34,"Bonus Incentive",
"kWh Incentive")))),"")</f>
        <v/>
      </c>
      <c r="BJ34" s="1108" t="str">
        <f ca="1">IFERROR(IF(EXPIRATION&lt;&gt;"",PROJSTATEXP,
IF(BL34&gt;0,"",
IF(AW34-AX34&lt;=0,MEASURESAVE,
IF(OR(M02S04F06="",M02S04F06="Select Rate Code",M02S04F06=0),MEASURERATE,
IF(M02S04F19="",MEASUREBLDG,
IF(PAYCUSE&lt;PAYBACKREQ,PROJECTSTATPAYBACK,
IF(CBCUSE&lt;CBREQ,PROJECTSTATCB,""))))))),MEASURESUBMIT)</f>
        <v>Submit for Review</v>
      </c>
      <c r="BK34" s="930" t="str">
        <f>IFERROR(IF(OR(C34="",E34="",G34="",K34="",M34="",O34="",Q34="",S34="",W34="",Z34="",AB34="",AD34="",AF34=""),"",
ROUND(((1+ELOSS)*((AK34*INDEX(ELECCB[NPV AEC $/kWh],MATCH(AY34,ELECCB[Year Number],1)))+(BA34*INDEX(ELECCB[NPV ACC $/kW],MATCH(AY34,ELECCB[Year Number],1))))),2)),0)</f>
        <v/>
      </c>
      <c r="BL34" s="1118"/>
    </row>
    <row r="35" spans="2:64" ht="15.95" customHeight="1">
      <c r="B35" s="905"/>
      <c r="C35" s="1037"/>
      <c r="D35" s="1037"/>
      <c r="E35" s="1037"/>
      <c r="F35" s="1039"/>
      <c r="G35" s="1040"/>
      <c r="H35" s="1037"/>
      <c r="I35" s="1037"/>
      <c r="J35" s="1037"/>
      <c r="K35" s="1037"/>
      <c r="L35" s="1037"/>
      <c r="M35" s="1041"/>
      <c r="N35" s="1041"/>
      <c r="O35" s="1055"/>
      <c r="P35" s="1055"/>
      <c r="Q35" s="1058"/>
      <c r="R35" s="1059"/>
      <c r="S35" s="1061"/>
      <c r="T35" s="1037"/>
      <c r="U35" s="1037"/>
      <c r="V35" s="1037"/>
      <c r="W35" s="1037"/>
      <c r="X35" s="1037"/>
      <c r="Y35" s="1037"/>
      <c r="Z35" s="1041"/>
      <c r="AA35" s="1041"/>
      <c r="AB35" s="1044"/>
      <c r="AC35" s="1045"/>
      <c r="AD35" s="1053"/>
      <c r="AE35" s="1054"/>
      <c r="AF35" s="1054"/>
      <c r="AG35" s="1083"/>
      <c r="AH35" s="1064"/>
      <c r="AI35" s="1065"/>
      <c r="AJ35" s="1065"/>
      <c r="AK35" s="1066"/>
      <c r="AL35" s="1066"/>
      <c r="AM35" s="1066"/>
      <c r="AN35" s="1049"/>
      <c r="AO35" s="1050"/>
      <c r="AP35" s="1050"/>
      <c r="AQ35" s="1050"/>
      <c r="AR35" s="235"/>
      <c r="AS35" s="235"/>
      <c r="AT35" s="1104"/>
      <c r="AU35" s="1104"/>
      <c r="AV35" s="1105"/>
      <c r="AW35" s="1025"/>
      <c r="AX35" s="1025"/>
      <c r="AY35" s="1114"/>
      <c r="AZ35" s="1116"/>
      <c r="BA35" s="1109"/>
      <c r="BB35" s="1111"/>
      <c r="BC35" s="931"/>
      <c r="BD35" s="931"/>
      <c r="BE35" s="931"/>
      <c r="BF35" s="931"/>
      <c r="BG35" s="931"/>
      <c r="BH35" s="1107"/>
      <c r="BI35" s="1105"/>
      <c r="BJ35" s="1105"/>
      <c r="BK35" s="931"/>
      <c r="BL35" s="1119"/>
    </row>
    <row r="36" spans="2:64" ht="15.95" customHeight="1">
      <c r="B36" s="905">
        <v>10</v>
      </c>
      <c r="C36" s="1037"/>
      <c r="D36" s="1037"/>
      <c r="E36" s="1037"/>
      <c r="F36" s="1039"/>
      <c r="G36" s="1040"/>
      <c r="H36" s="1037"/>
      <c r="I36" s="1037"/>
      <c r="J36" s="1037"/>
      <c r="K36" s="1037"/>
      <c r="L36" s="1037"/>
      <c r="M36" s="1041"/>
      <c r="N36" s="1041"/>
      <c r="O36" s="1055" t="str">
        <f>IFERROR(IF(G36="","",INDEX(CMLIGHTBASE[Base Watt 1],MATCH(G36,CMLIGHTBASE[Base Desc 1],0))),"")</f>
        <v/>
      </c>
      <c r="P36" s="1055"/>
      <c r="Q36" s="1058"/>
      <c r="R36" s="1059"/>
      <c r="S36" s="1061"/>
      <c r="T36" s="1037"/>
      <c r="U36" s="1037"/>
      <c r="V36" s="1037"/>
      <c r="W36" s="1037"/>
      <c r="X36" s="1037"/>
      <c r="Y36" s="1037"/>
      <c r="Z36" s="1041"/>
      <c r="AA36" s="1041"/>
      <c r="AB36" s="1044"/>
      <c r="AC36" s="1045"/>
      <c r="AD36" s="1053"/>
      <c r="AE36" s="1054"/>
      <c r="AF36" s="1054"/>
      <c r="AG36" s="1083"/>
      <c r="AH36" s="1064" t="str">
        <f t="shared" ref="AH36" si="32">IF(OR(C36="",E36="",G36="",K36="",M36="",O36="",Q36="",S36="",W36="",Z36="",AB36="",AD36="",AF36=""),"",ROUND(AD36+AF36,2))</f>
        <v/>
      </c>
      <c r="AI36" s="1065"/>
      <c r="AJ36" s="1065"/>
      <c r="AK36" s="1066" t="str">
        <f t="shared" ref="AK36" si="33">IF(OR(C36="",E36="",G36="",K36="",M36="",O36="",Q36="",S36="",W36="",Z36="",AB36="",AD36="",AF36=""),"",IF(AW36-AX36&lt;=0,0,AW36-AX36))</f>
        <v/>
      </c>
      <c r="AL36" s="1066"/>
      <c r="AM36" s="1066"/>
      <c r="AN36" s="1047" t="str">
        <f>IF(OR(C36="",E36="",G36="",K36="",M36="",O36="",Q36="",S36="",W36="",Z36="",AB36="",AD36="",AF36=""),"",
IF(BJ36&lt;&gt;"",BJ36,IF(BL36&gt;0,BL36,
IF(ACTIVEBLOCK="Yes",ROUND(MIN(AH36*0.75,AK36*BLOCKBIDRATE),2),
IF(BG36&lt;&gt;"",ROUND(MIN(AH36*0.75,BG36),2),
IF(BD36&lt;KWHRATEMIN,ROUND(MIN(AH36*0.75,BE36),2),
IF(BD36&gt;KWHRATEMAX,ROUND(MIN(AH36*0.75,BF36),2),
ROUND(MIN(AH36*0.75,BC36),2))))))))</f>
        <v/>
      </c>
      <c r="AO36" s="1048"/>
      <c r="AP36" s="1048"/>
      <c r="AQ36" s="1048"/>
      <c r="AR36" s="235"/>
      <c r="AS36" s="235"/>
      <c r="AT36" s="1104" t="str">
        <f>IFERROR(IF(OR(C36="",E36="",G36="",K36="",M36="",O36="",Q36="",S36="",W36="",Z36="",AB36="",AD36="",AF36=""),"",
ROUND(((1+ELOSS)*((AK36*INDEX(ELECCB[NPV AEC $/kWh],MATCH(AY36,ELECCB[Year Number],1)))+(BA36*INDEX(ELECCB[NPV ACC $/kW],MATCH(AY36,ELECCB[Year Number],1))))/AH36),2)),0)</f>
        <v/>
      </c>
      <c r="AU36" s="1104" t="str">
        <f>IFERROR(AH36/M02S04F06/AK36,"")</f>
        <v/>
      </c>
      <c r="AV36" s="1105" t="str">
        <f>IF(OR(G36="",S36=""),"",IF(INDEX(CMLIGHTEFF[Unit],MATCH(S36,CMLIGHTEFF[Eff Desc 1],0))="","",INDEX(CMLIGHTEFF[Unit],MATCH(S36,CMLIGHTEFF[Eff Desc 1],0))))</f>
        <v/>
      </c>
      <c r="AW36" s="1103" t="str">
        <f>IF(OR(C36="",E36="",G36="",K36="",M36="",O36="",Q36="",S36="",W36="",Z36="",AB36="",AD36="",AF36=""),"",
IF(OR(ISNUMBER(SEARCH("Exterior",E36)),ISNUMBER(SEARCH("Garage",E36))),ROUND(M36*O36*Q36/1000,0),
ROUND(M36*O36*Q36/1000*INDEX(BUILDINGTYPE[Waste Heat Factor (e)],MATCH(M02S04F19,BUILDINGTYPE[Building Type],0)),4)))</f>
        <v/>
      </c>
      <c r="AX36" s="1103" t="str">
        <f>IF(OR(C36="",E36="",G36="",K36="",M36="",O36="",Q36="",S36="",W36="",Z36="",AB36="",AD36="",AF36=""),"",
IF(OR(ISNUMBER(SEARCH("Exterior",E36)),ISNUMBER(SEARCH("Garage",E36))),ROUND(Z36*AB36*Q36/1000,4),
ROUND(Z36*AB36*Q36/1000*INDEX(BUILDINGTYPE[Waste Heat Factor (e)],MATCH(M02S04F19,BUILDINGTYPE[Building Type],0)),4)))</f>
        <v/>
      </c>
      <c r="AY36" s="1114" t="str">
        <f>IF(OR(G36="",S36=""),"",IF(INDEX(CMLIGHTEFF[EUL],MATCH(S36,CMLIGHTEFF[Eff Desc 1],0))="","",INDEX(CMLIGHTEFF[EUL],MATCH(S36,CMLIGHTEFF[Eff Desc 1],0))))</f>
        <v/>
      </c>
      <c r="AZ36" s="1115" t="str">
        <f t="shared" ref="AZ36" si="34">IF(OR(E36="",G36="",S36=""),"",IF(ISNUMBER(SEARCH("24/7",E36)),"Ext Lighting w/ Peak ",IF(E36="Interior","Interior Lighting",IF(OR(E36="Garage",E36="Exterior"),"Ext Lighting w/o Peak","Err"))))</f>
        <v/>
      </c>
      <c r="BA36" s="1109" t="str">
        <f>IFERROR(IF(OR(C36="",E36="",G36="",K36="",M36="",O36="",Q36="",S36="",W36="",Z36="",AB36="",AD36="",AF36=""),"",ROUND(AK36*INDEX(ENDUSEALL[Factor],MATCH(AZ36,ENDUSEALL[End Use to Coincident Peak Demand Factors],0)),4)),"")</f>
        <v/>
      </c>
      <c r="BB36" s="1111" t="str">
        <f>IFERROR(IF(OR(C36="",E36="",G36="",K36="",M36="",O36="",Q36="",S36="",W36="",Z36="",AB36="",AD36="",AF36=""),"",IF(OR(E36="Garage",E36="Exterior"),0,
ROUND((((M36*O36)-(Z36*AB36))/1000)*INDEX(BUILDINGTYPE[Waste Heat Factor (e)],MATCH(M02S04F19,BUILDINGTYPE[Building Type],0))*INDEX(BUILDINGTYPE[Lighting Coincidence Factor],MATCH(M02S04F19,BUILDINGTYPE[Building Type],0)),4))),"")</f>
        <v/>
      </c>
      <c r="BC36" s="930" t="str">
        <f t="shared" ref="BC36" si="35">IFERROR(ROUND(AK36*BD36,2),"")</f>
        <v/>
      </c>
      <c r="BD36" s="930" t="str">
        <f>IFERROR(INDEX(ENDUSEALL[Rate ($/kWh)],MATCH(AZ36,ENDUSEALL[End Use to Coincident Peak Demand Factors],0)),"")</f>
        <v/>
      </c>
      <c r="BE36" s="931" t="str">
        <f>IFERROR(ROUND(AK36*KWHRATEMIN,2),"")</f>
        <v/>
      </c>
      <c r="BF36" s="931" t="str">
        <f>IFERROR(ROUND(AK36*KWHRATEMAX,2),"")</f>
        <v/>
      </c>
      <c r="BG36" s="930" t="str">
        <f>IFERROR(IF(INDEX(ENDUSEALL[Bonus Rate ($/kWh)],MATCH(AZ36,ENDUSEALL[End Use to Coincident Peak Demand Factors],0))="","",INDEX(ENDUSEALL[Bonus Rate ($/kWh)],MATCH(AZ36,ENDUSEALL[End Use to Coincident Peak Demand Factors],0))*AK36),"")</f>
        <v/>
      </c>
      <c r="BH36" s="1107" t="str">
        <f>IF(OR(C36="",E36="",G36="",K36="",M36="",O36="",Q36="",S36="",W36="",Z36="",AB36="",AD36="",AF36=""),"",IF(BJ36&lt;&gt;"",SPILLOVERNUMBER,
221&amp;INDEX(LOCATIONTYPE[Measure Number],MATCH(E36,LOCATIONTYPE[Location Type],0))&amp;INDEX(ENDUSEALL[Measure Number Indicator],MATCH(AZ36,ENDUSEALL[End Use to Coincident Peak Demand Factors],0))&amp;INDEX(CMLIGHTEFF[Measure Number],MATCH(S36,CMLIGHTEFF[Eff Desc 1],0))))</f>
        <v/>
      </c>
      <c r="BI36" s="1108" t="str">
        <f>IFERROR(IF(ROUND(AN36/AH36,2)=TOTCOSTCAP,"Cost Cap at 75%",
IF(BD36&lt;KWHRATEMIN, "kWh Incentive Rate Min",
IF(BD36&gt;KWHRATEMAX,"kWh Incentive Rate Cap",
IF(AN36=BG36,"Bonus Incentive",
"kWh Incentive")))),"")</f>
        <v/>
      </c>
      <c r="BJ36" s="1108" t="str">
        <f ca="1">IFERROR(IF(EXPIRATION&lt;&gt;"",PROJSTATEXP,
IF(BL36&gt;0,"",
IF(AW36-AX36&lt;=0,MEASURESAVE,
IF(OR(M02S04F06="",M02S04F06="Select Rate Code",M02S04F06=0),MEASURERATE,
IF(M02S04F19="",MEASUREBLDG,
IF(PAYCUSE&lt;PAYBACKREQ,PROJECTSTATPAYBACK,
IF(CBCUSE&lt;CBREQ,PROJECTSTATCB,""))))))),MEASURESUBMIT)</f>
        <v>Submit for Review</v>
      </c>
      <c r="BK36" s="930" t="str">
        <f>IFERROR(IF(OR(C36="",E36="",G36="",K36="",M36="",O36="",Q36="",S36="",W36="",Z36="",AB36="",AD36="",AF36=""),"",
ROUND(((1+ELOSS)*((AK36*INDEX(ELECCB[NPV AEC $/kWh],MATCH(AY36,ELECCB[Year Number],1)))+(BA36*INDEX(ELECCB[NPV ACC $/kW],MATCH(AY36,ELECCB[Year Number],1))))),2)),0)</f>
        <v/>
      </c>
      <c r="BL36" s="1118"/>
    </row>
    <row r="37" spans="2:64" ht="15.95" customHeight="1">
      <c r="B37" s="905"/>
      <c r="C37" s="1037"/>
      <c r="D37" s="1037"/>
      <c r="E37" s="1037"/>
      <c r="F37" s="1039"/>
      <c r="G37" s="1040"/>
      <c r="H37" s="1037"/>
      <c r="I37" s="1037"/>
      <c r="J37" s="1037"/>
      <c r="K37" s="1037"/>
      <c r="L37" s="1037"/>
      <c r="M37" s="1041"/>
      <c r="N37" s="1041"/>
      <c r="O37" s="1055"/>
      <c r="P37" s="1055"/>
      <c r="Q37" s="1058"/>
      <c r="R37" s="1059"/>
      <c r="S37" s="1061"/>
      <c r="T37" s="1037"/>
      <c r="U37" s="1037"/>
      <c r="V37" s="1037"/>
      <c r="W37" s="1037"/>
      <c r="X37" s="1037"/>
      <c r="Y37" s="1037"/>
      <c r="Z37" s="1041"/>
      <c r="AA37" s="1041"/>
      <c r="AB37" s="1044"/>
      <c r="AC37" s="1045"/>
      <c r="AD37" s="1053"/>
      <c r="AE37" s="1054"/>
      <c r="AF37" s="1054"/>
      <c r="AG37" s="1083"/>
      <c r="AH37" s="1064"/>
      <c r="AI37" s="1065"/>
      <c r="AJ37" s="1065"/>
      <c r="AK37" s="1066"/>
      <c r="AL37" s="1066"/>
      <c r="AM37" s="1066"/>
      <c r="AN37" s="1049"/>
      <c r="AO37" s="1050"/>
      <c r="AP37" s="1050"/>
      <c r="AQ37" s="1050"/>
      <c r="AR37" s="235"/>
      <c r="AS37" s="235"/>
      <c r="AT37" s="1104"/>
      <c r="AU37" s="1104"/>
      <c r="AV37" s="1105"/>
      <c r="AW37" s="1025"/>
      <c r="AX37" s="1025"/>
      <c r="AY37" s="1114"/>
      <c r="AZ37" s="1116"/>
      <c r="BA37" s="1109"/>
      <c r="BB37" s="1111"/>
      <c r="BC37" s="931"/>
      <c r="BD37" s="931"/>
      <c r="BE37" s="931"/>
      <c r="BF37" s="931"/>
      <c r="BG37" s="931"/>
      <c r="BH37" s="1107"/>
      <c r="BI37" s="1105"/>
      <c r="BJ37" s="1105"/>
      <c r="BK37" s="931"/>
      <c r="BL37" s="1119"/>
    </row>
    <row r="38" spans="2:64" ht="15.95" customHeight="1">
      <c r="B38" s="905">
        <v>11</v>
      </c>
      <c r="C38" s="1037"/>
      <c r="D38" s="1037"/>
      <c r="E38" s="1037"/>
      <c r="F38" s="1039"/>
      <c r="G38" s="1040"/>
      <c r="H38" s="1037"/>
      <c r="I38" s="1037"/>
      <c r="J38" s="1037"/>
      <c r="K38" s="1037"/>
      <c r="L38" s="1037"/>
      <c r="M38" s="1041"/>
      <c r="N38" s="1041"/>
      <c r="O38" s="1055" t="str">
        <f>IFERROR(IF(G38="","",INDEX(CMLIGHTBASE[Base Watt 1],MATCH(G38,CMLIGHTBASE[Base Desc 1],0))),"")</f>
        <v/>
      </c>
      <c r="P38" s="1055"/>
      <c r="Q38" s="1058"/>
      <c r="R38" s="1059"/>
      <c r="S38" s="1061"/>
      <c r="T38" s="1037"/>
      <c r="U38" s="1037"/>
      <c r="V38" s="1037"/>
      <c r="W38" s="1037"/>
      <c r="X38" s="1037"/>
      <c r="Y38" s="1037"/>
      <c r="Z38" s="1041"/>
      <c r="AA38" s="1041"/>
      <c r="AB38" s="1044"/>
      <c r="AC38" s="1045"/>
      <c r="AD38" s="1053"/>
      <c r="AE38" s="1054"/>
      <c r="AF38" s="1054"/>
      <c r="AG38" s="1083"/>
      <c r="AH38" s="1064" t="str">
        <f t="shared" ref="AH38" si="36">IF(OR(C38="",E38="",G38="",K38="",M38="",O38="",Q38="",S38="",W38="",Z38="",AB38="",AD38="",AF38=""),"",ROUND(AD38+AF38,2))</f>
        <v/>
      </c>
      <c r="AI38" s="1065"/>
      <c r="AJ38" s="1065"/>
      <c r="AK38" s="1066" t="str">
        <f t="shared" ref="AK38" si="37">IF(OR(C38="",E38="",G38="",K38="",M38="",O38="",Q38="",S38="",W38="",Z38="",AB38="",AD38="",AF38=""),"",IF(AW38-AX38&lt;=0,0,AW38-AX38))</f>
        <v/>
      </c>
      <c r="AL38" s="1066"/>
      <c r="AM38" s="1066"/>
      <c r="AN38" s="1047" t="str">
        <f>IF(OR(C38="",E38="",G38="",K38="",M38="",O38="",Q38="",S38="",W38="",Z38="",AB38="",AD38="",AF38=""),"",
IF(BJ38&lt;&gt;"",BJ38,IF(BL38&gt;0,BL38,
IF(ACTIVEBLOCK="Yes",ROUND(MIN(AH38*0.75,AK38*BLOCKBIDRATE),2),
IF(BG38&lt;&gt;"",ROUND(MIN(AH38*0.75,BG38),2),
IF(BD38&lt;KWHRATEMIN,ROUND(MIN(AH38*0.75,BE38),2),
IF(BD38&gt;KWHRATEMAX,ROUND(MIN(AH38*0.75,BF38),2),
ROUND(MIN(AH38*0.75,BC38),2))))))))</f>
        <v/>
      </c>
      <c r="AO38" s="1048"/>
      <c r="AP38" s="1048"/>
      <c r="AQ38" s="1048"/>
      <c r="AR38" s="235"/>
      <c r="AS38" s="235"/>
      <c r="AT38" s="1104" t="str">
        <f>IFERROR(IF(OR(C38="",E38="",G38="",K38="",M38="",O38="",Q38="",S38="",W38="",Z38="",AB38="",AD38="",AF38=""),"",
ROUND(((1+ELOSS)*((AK38*INDEX(ELECCB[NPV AEC $/kWh],MATCH(AY38,ELECCB[Year Number],1)))+(BA38*INDEX(ELECCB[NPV ACC $/kW],MATCH(AY38,ELECCB[Year Number],1))))/AH38),2)),0)</f>
        <v/>
      </c>
      <c r="AU38" s="1104" t="str">
        <f>IFERROR(AH38/M02S04F06/AK38,"")</f>
        <v/>
      </c>
      <c r="AV38" s="1105" t="str">
        <f>IF(OR(G38="",S38=""),"",IF(INDEX(CMLIGHTEFF[Unit],MATCH(S38,CMLIGHTEFF[Eff Desc 1],0))="","",INDEX(CMLIGHTEFF[Unit],MATCH(S38,CMLIGHTEFF[Eff Desc 1],0))))</f>
        <v/>
      </c>
      <c r="AW38" s="1103" t="str">
        <f>IF(OR(C38="",E38="",G38="",K38="",M38="",O38="",Q38="",S38="",W38="",Z38="",AB38="",AD38="",AF38=""),"",
IF(OR(ISNUMBER(SEARCH("Exterior",E38)),ISNUMBER(SEARCH("Garage",E38))),ROUND(M38*O38*Q38/1000,0),
ROUND(M38*O38*Q38/1000*INDEX(BUILDINGTYPE[Waste Heat Factor (e)],MATCH(M02S04F19,BUILDINGTYPE[Building Type],0)),4)))</f>
        <v/>
      </c>
      <c r="AX38" s="1103" t="str">
        <f>IF(OR(C38="",E38="",G38="",K38="",M38="",O38="",Q38="",S38="",W38="",Z38="",AB38="",AD38="",AF38=""),"",
IF(OR(ISNUMBER(SEARCH("Exterior",E38)),ISNUMBER(SEARCH("Garage",E38))),ROUND(Z38*AB38*Q38/1000,4),
ROUND(Z38*AB38*Q38/1000*INDEX(BUILDINGTYPE[Waste Heat Factor (e)],MATCH(M02S04F19,BUILDINGTYPE[Building Type],0)),4)))</f>
        <v/>
      </c>
      <c r="AY38" s="1114" t="str">
        <f>IF(OR(G38="",S38=""),"",IF(INDEX(CMLIGHTEFF[EUL],MATCH(S38,CMLIGHTEFF[Eff Desc 1],0))="","",INDEX(CMLIGHTEFF[EUL],MATCH(S38,CMLIGHTEFF[Eff Desc 1],0))))</f>
        <v/>
      </c>
      <c r="AZ38" s="1115" t="str">
        <f t="shared" ref="AZ38" si="38">IF(OR(E38="",G38="",S38=""),"",IF(ISNUMBER(SEARCH("24/7",E38)),"Ext Lighting w/ Peak ",IF(E38="Interior","Interior Lighting",IF(OR(E38="Garage",E38="Exterior"),"Ext Lighting w/o Peak","Err"))))</f>
        <v/>
      </c>
      <c r="BA38" s="1109" t="str">
        <f>IFERROR(IF(OR(C38="",E38="",G38="",K38="",M38="",O38="",Q38="",S38="",W38="",Z38="",AB38="",AD38="",AF38=""),"",ROUND(AK38*INDEX(ENDUSEALL[Factor],MATCH(AZ38,ENDUSEALL[End Use to Coincident Peak Demand Factors],0)),4)),"")</f>
        <v/>
      </c>
      <c r="BB38" s="1111" t="str">
        <f>IFERROR(IF(OR(C38="",E38="",G38="",K38="",M38="",O38="",Q38="",S38="",W38="",Z38="",AB38="",AD38="",AF38=""),"",IF(OR(E38="Garage",E38="Exterior"),0,
ROUND((((M38*O38)-(Z38*AB38))/1000)*INDEX(BUILDINGTYPE[Waste Heat Factor (e)],MATCH(M02S04F19,BUILDINGTYPE[Building Type],0))*INDEX(BUILDINGTYPE[Lighting Coincidence Factor],MATCH(M02S04F19,BUILDINGTYPE[Building Type],0)),4))),"")</f>
        <v/>
      </c>
      <c r="BC38" s="930" t="str">
        <f t="shared" ref="BC38" si="39">IFERROR(ROUND(AK38*BD38,2),"")</f>
        <v/>
      </c>
      <c r="BD38" s="930" t="str">
        <f>IFERROR(INDEX(ENDUSEALL[Rate ($/kWh)],MATCH(AZ38,ENDUSEALL[End Use to Coincident Peak Demand Factors],0)),"")</f>
        <v/>
      </c>
      <c r="BE38" s="931" t="str">
        <f>IFERROR(ROUND(AK38*KWHRATEMIN,2),"")</f>
        <v/>
      </c>
      <c r="BF38" s="931" t="str">
        <f>IFERROR(ROUND(AK38*KWHRATEMAX,2),"")</f>
        <v/>
      </c>
      <c r="BG38" s="930" t="str">
        <f>IFERROR(IF(INDEX(ENDUSEALL[Bonus Rate ($/kWh)],MATCH(AZ38,ENDUSEALL[End Use to Coincident Peak Demand Factors],0))="","",INDEX(ENDUSEALL[Bonus Rate ($/kWh)],MATCH(AZ38,ENDUSEALL[End Use to Coincident Peak Demand Factors],0))*AK38),"")</f>
        <v/>
      </c>
      <c r="BH38" s="1107" t="str">
        <f>IF(OR(C38="",E38="",G38="",K38="",M38="",O38="",Q38="",S38="",W38="",Z38="",AB38="",AD38="",AF38=""),"",IF(BJ38&lt;&gt;"",SPILLOVERNUMBER,
221&amp;INDEX(LOCATIONTYPE[Measure Number],MATCH(E38,LOCATIONTYPE[Location Type],0))&amp;INDEX(ENDUSEALL[Measure Number Indicator],MATCH(AZ38,ENDUSEALL[End Use to Coincident Peak Demand Factors],0))&amp;INDEX(CMLIGHTEFF[Measure Number],MATCH(S38,CMLIGHTEFF[Eff Desc 1],0))))</f>
        <v/>
      </c>
      <c r="BI38" s="1108" t="str">
        <f>IFERROR(IF(ROUND(AN38/AH38,2)=TOTCOSTCAP,"Cost Cap at 75%",
IF(BD38&lt;KWHRATEMIN, "kWh Incentive Rate Min",
IF(BD38&gt;KWHRATEMAX,"kWh Incentive Rate Cap",
IF(AN38=BG38,"Bonus Incentive",
"kWh Incentive")))),"")</f>
        <v/>
      </c>
      <c r="BJ38" s="1108" t="str">
        <f ca="1">IFERROR(IF(EXPIRATION&lt;&gt;"",PROJSTATEXP,
IF(BL38&gt;0,"",
IF(AW38-AX38&lt;=0,MEASURESAVE,
IF(OR(M02S04F06="",M02S04F06="Select Rate Code",M02S04F06=0),MEASURERATE,
IF(M02S04F19="",MEASUREBLDG,
IF(PAYCUSE&lt;PAYBACKREQ,PROJECTSTATPAYBACK,
IF(CBCUSE&lt;CBREQ,PROJECTSTATCB,""))))))),MEASURESUBMIT)</f>
        <v>Submit for Review</v>
      </c>
      <c r="BK38" s="930" t="str">
        <f>IFERROR(IF(OR(C38="",E38="",G38="",K38="",M38="",O38="",Q38="",S38="",W38="",Z38="",AB38="",AD38="",AF38=""),"",
ROUND(((1+ELOSS)*((AK38*INDEX(ELECCB[NPV AEC $/kWh],MATCH(AY38,ELECCB[Year Number],1)))+(BA38*INDEX(ELECCB[NPV ACC $/kW],MATCH(AY38,ELECCB[Year Number],1))))),2)),0)</f>
        <v/>
      </c>
      <c r="BL38" s="1118"/>
    </row>
    <row r="39" spans="2:64" ht="15.95" customHeight="1">
      <c r="B39" s="905"/>
      <c r="C39" s="1037"/>
      <c r="D39" s="1037"/>
      <c r="E39" s="1037"/>
      <c r="F39" s="1039"/>
      <c r="G39" s="1040"/>
      <c r="H39" s="1037"/>
      <c r="I39" s="1037"/>
      <c r="J39" s="1037"/>
      <c r="K39" s="1037"/>
      <c r="L39" s="1037"/>
      <c r="M39" s="1041"/>
      <c r="N39" s="1041"/>
      <c r="O39" s="1055"/>
      <c r="P39" s="1055"/>
      <c r="Q39" s="1058"/>
      <c r="R39" s="1059"/>
      <c r="S39" s="1061"/>
      <c r="T39" s="1037"/>
      <c r="U39" s="1037"/>
      <c r="V39" s="1037"/>
      <c r="W39" s="1037"/>
      <c r="X39" s="1037"/>
      <c r="Y39" s="1037"/>
      <c r="Z39" s="1041"/>
      <c r="AA39" s="1041"/>
      <c r="AB39" s="1044"/>
      <c r="AC39" s="1045"/>
      <c r="AD39" s="1053"/>
      <c r="AE39" s="1054"/>
      <c r="AF39" s="1054"/>
      <c r="AG39" s="1083"/>
      <c r="AH39" s="1064"/>
      <c r="AI39" s="1065"/>
      <c r="AJ39" s="1065"/>
      <c r="AK39" s="1066"/>
      <c r="AL39" s="1066"/>
      <c r="AM39" s="1066"/>
      <c r="AN39" s="1049"/>
      <c r="AO39" s="1050"/>
      <c r="AP39" s="1050"/>
      <c r="AQ39" s="1050"/>
      <c r="AR39" s="235"/>
      <c r="AS39" s="235"/>
      <c r="AT39" s="1104"/>
      <c r="AU39" s="1104"/>
      <c r="AV39" s="1105"/>
      <c r="AW39" s="1025"/>
      <c r="AX39" s="1025"/>
      <c r="AY39" s="1114"/>
      <c r="AZ39" s="1116"/>
      <c r="BA39" s="1109"/>
      <c r="BB39" s="1111"/>
      <c r="BC39" s="931"/>
      <c r="BD39" s="931"/>
      <c r="BE39" s="931"/>
      <c r="BF39" s="931"/>
      <c r="BG39" s="931"/>
      <c r="BH39" s="1107"/>
      <c r="BI39" s="1105"/>
      <c r="BJ39" s="1105"/>
      <c r="BK39" s="931"/>
      <c r="BL39" s="1119"/>
    </row>
    <row r="40" spans="2:64" ht="15.95" customHeight="1">
      <c r="B40" s="905">
        <v>12</v>
      </c>
      <c r="C40" s="1037"/>
      <c r="D40" s="1037"/>
      <c r="E40" s="1037"/>
      <c r="F40" s="1039"/>
      <c r="G40" s="1040"/>
      <c r="H40" s="1037"/>
      <c r="I40" s="1037"/>
      <c r="J40" s="1037"/>
      <c r="K40" s="1037"/>
      <c r="L40" s="1037"/>
      <c r="M40" s="1041"/>
      <c r="N40" s="1041"/>
      <c r="O40" s="1055" t="str">
        <f>IFERROR(IF(G40="","",INDEX(CMLIGHTBASE[Base Watt 1],MATCH(G40,CMLIGHTBASE[Base Desc 1],0))),"")</f>
        <v/>
      </c>
      <c r="P40" s="1055"/>
      <c r="Q40" s="1058"/>
      <c r="R40" s="1059"/>
      <c r="S40" s="1061"/>
      <c r="T40" s="1037"/>
      <c r="U40" s="1037"/>
      <c r="V40" s="1037"/>
      <c r="W40" s="1037"/>
      <c r="X40" s="1037"/>
      <c r="Y40" s="1037"/>
      <c r="Z40" s="1041"/>
      <c r="AA40" s="1041"/>
      <c r="AB40" s="1044"/>
      <c r="AC40" s="1045"/>
      <c r="AD40" s="1053"/>
      <c r="AE40" s="1054"/>
      <c r="AF40" s="1054"/>
      <c r="AG40" s="1083"/>
      <c r="AH40" s="1064" t="str">
        <f t="shared" ref="AH40" si="40">IF(OR(C40="",E40="",G40="",K40="",M40="",O40="",Q40="",S40="",W40="",Z40="",AB40="",AD40="",AF40=""),"",ROUND(AD40+AF40,2))</f>
        <v/>
      </c>
      <c r="AI40" s="1065"/>
      <c r="AJ40" s="1065"/>
      <c r="AK40" s="1066" t="str">
        <f t="shared" ref="AK40" si="41">IF(OR(C40="",E40="",G40="",K40="",M40="",O40="",Q40="",S40="",W40="",Z40="",AB40="",AD40="",AF40=""),"",IF(AW40-AX40&lt;=0,0,AW40-AX40))</f>
        <v/>
      </c>
      <c r="AL40" s="1066"/>
      <c r="AM40" s="1066"/>
      <c r="AN40" s="1047" t="str">
        <f>IF(OR(C40="",E40="",G40="",K40="",M40="",O40="",Q40="",S40="",W40="",Z40="",AB40="",AD40="",AF40=""),"",
IF(BJ40&lt;&gt;"",BJ40,IF(BL40&gt;0,BL40,
IF(ACTIVEBLOCK="Yes",ROUND(MIN(AH40*0.75,AK40*BLOCKBIDRATE),2),
IF(BG40&lt;&gt;"",ROUND(MIN(AH40*0.75,BG40),2),
IF(BD40&lt;KWHRATEMIN,ROUND(MIN(AH40*0.75,BE40),2),
IF(BD40&gt;KWHRATEMAX,ROUND(MIN(AH40*0.75,BF40),2),
ROUND(MIN(AH40*0.75,BC40),2))))))))</f>
        <v/>
      </c>
      <c r="AO40" s="1048"/>
      <c r="AP40" s="1048"/>
      <c r="AQ40" s="1048"/>
      <c r="AR40" s="235"/>
      <c r="AS40" s="235"/>
      <c r="AT40" s="1104" t="str">
        <f>IFERROR(IF(OR(C40="",E40="",G40="",K40="",M40="",O40="",Q40="",S40="",W40="",Z40="",AB40="",AD40="",AF40=""),"",
ROUND(((1+ELOSS)*((AK40*INDEX(ELECCB[NPV AEC $/kWh],MATCH(AY40,ELECCB[Year Number],1)))+(BA40*INDEX(ELECCB[NPV ACC $/kW],MATCH(AY40,ELECCB[Year Number],1))))/AH40),2)),0)</f>
        <v/>
      </c>
      <c r="AU40" s="1104" t="str">
        <f>IFERROR(AH40/M02S04F06/AK40,"")</f>
        <v/>
      </c>
      <c r="AV40" s="1105" t="str">
        <f>IF(OR(G40="",S40=""),"",IF(INDEX(CMLIGHTEFF[Unit],MATCH(S40,CMLIGHTEFF[Eff Desc 1],0))="","",INDEX(CMLIGHTEFF[Unit],MATCH(S40,CMLIGHTEFF[Eff Desc 1],0))))</f>
        <v/>
      </c>
      <c r="AW40" s="1103" t="str">
        <f>IF(OR(C40="",E40="",G40="",K40="",M40="",O40="",Q40="",S40="",W40="",Z40="",AB40="",AD40="",AF40=""),"",
IF(OR(ISNUMBER(SEARCH("Exterior",E40)),ISNUMBER(SEARCH("Garage",E40))),ROUND(M40*O40*Q40/1000,0),
ROUND(M40*O40*Q40/1000*INDEX(BUILDINGTYPE[Waste Heat Factor (e)],MATCH(M02S04F19,BUILDINGTYPE[Building Type],0)),4)))</f>
        <v/>
      </c>
      <c r="AX40" s="1103" t="str">
        <f>IF(OR(C40="",E40="",G40="",K40="",M40="",O40="",Q40="",S40="",W40="",Z40="",AB40="",AD40="",AF40=""),"",
IF(OR(ISNUMBER(SEARCH("Exterior",E40)),ISNUMBER(SEARCH("Garage",E40))),ROUND(Z40*AB40*Q40/1000,4),
ROUND(Z40*AB40*Q40/1000*INDEX(BUILDINGTYPE[Waste Heat Factor (e)],MATCH(M02S04F19,BUILDINGTYPE[Building Type],0)),4)))</f>
        <v/>
      </c>
      <c r="AY40" s="1114" t="str">
        <f>IF(OR(G40="",S40=""),"",IF(INDEX(CMLIGHTEFF[EUL],MATCH(S40,CMLIGHTEFF[Eff Desc 1],0))="","",INDEX(CMLIGHTEFF[EUL],MATCH(S40,CMLIGHTEFF[Eff Desc 1],0))))</f>
        <v/>
      </c>
      <c r="AZ40" s="1115" t="str">
        <f t="shared" ref="AZ40" si="42">IF(OR(E40="",G40="",S40=""),"",IF(ISNUMBER(SEARCH("24/7",E40)),"Ext Lighting w/ Peak ",IF(E40="Interior","Interior Lighting",IF(OR(E40="Garage",E40="Exterior"),"Ext Lighting w/o Peak","Err"))))</f>
        <v/>
      </c>
      <c r="BA40" s="1109" t="str">
        <f>IFERROR(IF(OR(C40="",E40="",G40="",K40="",M40="",O40="",Q40="",S40="",W40="",Z40="",AB40="",AD40="",AF40=""),"",ROUND(AK40*INDEX(ENDUSEALL[Factor],MATCH(AZ40,ENDUSEALL[End Use to Coincident Peak Demand Factors],0)),4)),"")</f>
        <v/>
      </c>
      <c r="BB40" s="1111" t="str">
        <f>IFERROR(IF(OR(C40="",E40="",G40="",K40="",M40="",O40="",Q40="",S40="",W40="",Z40="",AB40="",AD40="",AF40=""),"",IF(OR(E40="Garage",E40="Exterior"),0,
ROUND((((M40*O40)-(Z40*AB40))/1000)*INDEX(BUILDINGTYPE[Waste Heat Factor (e)],MATCH(M02S04F19,BUILDINGTYPE[Building Type],0))*INDEX(BUILDINGTYPE[Lighting Coincidence Factor],MATCH(M02S04F19,BUILDINGTYPE[Building Type],0)),4))),"")</f>
        <v/>
      </c>
      <c r="BC40" s="930" t="str">
        <f t="shared" ref="BC40" si="43">IFERROR(ROUND(AK40*BD40,2),"")</f>
        <v/>
      </c>
      <c r="BD40" s="930" t="str">
        <f>IFERROR(INDEX(ENDUSEALL[Rate ($/kWh)],MATCH(AZ40,ENDUSEALL[End Use to Coincident Peak Demand Factors],0)),"")</f>
        <v/>
      </c>
      <c r="BE40" s="931" t="str">
        <f>IFERROR(ROUND(AK40*KWHRATEMIN,2),"")</f>
        <v/>
      </c>
      <c r="BF40" s="931" t="str">
        <f>IFERROR(ROUND(AK40*KWHRATEMAX,2),"")</f>
        <v/>
      </c>
      <c r="BG40" s="930" t="str">
        <f>IFERROR(IF(INDEX(ENDUSEALL[Bonus Rate ($/kWh)],MATCH(AZ40,ENDUSEALL[End Use to Coincident Peak Demand Factors],0))="","",INDEX(ENDUSEALL[Bonus Rate ($/kWh)],MATCH(AZ40,ENDUSEALL[End Use to Coincident Peak Demand Factors],0))*AK40),"")</f>
        <v/>
      </c>
      <c r="BH40" s="1107" t="str">
        <f>IF(OR(C40="",E40="",G40="",K40="",M40="",O40="",Q40="",S40="",W40="",Z40="",AB40="",AD40="",AF40=""),"",IF(BJ40&lt;&gt;"",SPILLOVERNUMBER,
221&amp;INDEX(LOCATIONTYPE[Measure Number],MATCH(E40,LOCATIONTYPE[Location Type],0))&amp;INDEX(ENDUSEALL[Measure Number Indicator],MATCH(AZ40,ENDUSEALL[End Use to Coincident Peak Demand Factors],0))&amp;INDEX(CMLIGHTEFF[Measure Number],MATCH(S40,CMLIGHTEFF[Eff Desc 1],0))))</f>
        <v/>
      </c>
      <c r="BI40" s="1108" t="str">
        <f>IFERROR(IF(ROUND(AN40/AH40,2)=TOTCOSTCAP,"Cost Cap at 75%",
IF(BD40&lt;KWHRATEMIN, "kWh Incentive Rate Min",
IF(BD40&gt;KWHRATEMAX,"kWh Incentive Rate Cap",
IF(AN40=BG40,"Bonus Incentive",
"kWh Incentive")))),"")</f>
        <v/>
      </c>
      <c r="BJ40" s="1108" t="str">
        <f ca="1">IFERROR(IF(EXPIRATION&lt;&gt;"",PROJSTATEXP,
IF(BL40&gt;0,"",
IF(AW40-AX40&lt;=0,MEASURESAVE,
IF(OR(M02S04F06="",M02S04F06="Select Rate Code",M02S04F06=0),MEASURERATE,
IF(M02S04F19="",MEASUREBLDG,
IF(PAYCUSE&lt;PAYBACKREQ,PROJECTSTATPAYBACK,
IF(CBCUSE&lt;CBREQ,PROJECTSTATCB,""))))))),MEASURESUBMIT)</f>
        <v>Submit for Review</v>
      </c>
      <c r="BK40" s="930" t="str">
        <f>IFERROR(IF(OR(C40="",E40="",G40="",K40="",M40="",O40="",Q40="",S40="",W40="",Z40="",AB40="",AD40="",AF40=""),"",
ROUND(((1+ELOSS)*((AK40*INDEX(ELECCB[NPV AEC $/kWh],MATCH(AY40,ELECCB[Year Number],1)))+(BA40*INDEX(ELECCB[NPV ACC $/kW],MATCH(AY40,ELECCB[Year Number],1))))),2)),0)</f>
        <v/>
      </c>
      <c r="BL40" s="1118"/>
    </row>
    <row r="41" spans="2:64" ht="15.95" customHeight="1">
      <c r="B41" s="905"/>
      <c r="C41" s="1037"/>
      <c r="D41" s="1037"/>
      <c r="E41" s="1037"/>
      <c r="F41" s="1039"/>
      <c r="G41" s="1040"/>
      <c r="H41" s="1037"/>
      <c r="I41" s="1037"/>
      <c r="J41" s="1037"/>
      <c r="K41" s="1037"/>
      <c r="L41" s="1037"/>
      <c r="M41" s="1041"/>
      <c r="N41" s="1041"/>
      <c r="O41" s="1055"/>
      <c r="P41" s="1055"/>
      <c r="Q41" s="1058"/>
      <c r="R41" s="1059"/>
      <c r="S41" s="1061"/>
      <c r="T41" s="1037"/>
      <c r="U41" s="1037"/>
      <c r="V41" s="1037"/>
      <c r="W41" s="1037"/>
      <c r="X41" s="1037"/>
      <c r="Y41" s="1037"/>
      <c r="Z41" s="1041"/>
      <c r="AA41" s="1041"/>
      <c r="AB41" s="1044"/>
      <c r="AC41" s="1045"/>
      <c r="AD41" s="1053"/>
      <c r="AE41" s="1054"/>
      <c r="AF41" s="1054"/>
      <c r="AG41" s="1083"/>
      <c r="AH41" s="1064"/>
      <c r="AI41" s="1065"/>
      <c r="AJ41" s="1065"/>
      <c r="AK41" s="1066"/>
      <c r="AL41" s="1066"/>
      <c r="AM41" s="1066"/>
      <c r="AN41" s="1049"/>
      <c r="AO41" s="1050"/>
      <c r="AP41" s="1050"/>
      <c r="AQ41" s="1050"/>
      <c r="AR41" s="235"/>
      <c r="AS41" s="235"/>
      <c r="AT41" s="1104"/>
      <c r="AU41" s="1104"/>
      <c r="AV41" s="1105"/>
      <c r="AW41" s="1025"/>
      <c r="AX41" s="1025"/>
      <c r="AY41" s="1114"/>
      <c r="AZ41" s="1116"/>
      <c r="BA41" s="1109"/>
      <c r="BB41" s="1111"/>
      <c r="BC41" s="931"/>
      <c r="BD41" s="931"/>
      <c r="BE41" s="931"/>
      <c r="BF41" s="931"/>
      <c r="BG41" s="931"/>
      <c r="BH41" s="1107"/>
      <c r="BI41" s="1105"/>
      <c r="BJ41" s="1105"/>
      <c r="BK41" s="931"/>
      <c r="BL41" s="1119"/>
    </row>
    <row r="42" spans="2:64" ht="15.95" customHeight="1">
      <c r="B42" s="905">
        <v>13</v>
      </c>
      <c r="C42" s="1037"/>
      <c r="D42" s="1037"/>
      <c r="E42" s="1037"/>
      <c r="F42" s="1039"/>
      <c r="G42" s="1040"/>
      <c r="H42" s="1037"/>
      <c r="I42" s="1037"/>
      <c r="J42" s="1037"/>
      <c r="K42" s="1037"/>
      <c r="L42" s="1037"/>
      <c r="M42" s="1041"/>
      <c r="N42" s="1041"/>
      <c r="O42" s="1055" t="str">
        <f>IFERROR(IF(G42="","",INDEX(CMLIGHTBASE[Base Watt 1],MATCH(G42,CMLIGHTBASE[Base Desc 1],0))),"")</f>
        <v/>
      </c>
      <c r="P42" s="1055"/>
      <c r="Q42" s="1058"/>
      <c r="R42" s="1059"/>
      <c r="S42" s="1061"/>
      <c r="T42" s="1037"/>
      <c r="U42" s="1037"/>
      <c r="V42" s="1037"/>
      <c r="W42" s="1037"/>
      <c r="X42" s="1037"/>
      <c r="Y42" s="1037"/>
      <c r="Z42" s="1041"/>
      <c r="AA42" s="1041"/>
      <c r="AB42" s="1044"/>
      <c r="AC42" s="1045"/>
      <c r="AD42" s="1053"/>
      <c r="AE42" s="1054"/>
      <c r="AF42" s="1054"/>
      <c r="AG42" s="1083"/>
      <c r="AH42" s="1064" t="str">
        <f t="shared" ref="AH42" si="44">IF(OR(C42="",E42="",G42="",K42="",M42="",O42="",Q42="",S42="",W42="",Z42="",AB42="",AD42="",AF42=""),"",ROUND(AD42+AF42,2))</f>
        <v/>
      </c>
      <c r="AI42" s="1065"/>
      <c r="AJ42" s="1065"/>
      <c r="AK42" s="1066" t="str">
        <f t="shared" ref="AK42" si="45">IF(OR(C42="",E42="",G42="",K42="",M42="",O42="",Q42="",S42="",W42="",Z42="",AB42="",AD42="",AF42=""),"",IF(AW42-AX42&lt;=0,0,AW42-AX42))</f>
        <v/>
      </c>
      <c r="AL42" s="1066"/>
      <c r="AM42" s="1066"/>
      <c r="AN42" s="1047" t="str">
        <f>IF(OR(C42="",E42="",G42="",K42="",M42="",O42="",Q42="",S42="",W42="",Z42="",AB42="",AD42="",AF42=""),"",
IF(BJ42&lt;&gt;"",BJ42,IF(BL42&gt;0,BL42,
IF(ACTIVEBLOCK="Yes",ROUND(MIN(AH42*0.75,AK42*BLOCKBIDRATE),2),
IF(BG42&lt;&gt;"",ROUND(MIN(AH42*0.75,BG42),2),
IF(BD42&lt;KWHRATEMIN,ROUND(MIN(AH42*0.75,BE42),2),
IF(BD42&gt;KWHRATEMAX,ROUND(MIN(AH42*0.75,BF42),2),
ROUND(MIN(AH42*0.75,BC42),2))))))))</f>
        <v/>
      </c>
      <c r="AO42" s="1048"/>
      <c r="AP42" s="1048"/>
      <c r="AQ42" s="1048"/>
      <c r="AR42" s="235"/>
      <c r="AS42" s="235"/>
      <c r="AT42" s="1104" t="str">
        <f>IFERROR(IF(OR(C42="",E42="",G42="",K42="",M42="",O42="",Q42="",S42="",W42="",Z42="",AB42="",AD42="",AF42=""),"",
ROUND(((1+ELOSS)*((AK42*INDEX(ELECCB[NPV AEC $/kWh],MATCH(AY42,ELECCB[Year Number],1)))+(BA42*INDEX(ELECCB[NPV ACC $/kW],MATCH(AY42,ELECCB[Year Number],1))))/AH42),2)),0)</f>
        <v/>
      </c>
      <c r="AU42" s="1104" t="str">
        <f>IFERROR(AH42/M02S04F06/AK42,"")</f>
        <v/>
      </c>
      <c r="AV42" s="1105" t="str">
        <f>IF(OR(G42="",S42=""),"",IF(INDEX(CMLIGHTEFF[Unit],MATCH(S42,CMLIGHTEFF[Eff Desc 1],0))="","",INDEX(CMLIGHTEFF[Unit],MATCH(S42,CMLIGHTEFF[Eff Desc 1],0))))</f>
        <v/>
      </c>
      <c r="AW42" s="1103" t="str">
        <f>IF(OR(C42="",E42="",G42="",K42="",M42="",O42="",Q42="",S42="",W42="",Z42="",AB42="",AD42="",AF42=""),"",
IF(OR(ISNUMBER(SEARCH("Exterior",E42)),ISNUMBER(SEARCH("Garage",E42))),ROUND(M42*O42*Q42/1000,0),
ROUND(M42*O42*Q42/1000*INDEX(BUILDINGTYPE[Waste Heat Factor (e)],MATCH(M02S04F19,BUILDINGTYPE[Building Type],0)),4)))</f>
        <v/>
      </c>
      <c r="AX42" s="1103" t="str">
        <f>IF(OR(C42="",E42="",G42="",K42="",M42="",O42="",Q42="",S42="",W42="",Z42="",AB42="",AD42="",AF42=""),"",
IF(OR(ISNUMBER(SEARCH("Exterior",E42)),ISNUMBER(SEARCH("Garage",E42))),ROUND(Z42*AB42*Q42/1000,4),
ROUND(Z42*AB42*Q42/1000*INDEX(BUILDINGTYPE[Waste Heat Factor (e)],MATCH(M02S04F19,BUILDINGTYPE[Building Type],0)),4)))</f>
        <v/>
      </c>
      <c r="AY42" s="1114" t="str">
        <f>IF(OR(G42="",S42=""),"",IF(INDEX(CMLIGHTEFF[EUL],MATCH(S42,CMLIGHTEFF[Eff Desc 1],0))="","",INDEX(CMLIGHTEFF[EUL],MATCH(S42,CMLIGHTEFF[Eff Desc 1],0))))</f>
        <v/>
      </c>
      <c r="AZ42" s="1115" t="str">
        <f t="shared" ref="AZ42" si="46">IF(OR(E42="",G42="",S42=""),"",IF(ISNUMBER(SEARCH("24/7",E42)),"Ext Lighting w/ Peak ",IF(E42="Interior","Interior Lighting",IF(OR(E42="Garage",E42="Exterior"),"Ext Lighting w/o Peak","Err"))))</f>
        <v/>
      </c>
      <c r="BA42" s="1109" t="str">
        <f>IFERROR(IF(OR(C42="",E42="",G42="",K42="",M42="",O42="",Q42="",S42="",W42="",Z42="",AB42="",AD42="",AF42=""),"",ROUND(AK42*INDEX(ENDUSEALL[Factor],MATCH(AZ42,ENDUSEALL[End Use to Coincident Peak Demand Factors],0)),4)),"")</f>
        <v/>
      </c>
      <c r="BB42" s="1111" t="str">
        <f>IFERROR(IF(OR(C42="",E42="",G42="",K42="",M42="",O42="",Q42="",S42="",W42="",Z42="",AB42="",AD42="",AF42=""),"",IF(OR(E42="Garage",E42="Exterior"),0,
ROUND((((M42*O42)-(Z42*AB42))/1000)*INDEX(BUILDINGTYPE[Waste Heat Factor (e)],MATCH(M02S04F19,BUILDINGTYPE[Building Type],0))*INDEX(BUILDINGTYPE[Lighting Coincidence Factor],MATCH(M02S04F19,BUILDINGTYPE[Building Type],0)),4))),"")</f>
        <v/>
      </c>
      <c r="BC42" s="930" t="str">
        <f t="shared" ref="BC42" si="47">IFERROR(ROUND(AK42*BD42,2),"")</f>
        <v/>
      </c>
      <c r="BD42" s="930" t="str">
        <f>IFERROR(INDEX(ENDUSEALL[Rate ($/kWh)],MATCH(AZ42,ENDUSEALL[End Use to Coincident Peak Demand Factors],0)),"")</f>
        <v/>
      </c>
      <c r="BE42" s="931" t="str">
        <f>IFERROR(ROUND(AK42*KWHRATEMIN,2),"")</f>
        <v/>
      </c>
      <c r="BF42" s="931" t="str">
        <f>IFERROR(ROUND(AK42*KWHRATEMAX,2),"")</f>
        <v/>
      </c>
      <c r="BG42" s="930" t="str">
        <f>IFERROR(IF(INDEX(ENDUSEALL[Bonus Rate ($/kWh)],MATCH(AZ42,ENDUSEALL[End Use to Coincident Peak Demand Factors],0))="","",INDEX(ENDUSEALL[Bonus Rate ($/kWh)],MATCH(AZ42,ENDUSEALL[End Use to Coincident Peak Demand Factors],0))*AK42),"")</f>
        <v/>
      </c>
      <c r="BH42" s="1107" t="str">
        <f>IF(OR(C42="",E42="",G42="",K42="",M42="",O42="",Q42="",S42="",W42="",Z42="",AB42="",AD42="",AF42=""),"",IF(BJ42&lt;&gt;"",SPILLOVERNUMBER,
221&amp;INDEX(LOCATIONTYPE[Measure Number],MATCH(E42,LOCATIONTYPE[Location Type],0))&amp;INDEX(ENDUSEALL[Measure Number Indicator],MATCH(AZ42,ENDUSEALL[End Use to Coincident Peak Demand Factors],0))&amp;INDEX(CMLIGHTEFF[Measure Number],MATCH(S42,CMLIGHTEFF[Eff Desc 1],0))))</f>
        <v/>
      </c>
      <c r="BI42" s="1108" t="str">
        <f>IFERROR(IF(ROUND(AN42/AH42,2)=TOTCOSTCAP,"Cost Cap at 75%",
IF(BD42&lt;KWHRATEMIN, "kWh Incentive Rate Min",
IF(BD42&gt;KWHRATEMAX,"kWh Incentive Rate Cap",
IF(AN42=BG42,"Bonus Incentive",
"kWh Incentive")))),"")</f>
        <v/>
      </c>
      <c r="BJ42" s="1108" t="str">
        <f ca="1">IFERROR(IF(EXPIRATION&lt;&gt;"",PROJSTATEXP,
IF(BL42&gt;0,"",
IF(AW42-AX42&lt;=0,MEASURESAVE,
IF(OR(M02S04F06="",M02S04F06="Select Rate Code",M02S04F06=0),MEASURERATE,
IF(M02S04F19="",MEASUREBLDG,
IF(PAYCUSE&lt;PAYBACKREQ,PROJECTSTATPAYBACK,
IF(CBCUSE&lt;CBREQ,PROJECTSTATCB,""))))))),MEASURESUBMIT)</f>
        <v>Submit for Review</v>
      </c>
      <c r="BK42" s="930" t="str">
        <f>IFERROR(IF(OR(C42="",E42="",G42="",K42="",M42="",O42="",Q42="",S42="",W42="",Z42="",AB42="",AD42="",AF42=""),"",
ROUND(((1+ELOSS)*((AK42*INDEX(ELECCB[NPV AEC $/kWh],MATCH(AY42,ELECCB[Year Number],1)))+(BA42*INDEX(ELECCB[NPV ACC $/kW],MATCH(AY42,ELECCB[Year Number],1))))),2)),0)</f>
        <v/>
      </c>
      <c r="BL42" s="1118"/>
    </row>
    <row r="43" spans="2:64" ht="15.95" customHeight="1">
      <c r="B43" s="905"/>
      <c r="C43" s="1037"/>
      <c r="D43" s="1037"/>
      <c r="E43" s="1037"/>
      <c r="F43" s="1039"/>
      <c r="G43" s="1040"/>
      <c r="H43" s="1037"/>
      <c r="I43" s="1037"/>
      <c r="J43" s="1037"/>
      <c r="K43" s="1037"/>
      <c r="L43" s="1037"/>
      <c r="M43" s="1041"/>
      <c r="N43" s="1041"/>
      <c r="O43" s="1055"/>
      <c r="P43" s="1055"/>
      <c r="Q43" s="1058"/>
      <c r="R43" s="1059"/>
      <c r="S43" s="1061"/>
      <c r="T43" s="1037"/>
      <c r="U43" s="1037"/>
      <c r="V43" s="1037"/>
      <c r="W43" s="1037"/>
      <c r="X43" s="1037"/>
      <c r="Y43" s="1037"/>
      <c r="Z43" s="1041"/>
      <c r="AA43" s="1041"/>
      <c r="AB43" s="1044"/>
      <c r="AC43" s="1045"/>
      <c r="AD43" s="1053"/>
      <c r="AE43" s="1054"/>
      <c r="AF43" s="1054"/>
      <c r="AG43" s="1083"/>
      <c r="AH43" s="1064"/>
      <c r="AI43" s="1065"/>
      <c r="AJ43" s="1065"/>
      <c r="AK43" s="1066"/>
      <c r="AL43" s="1066"/>
      <c r="AM43" s="1066"/>
      <c r="AN43" s="1049"/>
      <c r="AO43" s="1050"/>
      <c r="AP43" s="1050"/>
      <c r="AQ43" s="1050"/>
      <c r="AR43" s="235"/>
      <c r="AS43" s="235"/>
      <c r="AT43" s="1104"/>
      <c r="AU43" s="1104"/>
      <c r="AV43" s="1105"/>
      <c r="AW43" s="1025"/>
      <c r="AX43" s="1025"/>
      <c r="AY43" s="1114"/>
      <c r="AZ43" s="1116"/>
      <c r="BA43" s="1109"/>
      <c r="BB43" s="1111"/>
      <c r="BC43" s="931"/>
      <c r="BD43" s="931"/>
      <c r="BE43" s="931"/>
      <c r="BF43" s="931"/>
      <c r="BG43" s="931"/>
      <c r="BH43" s="1107"/>
      <c r="BI43" s="1105"/>
      <c r="BJ43" s="1105"/>
      <c r="BK43" s="931"/>
      <c r="BL43" s="1119"/>
    </row>
    <row r="44" spans="2:64" ht="15.95" customHeight="1">
      <c r="B44" s="905">
        <v>14</v>
      </c>
      <c r="C44" s="1037"/>
      <c r="D44" s="1037"/>
      <c r="E44" s="1037"/>
      <c r="F44" s="1039"/>
      <c r="G44" s="1040"/>
      <c r="H44" s="1037"/>
      <c r="I44" s="1037"/>
      <c r="J44" s="1037"/>
      <c r="K44" s="1037"/>
      <c r="L44" s="1037"/>
      <c r="M44" s="1041"/>
      <c r="N44" s="1041"/>
      <c r="O44" s="1055" t="str">
        <f>IFERROR(IF(G44="","",INDEX(CMLIGHTBASE[Base Watt 1],MATCH(G44,CMLIGHTBASE[Base Desc 1],0))),"")</f>
        <v/>
      </c>
      <c r="P44" s="1055"/>
      <c r="Q44" s="1058"/>
      <c r="R44" s="1059"/>
      <c r="S44" s="1061"/>
      <c r="T44" s="1037"/>
      <c r="U44" s="1037"/>
      <c r="V44" s="1037"/>
      <c r="W44" s="1037"/>
      <c r="X44" s="1037"/>
      <c r="Y44" s="1037"/>
      <c r="Z44" s="1041"/>
      <c r="AA44" s="1041"/>
      <c r="AB44" s="1044"/>
      <c r="AC44" s="1045"/>
      <c r="AD44" s="1053"/>
      <c r="AE44" s="1054"/>
      <c r="AF44" s="1054"/>
      <c r="AG44" s="1083"/>
      <c r="AH44" s="1064" t="str">
        <f t="shared" ref="AH44" si="48">IF(OR(C44="",E44="",G44="",K44="",M44="",O44="",Q44="",S44="",W44="",Z44="",AB44="",AD44="",AF44=""),"",ROUND(AD44+AF44,2))</f>
        <v/>
      </c>
      <c r="AI44" s="1065"/>
      <c r="AJ44" s="1065"/>
      <c r="AK44" s="1066" t="str">
        <f t="shared" ref="AK44" si="49">IF(OR(C44="",E44="",G44="",K44="",M44="",O44="",Q44="",S44="",W44="",Z44="",AB44="",AD44="",AF44=""),"",IF(AW44-AX44&lt;=0,0,AW44-AX44))</f>
        <v/>
      </c>
      <c r="AL44" s="1066"/>
      <c r="AM44" s="1066"/>
      <c r="AN44" s="1047" t="str">
        <f>IF(OR(C44="",E44="",G44="",K44="",M44="",O44="",Q44="",S44="",W44="",Z44="",AB44="",AD44="",AF44=""),"",
IF(BJ44&lt;&gt;"",BJ44,IF(BL44&gt;0,BL44,
IF(ACTIVEBLOCK="Yes",ROUND(MIN(AH44*0.75,AK44*BLOCKBIDRATE),2),
IF(BG44&lt;&gt;"",ROUND(MIN(AH44*0.75,BG44),2),
IF(BD44&lt;KWHRATEMIN,ROUND(MIN(AH44*0.75,BE44),2),
IF(BD44&gt;KWHRATEMAX,ROUND(MIN(AH44*0.75,BF44),2),
ROUND(MIN(AH44*0.75,BC44),2))))))))</f>
        <v/>
      </c>
      <c r="AO44" s="1048"/>
      <c r="AP44" s="1048"/>
      <c r="AQ44" s="1048"/>
      <c r="AR44" s="235"/>
      <c r="AS44" s="235"/>
      <c r="AT44" s="1104" t="str">
        <f>IFERROR(IF(OR(C44="",E44="",G44="",K44="",M44="",O44="",Q44="",S44="",W44="",Z44="",AB44="",AD44="",AF44=""),"",
ROUND(((1+ELOSS)*((AK44*INDEX(ELECCB[NPV AEC $/kWh],MATCH(AY44,ELECCB[Year Number],1)))+(BA44*INDEX(ELECCB[NPV ACC $/kW],MATCH(AY44,ELECCB[Year Number],1))))/AH44),2)),0)</f>
        <v/>
      </c>
      <c r="AU44" s="1104" t="str">
        <f>IFERROR(AH44/M02S04F06/AK44,"")</f>
        <v/>
      </c>
      <c r="AV44" s="1105" t="str">
        <f>IF(OR(G44="",S44=""),"",IF(INDEX(CMLIGHTEFF[Unit],MATCH(S44,CMLIGHTEFF[Eff Desc 1],0))="","",INDEX(CMLIGHTEFF[Unit],MATCH(S44,CMLIGHTEFF[Eff Desc 1],0))))</f>
        <v/>
      </c>
      <c r="AW44" s="1103" t="str">
        <f>IF(OR(C44="",E44="",G44="",K44="",M44="",O44="",Q44="",S44="",W44="",Z44="",AB44="",AD44="",AF44=""),"",
IF(OR(ISNUMBER(SEARCH("Exterior",E44)),ISNUMBER(SEARCH("Garage",E44))),ROUND(M44*O44*Q44/1000,0),
ROUND(M44*O44*Q44/1000*INDEX(BUILDINGTYPE[Waste Heat Factor (e)],MATCH(M02S04F19,BUILDINGTYPE[Building Type],0)),4)))</f>
        <v/>
      </c>
      <c r="AX44" s="1103" t="str">
        <f>IF(OR(C44="",E44="",G44="",K44="",M44="",O44="",Q44="",S44="",W44="",Z44="",AB44="",AD44="",AF44=""),"",
IF(OR(ISNUMBER(SEARCH("Exterior",E44)),ISNUMBER(SEARCH("Garage",E44))),ROUND(Z44*AB44*Q44/1000,4),
ROUND(Z44*AB44*Q44/1000*INDEX(BUILDINGTYPE[Waste Heat Factor (e)],MATCH(M02S04F19,BUILDINGTYPE[Building Type],0)),4)))</f>
        <v/>
      </c>
      <c r="AY44" s="1114" t="str">
        <f>IF(OR(G44="",S44=""),"",IF(INDEX(CMLIGHTEFF[EUL],MATCH(S44,CMLIGHTEFF[Eff Desc 1],0))="","",INDEX(CMLIGHTEFF[EUL],MATCH(S44,CMLIGHTEFF[Eff Desc 1],0))))</f>
        <v/>
      </c>
      <c r="AZ44" s="1115" t="str">
        <f t="shared" ref="AZ44" si="50">IF(OR(E44="",G44="",S44=""),"",IF(ISNUMBER(SEARCH("24/7",E44)),"Ext Lighting w/ Peak ",IF(E44="Interior","Interior Lighting",IF(OR(E44="Garage",E44="Exterior"),"Ext Lighting w/o Peak","Err"))))</f>
        <v/>
      </c>
      <c r="BA44" s="1109" t="str">
        <f>IFERROR(IF(OR(C44="",E44="",G44="",K44="",M44="",O44="",Q44="",S44="",W44="",Z44="",AB44="",AD44="",AF44=""),"",ROUND(AK44*INDEX(ENDUSEALL[Factor],MATCH(AZ44,ENDUSEALL[End Use to Coincident Peak Demand Factors],0)),4)),"")</f>
        <v/>
      </c>
      <c r="BB44" s="1111" t="str">
        <f>IFERROR(IF(OR(C44="",E44="",G44="",K44="",M44="",O44="",Q44="",S44="",W44="",Z44="",AB44="",AD44="",AF44=""),"",IF(OR(E44="Garage",E44="Exterior"),0,
ROUND((((M44*O44)-(Z44*AB44))/1000)*INDEX(BUILDINGTYPE[Waste Heat Factor (e)],MATCH(M02S04F19,BUILDINGTYPE[Building Type],0))*INDEX(BUILDINGTYPE[Lighting Coincidence Factor],MATCH(M02S04F19,BUILDINGTYPE[Building Type],0)),4))),"")</f>
        <v/>
      </c>
      <c r="BC44" s="930" t="str">
        <f t="shared" ref="BC44" si="51">IFERROR(ROUND(AK44*BD44,2),"")</f>
        <v/>
      </c>
      <c r="BD44" s="930" t="str">
        <f>IFERROR(INDEX(ENDUSEALL[Rate ($/kWh)],MATCH(AZ44,ENDUSEALL[End Use to Coincident Peak Demand Factors],0)),"")</f>
        <v/>
      </c>
      <c r="BE44" s="931" t="str">
        <f>IFERROR(ROUND(AK44*KWHRATEMIN,2),"")</f>
        <v/>
      </c>
      <c r="BF44" s="931" t="str">
        <f>IFERROR(ROUND(AK44*KWHRATEMAX,2),"")</f>
        <v/>
      </c>
      <c r="BG44" s="930" t="str">
        <f>IFERROR(IF(INDEX(ENDUSEALL[Bonus Rate ($/kWh)],MATCH(AZ44,ENDUSEALL[End Use to Coincident Peak Demand Factors],0))="","",INDEX(ENDUSEALL[Bonus Rate ($/kWh)],MATCH(AZ44,ENDUSEALL[End Use to Coincident Peak Demand Factors],0))*AK44),"")</f>
        <v/>
      </c>
      <c r="BH44" s="1107" t="str">
        <f>IF(OR(C44="",E44="",G44="",K44="",M44="",O44="",Q44="",S44="",W44="",Z44="",AB44="",AD44="",AF44=""),"",IF(BJ44&lt;&gt;"",SPILLOVERNUMBER,
221&amp;INDEX(LOCATIONTYPE[Measure Number],MATCH(E44,LOCATIONTYPE[Location Type],0))&amp;INDEX(ENDUSEALL[Measure Number Indicator],MATCH(AZ44,ENDUSEALL[End Use to Coincident Peak Demand Factors],0))&amp;INDEX(CMLIGHTEFF[Measure Number],MATCH(S44,CMLIGHTEFF[Eff Desc 1],0))))</f>
        <v/>
      </c>
      <c r="BI44" s="1108" t="str">
        <f>IFERROR(IF(ROUND(AN44/AH44,2)=TOTCOSTCAP,"Cost Cap at 75%",
IF(BD44&lt;KWHRATEMIN, "kWh Incentive Rate Min",
IF(BD44&gt;KWHRATEMAX,"kWh Incentive Rate Cap",
IF(AN44=BG44,"Bonus Incentive",
"kWh Incentive")))),"")</f>
        <v/>
      </c>
      <c r="BJ44" s="1108" t="str">
        <f ca="1">IFERROR(IF(EXPIRATION&lt;&gt;"",PROJSTATEXP,
IF(BL44&gt;0,"",
IF(AW44-AX44&lt;=0,MEASURESAVE,
IF(OR(M02S04F06="",M02S04F06="Select Rate Code",M02S04F06=0),MEASURERATE,
IF(M02S04F19="",MEASUREBLDG,
IF(PAYCUSE&lt;PAYBACKREQ,PROJECTSTATPAYBACK,
IF(CBCUSE&lt;CBREQ,PROJECTSTATCB,""))))))),MEASURESUBMIT)</f>
        <v>Submit for Review</v>
      </c>
      <c r="BK44" s="930" t="str">
        <f>IFERROR(IF(OR(C44="",E44="",G44="",K44="",M44="",O44="",Q44="",S44="",W44="",Z44="",AB44="",AD44="",AF44=""),"",
ROUND(((1+ELOSS)*((AK44*INDEX(ELECCB[NPV AEC $/kWh],MATCH(AY44,ELECCB[Year Number],1)))+(BA44*INDEX(ELECCB[NPV ACC $/kW],MATCH(AY44,ELECCB[Year Number],1))))),2)),0)</f>
        <v/>
      </c>
      <c r="BL44" s="1118"/>
    </row>
    <row r="45" spans="2:64" ht="15.95" customHeight="1">
      <c r="B45" s="905"/>
      <c r="C45" s="1037"/>
      <c r="D45" s="1037"/>
      <c r="E45" s="1037"/>
      <c r="F45" s="1039"/>
      <c r="G45" s="1040"/>
      <c r="H45" s="1037"/>
      <c r="I45" s="1037"/>
      <c r="J45" s="1037"/>
      <c r="K45" s="1037"/>
      <c r="L45" s="1037"/>
      <c r="M45" s="1041"/>
      <c r="N45" s="1041"/>
      <c r="O45" s="1055"/>
      <c r="P45" s="1055"/>
      <c r="Q45" s="1058"/>
      <c r="R45" s="1059"/>
      <c r="S45" s="1061"/>
      <c r="T45" s="1037"/>
      <c r="U45" s="1037"/>
      <c r="V45" s="1037"/>
      <c r="W45" s="1037"/>
      <c r="X45" s="1037"/>
      <c r="Y45" s="1037"/>
      <c r="Z45" s="1041"/>
      <c r="AA45" s="1041"/>
      <c r="AB45" s="1044"/>
      <c r="AC45" s="1045"/>
      <c r="AD45" s="1053"/>
      <c r="AE45" s="1054"/>
      <c r="AF45" s="1054"/>
      <c r="AG45" s="1083"/>
      <c r="AH45" s="1064"/>
      <c r="AI45" s="1065"/>
      <c r="AJ45" s="1065"/>
      <c r="AK45" s="1066"/>
      <c r="AL45" s="1066"/>
      <c r="AM45" s="1066"/>
      <c r="AN45" s="1049"/>
      <c r="AO45" s="1050"/>
      <c r="AP45" s="1050"/>
      <c r="AQ45" s="1050"/>
      <c r="AR45" s="235"/>
      <c r="AS45" s="235"/>
      <c r="AT45" s="1104"/>
      <c r="AU45" s="1104"/>
      <c r="AV45" s="1105"/>
      <c r="AW45" s="1025"/>
      <c r="AX45" s="1025"/>
      <c r="AY45" s="1114"/>
      <c r="AZ45" s="1116"/>
      <c r="BA45" s="1109"/>
      <c r="BB45" s="1111"/>
      <c r="BC45" s="931"/>
      <c r="BD45" s="931"/>
      <c r="BE45" s="931"/>
      <c r="BF45" s="931"/>
      <c r="BG45" s="931"/>
      <c r="BH45" s="1107"/>
      <c r="BI45" s="1105"/>
      <c r="BJ45" s="1105"/>
      <c r="BK45" s="931"/>
      <c r="BL45" s="1119"/>
    </row>
    <row r="46" spans="2:64" ht="15.95" customHeight="1">
      <c r="B46" s="905">
        <v>15</v>
      </c>
      <c r="C46" s="1037"/>
      <c r="D46" s="1037"/>
      <c r="E46" s="1037"/>
      <c r="F46" s="1039"/>
      <c r="G46" s="1040"/>
      <c r="H46" s="1037"/>
      <c r="I46" s="1037"/>
      <c r="J46" s="1037"/>
      <c r="K46" s="1037"/>
      <c r="L46" s="1037"/>
      <c r="M46" s="1041"/>
      <c r="N46" s="1041"/>
      <c r="O46" s="1055" t="str">
        <f>IFERROR(IF(G46="","",INDEX(CMLIGHTBASE[Base Watt 1],MATCH(G46,CMLIGHTBASE[Base Desc 1],0))),"")</f>
        <v/>
      </c>
      <c r="P46" s="1055"/>
      <c r="Q46" s="1058"/>
      <c r="R46" s="1059"/>
      <c r="S46" s="1061"/>
      <c r="T46" s="1037"/>
      <c r="U46" s="1037"/>
      <c r="V46" s="1037"/>
      <c r="W46" s="1037"/>
      <c r="X46" s="1037"/>
      <c r="Y46" s="1037"/>
      <c r="Z46" s="1041"/>
      <c r="AA46" s="1041"/>
      <c r="AB46" s="1044"/>
      <c r="AC46" s="1045"/>
      <c r="AD46" s="1053"/>
      <c r="AE46" s="1054"/>
      <c r="AF46" s="1054"/>
      <c r="AG46" s="1083"/>
      <c r="AH46" s="1064" t="str">
        <f t="shared" ref="AH46" si="52">IF(OR(C46="",E46="",G46="",K46="",M46="",O46="",Q46="",S46="",W46="",Z46="",AB46="",AD46="",AF46=""),"",ROUND(AD46+AF46,2))</f>
        <v/>
      </c>
      <c r="AI46" s="1065"/>
      <c r="AJ46" s="1065"/>
      <c r="AK46" s="1066" t="str">
        <f t="shared" ref="AK46" si="53">IF(OR(C46="",E46="",G46="",K46="",M46="",O46="",Q46="",S46="",W46="",Z46="",AB46="",AD46="",AF46=""),"",IF(AW46-AX46&lt;=0,0,AW46-AX46))</f>
        <v/>
      </c>
      <c r="AL46" s="1066"/>
      <c r="AM46" s="1066"/>
      <c r="AN46" s="1047" t="str">
        <f>IF(OR(C46="",E46="",G46="",K46="",M46="",O46="",Q46="",S46="",W46="",Z46="",AB46="",AD46="",AF46=""),"",
IF(BJ46&lt;&gt;"",BJ46,IF(BL46&gt;0,BL46,
IF(ACTIVEBLOCK="Yes",ROUND(MIN(AH46*0.75,AK46*BLOCKBIDRATE),2),
IF(BG46&lt;&gt;"",ROUND(MIN(AH46*0.75,BG46),2),
IF(BD46&lt;KWHRATEMIN,ROUND(MIN(AH46*0.75,BE46),2),
IF(BD46&gt;KWHRATEMAX,ROUND(MIN(AH46*0.75,BF46),2),
ROUND(MIN(AH46*0.75,BC46),2))))))))</f>
        <v/>
      </c>
      <c r="AO46" s="1048"/>
      <c r="AP46" s="1048"/>
      <c r="AQ46" s="1048"/>
      <c r="AR46" s="235"/>
      <c r="AS46" s="235"/>
      <c r="AT46" s="1104" t="str">
        <f>IFERROR(IF(OR(C46="",E46="",G46="",K46="",M46="",O46="",Q46="",S46="",W46="",Z46="",AB46="",AD46="",AF46=""),"",
ROUND(((1+ELOSS)*((AK46*INDEX(ELECCB[NPV AEC $/kWh],MATCH(AY46,ELECCB[Year Number],1)))+(BA46*INDEX(ELECCB[NPV ACC $/kW],MATCH(AY46,ELECCB[Year Number],1))))/AH46),2)),0)</f>
        <v/>
      </c>
      <c r="AU46" s="1104" t="str">
        <f>IFERROR(AH46/M02S04F06/AK46,"")</f>
        <v/>
      </c>
      <c r="AV46" s="1105" t="str">
        <f>IF(OR(G46="",S46=""),"",IF(INDEX(CMLIGHTEFF[Unit],MATCH(S46,CMLIGHTEFF[Eff Desc 1],0))="","",INDEX(CMLIGHTEFF[Unit],MATCH(S46,CMLIGHTEFF[Eff Desc 1],0))))</f>
        <v/>
      </c>
      <c r="AW46" s="1103" t="str">
        <f>IF(OR(C46="",E46="",G46="",K46="",M46="",O46="",Q46="",S46="",W46="",Z46="",AB46="",AD46="",AF46=""),"",
IF(OR(ISNUMBER(SEARCH("Exterior",E46)),ISNUMBER(SEARCH("Garage",E46))),ROUND(M46*O46*Q46/1000,0),
ROUND(M46*O46*Q46/1000*INDEX(BUILDINGTYPE[Waste Heat Factor (e)],MATCH(M02S04F19,BUILDINGTYPE[Building Type],0)),4)))</f>
        <v/>
      </c>
      <c r="AX46" s="1103" t="str">
        <f>IF(OR(C46="",E46="",G46="",K46="",M46="",O46="",Q46="",S46="",W46="",Z46="",AB46="",AD46="",AF46=""),"",
IF(OR(ISNUMBER(SEARCH("Exterior",E46)),ISNUMBER(SEARCH("Garage",E46))),ROUND(Z46*AB46*Q46/1000,4),
ROUND(Z46*AB46*Q46/1000*INDEX(BUILDINGTYPE[Waste Heat Factor (e)],MATCH(M02S04F19,BUILDINGTYPE[Building Type],0)),4)))</f>
        <v/>
      </c>
      <c r="AY46" s="1114" t="str">
        <f>IF(OR(G46="",S46=""),"",IF(INDEX(CMLIGHTEFF[EUL],MATCH(S46,CMLIGHTEFF[Eff Desc 1],0))="","",INDEX(CMLIGHTEFF[EUL],MATCH(S46,CMLIGHTEFF[Eff Desc 1],0))))</f>
        <v/>
      </c>
      <c r="AZ46" s="1115" t="str">
        <f t="shared" ref="AZ46" si="54">IF(OR(E46="",G46="",S46=""),"",IF(ISNUMBER(SEARCH("24/7",E46)),"Ext Lighting w/ Peak ",IF(E46="Interior","Interior Lighting",IF(OR(E46="Garage",E46="Exterior"),"Ext Lighting w/o Peak","Err"))))</f>
        <v/>
      </c>
      <c r="BA46" s="1109" t="str">
        <f>IFERROR(IF(OR(C46="",E46="",G46="",K46="",M46="",O46="",Q46="",S46="",W46="",Z46="",AB46="",AD46="",AF46=""),"",ROUND(AK46*INDEX(ENDUSEALL[Factor],MATCH(AZ46,ENDUSEALL[End Use to Coincident Peak Demand Factors],0)),4)),"")</f>
        <v/>
      </c>
      <c r="BB46" s="1111" t="str">
        <f>IFERROR(IF(OR(C46="",E46="",G46="",K46="",M46="",O46="",Q46="",S46="",W46="",Z46="",AB46="",AD46="",AF46=""),"",IF(OR(E46="Garage",E46="Exterior"),0,
ROUND((((M46*O46)-(Z46*AB46))/1000)*INDEX(BUILDINGTYPE[Waste Heat Factor (e)],MATCH(M02S04F19,BUILDINGTYPE[Building Type],0))*INDEX(BUILDINGTYPE[Lighting Coincidence Factor],MATCH(M02S04F19,BUILDINGTYPE[Building Type],0)),4))),"")</f>
        <v/>
      </c>
      <c r="BC46" s="930" t="str">
        <f t="shared" ref="BC46" si="55">IFERROR(ROUND(AK46*BD46,2),"")</f>
        <v/>
      </c>
      <c r="BD46" s="930" t="str">
        <f>IFERROR(INDEX(ENDUSEALL[Rate ($/kWh)],MATCH(AZ46,ENDUSEALL[End Use to Coincident Peak Demand Factors],0)),"")</f>
        <v/>
      </c>
      <c r="BE46" s="931" t="str">
        <f>IFERROR(ROUND(AK46*KWHRATEMIN,2),"")</f>
        <v/>
      </c>
      <c r="BF46" s="931" t="str">
        <f>IFERROR(ROUND(AK46*KWHRATEMAX,2),"")</f>
        <v/>
      </c>
      <c r="BG46" s="930" t="str">
        <f>IFERROR(IF(INDEX(ENDUSEALL[Bonus Rate ($/kWh)],MATCH(AZ46,ENDUSEALL[End Use to Coincident Peak Demand Factors],0))="","",INDEX(ENDUSEALL[Bonus Rate ($/kWh)],MATCH(AZ46,ENDUSEALL[End Use to Coincident Peak Demand Factors],0))*AK46),"")</f>
        <v/>
      </c>
      <c r="BH46" s="1107" t="str">
        <f>IF(OR(C46="",E46="",G46="",K46="",M46="",O46="",Q46="",S46="",W46="",Z46="",AB46="",AD46="",AF46=""),"",IF(BJ46&lt;&gt;"",SPILLOVERNUMBER,
221&amp;INDEX(LOCATIONTYPE[Measure Number],MATCH(E46,LOCATIONTYPE[Location Type],0))&amp;INDEX(ENDUSEALL[Measure Number Indicator],MATCH(AZ46,ENDUSEALL[End Use to Coincident Peak Demand Factors],0))&amp;INDEX(CMLIGHTEFF[Measure Number],MATCH(S46,CMLIGHTEFF[Eff Desc 1],0))))</f>
        <v/>
      </c>
      <c r="BI46" s="1108" t="str">
        <f>IFERROR(IF(ROUND(AN46/AH46,2)=TOTCOSTCAP,"Cost Cap at 75%",
IF(BD46&lt;KWHRATEMIN, "kWh Incentive Rate Min",
IF(BD46&gt;KWHRATEMAX,"kWh Incentive Rate Cap",
IF(AN46=BG46,"Bonus Incentive",
"kWh Incentive")))),"")</f>
        <v/>
      </c>
      <c r="BJ46" s="1108" t="str">
        <f ca="1">IFERROR(IF(EXPIRATION&lt;&gt;"",PROJSTATEXP,
IF(BL46&gt;0,"",
IF(AW46-AX46&lt;=0,MEASURESAVE,
IF(OR(M02S04F06="",M02S04F06="Select Rate Code",M02S04F06=0),MEASURERATE,
IF(M02S04F19="",MEASUREBLDG,
IF(PAYCUSE&lt;PAYBACKREQ,PROJECTSTATPAYBACK,
IF(CBCUSE&lt;CBREQ,PROJECTSTATCB,""))))))),MEASURESUBMIT)</f>
        <v>Submit for Review</v>
      </c>
      <c r="BK46" s="930" t="str">
        <f>IFERROR(IF(OR(C46="",E46="",G46="",K46="",M46="",O46="",Q46="",S46="",W46="",Z46="",AB46="",AD46="",AF46=""),"",
ROUND(((1+ELOSS)*((AK46*INDEX(ELECCB[NPV AEC $/kWh],MATCH(AY46,ELECCB[Year Number],1)))+(BA46*INDEX(ELECCB[NPV ACC $/kW],MATCH(AY46,ELECCB[Year Number],1))))),2)),0)</f>
        <v/>
      </c>
      <c r="BL46" s="1118"/>
    </row>
    <row r="47" spans="2:64" ht="15.95" customHeight="1">
      <c r="B47" s="905"/>
      <c r="C47" s="1037"/>
      <c r="D47" s="1037"/>
      <c r="E47" s="1037"/>
      <c r="F47" s="1039"/>
      <c r="G47" s="1040"/>
      <c r="H47" s="1037"/>
      <c r="I47" s="1037"/>
      <c r="J47" s="1037"/>
      <c r="K47" s="1037"/>
      <c r="L47" s="1037"/>
      <c r="M47" s="1041"/>
      <c r="N47" s="1041"/>
      <c r="O47" s="1055"/>
      <c r="P47" s="1055"/>
      <c r="Q47" s="1058"/>
      <c r="R47" s="1059"/>
      <c r="S47" s="1061"/>
      <c r="T47" s="1037"/>
      <c r="U47" s="1037"/>
      <c r="V47" s="1037"/>
      <c r="W47" s="1037"/>
      <c r="X47" s="1037"/>
      <c r="Y47" s="1037"/>
      <c r="Z47" s="1041"/>
      <c r="AA47" s="1041"/>
      <c r="AB47" s="1044"/>
      <c r="AC47" s="1045"/>
      <c r="AD47" s="1053"/>
      <c r="AE47" s="1054"/>
      <c r="AF47" s="1054"/>
      <c r="AG47" s="1083"/>
      <c r="AH47" s="1064"/>
      <c r="AI47" s="1065"/>
      <c r="AJ47" s="1065"/>
      <c r="AK47" s="1066"/>
      <c r="AL47" s="1066"/>
      <c r="AM47" s="1066"/>
      <c r="AN47" s="1049"/>
      <c r="AO47" s="1050"/>
      <c r="AP47" s="1050"/>
      <c r="AQ47" s="1050"/>
      <c r="AR47" s="235"/>
      <c r="AS47" s="235"/>
      <c r="AT47" s="1104"/>
      <c r="AU47" s="1104"/>
      <c r="AV47" s="1105"/>
      <c r="AW47" s="1025"/>
      <c r="AX47" s="1025"/>
      <c r="AY47" s="1114"/>
      <c r="AZ47" s="1116"/>
      <c r="BA47" s="1109"/>
      <c r="BB47" s="1111"/>
      <c r="BC47" s="931"/>
      <c r="BD47" s="931"/>
      <c r="BE47" s="931"/>
      <c r="BF47" s="931"/>
      <c r="BG47" s="931"/>
      <c r="BH47" s="1107"/>
      <c r="BI47" s="1105"/>
      <c r="BJ47" s="1105"/>
      <c r="BK47" s="931"/>
      <c r="BL47" s="1119"/>
    </row>
    <row r="48" spans="2:64" ht="15.95" customHeight="1">
      <c r="B48" s="905">
        <v>16</v>
      </c>
      <c r="C48" s="1037"/>
      <c r="D48" s="1037"/>
      <c r="E48" s="1037"/>
      <c r="F48" s="1039"/>
      <c r="G48" s="1040"/>
      <c r="H48" s="1037"/>
      <c r="I48" s="1037"/>
      <c r="J48" s="1037"/>
      <c r="K48" s="1037"/>
      <c r="L48" s="1037"/>
      <c r="M48" s="1041"/>
      <c r="N48" s="1041"/>
      <c r="O48" s="1055" t="str">
        <f>IFERROR(IF(G48="","",INDEX(CMLIGHTBASE[Base Watt 1],MATCH(G48,CMLIGHTBASE[Base Desc 1],0))),"")</f>
        <v/>
      </c>
      <c r="P48" s="1055"/>
      <c r="Q48" s="1058"/>
      <c r="R48" s="1059"/>
      <c r="S48" s="1061"/>
      <c r="T48" s="1037"/>
      <c r="U48" s="1037"/>
      <c r="V48" s="1037"/>
      <c r="W48" s="1037"/>
      <c r="X48" s="1037"/>
      <c r="Y48" s="1037"/>
      <c r="Z48" s="1041"/>
      <c r="AA48" s="1041"/>
      <c r="AB48" s="1044"/>
      <c r="AC48" s="1045"/>
      <c r="AD48" s="1053"/>
      <c r="AE48" s="1054"/>
      <c r="AF48" s="1054"/>
      <c r="AG48" s="1083"/>
      <c r="AH48" s="1064" t="str">
        <f t="shared" ref="AH48" si="56">IF(OR(C48="",E48="",G48="",K48="",M48="",O48="",Q48="",S48="",W48="",Z48="",AB48="",AD48="",AF48=""),"",ROUND(AD48+AF48,2))</f>
        <v/>
      </c>
      <c r="AI48" s="1065"/>
      <c r="AJ48" s="1065"/>
      <c r="AK48" s="1066" t="str">
        <f t="shared" ref="AK48" si="57">IF(OR(C48="",E48="",G48="",K48="",M48="",O48="",Q48="",S48="",W48="",Z48="",AB48="",AD48="",AF48=""),"",IF(AW48-AX48&lt;=0,0,AW48-AX48))</f>
        <v/>
      </c>
      <c r="AL48" s="1066"/>
      <c r="AM48" s="1066"/>
      <c r="AN48" s="1047" t="str">
        <f>IF(OR(C48="",E48="",G48="",K48="",M48="",O48="",Q48="",S48="",W48="",Z48="",AB48="",AD48="",AF48=""),"",
IF(BJ48&lt;&gt;"",BJ48,IF(BL48&gt;0,BL48,
IF(ACTIVEBLOCK="Yes",ROUND(MIN(AH48*0.75,AK48*BLOCKBIDRATE),2),
IF(BG48&lt;&gt;"",ROUND(MIN(AH48*0.75,BG48),2),
IF(BD48&lt;KWHRATEMIN,ROUND(MIN(AH48*0.75,BE48),2),
IF(BD48&gt;KWHRATEMAX,ROUND(MIN(AH48*0.75,BF48),2),
ROUND(MIN(AH48*0.75,BC48),2))))))))</f>
        <v/>
      </c>
      <c r="AO48" s="1048"/>
      <c r="AP48" s="1048"/>
      <c r="AQ48" s="1048"/>
      <c r="AR48" s="235"/>
      <c r="AS48" s="235"/>
      <c r="AT48" s="1104" t="str">
        <f>IFERROR(IF(OR(C48="",E48="",G48="",K48="",M48="",O48="",Q48="",S48="",W48="",Z48="",AB48="",AD48="",AF48=""),"",
ROUND(((1+ELOSS)*((AK48*INDEX(ELECCB[NPV AEC $/kWh],MATCH(AY48,ELECCB[Year Number],1)))+(BA48*INDEX(ELECCB[NPV ACC $/kW],MATCH(AY48,ELECCB[Year Number],1))))/AH48),2)),0)</f>
        <v/>
      </c>
      <c r="AU48" s="1104" t="str">
        <f>IFERROR(AH48/M02S04F06/AK48,"")</f>
        <v/>
      </c>
      <c r="AV48" s="1105" t="str">
        <f>IF(OR(G48="",S48=""),"",IF(INDEX(CMLIGHTEFF[Unit],MATCH(S48,CMLIGHTEFF[Eff Desc 1],0))="","",INDEX(CMLIGHTEFF[Unit],MATCH(S48,CMLIGHTEFF[Eff Desc 1],0))))</f>
        <v/>
      </c>
      <c r="AW48" s="1103" t="str">
        <f>IF(OR(C48="",E48="",G48="",K48="",M48="",O48="",Q48="",S48="",W48="",Z48="",AB48="",AD48="",AF48=""),"",
IF(OR(ISNUMBER(SEARCH("Exterior",E48)),ISNUMBER(SEARCH("Garage",E48))),ROUND(M48*O48*Q48/1000,0),
ROUND(M48*O48*Q48/1000*INDEX(BUILDINGTYPE[Waste Heat Factor (e)],MATCH(M02S04F19,BUILDINGTYPE[Building Type],0)),4)))</f>
        <v/>
      </c>
      <c r="AX48" s="1103" t="str">
        <f>IF(OR(C48="",E48="",G48="",K48="",M48="",O48="",Q48="",S48="",W48="",Z48="",AB48="",AD48="",AF48=""),"",
IF(OR(ISNUMBER(SEARCH("Exterior",E48)),ISNUMBER(SEARCH("Garage",E48))),ROUND(Z48*AB48*Q48/1000,4),
ROUND(Z48*AB48*Q48/1000*INDEX(BUILDINGTYPE[Waste Heat Factor (e)],MATCH(M02S04F19,BUILDINGTYPE[Building Type],0)),4)))</f>
        <v/>
      </c>
      <c r="AY48" s="1114" t="str">
        <f>IF(OR(G48="",S48=""),"",IF(INDEX(CMLIGHTEFF[EUL],MATCH(S48,CMLIGHTEFF[Eff Desc 1],0))="","",INDEX(CMLIGHTEFF[EUL],MATCH(S48,CMLIGHTEFF[Eff Desc 1],0))))</f>
        <v/>
      </c>
      <c r="AZ48" s="1115" t="str">
        <f t="shared" ref="AZ48" si="58">IF(OR(E48="",G48="",S48=""),"",IF(ISNUMBER(SEARCH("24/7",E48)),"Ext Lighting w/ Peak ",IF(E48="Interior","Interior Lighting",IF(OR(E48="Garage",E48="Exterior"),"Ext Lighting w/o Peak","Err"))))</f>
        <v/>
      </c>
      <c r="BA48" s="1109" t="str">
        <f>IFERROR(IF(OR(C48="",E48="",G48="",K48="",M48="",O48="",Q48="",S48="",W48="",Z48="",AB48="",AD48="",AF48=""),"",ROUND(AK48*INDEX(ENDUSEALL[Factor],MATCH(AZ48,ENDUSEALL[End Use to Coincident Peak Demand Factors],0)),4)),"")</f>
        <v/>
      </c>
      <c r="BB48" s="1111" t="str">
        <f>IFERROR(IF(OR(C48="",E48="",G48="",K48="",M48="",O48="",Q48="",S48="",W48="",Z48="",AB48="",AD48="",AF48=""),"",IF(OR(E48="Garage",E48="Exterior"),0,
ROUND((((M48*O48)-(Z48*AB48))/1000)*INDEX(BUILDINGTYPE[Waste Heat Factor (e)],MATCH(M02S04F19,BUILDINGTYPE[Building Type],0))*INDEX(BUILDINGTYPE[Lighting Coincidence Factor],MATCH(M02S04F19,BUILDINGTYPE[Building Type],0)),4))),"")</f>
        <v/>
      </c>
      <c r="BC48" s="930" t="str">
        <f t="shared" ref="BC48" si="59">IFERROR(ROUND(AK48*BD48,2),"")</f>
        <v/>
      </c>
      <c r="BD48" s="930" t="str">
        <f>IFERROR(INDEX(ENDUSEALL[Rate ($/kWh)],MATCH(AZ48,ENDUSEALL[End Use to Coincident Peak Demand Factors],0)),"")</f>
        <v/>
      </c>
      <c r="BE48" s="931" t="str">
        <f>IFERROR(ROUND(AK48*KWHRATEMIN,2),"")</f>
        <v/>
      </c>
      <c r="BF48" s="931" t="str">
        <f>IFERROR(ROUND(AK48*KWHRATEMAX,2),"")</f>
        <v/>
      </c>
      <c r="BG48" s="930" t="str">
        <f>IFERROR(IF(INDEX(ENDUSEALL[Bonus Rate ($/kWh)],MATCH(AZ48,ENDUSEALL[End Use to Coincident Peak Demand Factors],0))="","",INDEX(ENDUSEALL[Bonus Rate ($/kWh)],MATCH(AZ48,ENDUSEALL[End Use to Coincident Peak Demand Factors],0))*AK48),"")</f>
        <v/>
      </c>
      <c r="BH48" s="1107" t="str">
        <f>IF(OR(C48="",E48="",G48="",K48="",M48="",O48="",Q48="",S48="",W48="",Z48="",AB48="",AD48="",AF48=""),"",IF(BJ48&lt;&gt;"",SPILLOVERNUMBER,
221&amp;INDEX(LOCATIONTYPE[Measure Number],MATCH(E48,LOCATIONTYPE[Location Type],0))&amp;INDEX(ENDUSEALL[Measure Number Indicator],MATCH(AZ48,ENDUSEALL[End Use to Coincident Peak Demand Factors],0))&amp;INDEX(CMLIGHTEFF[Measure Number],MATCH(S48,CMLIGHTEFF[Eff Desc 1],0))))</f>
        <v/>
      </c>
      <c r="BI48" s="1108" t="str">
        <f>IFERROR(IF(ROUND(AN48/AH48,2)=TOTCOSTCAP,"Cost Cap at 75%",
IF(BD48&lt;KWHRATEMIN, "kWh Incentive Rate Min",
IF(BD48&gt;KWHRATEMAX,"kWh Incentive Rate Cap",
IF(AN48=BG48,"Bonus Incentive",
"kWh Incentive")))),"")</f>
        <v/>
      </c>
      <c r="BJ48" s="1108" t="str">
        <f ca="1">IFERROR(IF(EXPIRATION&lt;&gt;"",PROJSTATEXP,
IF(BL48&gt;0,"",
IF(AW48-AX48&lt;=0,MEASURESAVE,
IF(OR(M02S04F06="",M02S04F06="Select Rate Code",M02S04F06=0),MEASURERATE,
IF(M02S04F19="",MEASUREBLDG,
IF(PAYCUSE&lt;PAYBACKREQ,PROJECTSTATPAYBACK,
IF(CBCUSE&lt;CBREQ,PROJECTSTATCB,""))))))),MEASURESUBMIT)</f>
        <v>Submit for Review</v>
      </c>
      <c r="BK48" s="930" t="str">
        <f>IFERROR(IF(OR(C48="",E48="",G48="",K48="",M48="",O48="",Q48="",S48="",W48="",Z48="",AB48="",AD48="",AF48=""),"",
ROUND(((1+ELOSS)*((AK48*INDEX(ELECCB[NPV AEC $/kWh],MATCH(AY48,ELECCB[Year Number],1)))+(BA48*INDEX(ELECCB[NPV ACC $/kW],MATCH(AY48,ELECCB[Year Number],1))))),2)),0)</f>
        <v/>
      </c>
      <c r="BL48" s="1118"/>
    </row>
    <row r="49" spans="2:64" ht="15.95" customHeight="1">
      <c r="B49" s="905"/>
      <c r="C49" s="1037"/>
      <c r="D49" s="1037"/>
      <c r="E49" s="1037"/>
      <c r="F49" s="1039"/>
      <c r="G49" s="1040"/>
      <c r="H49" s="1037"/>
      <c r="I49" s="1037"/>
      <c r="J49" s="1037"/>
      <c r="K49" s="1037"/>
      <c r="L49" s="1037"/>
      <c r="M49" s="1041"/>
      <c r="N49" s="1041"/>
      <c r="O49" s="1055"/>
      <c r="P49" s="1055"/>
      <c r="Q49" s="1058"/>
      <c r="R49" s="1059"/>
      <c r="S49" s="1061"/>
      <c r="T49" s="1037"/>
      <c r="U49" s="1037"/>
      <c r="V49" s="1037"/>
      <c r="W49" s="1037"/>
      <c r="X49" s="1037"/>
      <c r="Y49" s="1037"/>
      <c r="Z49" s="1041"/>
      <c r="AA49" s="1041"/>
      <c r="AB49" s="1044"/>
      <c r="AC49" s="1045"/>
      <c r="AD49" s="1053"/>
      <c r="AE49" s="1054"/>
      <c r="AF49" s="1054"/>
      <c r="AG49" s="1083"/>
      <c r="AH49" s="1064"/>
      <c r="AI49" s="1065"/>
      <c r="AJ49" s="1065"/>
      <c r="AK49" s="1066"/>
      <c r="AL49" s="1066"/>
      <c r="AM49" s="1066"/>
      <c r="AN49" s="1049"/>
      <c r="AO49" s="1050"/>
      <c r="AP49" s="1050"/>
      <c r="AQ49" s="1050"/>
      <c r="AR49" s="235"/>
      <c r="AS49" s="235"/>
      <c r="AT49" s="1104"/>
      <c r="AU49" s="1104"/>
      <c r="AV49" s="1105"/>
      <c r="AW49" s="1025"/>
      <c r="AX49" s="1025"/>
      <c r="AY49" s="1114"/>
      <c r="AZ49" s="1116"/>
      <c r="BA49" s="1109"/>
      <c r="BB49" s="1111"/>
      <c r="BC49" s="931"/>
      <c r="BD49" s="931"/>
      <c r="BE49" s="931"/>
      <c r="BF49" s="931"/>
      <c r="BG49" s="931"/>
      <c r="BH49" s="1107"/>
      <c r="BI49" s="1105"/>
      <c r="BJ49" s="1105"/>
      <c r="BK49" s="931"/>
      <c r="BL49" s="1119"/>
    </row>
    <row r="50" spans="2:64" ht="15.95" customHeight="1">
      <c r="B50" s="905">
        <v>17</v>
      </c>
      <c r="C50" s="1037"/>
      <c r="D50" s="1037"/>
      <c r="E50" s="1037"/>
      <c r="F50" s="1039"/>
      <c r="G50" s="1040"/>
      <c r="H50" s="1037"/>
      <c r="I50" s="1037"/>
      <c r="J50" s="1037"/>
      <c r="K50" s="1037"/>
      <c r="L50" s="1037"/>
      <c r="M50" s="1041"/>
      <c r="N50" s="1041"/>
      <c r="O50" s="1055" t="str">
        <f>IFERROR(IF(G50="","",INDEX(CMLIGHTBASE[Base Watt 1],MATCH(G50,CMLIGHTBASE[Base Desc 1],0))),"")</f>
        <v/>
      </c>
      <c r="P50" s="1055"/>
      <c r="Q50" s="1058"/>
      <c r="R50" s="1059"/>
      <c r="S50" s="1061"/>
      <c r="T50" s="1037"/>
      <c r="U50" s="1037"/>
      <c r="V50" s="1037"/>
      <c r="W50" s="1037"/>
      <c r="X50" s="1037"/>
      <c r="Y50" s="1037"/>
      <c r="Z50" s="1041"/>
      <c r="AA50" s="1041"/>
      <c r="AB50" s="1044"/>
      <c r="AC50" s="1045"/>
      <c r="AD50" s="1053"/>
      <c r="AE50" s="1054"/>
      <c r="AF50" s="1054"/>
      <c r="AG50" s="1083"/>
      <c r="AH50" s="1064" t="str">
        <f t="shared" ref="AH50" si="60">IF(OR(C50="",E50="",G50="",K50="",M50="",O50="",Q50="",S50="",W50="",Z50="",AB50="",AD50="",AF50=""),"",ROUND(AD50+AF50,2))</f>
        <v/>
      </c>
      <c r="AI50" s="1065"/>
      <c r="AJ50" s="1065"/>
      <c r="AK50" s="1066" t="str">
        <f t="shared" ref="AK50" si="61">IF(OR(C50="",E50="",G50="",K50="",M50="",O50="",Q50="",S50="",W50="",Z50="",AB50="",AD50="",AF50=""),"",IF(AW50-AX50&lt;=0,0,AW50-AX50))</f>
        <v/>
      </c>
      <c r="AL50" s="1066"/>
      <c r="AM50" s="1066"/>
      <c r="AN50" s="1047" t="str">
        <f>IF(OR(C50="",E50="",G50="",K50="",M50="",O50="",Q50="",S50="",W50="",Z50="",AB50="",AD50="",AF50=""),"",
IF(BJ50&lt;&gt;"",BJ50,IF(BL50&gt;0,BL50,
IF(ACTIVEBLOCK="Yes",ROUND(MIN(AH50*0.75,AK50*BLOCKBIDRATE),2),
IF(BG50&lt;&gt;"",ROUND(MIN(AH50*0.75,BG50),2),
IF(BD50&lt;KWHRATEMIN,ROUND(MIN(AH50*0.75,BE50),2),
IF(BD50&gt;KWHRATEMAX,ROUND(MIN(AH50*0.75,BF50),2),
ROUND(MIN(AH50*0.75,BC50),2))))))))</f>
        <v/>
      </c>
      <c r="AO50" s="1048"/>
      <c r="AP50" s="1048"/>
      <c r="AQ50" s="1048"/>
      <c r="AR50" s="235"/>
      <c r="AS50" s="235"/>
      <c r="AT50" s="1104" t="str">
        <f>IFERROR(IF(OR(C50="",E50="",G50="",K50="",M50="",O50="",Q50="",S50="",W50="",Z50="",AB50="",AD50="",AF50=""),"",
ROUND(((1+ELOSS)*((AK50*INDEX(ELECCB[NPV AEC $/kWh],MATCH(AY50,ELECCB[Year Number],1)))+(BA50*INDEX(ELECCB[NPV ACC $/kW],MATCH(AY50,ELECCB[Year Number],1))))/AH50),2)),0)</f>
        <v/>
      </c>
      <c r="AU50" s="1104" t="str">
        <f>IFERROR(AH50/M02S04F06/AK50,"")</f>
        <v/>
      </c>
      <c r="AV50" s="1105" t="str">
        <f>IF(OR(G50="",S50=""),"",IF(INDEX(CMLIGHTEFF[Unit],MATCH(S50,CMLIGHTEFF[Eff Desc 1],0))="","",INDEX(CMLIGHTEFF[Unit],MATCH(S50,CMLIGHTEFF[Eff Desc 1],0))))</f>
        <v/>
      </c>
      <c r="AW50" s="1103" t="str">
        <f>IF(OR(C50="",E50="",G50="",K50="",M50="",O50="",Q50="",S50="",W50="",Z50="",AB50="",AD50="",AF50=""),"",
IF(OR(ISNUMBER(SEARCH("Exterior",E50)),ISNUMBER(SEARCH("Garage",E50))),ROUND(M50*O50*Q50/1000,0),
ROUND(M50*O50*Q50/1000*INDEX(BUILDINGTYPE[Waste Heat Factor (e)],MATCH(M02S04F19,BUILDINGTYPE[Building Type],0)),4)))</f>
        <v/>
      </c>
      <c r="AX50" s="1103" t="str">
        <f>IF(OR(C50="",E50="",G50="",K50="",M50="",O50="",Q50="",S50="",W50="",Z50="",AB50="",AD50="",AF50=""),"",
IF(OR(ISNUMBER(SEARCH("Exterior",E50)),ISNUMBER(SEARCH("Garage",E50))),ROUND(Z50*AB50*Q50/1000,4),
ROUND(Z50*AB50*Q50/1000*INDEX(BUILDINGTYPE[Waste Heat Factor (e)],MATCH(M02S04F19,BUILDINGTYPE[Building Type],0)),4)))</f>
        <v/>
      </c>
      <c r="AY50" s="1114" t="str">
        <f>IF(OR(G50="",S50=""),"",IF(INDEX(CMLIGHTEFF[EUL],MATCH(S50,CMLIGHTEFF[Eff Desc 1],0))="","",INDEX(CMLIGHTEFF[EUL],MATCH(S50,CMLIGHTEFF[Eff Desc 1],0))))</f>
        <v/>
      </c>
      <c r="AZ50" s="1115" t="str">
        <f t="shared" ref="AZ50" si="62">IF(OR(E50="",G50="",S50=""),"",IF(ISNUMBER(SEARCH("24/7",E50)),"Ext Lighting w/ Peak ",IF(E50="Interior","Interior Lighting",IF(OR(E50="Garage",E50="Exterior"),"Ext Lighting w/o Peak","Err"))))</f>
        <v/>
      </c>
      <c r="BA50" s="1109" t="str">
        <f>IFERROR(IF(OR(C50="",E50="",G50="",K50="",M50="",O50="",Q50="",S50="",W50="",Z50="",AB50="",AD50="",AF50=""),"",ROUND(AK50*INDEX(ENDUSEALL[Factor],MATCH(AZ50,ENDUSEALL[End Use to Coincident Peak Demand Factors],0)),4)),"")</f>
        <v/>
      </c>
      <c r="BB50" s="1111" t="str">
        <f>IFERROR(IF(OR(C50="",E50="",G50="",K50="",M50="",O50="",Q50="",S50="",W50="",Z50="",AB50="",AD50="",AF50=""),"",IF(OR(E50="Garage",E50="Exterior"),0,
ROUND((((M50*O50)-(Z50*AB50))/1000)*INDEX(BUILDINGTYPE[Waste Heat Factor (e)],MATCH(M02S04F19,BUILDINGTYPE[Building Type],0))*INDEX(BUILDINGTYPE[Lighting Coincidence Factor],MATCH(M02S04F19,BUILDINGTYPE[Building Type],0)),4))),"")</f>
        <v/>
      </c>
      <c r="BC50" s="930" t="str">
        <f t="shared" ref="BC50" si="63">IFERROR(ROUND(AK50*BD50,2),"")</f>
        <v/>
      </c>
      <c r="BD50" s="930" t="str">
        <f>IFERROR(INDEX(ENDUSEALL[Rate ($/kWh)],MATCH(AZ50,ENDUSEALL[End Use to Coincident Peak Demand Factors],0)),"")</f>
        <v/>
      </c>
      <c r="BE50" s="931" t="str">
        <f>IFERROR(ROUND(AK50*KWHRATEMIN,2),"")</f>
        <v/>
      </c>
      <c r="BF50" s="931" t="str">
        <f>IFERROR(ROUND(AK50*KWHRATEMAX,2),"")</f>
        <v/>
      </c>
      <c r="BG50" s="930" t="str">
        <f>IFERROR(IF(INDEX(ENDUSEALL[Bonus Rate ($/kWh)],MATCH(AZ50,ENDUSEALL[End Use to Coincident Peak Demand Factors],0))="","",INDEX(ENDUSEALL[Bonus Rate ($/kWh)],MATCH(AZ50,ENDUSEALL[End Use to Coincident Peak Demand Factors],0))*AK50),"")</f>
        <v/>
      </c>
      <c r="BH50" s="1107" t="str">
        <f>IF(OR(C50="",E50="",G50="",K50="",M50="",O50="",Q50="",S50="",W50="",Z50="",AB50="",AD50="",AF50=""),"",IF(BJ50&lt;&gt;"",SPILLOVERNUMBER,
221&amp;INDEX(LOCATIONTYPE[Measure Number],MATCH(E50,LOCATIONTYPE[Location Type],0))&amp;INDEX(ENDUSEALL[Measure Number Indicator],MATCH(AZ50,ENDUSEALL[End Use to Coincident Peak Demand Factors],0))&amp;INDEX(CMLIGHTEFF[Measure Number],MATCH(S50,CMLIGHTEFF[Eff Desc 1],0))))</f>
        <v/>
      </c>
      <c r="BI50" s="1108" t="str">
        <f>IFERROR(IF(ROUND(AN50/AH50,2)=TOTCOSTCAP,"Cost Cap at 75%",
IF(BD50&lt;KWHRATEMIN, "kWh Incentive Rate Min",
IF(BD50&gt;KWHRATEMAX,"kWh Incentive Rate Cap",
IF(AN50=BG50,"Bonus Incentive",
"kWh Incentive")))),"")</f>
        <v/>
      </c>
      <c r="BJ50" s="1108" t="str">
        <f ca="1">IFERROR(IF(EXPIRATION&lt;&gt;"",PROJSTATEXP,
IF(BL50&gt;0,"",
IF(AW50-AX50&lt;=0,MEASURESAVE,
IF(OR(M02S04F06="",M02S04F06="Select Rate Code",M02S04F06=0),MEASURERATE,
IF(M02S04F19="",MEASUREBLDG,
IF(PAYCUSE&lt;PAYBACKREQ,PROJECTSTATPAYBACK,
IF(CBCUSE&lt;CBREQ,PROJECTSTATCB,""))))))),MEASURESUBMIT)</f>
        <v>Submit for Review</v>
      </c>
      <c r="BK50" s="930" t="str">
        <f>IFERROR(IF(OR(C50="",E50="",G50="",K50="",M50="",O50="",Q50="",S50="",W50="",Z50="",AB50="",AD50="",AF50=""),"",
ROUND(((1+ELOSS)*((AK50*INDEX(ELECCB[NPV AEC $/kWh],MATCH(AY50,ELECCB[Year Number],1)))+(BA50*INDEX(ELECCB[NPV ACC $/kW],MATCH(AY50,ELECCB[Year Number],1))))),2)),0)</f>
        <v/>
      </c>
      <c r="BL50" s="1118"/>
    </row>
    <row r="51" spans="2:64" ht="15.95" customHeight="1">
      <c r="B51" s="905"/>
      <c r="C51" s="1037"/>
      <c r="D51" s="1037"/>
      <c r="E51" s="1037"/>
      <c r="F51" s="1039"/>
      <c r="G51" s="1040"/>
      <c r="H51" s="1037"/>
      <c r="I51" s="1037"/>
      <c r="J51" s="1037"/>
      <c r="K51" s="1037"/>
      <c r="L51" s="1037"/>
      <c r="M51" s="1041"/>
      <c r="N51" s="1041"/>
      <c r="O51" s="1055"/>
      <c r="P51" s="1055"/>
      <c r="Q51" s="1058"/>
      <c r="R51" s="1059"/>
      <c r="S51" s="1061"/>
      <c r="T51" s="1037"/>
      <c r="U51" s="1037"/>
      <c r="V51" s="1037"/>
      <c r="W51" s="1037"/>
      <c r="X51" s="1037"/>
      <c r="Y51" s="1037"/>
      <c r="Z51" s="1041"/>
      <c r="AA51" s="1041"/>
      <c r="AB51" s="1044"/>
      <c r="AC51" s="1045"/>
      <c r="AD51" s="1053"/>
      <c r="AE51" s="1054"/>
      <c r="AF51" s="1054"/>
      <c r="AG51" s="1083"/>
      <c r="AH51" s="1064"/>
      <c r="AI51" s="1065"/>
      <c r="AJ51" s="1065"/>
      <c r="AK51" s="1066"/>
      <c r="AL51" s="1066"/>
      <c r="AM51" s="1066"/>
      <c r="AN51" s="1049"/>
      <c r="AO51" s="1050"/>
      <c r="AP51" s="1050"/>
      <c r="AQ51" s="1050"/>
      <c r="AR51" s="235"/>
      <c r="AS51" s="235"/>
      <c r="AT51" s="1104"/>
      <c r="AU51" s="1104"/>
      <c r="AV51" s="1105"/>
      <c r="AW51" s="1025"/>
      <c r="AX51" s="1025"/>
      <c r="AY51" s="1114"/>
      <c r="AZ51" s="1116"/>
      <c r="BA51" s="1109"/>
      <c r="BB51" s="1111"/>
      <c r="BC51" s="931"/>
      <c r="BD51" s="931"/>
      <c r="BE51" s="931"/>
      <c r="BF51" s="931"/>
      <c r="BG51" s="931"/>
      <c r="BH51" s="1107"/>
      <c r="BI51" s="1105"/>
      <c r="BJ51" s="1105"/>
      <c r="BK51" s="931"/>
      <c r="BL51" s="1119"/>
    </row>
    <row r="52" spans="2:64" ht="15.95" customHeight="1">
      <c r="B52" s="905">
        <v>18</v>
      </c>
      <c r="C52" s="1037"/>
      <c r="D52" s="1037"/>
      <c r="E52" s="1037"/>
      <c r="F52" s="1039"/>
      <c r="G52" s="1040"/>
      <c r="H52" s="1037"/>
      <c r="I52" s="1037"/>
      <c r="J52" s="1037"/>
      <c r="K52" s="1037"/>
      <c r="L52" s="1037"/>
      <c r="M52" s="1041"/>
      <c r="N52" s="1041"/>
      <c r="O52" s="1055" t="str">
        <f>IFERROR(IF(G52="","",INDEX(CMLIGHTBASE[Base Watt 1],MATCH(G52,CMLIGHTBASE[Base Desc 1],0))),"")</f>
        <v/>
      </c>
      <c r="P52" s="1055"/>
      <c r="Q52" s="1058"/>
      <c r="R52" s="1059"/>
      <c r="S52" s="1061"/>
      <c r="T52" s="1037"/>
      <c r="U52" s="1037"/>
      <c r="V52" s="1037"/>
      <c r="W52" s="1037"/>
      <c r="X52" s="1037"/>
      <c r="Y52" s="1037"/>
      <c r="Z52" s="1041"/>
      <c r="AA52" s="1041"/>
      <c r="AB52" s="1044"/>
      <c r="AC52" s="1045"/>
      <c r="AD52" s="1053"/>
      <c r="AE52" s="1054"/>
      <c r="AF52" s="1054"/>
      <c r="AG52" s="1083"/>
      <c r="AH52" s="1064" t="str">
        <f t="shared" ref="AH52" si="64">IF(OR(C52="",E52="",G52="",K52="",M52="",O52="",Q52="",S52="",W52="",Z52="",AB52="",AD52="",AF52=""),"",ROUND(AD52+AF52,2))</f>
        <v/>
      </c>
      <c r="AI52" s="1065"/>
      <c r="AJ52" s="1065"/>
      <c r="AK52" s="1066" t="str">
        <f t="shared" ref="AK52" si="65">IF(OR(C52="",E52="",G52="",K52="",M52="",O52="",Q52="",S52="",W52="",Z52="",AB52="",AD52="",AF52=""),"",IF(AW52-AX52&lt;=0,0,AW52-AX52))</f>
        <v/>
      </c>
      <c r="AL52" s="1066"/>
      <c r="AM52" s="1066"/>
      <c r="AN52" s="1047" t="str">
        <f>IF(OR(C52="",E52="",G52="",K52="",M52="",O52="",Q52="",S52="",W52="",Z52="",AB52="",AD52="",AF52=""),"",
IF(BJ52&lt;&gt;"",BJ52,IF(BL52&gt;0,BL52,
IF(ACTIVEBLOCK="Yes",ROUND(MIN(AH52*0.75,AK52*BLOCKBIDRATE),2),
IF(BG52&lt;&gt;"",ROUND(MIN(AH52*0.75,BG52),2),
IF(BD52&lt;KWHRATEMIN,ROUND(MIN(AH52*0.75,BE52),2),
IF(BD52&gt;KWHRATEMAX,ROUND(MIN(AH52*0.75,BF52),2),
ROUND(MIN(AH52*0.75,BC52),2))))))))</f>
        <v/>
      </c>
      <c r="AO52" s="1048"/>
      <c r="AP52" s="1048"/>
      <c r="AQ52" s="1048"/>
      <c r="AR52" s="235"/>
      <c r="AS52" s="235"/>
      <c r="AT52" s="1104" t="str">
        <f>IFERROR(IF(OR(C52="",E52="",G52="",K52="",M52="",O52="",Q52="",S52="",W52="",Z52="",AB52="",AD52="",AF52=""),"",
ROUND(((1+ELOSS)*((AK52*INDEX(ELECCB[NPV AEC $/kWh],MATCH(AY52,ELECCB[Year Number],1)))+(BA52*INDEX(ELECCB[NPV ACC $/kW],MATCH(AY52,ELECCB[Year Number],1))))/AH52),2)),0)</f>
        <v/>
      </c>
      <c r="AU52" s="1104" t="str">
        <f>IFERROR(AH52/M02S04F06/AK52,"")</f>
        <v/>
      </c>
      <c r="AV52" s="1105" t="str">
        <f>IF(OR(G52="",S52=""),"",IF(INDEX(CMLIGHTEFF[Unit],MATCH(S52,CMLIGHTEFF[Eff Desc 1],0))="","",INDEX(CMLIGHTEFF[Unit],MATCH(S52,CMLIGHTEFF[Eff Desc 1],0))))</f>
        <v/>
      </c>
      <c r="AW52" s="1103" t="str">
        <f>IF(OR(C52="",E52="",G52="",K52="",M52="",O52="",Q52="",S52="",W52="",Z52="",AB52="",AD52="",AF52=""),"",
IF(OR(ISNUMBER(SEARCH("Exterior",E52)),ISNUMBER(SEARCH("Garage",E52))),ROUND(M52*O52*Q52/1000,0),
ROUND(M52*O52*Q52/1000*INDEX(BUILDINGTYPE[Waste Heat Factor (e)],MATCH(M02S04F19,BUILDINGTYPE[Building Type],0)),4)))</f>
        <v/>
      </c>
      <c r="AX52" s="1103" t="str">
        <f>IF(OR(C52="",E52="",G52="",K52="",M52="",O52="",Q52="",S52="",W52="",Z52="",AB52="",AD52="",AF52=""),"",
IF(OR(ISNUMBER(SEARCH("Exterior",E52)),ISNUMBER(SEARCH("Garage",E52))),ROUND(Z52*AB52*Q52/1000,4),
ROUND(Z52*AB52*Q52/1000*INDEX(BUILDINGTYPE[Waste Heat Factor (e)],MATCH(M02S04F19,BUILDINGTYPE[Building Type],0)),4)))</f>
        <v/>
      </c>
      <c r="AY52" s="1114" t="str">
        <f>IF(OR(G52="",S52=""),"",IF(INDEX(CMLIGHTEFF[EUL],MATCH(S52,CMLIGHTEFF[Eff Desc 1],0))="","",INDEX(CMLIGHTEFF[EUL],MATCH(S52,CMLIGHTEFF[Eff Desc 1],0))))</f>
        <v/>
      </c>
      <c r="AZ52" s="1115" t="str">
        <f t="shared" ref="AZ52" si="66">IF(OR(E52="",G52="",S52=""),"",IF(ISNUMBER(SEARCH("24/7",E52)),"Ext Lighting w/ Peak ",IF(E52="Interior","Interior Lighting",IF(OR(E52="Garage",E52="Exterior"),"Ext Lighting w/o Peak","Err"))))</f>
        <v/>
      </c>
      <c r="BA52" s="1109" t="str">
        <f>IFERROR(IF(OR(C52="",E52="",G52="",K52="",M52="",O52="",Q52="",S52="",W52="",Z52="",AB52="",AD52="",AF52=""),"",ROUND(AK52*INDEX(ENDUSEALL[Factor],MATCH(AZ52,ENDUSEALL[End Use to Coincident Peak Demand Factors],0)),4)),"")</f>
        <v/>
      </c>
      <c r="BB52" s="1111" t="str">
        <f>IFERROR(IF(OR(C52="",E52="",G52="",K52="",M52="",O52="",Q52="",S52="",W52="",Z52="",AB52="",AD52="",AF52=""),"",IF(OR(E52="Garage",E52="Exterior"),0,
ROUND((((M52*O52)-(Z52*AB52))/1000)*INDEX(BUILDINGTYPE[Waste Heat Factor (e)],MATCH(M02S04F19,BUILDINGTYPE[Building Type],0))*INDEX(BUILDINGTYPE[Lighting Coincidence Factor],MATCH(M02S04F19,BUILDINGTYPE[Building Type],0)),4))),"")</f>
        <v/>
      </c>
      <c r="BC52" s="930" t="str">
        <f t="shared" ref="BC52" si="67">IFERROR(ROUND(AK52*BD52,2),"")</f>
        <v/>
      </c>
      <c r="BD52" s="930" t="str">
        <f>IFERROR(INDEX(ENDUSEALL[Rate ($/kWh)],MATCH(AZ52,ENDUSEALL[End Use to Coincident Peak Demand Factors],0)),"")</f>
        <v/>
      </c>
      <c r="BE52" s="931" t="str">
        <f>IFERROR(ROUND(AK52*KWHRATEMIN,2),"")</f>
        <v/>
      </c>
      <c r="BF52" s="931" t="str">
        <f>IFERROR(ROUND(AK52*KWHRATEMAX,2),"")</f>
        <v/>
      </c>
      <c r="BG52" s="930" t="str">
        <f>IFERROR(IF(INDEX(ENDUSEALL[Bonus Rate ($/kWh)],MATCH(AZ52,ENDUSEALL[End Use to Coincident Peak Demand Factors],0))="","",INDEX(ENDUSEALL[Bonus Rate ($/kWh)],MATCH(AZ52,ENDUSEALL[End Use to Coincident Peak Demand Factors],0))*AK52),"")</f>
        <v/>
      </c>
      <c r="BH52" s="1107" t="str">
        <f>IF(OR(C52="",E52="",G52="",K52="",M52="",O52="",Q52="",S52="",W52="",Z52="",AB52="",AD52="",AF52=""),"",IF(BJ52&lt;&gt;"",SPILLOVERNUMBER,
221&amp;INDEX(LOCATIONTYPE[Measure Number],MATCH(E52,LOCATIONTYPE[Location Type],0))&amp;INDEX(ENDUSEALL[Measure Number Indicator],MATCH(AZ52,ENDUSEALL[End Use to Coincident Peak Demand Factors],0))&amp;INDEX(CMLIGHTEFF[Measure Number],MATCH(S52,CMLIGHTEFF[Eff Desc 1],0))))</f>
        <v/>
      </c>
      <c r="BI52" s="1108" t="str">
        <f>IFERROR(IF(ROUND(AN52/AH52,2)=TOTCOSTCAP,"Cost Cap at 75%",
IF(BD52&lt;KWHRATEMIN, "kWh Incentive Rate Min",
IF(BD52&gt;KWHRATEMAX,"kWh Incentive Rate Cap",
IF(AN52=BG52,"Bonus Incentive",
"kWh Incentive")))),"")</f>
        <v/>
      </c>
      <c r="BJ52" s="1108" t="str">
        <f ca="1">IFERROR(IF(EXPIRATION&lt;&gt;"",PROJSTATEXP,
IF(BL52&gt;0,"",
IF(AW52-AX52&lt;=0,MEASURESAVE,
IF(OR(M02S04F06="",M02S04F06="Select Rate Code",M02S04F06=0),MEASURERATE,
IF(M02S04F19="",MEASUREBLDG,
IF(PAYCUSE&lt;PAYBACKREQ,PROJECTSTATPAYBACK,
IF(CBCUSE&lt;CBREQ,PROJECTSTATCB,""))))))),MEASURESUBMIT)</f>
        <v>Submit for Review</v>
      </c>
      <c r="BK52" s="930" t="str">
        <f>IFERROR(IF(OR(C52="",E52="",G52="",K52="",M52="",O52="",Q52="",S52="",W52="",Z52="",AB52="",AD52="",AF52=""),"",
ROUND(((1+ELOSS)*((AK52*INDEX(ELECCB[NPV AEC $/kWh],MATCH(AY52,ELECCB[Year Number],1)))+(BA52*INDEX(ELECCB[NPV ACC $/kW],MATCH(AY52,ELECCB[Year Number],1))))),2)),0)</f>
        <v/>
      </c>
      <c r="BL52" s="1118"/>
    </row>
    <row r="53" spans="2:64" ht="15.95" customHeight="1">
      <c r="B53" s="905"/>
      <c r="C53" s="1037"/>
      <c r="D53" s="1037"/>
      <c r="E53" s="1037"/>
      <c r="F53" s="1039"/>
      <c r="G53" s="1040"/>
      <c r="H53" s="1037"/>
      <c r="I53" s="1037"/>
      <c r="J53" s="1037"/>
      <c r="K53" s="1037"/>
      <c r="L53" s="1037"/>
      <c r="M53" s="1041"/>
      <c r="N53" s="1041"/>
      <c r="O53" s="1055"/>
      <c r="P53" s="1055"/>
      <c r="Q53" s="1058"/>
      <c r="R53" s="1059"/>
      <c r="S53" s="1061"/>
      <c r="T53" s="1037"/>
      <c r="U53" s="1037"/>
      <c r="V53" s="1037"/>
      <c r="W53" s="1037"/>
      <c r="X53" s="1037"/>
      <c r="Y53" s="1037"/>
      <c r="Z53" s="1041"/>
      <c r="AA53" s="1041"/>
      <c r="AB53" s="1044"/>
      <c r="AC53" s="1045"/>
      <c r="AD53" s="1053"/>
      <c r="AE53" s="1054"/>
      <c r="AF53" s="1054"/>
      <c r="AG53" s="1083"/>
      <c r="AH53" s="1064"/>
      <c r="AI53" s="1065"/>
      <c r="AJ53" s="1065"/>
      <c r="AK53" s="1066"/>
      <c r="AL53" s="1066"/>
      <c r="AM53" s="1066"/>
      <c r="AN53" s="1049"/>
      <c r="AO53" s="1050"/>
      <c r="AP53" s="1050"/>
      <c r="AQ53" s="1050"/>
      <c r="AR53" s="235"/>
      <c r="AS53" s="235"/>
      <c r="AT53" s="1104"/>
      <c r="AU53" s="1104"/>
      <c r="AV53" s="1105"/>
      <c r="AW53" s="1025"/>
      <c r="AX53" s="1025"/>
      <c r="AY53" s="1114"/>
      <c r="AZ53" s="1116"/>
      <c r="BA53" s="1109"/>
      <c r="BB53" s="1111"/>
      <c r="BC53" s="931"/>
      <c r="BD53" s="931"/>
      <c r="BE53" s="931"/>
      <c r="BF53" s="931"/>
      <c r="BG53" s="931"/>
      <c r="BH53" s="1107"/>
      <c r="BI53" s="1105"/>
      <c r="BJ53" s="1105"/>
      <c r="BK53" s="931"/>
      <c r="BL53" s="1119"/>
    </row>
    <row r="54" spans="2:64" ht="15.95" customHeight="1">
      <c r="B54" s="905">
        <v>19</v>
      </c>
      <c r="C54" s="1037"/>
      <c r="D54" s="1037"/>
      <c r="E54" s="1037"/>
      <c r="F54" s="1039"/>
      <c r="G54" s="1040"/>
      <c r="H54" s="1037"/>
      <c r="I54" s="1037"/>
      <c r="J54" s="1037"/>
      <c r="K54" s="1037"/>
      <c r="L54" s="1037"/>
      <c r="M54" s="1041"/>
      <c r="N54" s="1041"/>
      <c r="O54" s="1055" t="str">
        <f>IFERROR(IF(G54="","",INDEX(CMLIGHTBASE[Base Watt 1],MATCH(G54,CMLIGHTBASE[Base Desc 1],0))),"")</f>
        <v/>
      </c>
      <c r="P54" s="1055"/>
      <c r="Q54" s="1058"/>
      <c r="R54" s="1059"/>
      <c r="S54" s="1061"/>
      <c r="T54" s="1037"/>
      <c r="U54" s="1037"/>
      <c r="V54" s="1037"/>
      <c r="W54" s="1037"/>
      <c r="X54" s="1037"/>
      <c r="Y54" s="1037"/>
      <c r="Z54" s="1041"/>
      <c r="AA54" s="1041"/>
      <c r="AB54" s="1044"/>
      <c r="AC54" s="1045"/>
      <c r="AD54" s="1053"/>
      <c r="AE54" s="1054"/>
      <c r="AF54" s="1054"/>
      <c r="AG54" s="1083"/>
      <c r="AH54" s="1064" t="str">
        <f t="shared" ref="AH54" si="68">IF(OR(C54="",E54="",G54="",K54="",M54="",O54="",Q54="",S54="",W54="",Z54="",AB54="",AD54="",AF54=""),"",ROUND(AD54+AF54,2))</f>
        <v/>
      </c>
      <c r="AI54" s="1065"/>
      <c r="AJ54" s="1065"/>
      <c r="AK54" s="1066" t="str">
        <f t="shared" ref="AK54" si="69">IF(OR(C54="",E54="",G54="",K54="",M54="",O54="",Q54="",S54="",W54="",Z54="",AB54="",AD54="",AF54=""),"",IF(AW54-AX54&lt;=0,0,AW54-AX54))</f>
        <v/>
      </c>
      <c r="AL54" s="1066"/>
      <c r="AM54" s="1066"/>
      <c r="AN54" s="1047" t="str">
        <f>IF(OR(C54="",E54="",G54="",K54="",M54="",O54="",Q54="",S54="",W54="",Z54="",AB54="",AD54="",AF54=""),"",
IF(BJ54&lt;&gt;"",BJ54,IF(BL54&gt;0,BL54,
IF(ACTIVEBLOCK="Yes",ROUND(MIN(AH54*0.75,AK54*BLOCKBIDRATE),2),
IF(BG54&lt;&gt;"",ROUND(MIN(AH54*0.75,BG54),2),
IF(BD54&lt;KWHRATEMIN,ROUND(MIN(AH54*0.75,BE54),2),
IF(BD54&gt;KWHRATEMAX,ROUND(MIN(AH54*0.75,BF54),2),
ROUND(MIN(AH54*0.75,BC54),2))))))))</f>
        <v/>
      </c>
      <c r="AO54" s="1048"/>
      <c r="AP54" s="1048"/>
      <c r="AQ54" s="1048"/>
      <c r="AR54" s="235"/>
      <c r="AS54" s="235"/>
      <c r="AT54" s="1104" t="str">
        <f>IFERROR(IF(OR(C54="",E54="",G54="",K54="",M54="",O54="",Q54="",S54="",W54="",Z54="",AB54="",AD54="",AF54=""),"",
ROUND(((1+ELOSS)*((AK54*INDEX(ELECCB[NPV AEC $/kWh],MATCH(AY54,ELECCB[Year Number],1)))+(BA54*INDEX(ELECCB[NPV ACC $/kW],MATCH(AY54,ELECCB[Year Number],1))))/AH54),2)),0)</f>
        <v/>
      </c>
      <c r="AU54" s="1104" t="str">
        <f>IFERROR(AH54/M02S04F06/AK54,"")</f>
        <v/>
      </c>
      <c r="AV54" s="1105" t="str">
        <f>IF(OR(G54="",S54=""),"",IF(INDEX(CMLIGHTEFF[Unit],MATCH(S54,CMLIGHTEFF[Eff Desc 1],0))="","",INDEX(CMLIGHTEFF[Unit],MATCH(S54,CMLIGHTEFF[Eff Desc 1],0))))</f>
        <v/>
      </c>
      <c r="AW54" s="1103" t="str">
        <f>IF(OR(C54="",E54="",G54="",K54="",M54="",O54="",Q54="",S54="",W54="",Z54="",AB54="",AD54="",AF54=""),"",
IF(OR(ISNUMBER(SEARCH("Exterior",E54)),ISNUMBER(SEARCH("Garage",E54))),ROUND(M54*O54*Q54/1000,0),
ROUND(M54*O54*Q54/1000*INDEX(BUILDINGTYPE[Waste Heat Factor (e)],MATCH(M02S04F19,BUILDINGTYPE[Building Type],0)),4)))</f>
        <v/>
      </c>
      <c r="AX54" s="1103" t="str">
        <f>IF(OR(C54="",E54="",G54="",K54="",M54="",O54="",Q54="",S54="",W54="",Z54="",AB54="",AD54="",AF54=""),"",
IF(OR(ISNUMBER(SEARCH("Exterior",E54)),ISNUMBER(SEARCH("Garage",E54))),ROUND(Z54*AB54*Q54/1000,4),
ROUND(Z54*AB54*Q54/1000*INDEX(BUILDINGTYPE[Waste Heat Factor (e)],MATCH(M02S04F19,BUILDINGTYPE[Building Type],0)),4)))</f>
        <v/>
      </c>
      <c r="AY54" s="1114" t="str">
        <f>IF(OR(G54="",S54=""),"",IF(INDEX(CMLIGHTEFF[EUL],MATCH(S54,CMLIGHTEFF[Eff Desc 1],0))="","",INDEX(CMLIGHTEFF[EUL],MATCH(S54,CMLIGHTEFF[Eff Desc 1],0))))</f>
        <v/>
      </c>
      <c r="AZ54" s="1115" t="str">
        <f t="shared" ref="AZ54" si="70">IF(OR(E54="",G54="",S54=""),"",IF(ISNUMBER(SEARCH("24/7",E54)),"Ext Lighting w/ Peak ",IF(E54="Interior","Interior Lighting",IF(OR(E54="Garage",E54="Exterior"),"Ext Lighting w/o Peak","Err"))))</f>
        <v/>
      </c>
      <c r="BA54" s="1109" t="str">
        <f>IFERROR(IF(OR(C54="",E54="",G54="",K54="",M54="",O54="",Q54="",S54="",W54="",Z54="",AB54="",AD54="",AF54=""),"",ROUND(AK54*INDEX(ENDUSEALL[Factor],MATCH(AZ54,ENDUSEALL[End Use to Coincident Peak Demand Factors],0)),4)),"")</f>
        <v/>
      </c>
      <c r="BB54" s="1111" t="str">
        <f>IFERROR(IF(OR(C54="",E54="",G54="",K54="",M54="",O54="",Q54="",S54="",W54="",Z54="",AB54="",AD54="",AF54=""),"",IF(OR(E54="Garage",E54="Exterior"),0,
ROUND((((M54*O54)-(Z54*AB54))/1000)*INDEX(BUILDINGTYPE[Waste Heat Factor (e)],MATCH(M02S04F19,BUILDINGTYPE[Building Type],0))*INDEX(BUILDINGTYPE[Lighting Coincidence Factor],MATCH(M02S04F19,BUILDINGTYPE[Building Type],0)),4))),"")</f>
        <v/>
      </c>
      <c r="BC54" s="930" t="str">
        <f t="shared" ref="BC54" si="71">IFERROR(ROUND(AK54*BD54,2),"")</f>
        <v/>
      </c>
      <c r="BD54" s="930" t="str">
        <f>IFERROR(INDEX(ENDUSEALL[Rate ($/kWh)],MATCH(AZ54,ENDUSEALL[End Use to Coincident Peak Demand Factors],0)),"")</f>
        <v/>
      </c>
      <c r="BE54" s="931" t="str">
        <f>IFERROR(ROUND(AK54*KWHRATEMIN,2),"")</f>
        <v/>
      </c>
      <c r="BF54" s="931" t="str">
        <f>IFERROR(ROUND(AK54*KWHRATEMAX,2),"")</f>
        <v/>
      </c>
      <c r="BG54" s="930" t="str">
        <f>IFERROR(IF(INDEX(ENDUSEALL[Bonus Rate ($/kWh)],MATCH(AZ54,ENDUSEALL[End Use to Coincident Peak Demand Factors],0))="","",INDEX(ENDUSEALL[Bonus Rate ($/kWh)],MATCH(AZ54,ENDUSEALL[End Use to Coincident Peak Demand Factors],0))*AK54),"")</f>
        <v/>
      </c>
      <c r="BH54" s="1107" t="str">
        <f>IF(OR(C54="",E54="",G54="",K54="",M54="",O54="",Q54="",S54="",W54="",Z54="",AB54="",AD54="",AF54=""),"",IF(BJ54&lt;&gt;"",SPILLOVERNUMBER,
221&amp;INDEX(LOCATIONTYPE[Measure Number],MATCH(E54,LOCATIONTYPE[Location Type],0))&amp;INDEX(ENDUSEALL[Measure Number Indicator],MATCH(AZ54,ENDUSEALL[End Use to Coincident Peak Demand Factors],0))&amp;INDEX(CMLIGHTEFF[Measure Number],MATCH(S54,CMLIGHTEFF[Eff Desc 1],0))))</f>
        <v/>
      </c>
      <c r="BI54" s="1108" t="str">
        <f>IFERROR(IF(ROUND(AN54/AH54,2)=TOTCOSTCAP,"Cost Cap at 75%",
IF(BD54&lt;KWHRATEMIN, "kWh Incentive Rate Min",
IF(BD54&gt;KWHRATEMAX,"kWh Incentive Rate Cap",
IF(AN54=BG54,"Bonus Incentive",
"kWh Incentive")))),"")</f>
        <v/>
      </c>
      <c r="BJ54" s="1108" t="str">
        <f ca="1">IFERROR(IF(EXPIRATION&lt;&gt;"",PROJSTATEXP,
IF(BL54&gt;0,"",
IF(AW54-AX54&lt;=0,MEASURESAVE,
IF(OR(M02S04F06="",M02S04F06="Select Rate Code",M02S04F06=0),MEASURERATE,
IF(M02S04F19="",MEASUREBLDG,
IF(PAYCUSE&lt;PAYBACKREQ,PROJECTSTATPAYBACK,
IF(CBCUSE&lt;CBREQ,PROJECTSTATCB,""))))))),MEASURESUBMIT)</f>
        <v>Submit for Review</v>
      </c>
      <c r="BK54" s="930" t="str">
        <f>IFERROR(IF(OR(C54="",E54="",G54="",K54="",M54="",O54="",Q54="",S54="",W54="",Z54="",AB54="",AD54="",AF54=""),"",
ROUND(((1+ELOSS)*((AK54*INDEX(ELECCB[NPV AEC $/kWh],MATCH(AY54,ELECCB[Year Number],1)))+(BA54*INDEX(ELECCB[NPV ACC $/kW],MATCH(AY54,ELECCB[Year Number],1))))),2)),0)</f>
        <v/>
      </c>
      <c r="BL54" s="1118"/>
    </row>
    <row r="55" spans="2:64" ht="15.95" customHeight="1">
      <c r="B55" s="905"/>
      <c r="C55" s="1037"/>
      <c r="D55" s="1037"/>
      <c r="E55" s="1037"/>
      <c r="F55" s="1039"/>
      <c r="G55" s="1040"/>
      <c r="H55" s="1037"/>
      <c r="I55" s="1037"/>
      <c r="J55" s="1037"/>
      <c r="K55" s="1037"/>
      <c r="L55" s="1037"/>
      <c r="M55" s="1041"/>
      <c r="N55" s="1041"/>
      <c r="O55" s="1055"/>
      <c r="P55" s="1055"/>
      <c r="Q55" s="1058"/>
      <c r="R55" s="1059"/>
      <c r="S55" s="1061"/>
      <c r="T55" s="1037"/>
      <c r="U55" s="1037"/>
      <c r="V55" s="1037"/>
      <c r="W55" s="1037"/>
      <c r="X55" s="1037"/>
      <c r="Y55" s="1037"/>
      <c r="Z55" s="1041"/>
      <c r="AA55" s="1041"/>
      <c r="AB55" s="1044"/>
      <c r="AC55" s="1045"/>
      <c r="AD55" s="1053"/>
      <c r="AE55" s="1054"/>
      <c r="AF55" s="1054"/>
      <c r="AG55" s="1083"/>
      <c r="AH55" s="1064"/>
      <c r="AI55" s="1065"/>
      <c r="AJ55" s="1065"/>
      <c r="AK55" s="1066"/>
      <c r="AL55" s="1066"/>
      <c r="AM55" s="1066"/>
      <c r="AN55" s="1049"/>
      <c r="AO55" s="1050"/>
      <c r="AP55" s="1050"/>
      <c r="AQ55" s="1050"/>
      <c r="AR55" s="235"/>
      <c r="AS55" s="235"/>
      <c r="AT55" s="1104"/>
      <c r="AU55" s="1104"/>
      <c r="AV55" s="1105"/>
      <c r="AW55" s="1025"/>
      <c r="AX55" s="1025"/>
      <c r="AY55" s="1114"/>
      <c r="AZ55" s="1116"/>
      <c r="BA55" s="1109"/>
      <c r="BB55" s="1111"/>
      <c r="BC55" s="931"/>
      <c r="BD55" s="931"/>
      <c r="BE55" s="931"/>
      <c r="BF55" s="931"/>
      <c r="BG55" s="931"/>
      <c r="BH55" s="1107"/>
      <c r="BI55" s="1105"/>
      <c r="BJ55" s="1105"/>
      <c r="BK55" s="931"/>
      <c r="BL55" s="1119"/>
    </row>
    <row r="56" spans="2:64" ht="15.95" customHeight="1">
      <c r="B56" s="905">
        <v>20</v>
      </c>
      <c r="C56" s="1037"/>
      <c r="D56" s="1037"/>
      <c r="E56" s="1037"/>
      <c r="F56" s="1039"/>
      <c r="G56" s="1040"/>
      <c r="H56" s="1037"/>
      <c r="I56" s="1037"/>
      <c r="J56" s="1037"/>
      <c r="K56" s="1037"/>
      <c r="L56" s="1037"/>
      <c r="M56" s="1041"/>
      <c r="N56" s="1041"/>
      <c r="O56" s="1055" t="str">
        <f>IFERROR(IF(G56="","",INDEX(CMLIGHTBASE[Base Watt 1],MATCH(G56,CMLIGHTBASE[Base Desc 1],0))),"")</f>
        <v/>
      </c>
      <c r="P56" s="1055"/>
      <c r="Q56" s="1058"/>
      <c r="R56" s="1059"/>
      <c r="S56" s="1061"/>
      <c r="T56" s="1037"/>
      <c r="U56" s="1037"/>
      <c r="V56" s="1037"/>
      <c r="W56" s="1037"/>
      <c r="X56" s="1037"/>
      <c r="Y56" s="1037"/>
      <c r="Z56" s="1041"/>
      <c r="AA56" s="1041"/>
      <c r="AB56" s="1044"/>
      <c r="AC56" s="1045"/>
      <c r="AD56" s="1053"/>
      <c r="AE56" s="1054"/>
      <c r="AF56" s="1054"/>
      <c r="AG56" s="1083"/>
      <c r="AH56" s="1064" t="str">
        <f t="shared" ref="AH56" si="72">IF(OR(C56="",E56="",G56="",K56="",M56="",O56="",Q56="",S56="",W56="",Z56="",AB56="",AD56="",AF56=""),"",ROUND(AD56+AF56,2))</f>
        <v/>
      </c>
      <c r="AI56" s="1065"/>
      <c r="AJ56" s="1065"/>
      <c r="AK56" s="1066" t="str">
        <f t="shared" ref="AK56" si="73">IF(OR(C56="",E56="",G56="",K56="",M56="",O56="",Q56="",S56="",W56="",Z56="",AB56="",AD56="",AF56=""),"",IF(AW56-AX56&lt;=0,0,AW56-AX56))</f>
        <v/>
      </c>
      <c r="AL56" s="1066"/>
      <c r="AM56" s="1066"/>
      <c r="AN56" s="1047" t="str">
        <f>IF(OR(C56="",E56="",G56="",K56="",M56="",O56="",Q56="",S56="",W56="",Z56="",AB56="",AD56="",AF56=""),"",
IF(BJ56&lt;&gt;"",BJ56,IF(BL56&gt;0,BL56,
IF(ACTIVEBLOCK="Yes",ROUND(MIN(AH56*0.75,AK56*BLOCKBIDRATE),2),
IF(BG56&lt;&gt;"",ROUND(MIN(AH56*0.75,BG56),2),
IF(BD56&lt;KWHRATEMIN,ROUND(MIN(AH56*0.75,BE56),2),
IF(BD56&gt;KWHRATEMAX,ROUND(MIN(AH56*0.75,BF56),2),
ROUND(MIN(AH56*0.75,BC56),2))))))))</f>
        <v/>
      </c>
      <c r="AO56" s="1048"/>
      <c r="AP56" s="1048"/>
      <c r="AQ56" s="1048"/>
      <c r="AR56" s="235"/>
      <c r="AS56" s="235"/>
      <c r="AT56" s="1104" t="str">
        <f>IFERROR(IF(OR(C56="",E56="",G56="",K56="",M56="",O56="",Q56="",S56="",W56="",Z56="",AB56="",AD56="",AF56=""),"",
ROUND(((1+ELOSS)*((AK56*INDEX(ELECCB[NPV AEC $/kWh],MATCH(AY56,ELECCB[Year Number],1)))+(BA56*INDEX(ELECCB[NPV ACC $/kW],MATCH(AY56,ELECCB[Year Number],1))))/AH56),2)),0)</f>
        <v/>
      </c>
      <c r="AU56" s="1104" t="str">
        <f>IFERROR(AH56/M02S04F06/AK56,"")</f>
        <v/>
      </c>
      <c r="AV56" s="1105" t="str">
        <f>IF(OR(G56="",S56=""),"",IF(INDEX(CMLIGHTEFF[Unit],MATCH(S56,CMLIGHTEFF[Eff Desc 1],0))="","",INDEX(CMLIGHTEFF[Unit],MATCH(S56,CMLIGHTEFF[Eff Desc 1],0))))</f>
        <v/>
      </c>
      <c r="AW56" s="1103" t="str">
        <f>IF(OR(C56="",E56="",G56="",K56="",M56="",O56="",Q56="",S56="",W56="",Z56="",AB56="",AD56="",AF56=""),"",
IF(OR(ISNUMBER(SEARCH("Exterior",E56)),ISNUMBER(SEARCH("Garage",E56))),ROUND(M56*O56*Q56/1000,0),
ROUND(M56*O56*Q56/1000*INDEX(BUILDINGTYPE[Waste Heat Factor (e)],MATCH(M02S04F19,BUILDINGTYPE[Building Type],0)),4)))</f>
        <v/>
      </c>
      <c r="AX56" s="1103" t="str">
        <f>IF(OR(C56="",E56="",G56="",K56="",M56="",O56="",Q56="",S56="",W56="",Z56="",AB56="",AD56="",AF56=""),"",
IF(OR(ISNUMBER(SEARCH("Exterior",E56)),ISNUMBER(SEARCH("Garage",E56))),ROUND(Z56*AB56*Q56/1000,4),
ROUND(Z56*AB56*Q56/1000*INDEX(BUILDINGTYPE[Waste Heat Factor (e)],MATCH(M02S04F19,BUILDINGTYPE[Building Type],0)),4)))</f>
        <v/>
      </c>
      <c r="AY56" s="1114" t="str">
        <f>IF(OR(G56="",S56=""),"",IF(INDEX(CMLIGHTEFF[EUL],MATCH(S56,CMLIGHTEFF[Eff Desc 1],0))="","",INDEX(CMLIGHTEFF[EUL],MATCH(S56,CMLIGHTEFF[Eff Desc 1],0))))</f>
        <v/>
      </c>
      <c r="AZ56" s="1115" t="str">
        <f t="shared" ref="AZ56" si="74">IF(OR(E56="",G56="",S56=""),"",IF(ISNUMBER(SEARCH("24/7",E56)),"Ext Lighting w/ Peak ",IF(E56="Interior","Interior Lighting",IF(OR(E56="Garage",E56="Exterior"),"Ext Lighting w/o Peak","Err"))))</f>
        <v/>
      </c>
      <c r="BA56" s="1109" t="str">
        <f>IFERROR(IF(OR(C56="",E56="",G56="",K56="",M56="",O56="",Q56="",S56="",W56="",Z56="",AB56="",AD56="",AF56=""),"",ROUND(AK56*INDEX(ENDUSEALL[Factor],MATCH(AZ56,ENDUSEALL[End Use to Coincident Peak Demand Factors],0)),4)),"")</f>
        <v/>
      </c>
      <c r="BB56" s="1111" t="str">
        <f>IFERROR(IF(OR(C56="",E56="",G56="",K56="",M56="",O56="",Q56="",S56="",W56="",Z56="",AB56="",AD56="",AF56=""),"",IF(OR(E56="Garage",E56="Exterior"),0,
ROUND((((M56*O56)-(Z56*AB56))/1000)*INDEX(BUILDINGTYPE[Waste Heat Factor (e)],MATCH(M02S04F19,BUILDINGTYPE[Building Type],0))*INDEX(BUILDINGTYPE[Lighting Coincidence Factor],MATCH(M02S04F19,BUILDINGTYPE[Building Type],0)),4))),"")</f>
        <v/>
      </c>
      <c r="BC56" s="930" t="str">
        <f t="shared" ref="BC56" si="75">IFERROR(ROUND(AK56*BD56,2),"")</f>
        <v/>
      </c>
      <c r="BD56" s="930" t="str">
        <f>IFERROR(INDEX(ENDUSEALL[Rate ($/kWh)],MATCH(AZ56,ENDUSEALL[End Use to Coincident Peak Demand Factors],0)),"")</f>
        <v/>
      </c>
      <c r="BE56" s="931" t="str">
        <f>IFERROR(ROUND(AK56*KWHRATEMIN,2),"")</f>
        <v/>
      </c>
      <c r="BF56" s="931" t="str">
        <f>IFERROR(ROUND(AK56*KWHRATEMAX,2),"")</f>
        <v/>
      </c>
      <c r="BG56" s="930" t="str">
        <f>IFERROR(IF(INDEX(ENDUSEALL[Bonus Rate ($/kWh)],MATCH(AZ56,ENDUSEALL[End Use to Coincident Peak Demand Factors],0))="","",INDEX(ENDUSEALL[Bonus Rate ($/kWh)],MATCH(AZ56,ENDUSEALL[End Use to Coincident Peak Demand Factors],0))*AK56),"")</f>
        <v/>
      </c>
      <c r="BH56" s="1107" t="str">
        <f>IF(OR(C56="",E56="",G56="",K56="",M56="",O56="",Q56="",S56="",W56="",Z56="",AB56="",AD56="",AF56=""),"",IF(BJ56&lt;&gt;"",SPILLOVERNUMBER,
221&amp;INDEX(LOCATIONTYPE[Measure Number],MATCH(E56,LOCATIONTYPE[Location Type],0))&amp;INDEX(ENDUSEALL[Measure Number Indicator],MATCH(AZ56,ENDUSEALL[End Use to Coincident Peak Demand Factors],0))&amp;INDEX(CMLIGHTEFF[Measure Number],MATCH(S56,CMLIGHTEFF[Eff Desc 1],0))))</f>
        <v/>
      </c>
      <c r="BI56" s="1108" t="str">
        <f>IFERROR(IF(ROUND(AN56/AH56,2)=TOTCOSTCAP,"Cost Cap at 75%",
IF(BD56&lt;KWHRATEMIN, "kWh Incentive Rate Min",
IF(BD56&gt;KWHRATEMAX,"kWh Incentive Rate Cap",
IF(AN56=BG56,"Bonus Incentive",
"kWh Incentive")))),"")</f>
        <v/>
      </c>
      <c r="BJ56" s="1108" t="str">
        <f ca="1">IFERROR(IF(EXPIRATION&lt;&gt;"",PROJSTATEXP,
IF(BL56&gt;0,"",
IF(AW56-AX56&lt;=0,MEASURESAVE,
IF(OR(M02S04F06="",M02S04F06="Select Rate Code",M02S04F06=0),MEASURERATE,
IF(M02S04F19="",MEASUREBLDG,
IF(PAYCUSE&lt;PAYBACKREQ,PROJECTSTATPAYBACK,
IF(CBCUSE&lt;CBREQ,PROJECTSTATCB,""))))))),MEASURESUBMIT)</f>
        <v>Submit for Review</v>
      </c>
      <c r="BK56" s="930" t="str">
        <f>IFERROR(IF(OR(C56="",E56="",G56="",K56="",M56="",O56="",Q56="",S56="",W56="",Z56="",AB56="",AD56="",AF56=""),"",
ROUND(((1+ELOSS)*((AK56*INDEX(ELECCB[NPV AEC $/kWh],MATCH(AY56,ELECCB[Year Number],1)))+(BA56*INDEX(ELECCB[NPV ACC $/kW],MATCH(AY56,ELECCB[Year Number],1))))),2)),0)</f>
        <v/>
      </c>
      <c r="BL56" s="1118"/>
    </row>
    <row r="57" spans="2:64" ht="15.95" customHeight="1">
      <c r="B57" s="905"/>
      <c r="C57" s="1037"/>
      <c r="D57" s="1037"/>
      <c r="E57" s="1037"/>
      <c r="F57" s="1039"/>
      <c r="G57" s="1040"/>
      <c r="H57" s="1037"/>
      <c r="I57" s="1037"/>
      <c r="J57" s="1037"/>
      <c r="K57" s="1037"/>
      <c r="L57" s="1037"/>
      <c r="M57" s="1041"/>
      <c r="N57" s="1041"/>
      <c r="O57" s="1055"/>
      <c r="P57" s="1055"/>
      <c r="Q57" s="1058"/>
      <c r="R57" s="1059"/>
      <c r="S57" s="1061"/>
      <c r="T57" s="1037"/>
      <c r="U57" s="1037"/>
      <c r="V57" s="1037"/>
      <c r="W57" s="1037"/>
      <c r="X57" s="1037"/>
      <c r="Y57" s="1037"/>
      <c r="Z57" s="1041"/>
      <c r="AA57" s="1041"/>
      <c r="AB57" s="1044"/>
      <c r="AC57" s="1045"/>
      <c r="AD57" s="1053"/>
      <c r="AE57" s="1054"/>
      <c r="AF57" s="1054"/>
      <c r="AG57" s="1083"/>
      <c r="AH57" s="1064"/>
      <c r="AI57" s="1065"/>
      <c r="AJ57" s="1065"/>
      <c r="AK57" s="1066"/>
      <c r="AL57" s="1066"/>
      <c r="AM57" s="1066"/>
      <c r="AN57" s="1049"/>
      <c r="AO57" s="1050"/>
      <c r="AP57" s="1050"/>
      <c r="AQ57" s="1050"/>
      <c r="AR57" s="235"/>
      <c r="AS57" s="235"/>
      <c r="AT57" s="1104"/>
      <c r="AU57" s="1104"/>
      <c r="AV57" s="1105"/>
      <c r="AW57" s="1025"/>
      <c r="AX57" s="1025"/>
      <c r="AY57" s="1114"/>
      <c r="AZ57" s="1116"/>
      <c r="BA57" s="1109"/>
      <c r="BB57" s="1111"/>
      <c r="BC57" s="931"/>
      <c r="BD57" s="931"/>
      <c r="BE57" s="931"/>
      <c r="BF57" s="931"/>
      <c r="BG57" s="931"/>
      <c r="BH57" s="1107"/>
      <c r="BI57" s="1105"/>
      <c r="BJ57" s="1105"/>
      <c r="BK57" s="931"/>
      <c r="BL57" s="1119"/>
    </row>
    <row r="58" spans="2:64" ht="15.95" customHeight="1">
      <c r="B58" s="905">
        <v>21</v>
      </c>
      <c r="C58" s="1037"/>
      <c r="D58" s="1037"/>
      <c r="E58" s="1037"/>
      <c r="F58" s="1039"/>
      <c r="G58" s="1040"/>
      <c r="H58" s="1037"/>
      <c r="I58" s="1037"/>
      <c r="J58" s="1037"/>
      <c r="K58" s="1037"/>
      <c r="L58" s="1037"/>
      <c r="M58" s="1041"/>
      <c r="N58" s="1041"/>
      <c r="O58" s="1055" t="str">
        <f>IFERROR(IF(G58="","",INDEX(CMLIGHTBASE[Base Watt 1],MATCH(G58,CMLIGHTBASE[Base Desc 1],0))),"")</f>
        <v/>
      </c>
      <c r="P58" s="1055"/>
      <c r="Q58" s="1058"/>
      <c r="R58" s="1059"/>
      <c r="S58" s="1061"/>
      <c r="T58" s="1037"/>
      <c r="U58" s="1037"/>
      <c r="V58" s="1037"/>
      <c r="W58" s="1037"/>
      <c r="X58" s="1037"/>
      <c r="Y58" s="1037"/>
      <c r="Z58" s="1041"/>
      <c r="AA58" s="1041"/>
      <c r="AB58" s="1044"/>
      <c r="AC58" s="1045"/>
      <c r="AD58" s="1053"/>
      <c r="AE58" s="1054"/>
      <c r="AF58" s="1054"/>
      <c r="AG58" s="1083"/>
      <c r="AH58" s="1064" t="str">
        <f t="shared" ref="AH58" si="76">IF(OR(C58="",E58="",G58="",K58="",M58="",O58="",Q58="",S58="",W58="",Z58="",AB58="",AD58="",AF58=""),"",ROUND(AD58+AF58,2))</f>
        <v/>
      </c>
      <c r="AI58" s="1065"/>
      <c r="AJ58" s="1065"/>
      <c r="AK58" s="1066" t="str">
        <f t="shared" ref="AK58" si="77">IF(OR(C58="",E58="",G58="",K58="",M58="",O58="",Q58="",S58="",W58="",Z58="",AB58="",AD58="",AF58=""),"",IF(AW58-AX58&lt;=0,0,AW58-AX58))</f>
        <v/>
      </c>
      <c r="AL58" s="1066"/>
      <c r="AM58" s="1066"/>
      <c r="AN58" s="1047" t="str">
        <f>IF(OR(C58="",E58="",G58="",K58="",M58="",O58="",Q58="",S58="",W58="",Z58="",AB58="",AD58="",AF58=""),"",
IF(BJ58&lt;&gt;"",BJ58,IF(BL58&gt;0,BL58,
IF(ACTIVEBLOCK="Yes",ROUND(MIN(AH58*0.75,AK58*BLOCKBIDRATE),2),
IF(BG58&lt;&gt;"",ROUND(MIN(AH58*0.75,BG58),2),
IF(BD58&lt;KWHRATEMIN,ROUND(MIN(AH58*0.75,BE58),2),
IF(BD58&gt;KWHRATEMAX,ROUND(MIN(AH58*0.75,BF58),2),
ROUND(MIN(AH58*0.75,BC58),2))))))))</f>
        <v/>
      </c>
      <c r="AO58" s="1048"/>
      <c r="AP58" s="1048"/>
      <c r="AQ58" s="1048"/>
      <c r="AR58" s="235"/>
      <c r="AS58" s="235"/>
      <c r="AT58" s="1104" t="str">
        <f>IFERROR(IF(OR(C58="",E58="",G58="",K58="",M58="",O58="",Q58="",S58="",W58="",Z58="",AB58="",AD58="",AF58=""),"",
ROUND(((1+ELOSS)*((AK58*INDEX(ELECCB[NPV AEC $/kWh],MATCH(AY58,ELECCB[Year Number],1)))+(BA58*INDEX(ELECCB[NPV ACC $/kW],MATCH(AY58,ELECCB[Year Number],1))))/AH58),2)),0)</f>
        <v/>
      </c>
      <c r="AU58" s="1104" t="str">
        <f>IFERROR(AH58/M02S04F06/AK58,"")</f>
        <v/>
      </c>
      <c r="AV58" s="1105" t="str">
        <f>IF(OR(G58="",S58=""),"",IF(INDEX(CMLIGHTEFF[Unit],MATCH(S58,CMLIGHTEFF[Eff Desc 1],0))="","",INDEX(CMLIGHTEFF[Unit],MATCH(S58,CMLIGHTEFF[Eff Desc 1],0))))</f>
        <v/>
      </c>
      <c r="AW58" s="1103" t="str">
        <f>IF(OR(C58="",E58="",G58="",K58="",M58="",O58="",Q58="",S58="",W58="",Z58="",AB58="",AD58="",AF58=""),"",
IF(OR(ISNUMBER(SEARCH("Exterior",E58)),ISNUMBER(SEARCH("Garage",E58))),ROUND(M58*O58*Q58/1000,0),
ROUND(M58*O58*Q58/1000*INDEX(BUILDINGTYPE[Waste Heat Factor (e)],MATCH(M02S04F19,BUILDINGTYPE[Building Type],0)),4)))</f>
        <v/>
      </c>
      <c r="AX58" s="1103" t="str">
        <f>IF(OR(C58="",E58="",G58="",K58="",M58="",O58="",Q58="",S58="",W58="",Z58="",AB58="",AD58="",AF58=""),"",
IF(OR(ISNUMBER(SEARCH("Exterior",E58)),ISNUMBER(SEARCH("Garage",E58))),ROUND(Z58*AB58*Q58/1000,4),
ROUND(Z58*AB58*Q58/1000*INDEX(BUILDINGTYPE[Waste Heat Factor (e)],MATCH(M02S04F19,BUILDINGTYPE[Building Type],0)),4)))</f>
        <v/>
      </c>
      <c r="AY58" s="1114" t="str">
        <f>IF(OR(G58="",S58=""),"",IF(INDEX(CMLIGHTEFF[EUL],MATCH(S58,CMLIGHTEFF[Eff Desc 1],0))="","",INDEX(CMLIGHTEFF[EUL],MATCH(S58,CMLIGHTEFF[Eff Desc 1],0))))</f>
        <v/>
      </c>
      <c r="AZ58" s="1115" t="str">
        <f t="shared" ref="AZ58" si="78">IF(OR(E58="",G58="",S58=""),"",IF(ISNUMBER(SEARCH("24/7",E58)),"Ext Lighting w/ Peak ",IF(E58="Interior","Interior Lighting",IF(OR(E58="Garage",E58="Exterior"),"Ext Lighting w/o Peak","Err"))))</f>
        <v/>
      </c>
      <c r="BA58" s="1109" t="str">
        <f>IFERROR(IF(OR(C58="",E58="",G58="",K58="",M58="",O58="",Q58="",S58="",W58="",Z58="",AB58="",AD58="",AF58=""),"",ROUND(AK58*INDEX(ENDUSEALL[Factor],MATCH(AZ58,ENDUSEALL[End Use to Coincident Peak Demand Factors],0)),4)),"")</f>
        <v/>
      </c>
      <c r="BB58" s="1111" t="str">
        <f>IFERROR(IF(OR(C58="",E58="",G58="",K58="",M58="",O58="",Q58="",S58="",W58="",Z58="",AB58="",AD58="",AF58=""),"",IF(OR(E58="Garage",E58="Exterior"),0,
ROUND((((M58*O58)-(Z58*AB58))/1000)*INDEX(BUILDINGTYPE[Waste Heat Factor (e)],MATCH(M02S04F19,BUILDINGTYPE[Building Type],0))*INDEX(BUILDINGTYPE[Lighting Coincidence Factor],MATCH(M02S04F19,BUILDINGTYPE[Building Type],0)),4))),"")</f>
        <v/>
      </c>
      <c r="BC58" s="930" t="str">
        <f t="shared" ref="BC58" si="79">IFERROR(ROUND(AK58*BD58,2),"")</f>
        <v/>
      </c>
      <c r="BD58" s="930" t="str">
        <f>IFERROR(INDEX(ENDUSEALL[Rate ($/kWh)],MATCH(AZ58,ENDUSEALL[End Use to Coincident Peak Demand Factors],0)),"")</f>
        <v/>
      </c>
      <c r="BE58" s="931" t="str">
        <f>IFERROR(ROUND(AK58*KWHRATEMIN,2),"")</f>
        <v/>
      </c>
      <c r="BF58" s="931" t="str">
        <f>IFERROR(ROUND(AK58*KWHRATEMAX,2),"")</f>
        <v/>
      </c>
      <c r="BG58" s="930" t="str">
        <f>IFERROR(IF(INDEX(ENDUSEALL[Bonus Rate ($/kWh)],MATCH(AZ58,ENDUSEALL[End Use to Coincident Peak Demand Factors],0))="","",INDEX(ENDUSEALL[Bonus Rate ($/kWh)],MATCH(AZ58,ENDUSEALL[End Use to Coincident Peak Demand Factors],0))*AK58),"")</f>
        <v/>
      </c>
      <c r="BH58" s="1107" t="str">
        <f>IF(OR(C58="",E58="",G58="",K58="",M58="",O58="",Q58="",S58="",W58="",Z58="",AB58="",AD58="",AF58=""),"",IF(BJ58&lt;&gt;"",SPILLOVERNUMBER,
221&amp;INDEX(LOCATIONTYPE[Measure Number],MATCH(E58,LOCATIONTYPE[Location Type],0))&amp;INDEX(ENDUSEALL[Measure Number Indicator],MATCH(AZ58,ENDUSEALL[End Use to Coincident Peak Demand Factors],0))&amp;INDEX(CMLIGHTEFF[Measure Number],MATCH(S58,CMLIGHTEFF[Eff Desc 1],0))))</f>
        <v/>
      </c>
      <c r="BI58" s="1108" t="str">
        <f>IFERROR(IF(ROUND(AN58/AH58,2)=TOTCOSTCAP,"Cost Cap at 75%",
IF(BD58&lt;KWHRATEMIN, "kWh Incentive Rate Min",
IF(BD58&gt;KWHRATEMAX,"kWh Incentive Rate Cap",
IF(AN58=BG58,"Bonus Incentive",
"kWh Incentive")))),"")</f>
        <v/>
      </c>
      <c r="BJ58" s="1108" t="str">
        <f ca="1">IFERROR(IF(EXPIRATION&lt;&gt;"",PROJSTATEXP,
IF(BL58&gt;0,"",
IF(AW58-AX58&lt;=0,MEASURESAVE,
IF(OR(M02S04F06="",M02S04F06="Select Rate Code",M02S04F06=0),MEASURERATE,
IF(M02S04F19="",MEASUREBLDG,
IF(PAYCUSE&lt;PAYBACKREQ,PROJECTSTATPAYBACK,
IF(CBCUSE&lt;CBREQ,PROJECTSTATCB,""))))))),MEASURESUBMIT)</f>
        <v>Submit for Review</v>
      </c>
      <c r="BK58" s="930" t="str">
        <f>IFERROR(IF(OR(C58="",E58="",G58="",K58="",M58="",O58="",Q58="",S58="",W58="",Z58="",AB58="",AD58="",AF58=""),"",
ROUND(((1+ELOSS)*((AK58*INDEX(ELECCB[NPV AEC $/kWh],MATCH(AY58,ELECCB[Year Number],1)))+(BA58*INDEX(ELECCB[NPV ACC $/kW],MATCH(AY58,ELECCB[Year Number],1))))),2)),0)</f>
        <v/>
      </c>
      <c r="BL58" s="1118"/>
    </row>
    <row r="59" spans="2:64" ht="15.95" customHeight="1">
      <c r="B59" s="905"/>
      <c r="C59" s="1037"/>
      <c r="D59" s="1037"/>
      <c r="E59" s="1037"/>
      <c r="F59" s="1039"/>
      <c r="G59" s="1040"/>
      <c r="H59" s="1037"/>
      <c r="I59" s="1037"/>
      <c r="J59" s="1037"/>
      <c r="K59" s="1037"/>
      <c r="L59" s="1037"/>
      <c r="M59" s="1041"/>
      <c r="N59" s="1041"/>
      <c r="O59" s="1055"/>
      <c r="P59" s="1055"/>
      <c r="Q59" s="1058"/>
      <c r="R59" s="1059"/>
      <c r="S59" s="1061"/>
      <c r="T59" s="1037"/>
      <c r="U59" s="1037"/>
      <c r="V59" s="1037"/>
      <c r="W59" s="1037"/>
      <c r="X59" s="1037"/>
      <c r="Y59" s="1037"/>
      <c r="Z59" s="1041"/>
      <c r="AA59" s="1041"/>
      <c r="AB59" s="1044"/>
      <c r="AC59" s="1045"/>
      <c r="AD59" s="1053"/>
      <c r="AE59" s="1054"/>
      <c r="AF59" s="1054"/>
      <c r="AG59" s="1083"/>
      <c r="AH59" s="1064"/>
      <c r="AI59" s="1065"/>
      <c r="AJ59" s="1065"/>
      <c r="AK59" s="1066"/>
      <c r="AL59" s="1066"/>
      <c r="AM59" s="1066"/>
      <c r="AN59" s="1049"/>
      <c r="AO59" s="1050"/>
      <c r="AP59" s="1050"/>
      <c r="AQ59" s="1050"/>
      <c r="AR59" s="235"/>
      <c r="AS59" s="235"/>
      <c r="AT59" s="1104"/>
      <c r="AU59" s="1104"/>
      <c r="AV59" s="1105"/>
      <c r="AW59" s="1025"/>
      <c r="AX59" s="1025"/>
      <c r="AY59" s="1114"/>
      <c r="AZ59" s="1116"/>
      <c r="BA59" s="1109"/>
      <c r="BB59" s="1111"/>
      <c r="BC59" s="931"/>
      <c r="BD59" s="931"/>
      <c r="BE59" s="931"/>
      <c r="BF59" s="931"/>
      <c r="BG59" s="931"/>
      <c r="BH59" s="1107"/>
      <c r="BI59" s="1105"/>
      <c r="BJ59" s="1105"/>
      <c r="BK59" s="931"/>
      <c r="BL59" s="1119"/>
    </row>
    <row r="60" spans="2:64" ht="15.95" customHeight="1">
      <c r="B60" s="905">
        <v>22</v>
      </c>
      <c r="C60" s="1037"/>
      <c r="D60" s="1037"/>
      <c r="E60" s="1037"/>
      <c r="F60" s="1039"/>
      <c r="G60" s="1040"/>
      <c r="H60" s="1037"/>
      <c r="I60" s="1037"/>
      <c r="J60" s="1037"/>
      <c r="K60" s="1037"/>
      <c r="L60" s="1037"/>
      <c r="M60" s="1041"/>
      <c r="N60" s="1041"/>
      <c r="O60" s="1055" t="str">
        <f>IFERROR(IF(G60="","",INDEX(CMLIGHTBASE[Base Watt 1],MATCH(G60,CMLIGHTBASE[Base Desc 1],0))),"")</f>
        <v/>
      </c>
      <c r="P60" s="1055"/>
      <c r="Q60" s="1058"/>
      <c r="R60" s="1059"/>
      <c r="S60" s="1061"/>
      <c r="T60" s="1037"/>
      <c r="U60" s="1037"/>
      <c r="V60" s="1037"/>
      <c r="W60" s="1037"/>
      <c r="X60" s="1037"/>
      <c r="Y60" s="1037"/>
      <c r="Z60" s="1041"/>
      <c r="AA60" s="1041"/>
      <c r="AB60" s="1044"/>
      <c r="AC60" s="1045"/>
      <c r="AD60" s="1053"/>
      <c r="AE60" s="1054"/>
      <c r="AF60" s="1054"/>
      <c r="AG60" s="1083"/>
      <c r="AH60" s="1064" t="str">
        <f t="shared" ref="AH60" si="80">IF(OR(C60="",E60="",G60="",K60="",M60="",O60="",Q60="",S60="",W60="",Z60="",AB60="",AD60="",AF60=""),"",ROUND(AD60+AF60,2))</f>
        <v/>
      </c>
      <c r="AI60" s="1065"/>
      <c r="AJ60" s="1065"/>
      <c r="AK60" s="1066" t="str">
        <f t="shared" ref="AK60" si="81">IF(OR(C60="",E60="",G60="",K60="",M60="",O60="",Q60="",S60="",W60="",Z60="",AB60="",AD60="",AF60=""),"",IF(AW60-AX60&lt;=0,0,AW60-AX60))</f>
        <v/>
      </c>
      <c r="AL60" s="1066"/>
      <c r="AM60" s="1066"/>
      <c r="AN60" s="1047" t="str">
        <f>IF(OR(C60="",E60="",G60="",K60="",M60="",O60="",Q60="",S60="",W60="",Z60="",AB60="",AD60="",AF60=""),"",
IF(BJ60&lt;&gt;"",BJ60,IF(BL60&gt;0,BL60,
IF(ACTIVEBLOCK="Yes",ROUND(MIN(AH60*0.75,AK60*BLOCKBIDRATE),2),
IF(BG60&lt;&gt;"",ROUND(MIN(AH60*0.75,BG60),2),
IF(BD60&lt;KWHRATEMIN,ROUND(MIN(AH60*0.75,BE60),2),
IF(BD60&gt;KWHRATEMAX,ROUND(MIN(AH60*0.75,BF60),2),
ROUND(MIN(AH60*0.75,BC60),2))))))))</f>
        <v/>
      </c>
      <c r="AO60" s="1048"/>
      <c r="AP60" s="1048"/>
      <c r="AQ60" s="1048"/>
      <c r="AR60" s="235"/>
      <c r="AS60" s="235"/>
      <c r="AT60" s="1104" t="str">
        <f>IFERROR(IF(OR(C60="",E60="",G60="",K60="",M60="",O60="",Q60="",S60="",W60="",Z60="",AB60="",AD60="",AF60=""),"",
ROUND(((1+ELOSS)*((AK60*INDEX(ELECCB[NPV AEC $/kWh],MATCH(AY60,ELECCB[Year Number],1)))+(BA60*INDEX(ELECCB[NPV ACC $/kW],MATCH(AY60,ELECCB[Year Number],1))))/AH60),2)),0)</f>
        <v/>
      </c>
      <c r="AU60" s="1104" t="str">
        <f>IFERROR(AH60/M02S04F06/AK60,"")</f>
        <v/>
      </c>
      <c r="AV60" s="1105" t="str">
        <f>IF(OR(G60="",S60=""),"",IF(INDEX(CMLIGHTEFF[Unit],MATCH(S60,CMLIGHTEFF[Eff Desc 1],0))="","",INDEX(CMLIGHTEFF[Unit],MATCH(S60,CMLIGHTEFF[Eff Desc 1],0))))</f>
        <v/>
      </c>
      <c r="AW60" s="1103" t="str">
        <f>IF(OR(C60="",E60="",G60="",K60="",M60="",O60="",Q60="",S60="",W60="",Z60="",AB60="",AD60="",AF60=""),"",
IF(OR(ISNUMBER(SEARCH("Exterior",E60)),ISNUMBER(SEARCH("Garage",E60))),ROUND(M60*O60*Q60/1000,0),
ROUND(M60*O60*Q60/1000*INDEX(BUILDINGTYPE[Waste Heat Factor (e)],MATCH(M02S04F19,BUILDINGTYPE[Building Type],0)),4)))</f>
        <v/>
      </c>
      <c r="AX60" s="1103" t="str">
        <f>IF(OR(C60="",E60="",G60="",K60="",M60="",O60="",Q60="",S60="",W60="",Z60="",AB60="",AD60="",AF60=""),"",
IF(OR(ISNUMBER(SEARCH("Exterior",E60)),ISNUMBER(SEARCH("Garage",E60))),ROUND(Z60*AB60*Q60/1000,4),
ROUND(Z60*AB60*Q60/1000*INDEX(BUILDINGTYPE[Waste Heat Factor (e)],MATCH(M02S04F19,BUILDINGTYPE[Building Type],0)),4)))</f>
        <v/>
      </c>
      <c r="AY60" s="1114" t="str">
        <f>IF(OR(G60="",S60=""),"",IF(INDEX(CMLIGHTEFF[EUL],MATCH(S60,CMLIGHTEFF[Eff Desc 1],0))="","",INDEX(CMLIGHTEFF[EUL],MATCH(S60,CMLIGHTEFF[Eff Desc 1],0))))</f>
        <v/>
      </c>
      <c r="AZ60" s="1115" t="str">
        <f t="shared" ref="AZ60" si="82">IF(OR(E60="",G60="",S60=""),"",IF(ISNUMBER(SEARCH("24/7",E60)),"Ext Lighting w/ Peak ",IF(E60="Interior","Interior Lighting",IF(OR(E60="Garage",E60="Exterior"),"Ext Lighting w/o Peak","Err"))))</f>
        <v/>
      </c>
      <c r="BA60" s="1109" t="str">
        <f>IFERROR(IF(OR(C60="",E60="",G60="",K60="",M60="",O60="",Q60="",S60="",W60="",Z60="",AB60="",AD60="",AF60=""),"",ROUND(AK60*INDEX(ENDUSEALL[Factor],MATCH(AZ60,ENDUSEALL[End Use to Coincident Peak Demand Factors],0)),4)),"")</f>
        <v/>
      </c>
      <c r="BB60" s="1111" t="str">
        <f>IFERROR(IF(OR(C60="",E60="",G60="",K60="",M60="",O60="",Q60="",S60="",W60="",Z60="",AB60="",AD60="",AF60=""),"",IF(OR(E60="Garage",E60="Exterior"),0,
ROUND((((M60*O60)-(Z60*AB60))/1000)*INDEX(BUILDINGTYPE[Waste Heat Factor (e)],MATCH(M02S04F19,BUILDINGTYPE[Building Type],0))*INDEX(BUILDINGTYPE[Lighting Coincidence Factor],MATCH(M02S04F19,BUILDINGTYPE[Building Type],0)),4))),"")</f>
        <v/>
      </c>
      <c r="BC60" s="930" t="str">
        <f t="shared" ref="BC60" si="83">IFERROR(ROUND(AK60*BD60,2),"")</f>
        <v/>
      </c>
      <c r="BD60" s="930" t="str">
        <f>IFERROR(INDEX(ENDUSEALL[Rate ($/kWh)],MATCH(AZ60,ENDUSEALL[End Use to Coincident Peak Demand Factors],0)),"")</f>
        <v/>
      </c>
      <c r="BE60" s="931" t="str">
        <f>IFERROR(ROUND(AK60*KWHRATEMIN,2),"")</f>
        <v/>
      </c>
      <c r="BF60" s="931" t="str">
        <f>IFERROR(ROUND(AK60*KWHRATEMAX,2),"")</f>
        <v/>
      </c>
      <c r="BG60" s="930" t="str">
        <f>IFERROR(IF(INDEX(ENDUSEALL[Bonus Rate ($/kWh)],MATCH(AZ60,ENDUSEALL[End Use to Coincident Peak Demand Factors],0))="","",INDEX(ENDUSEALL[Bonus Rate ($/kWh)],MATCH(AZ60,ENDUSEALL[End Use to Coincident Peak Demand Factors],0))*AK60),"")</f>
        <v/>
      </c>
      <c r="BH60" s="1107" t="str">
        <f>IF(OR(C60="",E60="",G60="",K60="",M60="",O60="",Q60="",S60="",W60="",Z60="",AB60="",AD60="",AF60=""),"",IF(BJ60&lt;&gt;"",SPILLOVERNUMBER,
221&amp;INDEX(LOCATIONTYPE[Measure Number],MATCH(E60,LOCATIONTYPE[Location Type],0))&amp;INDEX(ENDUSEALL[Measure Number Indicator],MATCH(AZ60,ENDUSEALL[End Use to Coincident Peak Demand Factors],0))&amp;INDEX(CMLIGHTEFF[Measure Number],MATCH(S60,CMLIGHTEFF[Eff Desc 1],0))))</f>
        <v/>
      </c>
      <c r="BI60" s="1108" t="str">
        <f>IFERROR(IF(ROUND(AN60/AH60,2)=TOTCOSTCAP,"Cost Cap at 75%",
IF(BD60&lt;KWHRATEMIN, "kWh Incentive Rate Min",
IF(BD60&gt;KWHRATEMAX,"kWh Incentive Rate Cap",
IF(AN60=BG60,"Bonus Incentive",
"kWh Incentive")))),"")</f>
        <v/>
      </c>
      <c r="BJ60" s="1108" t="str">
        <f ca="1">IFERROR(IF(EXPIRATION&lt;&gt;"",PROJSTATEXP,
IF(BL60&gt;0,"",
IF(AW60-AX60&lt;=0,MEASURESAVE,
IF(OR(M02S04F06="",M02S04F06="Select Rate Code",M02S04F06=0),MEASURERATE,
IF(M02S04F19="",MEASUREBLDG,
IF(PAYCUSE&lt;PAYBACKREQ,PROJECTSTATPAYBACK,
IF(CBCUSE&lt;CBREQ,PROJECTSTATCB,""))))))),MEASURESUBMIT)</f>
        <v>Submit for Review</v>
      </c>
      <c r="BK60" s="930" t="str">
        <f>IFERROR(IF(OR(C60="",E60="",G60="",K60="",M60="",O60="",Q60="",S60="",W60="",Z60="",AB60="",AD60="",AF60=""),"",
ROUND(((1+ELOSS)*((AK60*INDEX(ELECCB[NPV AEC $/kWh],MATCH(AY60,ELECCB[Year Number],1)))+(BA60*INDEX(ELECCB[NPV ACC $/kW],MATCH(AY60,ELECCB[Year Number],1))))),2)),0)</f>
        <v/>
      </c>
      <c r="BL60" s="1118"/>
    </row>
    <row r="61" spans="2:64" ht="15.95" customHeight="1">
      <c r="B61" s="905"/>
      <c r="C61" s="1037"/>
      <c r="D61" s="1037"/>
      <c r="E61" s="1037"/>
      <c r="F61" s="1039"/>
      <c r="G61" s="1040"/>
      <c r="H61" s="1037"/>
      <c r="I61" s="1037"/>
      <c r="J61" s="1037"/>
      <c r="K61" s="1037"/>
      <c r="L61" s="1037"/>
      <c r="M61" s="1041"/>
      <c r="N61" s="1041"/>
      <c r="O61" s="1055"/>
      <c r="P61" s="1055"/>
      <c r="Q61" s="1058"/>
      <c r="R61" s="1059"/>
      <c r="S61" s="1061"/>
      <c r="T61" s="1037"/>
      <c r="U61" s="1037"/>
      <c r="V61" s="1037"/>
      <c r="W61" s="1037"/>
      <c r="X61" s="1037"/>
      <c r="Y61" s="1037"/>
      <c r="Z61" s="1041"/>
      <c r="AA61" s="1041"/>
      <c r="AB61" s="1044"/>
      <c r="AC61" s="1045"/>
      <c r="AD61" s="1053"/>
      <c r="AE61" s="1054"/>
      <c r="AF61" s="1054"/>
      <c r="AG61" s="1083"/>
      <c r="AH61" s="1064"/>
      <c r="AI61" s="1065"/>
      <c r="AJ61" s="1065"/>
      <c r="AK61" s="1066"/>
      <c r="AL61" s="1066"/>
      <c r="AM61" s="1066"/>
      <c r="AN61" s="1049"/>
      <c r="AO61" s="1050"/>
      <c r="AP61" s="1050"/>
      <c r="AQ61" s="1050"/>
      <c r="AR61" s="235"/>
      <c r="AS61" s="235"/>
      <c r="AT61" s="1104"/>
      <c r="AU61" s="1104"/>
      <c r="AV61" s="1105"/>
      <c r="AW61" s="1025"/>
      <c r="AX61" s="1025"/>
      <c r="AY61" s="1114"/>
      <c r="AZ61" s="1116"/>
      <c r="BA61" s="1109"/>
      <c r="BB61" s="1111"/>
      <c r="BC61" s="931"/>
      <c r="BD61" s="931"/>
      <c r="BE61" s="931"/>
      <c r="BF61" s="931"/>
      <c r="BG61" s="931"/>
      <c r="BH61" s="1107"/>
      <c r="BI61" s="1105"/>
      <c r="BJ61" s="1105"/>
      <c r="BK61" s="931"/>
      <c r="BL61" s="1119"/>
    </row>
    <row r="62" spans="2:64" ht="15.95" customHeight="1">
      <c r="B62" s="905">
        <v>23</v>
      </c>
      <c r="C62" s="1037"/>
      <c r="D62" s="1037"/>
      <c r="E62" s="1037"/>
      <c r="F62" s="1039"/>
      <c r="G62" s="1040"/>
      <c r="H62" s="1037"/>
      <c r="I62" s="1037"/>
      <c r="J62" s="1037"/>
      <c r="K62" s="1037"/>
      <c r="L62" s="1037"/>
      <c r="M62" s="1041"/>
      <c r="N62" s="1041"/>
      <c r="O62" s="1055" t="str">
        <f>IFERROR(IF(G62="","",INDEX(CMLIGHTBASE[Base Watt 1],MATCH(G62,CMLIGHTBASE[Base Desc 1],0))),"")</f>
        <v/>
      </c>
      <c r="P62" s="1055"/>
      <c r="Q62" s="1058"/>
      <c r="R62" s="1059"/>
      <c r="S62" s="1061"/>
      <c r="T62" s="1037"/>
      <c r="U62" s="1037"/>
      <c r="V62" s="1037"/>
      <c r="W62" s="1037"/>
      <c r="X62" s="1037"/>
      <c r="Y62" s="1037"/>
      <c r="Z62" s="1041"/>
      <c r="AA62" s="1041"/>
      <c r="AB62" s="1044"/>
      <c r="AC62" s="1045"/>
      <c r="AD62" s="1053"/>
      <c r="AE62" s="1054"/>
      <c r="AF62" s="1054"/>
      <c r="AG62" s="1083"/>
      <c r="AH62" s="1064" t="str">
        <f t="shared" ref="AH62" si="84">IF(OR(C62="",E62="",G62="",K62="",M62="",O62="",Q62="",S62="",W62="",Z62="",AB62="",AD62="",AF62=""),"",ROUND(AD62+AF62,2))</f>
        <v/>
      </c>
      <c r="AI62" s="1065"/>
      <c r="AJ62" s="1065"/>
      <c r="AK62" s="1066" t="str">
        <f t="shared" ref="AK62" si="85">IF(OR(C62="",E62="",G62="",K62="",M62="",O62="",Q62="",S62="",W62="",Z62="",AB62="",AD62="",AF62=""),"",IF(AW62-AX62&lt;=0,0,AW62-AX62))</f>
        <v/>
      </c>
      <c r="AL62" s="1066"/>
      <c r="AM62" s="1066"/>
      <c r="AN62" s="1047" t="str">
        <f>IF(OR(C62="",E62="",G62="",K62="",M62="",O62="",Q62="",S62="",W62="",Z62="",AB62="",AD62="",AF62=""),"",
IF(BJ62&lt;&gt;"",BJ62,IF(BL62&gt;0,BL62,
IF(ACTIVEBLOCK="Yes",ROUND(MIN(AH62*0.75,AK62*BLOCKBIDRATE),2),
IF(BG62&lt;&gt;"",ROUND(MIN(AH62*0.75,BG62),2),
IF(BD62&lt;KWHRATEMIN,ROUND(MIN(AH62*0.75,BE62),2),
IF(BD62&gt;KWHRATEMAX,ROUND(MIN(AH62*0.75,BF62),2),
ROUND(MIN(AH62*0.75,BC62),2))))))))</f>
        <v/>
      </c>
      <c r="AO62" s="1048"/>
      <c r="AP62" s="1048"/>
      <c r="AQ62" s="1048"/>
      <c r="AT62" s="1104" t="str">
        <f>IFERROR(IF(OR(C62="",E62="",G62="",K62="",M62="",O62="",Q62="",S62="",W62="",Z62="",AB62="",AD62="",AF62=""),"",
ROUND(((1+ELOSS)*((AK62*INDEX(ELECCB[NPV AEC $/kWh],MATCH(AY62,ELECCB[Year Number],1)))+(BA62*INDEX(ELECCB[NPV ACC $/kW],MATCH(AY62,ELECCB[Year Number],1))))/AH62),2)),0)</f>
        <v/>
      </c>
      <c r="AU62" s="1104" t="str">
        <f>IFERROR(AH62/M02S04F06/AK62,"")</f>
        <v/>
      </c>
      <c r="AV62" s="1105" t="str">
        <f>IF(OR(G62="",S62=""),"",IF(INDEX(CMLIGHTEFF[Unit],MATCH(S62,CMLIGHTEFF[Eff Desc 1],0))="","",INDEX(CMLIGHTEFF[Unit],MATCH(S62,CMLIGHTEFF[Eff Desc 1],0))))</f>
        <v/>
      </c>
      <c r="AW62" s="1103" t="str">
        <f>IF(OR(C62="",E62="",G62="",K62="",M62="",O62="",Q62="",S62="",W62="",Z62="",AB62="",AD62="",AF62=""),"",
IF(OR(ISNUMBER(SEARCH("Exterior",E62)),ISNUMBER(SEARCH("Garage",E62))),ROUND(M62*O62*Q62/1000,0),
ROUND(M62*O62*Q62/1000*INDEX(BUILDINGTYPE[Waste Heat Factor (e)],MATCH(M02S04F19,BUILDINGTYPE[Building Type],0)),4)))</f>
        <v/>
      </c>
      <c r="AX62" s="1103" t="str">
        <f>IF(OR(C62="",E62="",G62="",K62="",M62="",O62="",Q62="",S62="",W62="",Z62="",AB62="",AD62="",AF62=""),"",
IF(OR(ISNUMBER(SEARCH("Exterior",E62)),ISNUMBER(SEARCH("Garage",E62))),ROUND(Z62*AB62*Q62/1000,4),
ROUND(Z62*AB62*Q62/1000*INDEX(BUILDINGTYPE[Waste Heat Factor (e)],MATCH(M02S04F19,BUILDINGTYPE[Building Type],0)),4)))</f>
        <v/>
      </c>
      <c r="AY62" s="1114" t="str">
        <f>IF(OR(G62="",S62=""),"",IF(INDEX(CMLIGHTEFF[EUL],MATCH(S62,CMLIGHTEFF[Eff Desc 1],0))="","",INDEX(CMLIGHTEFF[EUL],MATCH(S62,CMLIGHTEFF[Eff Desc 1],0))))</f>
        <v/>
      </c>
      <c r="AZ62" s="1115" t="str">
        <f t="shared" ref="AZ62" si="86">IF(OR(E62="",G62="",S62=""),"",IF(ISNUMBER(SEARCH("24/7",E62)),"Ext Lighting w/ Peak ",IF(E62="Interior","Interior Lighting",IF(OR(E62="Garage",E62="Exterior"),"Ext Lighting w/o Peak","Err"))))</f>
        <v/>
      </c>
      <c r="BA62" s="1109" t="str">
        <f>IFERROR(IF(OR(C62="",E62="",G62="",K62="",M62="",O62="",Q62="",S62="",W62="",Z62="",AB62="",AD62="",AF62=""),"",ROUND(AK62*INDEX(ENDUSEALL[Factor],MATCH(AZ62,ENDUSEALL[End Use to Coincident Peak Demand Factors],0)),4)),"")</f>
        <v/>
      </c>
      <c r="BB62" s="1111" t="str">
        <f>IFERROR(IF(OR(C62="",E62="",G62="",K62="",M62="",O62="",Q62="",S62="",W62="",Z62="",AB62="",AD62="",AF62=""),"",IF(OR(E62="Garage",E62="Exterior"),0,
ROUND((((M62*O62)-(Z62*AB62))/1000)*INDEX(BUILDINGTYPE[Waste Heat Factor (e)],MATCH(M02S04F19,BUILDINGTYPE[Building Type],0))*INDEX(BUILDINGTYPE[Lighting Coincidence Factor],MATCH(M02S04F19,BUILDINGTYPE[Building Type],0)),4))),"")</f>
        <v/>
      </c>
      <c r="BC62" s="930" t="str">
        <f t="shared" ref="BC62" si="87">IFERROR(ROUND(AK62*BD62,2),"")</f>
        <v/>
      </c>
      <c r="BD62" s="930" t="str">
        <f>IFERROR(INDEX(ENDUSEALL[Rate ($/kWh)],MATCH(AZ62,ENDUSEALL[End Use to Coincident Peak Demand Factors],0)),"")</f>
        <v/>
      </c>
      <c r="BE62" s="931" t="str">
        <f>IFERROR(ROUND(AK62*KWHRATEMIN,2),"")</f>
        <v/>
      </c>
      <c r="BF62" s="931" t="str">
        <f>IFERROR(ROUND(AK62*KWHRATEMAX,2),"")</f>
        <v/>
      </c>
      <c r="BG62" s="930" t="str">
        <f>IFERROR(IF(INDEX(ENDUSEALL[Bonus Rate ($/kWh)],MATCH(AZ62,ENDUSEALL[End Use to Coincident Peak Demand Factors],0))="","",INDEX(ENDUSEALL[Bonus Rate ($/kWh)],MATCH(AZ62,ENDUSEALL[End Use to Coincident Peak Demand Factors],0))*AK62),"")</f>
        <v/>
      </c>
      <c r="BH62" s="1107" t="str">
        <f>IF(OR(C62="",E62="",G62="",K62="",M62="",O62="",Q62="",S62="",W62="",Z62="",AB62="",AD62="",AF62=""),"",IF(BJ62&lt;&gt;"",SPILLOVERNUMBER,
221&amp;INDEX(LOCATIONTYPE[Measure Number],MATCH(E62,LOCATIONTYPE[Location Type],0))&amp;INDEX(ENDUSEALL[Measure Number Indicator],MATCH(AZ62,ENDUSEALL[End Use to Coincident Peak Demand Factors],0))&amp;INDEX(CMLIGHTEFF[Measure Number],MATCH(S62,CMLIGHTEFF[Eff Desc 1],0))))</f>
        <v/>
      </c>
      <c r="BI62" s="1108" t="str">
        <f>IFERROR(IF(ROUND(AN62/AH62,2)=TOTCOSTCAP,"Cost Cap at 75%",
IF(BD62&lt;KWHRATEMIN, "kWh Incentive Rate Min",
IF(BD62&gt;KWHRATEMAX,"kWh Incentive Rate Cap",
IF(AN62=BG62,"Bonus Incentive",
"kWh Incentive")))),"")</f>
        <v/>
      </c>
      <c r="BJ62" s="1108" t="str">
        <f ca="1">IFERROR(IF(EXPIRATION&lt;&gt;"",PROJSTATEXP,
IF(BL62&gt;0,"",
IF(AW62-AX62&lt;=0,MEASURESAVE,
IF(OR(M02S04F06="",M02S04F06="Select Rate Code",M02S04F06=0),MEASURERATE,
IF(M02S04F19="",MEASUREBLDG,
IF(PAYCUSE&lt;PAYBACKREQ,PROJECTSTATPAYBACK,
IF(CBCUSE&lt;CBREQ,PROJECTSTATCB,""))))))),MEASURESUBMIT)</f>
        <v>Submit for Review</v>
      </c>
      <c r="BK62" s="930" t="str">
        <f>IFERROR(IF(OR(C62="",E62="",G62="",K62="",M62="",O62="",Q62="",S62="",W62="",Z62="",AB62="",AD62="",AF62=""),"",
ROUND(((1+ELOSS)*((AK62*INDEX(ELECCB[NPV AEC $/kWh],MATCH(AY62,ELECCB[Year Number],1)))+(BA62*INDEX(ELECCB[NPV ACC $/kW],MATCH(AY62,ELECCB[Year Number],1))))),2)),0)</f>
        <v/>
      </c>
      <c r="BL62" s="1118"/>
    </row>
    <row r="63" spans="2:64" ht="15.95" customHeight="1">
      <c r="B63" s="905"/>
      <c r="C63" s="1037"/>
      <c r="D63" s="1037"/>
      <c r="E63" s="1037"/>
      <c r="F63" s="1039"/>
      <c r="G63" s="1040"/>
      <c r="H63" s="1037"/>
      <c r="I63" s="1037"/>
      <c r="J63" s="1037"/>
      <c r="K63" s="1037"/>
      <c r="L63" s="1037"/>
      <c r="M63" s="1041"/>
      <c r="N63" s="1041"/>
      <c r="O63" s="1055"/>
      <c r="P63" s="1055"/>
      <c r="Q63" s="1058"/>
      <c r="R63" s="1059"/>
      <c r="S63" s="1061"/>
      <c r="T63" s="1037"/>
      <c r="U63" s="1037"/>
      <c r="V63" s="1037"/>
      <c r="W63" s="1037"/>
      <c r="X63" s="1037"/>
      <c r="Y63" s="1037"/>
      <c r="Z63" s="1041"/>
      <c r="AA63" s="1041"/>
      <c r="AB63" s="1044"/>
      <c r="AC63" s="1045"/>
      <c r="AD63" s="1053"/>
      <c r="AE63" s="1054"/>
      <c r="AF63" s="1054"/>
      <c r="AG63" s="1083"/>
      <c r="AH63" s="1064"/>
      <c r="AI63" s="1065"/>
      <c r="AJ63" s="1065"/>
      <c r="AK63" s="1066"/>
      <c r="AL63" s="1066"/>
      <c r="AM63" s="1066"/>
      <c r="AN63" s="1049"/>
      <c r="AO63" s="1050"/>
      <c r="AP63" s="1050"/>
      <c r="AQ63" s="1050"/>
      <c r="AT63" s="1104"/>
      <c r="AU63" s="1104"/>
      <c r="AV63" s="1105"/>
      <c r="AW63" s="1025"/>
      <c r="AX63" s="1025"/>
      <c r="AY63" s="1114"/>
      <c r="AZ63" s="1116"/>
      <c r="BA63" s="1109"/>
      <c r="BB63" s="1111"/>
      <c r="BC63" s="931"/>
      <c r="BD63" s="931"/>
      <c r="BE63" s="931"/>
      <c r="BF63" s="931"/>
      <c r="BG63" s="931"/>
      <c r="BH63" s="1107"/>
      <c r="BI63" s="1105"/>
      <c r="BJ63" s="1105"/>
      <c r="BK63" s="931"/>
      <c r="BL63" s="1119"/>
    </row>
    <row r="64" spans="2:64" ht="15.95" customHeight="1">
      <c r="B64" s="905">
        <v>24</v>
      </c>
      <c r="C64" s="1037"/>
      <c r="D64" s="1037"/>
      <c r="E64" s="1037"/>
      <c r="F64" s="1039"/>
      <c r="G64" s="1040"/>
      <c r="H64" s="1037"/>
      <c r="I64" s="1037"/>
      <c r="J64" s="1037"/>
      <c r="K64" s="1037"/>
      <c r="L64" s="1037"/>
      <c r="M64" s="1041"/>
      <c r="N64" s="1041"/>
      <c r="O64" s="1055" t="str">
        <f>IFERROR(IF(G64="","",INDEX(CMLIGHTBASE[Base Watt 1],MATCH(G64,CMLIGHTBASE[Base Desc 1],0))),"")</f>
        <v/>
      </c>
      <c r="P64" s="1055"/>
      <c r="Q64" s="1058"/>
      <c r="R64" s="1059"/>
      <c r="S64" s="1061"/>
      <c r="T64" s="1037"/>
      <c r="U64" s="1037"/>
      <c r="V64" s="1037"/>
      <c r="W64" s="1037"/>
      <c r="X64" s="1037"/>
      <c r="Y64" s="1037"/>
      <c r="Z64" s="1041"/>
      <c r="AA64" s="1041"/>
      <c r="AB64" s="1044"/>
      <c r="AC64" s="1045"/>
      <c r="AD64" s="1053"/>
      <c r="AE64" s="1054"/>
      <c r="AF64" s="1054"/>
      <c r="AG64" s="1083"/>
      <c r="AH64" s="1064" t="str">
        <f t="shared" ref="AH64" si="88">IF(OR(C64="",E64="",G64="",K64="",M64="",O64="",Q64="",S64="",W64="",Z64="",AB64="",AD64="",AF64=""),"",ROUND(AD64+AF64,2))</f>
        <v/>
      </c>
      <c r="AI64" s="1065"/>
      <c r="AJ64" s="1065"/>
      <c r="AK64" s="1066" t="str">
        <f t="shared" ref="AK64" si="89">IF(OR(C64="",E64="",G64="",K64="",M64="",O64="",Q64="",S64="",W64="",Z64="",AB64="",AD64="",AF64=""),"",IF(AW64-AX64&lt;=0,0,AW64-AX64))</f>
        <v/>
      </c>
      <c r="AL64" s="1066"/>
      <c r="AM64" s="1066"/>
      <c r="AN64" s="1047" t="str">
        <f>IF(OR(C64="",E64="",G64="",K64="",M64="",O64="",Q64="",S64="",W64="",Z64="",AB64="",AD64="",AF64=""),"",
IF(BJ64&lt;&gt;"",BJ64,IF(BL64&gt;0,BL64,
IF(ACTIVEBLOCK="Yes",ROUND(MIN(AH64*0.75,AK64*BLOCKBIDRATE),2),
IF(BG64&lt;&gt;"",ROUND(MIN(AH64*0.75,BG64),2),
IF(BD64&lt;KWHRATEMIN,ROUND(MIN(AH64*0.75,BE64),2),
IF(BD64&gt;KWHRATEMAX,ROUND(MIN(AH64*0.75,BF64),2),
ROUND(MIN(AH64*0.75,BC64),2))))))))</f>
        <v/>
      </c>
      <c r="AO64" s="1048"/>
      <c r="AP64" s="1048"/>
      <c r="AQ64" s="1048"/>
      <c r="AT64" s="1104" t="str">
        <f>IFERROR(IF(OR(C64="",E64="",G64="",K64="",M64="",O64="",Q64="",S64="",W64="",Z64="",AB64="",AD64="",AF64=""),"",
ROUND(((1+ELOSS)*((AK64*INDEX(ELECCB[NPV AEC $/kWh],MATCH(AY64,ELECCB[Year Number],1)))+(BA64*INDEX(ELECCB[NPV ACC $/kW],MATCH(AY64,ELECCB[Year Number],1))))/AH64),2)),0)</f>
        <v/>
      </c>
      <c r="AU64" s="1104" t="str">
        <f>IFERROR(AH64/M02S04F06/AK64,"")</f>
        <v/>
      </c>
      <c r="AV64" s="1105" t="str">
        <f>IF(OR(G64="",S64=""),"",IF(INDEX(CMLIGHTEFF[Unit],MATCH(S64,CMLIGHTEFF[Eff Desc 1],0))="","",INDEX(CMLIGHTEFF[Unit],MATCH(S64,CMLIGHTEFF[Eff Desc 1],0))))</f>
        <v/>
      </c>
      <c r="AW64" s="1103" t="str">
        <f>IF(OR(C64="",E64="",G64="",K64="",M64="",O64="",Q64="",S64="",W64="",Z64="",AB64="",AD64="",AF64=""),"",
IF(OR(ISNUMBER(SEARCH("Exterior",E64)),ISNUMBER(SEARCH("Garage",E64))),ROUND(M64*O64*Q64/1000,0),
ROUND(M64*O64*Q64/1000*INDEX(BUILDINGTYPE[Waste Heat Factor (e)],MATCH(M02S04F19,BUILDINGTYPE[Building Type],0)),4)))</f>
        <v/>
      </c>
      <c r="AX64" s="1103" t="str">
        <f>IF(OR(C64="",E64="",G64="",K64="",M64="",O64="",Q64="",S64="",W64="",Z64="",AB64="",AD64="",AF64=""),"",
IF(OR(ISNUMBER(SEARCH("Exterior",E64)),ISNUMBER(SEARCH("Garage",E64))),ROUND(Z64*AB64*Q64/1000,4),
ROUND(Z64*AB64*Q64/1000*INDEX(BUILDINGTYPE[Waste Heat Factor (e)],MATCH(M02S04F19,BUILDINGTYPE[Building Type],0)),4)))</f>
        <v/>
      </c>
      <c r="AY64" s="1114" t="str">
        <f>IF(OR(G64="",S64=""),"",IF(INDEX(CMLIGHTEFF[EUL],MATCH(S64,CMLIGHTEFF[Eff Desc 1],0))="","",INDEX(CMLIGHTEFF[EUL],MATCH(S64,CMLIGHTEFF[Eff Desc 1],0))))</f>
        <v/>
      </c>
      <c r="AZ64" s="1115" t="str">
        <f t="shared" ref="AZ64" si="90">IF(OR(E64="",G64="",S64=""),"",IF(ISNUMBER(SEARCH("24/7",E64)),"Ext Lighting w/ Peak ",IF(E64="Interior","Interior Lighting",IF(OR(E64="Garage",E64="Exterior"),"Ext Lighting w/o Peak","Err"))))</f>
        <v/>
      </c>
      <c r="BA64" s="1109" t="str">
        <f>IFERROR(IF(OR(C64="",E64="",G64="",K64="",M64="",O64="",Q64="",S64="",W64="",Z64="",AB64="",AD64="",AF64=""),"",ROUND(AK64*INDEX(ENDUSEALL[Factor],MATCH(AZ64,ENDUSEALL[End Use to Coincident Peak Demand Factors],0)),4)),"")</f>
        <v/>
      </c>
      <c r="BB64" s="1111" t="str">
        <f>IFERROR(IF(OR(C64="",E64="",G64="",K64="",M64="",O64="",Q64="",S64="",W64="",Z64="",AB64="",AD64="",AF64=""),"",IF(OR(E64="Garage",E64="Exterior"),0,
ROUND((((M64*O64)-(Z64*AB64))/1000)*INDEX(BUILDINGTYPE[Waste Heat Factor (e)],MATCH(M02S04F19,BUILDINGTYPE[Building Type],0))*INDEX(BUILDINGTYPE[Lighting Coincidence Factor],MATCH(M02S04F19,BUILDINGTYPE[Building Type],0)),4))),"")</f>
        <v/>
      </c>
      <c r="BC64" s="930" t="str">
        <f t="shared" ref="BC64" si="91">IFERROR(ROUND(AK64*BD64,2),"")</f>
        <v/>
      </c>
      <c r="BD64" s="930" t="str">
        <f>IFERROR(INDEX(ENDUSEALL[Rate ($/kWh)],MATCH(AZ64,ENDUSEALL[End Use to Coincident Peak Demand Factors],0)),"")</f>
        <v/>
      </c>
      <c r="BE64" s="931" t="str">
        <f>IFERROR(ROUND(AK64*KWHRATEMIN,2),"")</f>
        <v/>
      </c>
      <c r="BF64" s="931" t="str">
        <f>IFERROR(ROUND(AK64*KWHRATEMAX,2),"")</f>
        <v/>
      </c>
      <c r="BG64" s="930" t="str">
        <f>IFERROR(IF(INDEX(ENDUSEALL[Bonus Rate ($/kWh)],MATCH(AZ64,ENDUSEALL[End Use to Coincident Peak Demand Factors],0))="","",INDEX(ENDUSEALL[Bonus Rate ($/kWh)],MATCH(AZ64,ENDUSEALL[End Use to Coincident Peak Demand Factors],0))*AK64),"")</f>
        <v/>
      </c>
      <c r="BH64" s="1107" t="str">
        <f>IF(OR(C64="",E64="",G64="",K64="",M64="",O64="",Q64="",S64="",W64="",Z64="",AB64="",AD64="",AF64=""),"",IF(BJ64&lt;&gt;"",SPILLOVERNUMBER,
221&amp;INDEX(LOCATIONTYPE[Measure Number],MATCH(E64,LOCATIONTYPE[Location Type],0))&amp;INDEX(ENDUSEALL[Measure Number Indicator],MATCH(AZ64,ENDUSEALL[End Use to Coincident Peak Demand Factors],0))&amp;INDEX(CMLIGHTEFF[Measure Number],MATCH(S64,CMLIGHTEFF[Eff Desc 1],0))))</f>
        <v/>
      </c>
      <c r="BI64" s="1108" t="str">
        <f>IFERROR(IF(ROUND(AN64/AH64,2)=TOTCOSTCAP,"Cost Cap at 75%",
IF(BD64&lt;KWHRATEMIN, "kWh Incentive Rate Min",
IF(BD64&gt;KWHRATEMAX,"kWh Incentive Rate Cap",
IF(AN64=BG64,"Bonus Incentive",
"kWh Incentive")))),"")</f>
        <v/>
      </c>
      <c r="BJ64" s="1108" t="str">
        <f ca="1">IFERROR(IF(EXPIRATION&lt;&gt;"",PROJSTATEXP,
IF(BL64&gt;0,"",
IF(AW64-AX64&lt;=0,MEASURESAVE,
IF(OR(M02S04F06="",M02S04F06="Select Rate Code",M02S04F06=0),MEASURERATE,
IF(M02S04F19="",MEASUREBLDG,
IF(PAYCUSE&lt;PAYBACKREQ,PROJECTSTATPAYBACK,
IF(CBCUSE&lt;CBREQ,PROJECTSTATCB,""))))))),MEASURESUBMIT)</f>
        <v>Submit for Review</v>
      </c>
      <c r="BK64" s="930" t="str">
        <f>IFERROR(IF(OR(C64="",E64="",G64="",K64="",M64="",O64="",Q64="",S64="",W64="",Z64="",AB64="",AD64="",AF64=""),"",
ROUND(((1+ELOSS)*((AK64*INDEX(ELECCB[NPV AEC $/kWh],MATCH(AY64,ELECCB[Year Number],1)))+(BA64*INDEX(ELECCB[NPV ACC $/kW],MATCH(AY64,ELECCB[Year Number],1))))),2)),0)</f>
        <v/>
      </c>
      <c r="BL64" s="1118"/>
    </row>
    <row r="65" spans="2:64" ht="15.95" customHeight="1">
      <c r="B65" s="905"/>
      <c r="C65" s="1037"/>
      <c r="D65" s="1037"/>
      <c r="E65" s="1037"/>
      <c r="F65" s="1039"/>
      <c r="G65" s="1040"/>
      <c r="H65" s="1037"/>
      <c r="I65" s="1037"/>
      <c r="J65" s="1037"/>
      <c r="K65" s="1037"/>
      <c r="L65" s="1037"/>
      <c r="M65" s="1041"/>
      <c r="N65" s="1041"/>
      <c r="O65" s="1055"/>
      <c r="P65" s="1055"/>
      <c r="Q65" s="1058"/>
      <c r="R65" s="1059"/>
      <c r="S65" s="1061"/>
      <c r="T65" s="1037"/>
      <c r="U65" s="1037"/>
      <c r="V65" s="1037"/>
      <c r="W65" s="1037"/>
      <c r="X65" s="1037"/>
      <c r="Y65" s="1037"/>
      <c r="Z65" s="1041"/>
      <c r="AA65" s="1041"/>
      <c r="AB65" s="1044"/>
      <c r="AC65" s="1045"/>
      <c r="AD65" s="1053"/>
      <c r="AE65" s="1054"/>
      <c r="AF65" s="1054"/>
      <c r="AG65" s="1083"/>
      <c r="AH65" s="1064"/>
      <c r="AI65" s="1065"/>
      <c r="AJ65" s="1065"/>
      <c r="AK65" s="1066"/>
      <c r="AL65" s="1066"/>
      <c r="AM65" s="1066"/>
      <c r="AN65" s="1049"/>
      <c r="AO65" s="1050"/>
      <c r="AP65" s="1050"/>
      <c r="AQ65" s="1050"/>
      <c r="AT65" s="1104"/>
      <c r="AU65" s="1104"/>
      <c r="AV65" s="1105"/>
      <c r="AW65" s="1025"/>
      <c r="AX65" s="1025"/>
      <c r="AY65" s="1114"/>
      <c r="AZ65" s="1116"/>
      <c r="BA65" s="1109"/>
      <c r="BB65" s="1111"/>
      <c r="BC65" s="931"/>
      <c r="BD65" s="931"/>
      <c r="BE65" s="931"/>
      <c r="BF65" s="931"/>
      <c r="BG65" s="931"/>
      <c r="BH65" s="1107"/>
      <c r="BI65" s="1105"/>
      <c r="BJ65" s="1105"/>
      <c r="BK65" s="931"/>
      <c r="BL65" s="1119"/>
    </row>
    <row r="66" spans="2:64" ht="15.95" customHeight="1">
      <c r="B66" s="905">
        <v>25</v>
      </c>
      <c r="C66" s="1037"/>
      <c r="D66" s="1037"/>
      <c r="E66" s="1037"/>
      <c r="F66" s="1039"/>
      <c r="G66" s="1040"/>
      <c r="H66" s="1037"/>
      <c r="I66" s="1037"/>
      <c r="J66" s="1037"/>
      <c r="K66" s="1037"/>
      <c r="L66" s="1037"/>
      <c r="M66" s="1041"/>
      <c r="N66" s="1041"/>
      <c r="O66" s="1055" t="str">
        <f>IFERROR(IF(G66="","",INDEX(CMLIGHTBASE[Base Watt 1],MATCH(G66,CMLIGHTBASE[Base Desc 1],0))),"")</f>
        <v/>
      </c>
      <c r="P66" s="1055"/>
      <c r="Q66" s="1058"/>
      <c r="R66" s="1059"/>
      <c r="S66" s="1061"/>
      <c r="T66" s="1037"/>
      <c r="U66" s="1037"/>
      <c r="V66" s="1037"/>
      <c r="W66" s="1037"/>
      <c r="X66" s="1037"/>
      <c r="Y66" s="1037"/>
      <c r="Z66" s="1041"/>
      <c r="AA66" s="1041"/>
      <c r="AB66" s="1044"/>
      <c r="AC66" s="1045"/>
      <c r="AD66" s="1053"/>
      <c r="AE66" s="1054"/>
      <c r="AF66" s="1054"/>
      <c r="AG66" s="1083"/>
      <c r="AH66" s="1064" t="str">
        <f t="shared" ref="AH66" si="92">IF(OR(C66="",E66="",G66="",K66="",M66="",O66="",Q66="",S66="",W66="",Z66="",AB66="",AD66="",AF66=""),"",ROUND(AD66+AF66,2))</f>
        <v/>
      </c>
      <c r="AI66" s="1065"/>
      <c r="AJ66" s="1065"/>
      <c r="AK66" s="1066" t="str">
        <f t="shared" ref="AK66" si="93">IF(OR(C66="",E66="",G66="",K66="",M66="",O66="",Q66="",S66="",W66="",Z66="",AB66="",AD66="",AF66=""),"",IF(AW66-AX66&lt;=0,0,AW66-AX66))</f>
        <v/>
      </c>
      <c r="AL66" s="1066"/>
      <c r="AM66" s="1066"/>
      <c r="AN66" s="1047" t="str">
        <f>IF(OR(C66="",E66="",G66="",K66="",M66="",O66="",Q66="",S66="",W66="",Z66="",AB66="",AD66="",AF66=""),"",
IF(BJ66&lt;&gt;"",BJ66,IF(BL66&gt;0,BL66,
IF(ACTIVEBLOCK="Yes",ROUND(MIN(AH66*0.75,AK66*BLOCKBIDRATE),2),
IF(BG66&lt;&gt;"",ROUND(MIN(AH66*0.75,BG66),2),
IF(BD66&lt;KWHRATEMIN,ROUND(MIN(AH66*0.75,BE66),2),
IF(BD66&gt;KWHRATEMAX,ROUND(MIN(AH66*0.75,BF66),2),
ROUND(MIN(AH66*0.75,BC66),2))))))))</f>
        <v/>
      </c>
      <c r="AO66" s="1048"/>
      <c r="AP66" s="1048"/>
      <c r="AQ66" s="1048"/>
      <c r="AT66" s="1104" t="str">
        <f>IFERROR(IF(OR(C66="",E66="",G66="",K66="",M66="",O66="",Q66="",S66="",W66="",Z66="",AB66="",AD66="",AF66=""),"",
ROUND(((1+ELOSS)*((AK66*INDEX(ELECCB[NPV AEC $/kWh],MATCH(AY66,ELECCB[Year Number],1)))+(BA66*INDEX(ELECCB[NPV ACC $/kW],MATCH(AY66,ELECCB[Year Number],1))))/AH66),2)),0)</f>
        <v/>
      </c>
      <c r="AU66" s="1104" t="str">
        <f>IFERROR(AH66/M02S04F06/AK66,"")</f>
        <v/>
      </c>
      <c r="AV66" s="1105" t="str">
        <f>IF(OR(G66="",S66=""),"",IF(INDEX(CMLIGHTEFF[Unit],MATCH(S66,CMLIGHTEFF[Eff Desc 1],0))="","",INDEX(CMLIGHTEFF[Unit],MATCH(S66,CMLIGHTEFF[Eff Desc 1],0))))</f>
        <v/>
      </c>
      <c r="AW66" s="1103" t="str">
        <f>IF(OR(C66="",E66="",G66="",K66="",M66="",O66="",Q66="",S66="",W66="",Z66="",AB66="",AD66="",AF66=""),"",
IF(OR(ISNUMBER(SEARCH("Exterior",E66)),ISNUMBER(SEARCH("Garage",E66))),ROUND(M66*O66*Q66/1000,0),
ROUND(M66*O66*Q66/1000*INDEX(BUILDINGTYPE[Waste Heat Factor (e)],MATCH(M02S04F19,BUILDINGTYPE[Building Type],0)),4)))</f>
        <v/>
      </c>
      <c r="AX66" s="1103" t="str">
        <f>IF(OR(C66="",E66="",G66="",K66="",M66="",O66="",Q66="",S66="",W66="",Z66="",AB66="",AD66="",AF66=""),"",
IF(OR(ISNUMBER(SEARCH("Exterior",E66)),ISNUMBER(SEARCH("Garage",E66))),ROUND(Z66*AB66*Q66/1000,4),
ROUND(Z66*AB66*Q66/1000*INDEX(BUILDINGTYPE[Waste Heat Factor (e)],MATCH(M02S04F19,BUILDINGTYPE[Building Type],0)),4)))</f>
        <v/>
      </c>
      <c r="AY66" s="1114" t="str">
        <f>IF(OR(G66="",S66=""),"",IF(INDEX(CMLIGHTEFF[EUL],MATCH(S66,CMLIGHTEFF[Eff Desc 1],0))="","",INDEX(CMLIGHTEFF[EUL],MATCH(S66,CMLIGHTEFF[Eff Desc 1],0))))</f>
        <v/>
      </c>
      <c r="AZ66" s="1115" t="str">
        <f t="shared" ref="AZ66" si="94">IF(OR(E66="",G66="",S66=""),"",IF(ISNUMBER(SEARCH("24/7",E66)),"Ext Lighting w/ Peak ",IF(E66="Interior","Interior Lighting",IF(OR(E66="Garage",E66="Exterior"),"Ext Lighting w/o Peak","Err"))))</f>
        <v/>
      </c>
      <c r="BA66" s="1109" t="str">
        <f>IFERROR(IF(OR(C66="",E66="",G66="",K66="",M66="",O66="",Q66="",S66="",W66="",Z66="",AB66="",AD66="",AF66=""),"",ROUND(AK66*INDEX(ENDUSEALL[Factor],MATCH(AZ66,ENDUSEALL[End Use to Coincident Peak Demand Factors],0)),4)),"")</f>
        <v/>
      </c>
      <c r="BB66" s="1111" t="str">
        <f>IFERROR(IF(OR(C66="",E66="",G66="",K66="",M66="",O66="",Q66="",S66="",W66="",Z66="",AB66="",AD66="",AF66=""),"",IF(OR(E66="Garage",E66="Exterior"),0,
ROUND((((M66*O66)-(Z66*AB66))/1000)*INDEX(BUILDINGTYPE[Waste Heat Factor (e)],MATCH(M02S04F19,BUILDINGTYPE[Building Type],0))*INDEX(BUILDINGTYPE[Lighting Coincidence Factor],MATCH(M02S04F19,BUILDINGTYPE[Building Type],0)),4))),"")</f>
        <v/>
      </c>
      <c r="BC66" s="930" t="str">
        <f t="shared" ref="BC66" si="95">IFERROR(ROUND(AK66*BD66,2),"")</f>
        <v/>
      </c>
      <c r="BD66" s="930" t="str">
        <f>IFERROR(INDEX(ENDUSEALL[Rate ($/kWh)],MATCH(AZ66,ENDUSEALL[End Use to Coincident Peak Demand Factors],0)),"")</f>
        <v/>
      </c>
      <c r="BE66" s="931" t="str">
        <f>IFERROR(ROUND(AK66*KWHRATEMIN,2),"")</f>
        <v/>
      </c>
      <c r="BF66" s="931" t="str">
        <f>IFERROR(ROUND(AK66*KWHRATEMAX,2),"")</f>
        <v/>
      </c>
      <c r="BG66" s="930" t="str">
        <f>IFERROR(IF(INDEX(ENDUSEALL[Bonus Rate ($/kWh)],MATCH(AZ66,ENDUSEALL[End Use to Coincident Peak Demand Factors],0))="","",INDEX(ENDUSEALL[Bonus Rate ($/kWh)],MATCH(AZ66,ENDUSEALL[End Use to Coincident Peak Demand Factors],0))*AK66),"")</f>
        <v/>
      </c>
      <c r="BH66" s="1107" t="str">
        <f>IF(OR(C66="",E66="",G66="",K66="",M66="",O66="",Q66="",S66="",W66="",Z66="",AB66="",AD66="",AF66=""),"",IF(BJ66&lt;&gt;"",SPILLOVERNUMBER,
221&amp;INDEX(LOCATIONTYPE[Measure Number],MATCH(E66,LOCATIONTYPE[Location Type],0))&amp;INDEX(ENDUSEALL[Measure Number Indicator],MATCH(AZ66,ENDUSEALL[End Use to Coincident Peak Demand Factors],0))&amp;INDEX(CMLIGHTEFF[Measure Number],MATCH(S66,CMLIGHTEFF[Eff Desc 1],0))))</f>
        <v/>
      </c>
      <c r="BI66" s="1108" t="str">
        <f>IFERROR(IF(ROUND(AN66/AH66,2)=TOTCOSTCAP,"Cost Cap at 75%",
IF(BD66&lt;KWHRATEMIN, "kWh Incentive Rate Min",
IF(BD66&gt;KWHRATEMAX,"kWh Incentive Rate Cap",
IF(AN66=BG66,"Bonus Incentive",
"kWh Incentive")))),"")</f>
        <v/>
      </c>
      <c r="BJ66" s="1108" t="str">
        <f ca="1">IFERROR(IF(EXPIRATION&lt;&gt;"",PROJSTATEXP,
IF(BL66&gt;0,"",
IF(AW66-AX66&lt;=0,MEASURESAVE,
IF(OR(M02S04F06="",M02S04F06="Select Rate Code",M02S04F06=0),MEASURERATE,
IF(M02S04F19="",MEASUREBLDG,
IF(PAYCUSE&lt;PAYBACKREQ,PROJECTSTATPAYBACK,
IF(CBCUSE&lt;CBREQ,PROJECTSTATCB,""))))))),MEASURESUBMIT)</f>
        <v>Submit for Review</v>
      </c>
      <c r="BK66" s="930" t="str">
        <f>IFERROR(IF(OR(C66="",E66="",G66="",K66="",M66="",O66="",Q66="",S66="",W66="",Z66="",AB66="",AD66="",AF66=""),"",
ROUND(((1+ELOSS)*((AK66*INDEX(ELECCB[NPV AEC $/kWh],MATCH(AY66,ELECCB[Year Number],1)))+(BA66*INDEX(ELECCB[NPV ACC $/kW],MATCH(AY66,ELECCB[Year Number],1))))),2)),0)</f>
        <v/>
      </c>
      <c r="BL66" s="1118"/>
    </row>
    <row r="67" spans="2:64" ht="15.95" customHeight="1">
      <c r="B67" s="905"/>
      <c r="C67" s="1037"/>
      <c r="D67" s="1037"/>
      <c r="E67" s="1037"/>
      <c r="F67" s="1039"/>
      <c r="G67" s="1040"/>
      <c r="H67" s="1037"/>
      <c r="I67" s="1037"/>
      <c r="J67" s="1037"/>
      <c r="K67" s="1037"/>
      <c r="L67" s="1037"/>
      <c r="M67" s="1041"/>
      <c r="N67" s="1041"/>
      <c r="O67" s="1055"/>
      <c r="P67" s="1055"/>
      <c r="Q67" s="1058"/>
      <c r="R67" s="1059"/>
      <c r="S67" s="1061"/>
      <c r="T67" s="1037"/>
      <c r="U67" s="1037"/>
      <c r="V67" s="1037"/>
      <c r="W67" s="1037"/>
      <c r="X67" s="1037"/>
      <c r="Y67" s="1037"/>
      <c r="Z67" s="1041"/>
      <c r="AA67" s="1041"/>
      <c r="AB67" s="1044"/>
      <c r="AC67" s="1045"/>
      <c r="AD67" s="1053"/>
      <c r="AE67" s="1054"/>
      <c r="AF67" s="1054"/>
      <c r="AG67" s="1083"/>
      <c r="AH67" s="1064"/>
      <c r="AI67" s="1065"/>
      <c r="AJ67" s="1065"/>
      <c r="AK67" s="1066"/>
      <c r="AL67" s="1066"/>
      <c r="AM67" s="1066"/>
      <c r="AN67" s="1049"/>
      <c r="AO67" s="1050"/>
      <c r="AP67" s="1050"/>
      <c r="AQ67" s="1050"/>
      <c r="AT67" s="1104"/>
      <c r="AU67" s="1104"/>
      <c r="AV67" s="1105"/>
      <c r="AW67" s="1025"/>
      <c r="AX67" s="1025"/>
      <c r="AY67" s="1114"/>
      <c r="AZ67" s="1116"/>
      <c r="BA67" s="1109"/>
      <c r="BB67" s="1111"/>
      <c r="BC67" s="931"/>
      <c r="BD67" s="931"/>
      <c r="BE67" s="931"/>
      <c r="BF67" s="931"/>
      <c r="BG67" s="931"/>
      <c r="BH67" s="1107"/>
      <c r="BI67" s="1105"/>
      <c r="BJ67" s="1105"/>
      <c r="BK67" s="931"/>
      <c r="BL67" s="1119"/>
    </row>
    <row r="68" spans="2:64" ht="15.95" customHeight="1">
      <c r="B68" s="905">
        <v>26</v>
      </c>
      <c r="C68" s="1037"/>
      <c r="D68" s="1037"/>
      <c r="E68" s="1037"/>
      <c r="F68" s="1039"/>
      <c r="G68" s="1040"/>
      <c r="H68" s="1037"/>
      <c r="I68" s="1037"/>
      <c r="J68" s="1037"/>
      <c r="K68" s="1037"/>
      <c r="L68" s="1037"/>
      <c r="M68" s="1041"/>
      <c r="N68" s="1041"/>
      <c r="O68" s="1055" t="str">
        <f>IFERROR(IF(G68="","",INDEX(CMLIGHTBASE[Base Watt 1],MATCH(G68,CMLIGHTBASE[Base Desc 1],0))),"")</f>
        <v/>
      </c>
      <c r="P68" s="1055"/>
      <c r="Q68" s="1058"/>
      <c r="R68" s="1059"/>
      <c r="S68" s="1061"/>
      <c r="T68" s="1037"/>
      <c r="U68" s="1037"/>
      <c r="V68" s="1037"/>
      <c r="W68" s="1037"/>
      <c r="X68" s="1037"/>
      <c r="Y68" s="1037"/>
      <c r="Z68" s="1041"/>
      <c r="AA68" s="1041"/>
      <c r="AB68" s="1044"/>
      <c r="AC68" s="1045"/>
      <c r="AD68" s="1053"/>
      <c r="AE68" s="1054"/>
      <c r="AF68" s="1054"/>
      <c r="AG68" s="1083"/>
      <c r="AH68" s="1064" t="str">
        <f t="shared" ref="AH68" si="96">IF(OR(C68="",E68="",G68="",K68="",M68="",O68="",Q68="",S68="",W68="",Z68="",AB68="",AD68="",AF68=""),"",ROUND(AD68+AF68,2))</f>
        <v/>
      </c>
      <c r="AI68" s="1065"/>
      <c r="AJ68" s="1065"/>
      <c r="AK68" s="1066" t="str">
        <f t="shared" ref="AK68" si="97">IF(OR(C68="",E68="",G68="",K68="",M68="",O68="",Q68="",S68="",W68="",Z68="",AB68="",AD68="",AF68=""),"",IF(AW68-AX68&lt;=0,0,AW68-AX68))</f>
        <v/>
      </c>
      <c r="AL68" s="1066"/>
      <c r="AM68" s="1066"/>
      <c r="AN68" s="1047" t="str">
        <f>IF(OR(C68="",E68="",G68="",K68="",M68="",O68="",Q68="",S68="",W68="",Z68="",AB68="",AD68="",AF68=""),"",
IF(BJ68&lt;&gt;"",BJ68,IF(BL68&gt;0,BL68,
IF(ACTIVEBLOCK="Yes",ROUND(MIN(AH68*0.75,AK68*BLOCKBIDRATE),2),
IF(BG68&lt;&gt;"",ROUND(MIN(AH68*0.75,BG68),2),
IF(BD68&lt;KWHRATEMIN,ROUND(MIN(AH68*0.75,BE68),2),
IF(BD68&gt;KWHRATEMAX,ROUND(MIN(AH68*0.75,BF68),2),
ROUND(MIN(AH68*0.75,BC68),2))))))))</f>
        <v/>
      </c>
      <c r="AO68" s="1048"/>
      <c r="AP68" s="1048"/>
      <c r="AQ68" s="1048"/>
      <c r="AT68" s="1104" t="str">
        <f>IFERROR(IF(OR(C68="",E68="",G68="",K68="",M68="",O68="",Q68="",S68="",W68="",Z68="",AB68="",AD68="",AF68=""),"",
ROUND(((1+ELOSS)*((AK68*INDEX(ELECCB[NPV AEC $/kWh],MATCH(AY68,ELECCB[Year Number],1)))+(BA68*INDEX(ELECCB[NPV ACC $/kW],MATCH(AY68,ELECCB[Year Number],1))))/AH68),2)),0)</f>
        <v/>
      </c>
      <c r="AU68" s="1104" t="str">
        <f>IFERROR(AH68/M02S04F06/AK68,"")</f>
        <v/>
      </c>
      <c r="AV68" s="1105" t="str">
        <f>IF(OR(G68="",S68=""),"",IF(INDEX(CMLIGHTEFF[Unit],MATCH(S68,CMLIGHTEFF[Eff Desc 1],0))="","",INDEX(CMLIGHTEFF[Unit],MATCH(S68,CMLIGHTEFF[Eff Desc 1],0))))</f>
        <v/>
      </c>
      <c r="AW68" s="1103" t="str">
        <f>IF(OR(C68="",E68="",G68="",K68="",M68="",O68="",Q68="",S68="",W68="",Z68="",AB68="",AD68="",AF68=""),"",
IF(OR(ISNUMBER(SEARCH("Exterior",E68)),ISNUMBER(SEARCH("Garage",E68))),ROUND(M68*O68*Q68/1000,0),
ROUND(M68*O68*Q68/1000*INDEX(BUILDINGTYPE[Waste Heat Factor (e)],MATCH(M02S04F19,BUILDINGTYPE[Building Type],0)),4)))</f>
        <v/>
      </c>
      <c r="AX68" s="1103" t="str">
        <f>IF(OR(C68="",E68="",G68="",K68="",M68="",O68="",Q68="",S68="",W68="",Z68="",AB68="",AD68="",AF68=""),"",
IF(OR(ISNUMBER(SEARCH("Exterior",E68)),ISNUMBER(SEARCH("Garage",E68))),ROUND(Z68*AB68*Q68/1000,4),
ROUND(Z68*AB68*Q68/1000*INDEX(BUILDINGTYPE[Waste Heat Factor (e)],MATCH(M02S04F19,BUILDINGTYPE[Building Type],0)),4)))</f>
        <v/>
      </c>
      <c r="AY68" s="1114" t="str">
        <f>IF(OR(G68="",S68=""),"",IF(INDEX(CMLIGHTEFF[EUL],MATCH(S68,CMLIGHTEFF[Eff Desc 1],0))="","",INDEX(CMLIGHTEFF[EUL],MATCH(S68,CMLIGHTEFF[Eff Desc 1],0))))</f>
        <v/>
      </c>
      <c r="AZ68" s="1115" t="str">
        <f t="shared" ref="AZ68" si="98">IF(OR(E68="",G68="",S68=""),"",IF(ISNUMBER(SEARCH("24/7",E68)),"Ext Lighting w/ Peak ",IF(E68="Interior","Interior Lighting",IF(OR(E68="Garage",E68="Exterior"),"Ext Lighting w/o Peak","Err"))))</f>
        <v/>
      </c>
      <c r="BA68" s="1109" t="str">
        <f>IFERROR(IF(OR(C68="",E68="",G68="",K68="",M68="",O68="",Q68="",S68="",W68="",Z68="",AB68="",AD68="",AF68=""),"",ROUND(AK68*INDEX(ENDUSEALL[Factor],MATCH(AZ68,ENDUSEALL[End Use to Coincident Peak Demand Factors],0)),4)),"")</f>
        <v/>
      </c>
      <c r="BB68" s="1111" t="str">
        <f>IFERROR(IF(OR(C68="",E68="",G68="",K68="",M68="",O68="",Q68="",S68="",W68="",Z68="",AB68="",AD68="",AF68=""),"",IF(OR(E68="Garage",E68="Exterior"),0,
ROUND((((M68*O68)-(Z68*AB68))/1000)*INDEX(BUILDINGTYPE[Waste Heat Factor (e)],MATCH(M02S04F19,BUILDINGTYPE[Building Type],0))*INDEX(BUILDINGTYPE[Lighting Coincidence Factor],MATCH(M02S04F19,BUILDINGTYPE[Building Type],0)),4))),"")</f>
        <v/>
      </c>
      <c r="BC68" s="930" t="str">
        <f t="shared" ref="BC68" si="99">IFERROR(ROUND(AK68*BD68,2),"")</f>
        <v/>
      </c>
      <c r="BD68" s="930" t="str">
        <f>IFERROR(INDEX(ENDUSEALL[Rate ($/kWh)],MATCH(AZ68,ENDUSEALL[End Use to Coincident Peak Demand Factors],0)),"")</f>
        <v/>
      </c>
      <c r="BE68" s="931" t="str">
        <f>IFERROR(ROUND(AK68*KWHRATEMIN,2),"")</f>
        <v/>
      </c>
      <c r="BF68" s="931" t="str">
        <f>IFERROR(ROUND(AK68*KWHRATEMAX,2),"")</f>
        <v/>
      </c>
      <c r="BG68" s="930" t="str">
        <f>IFERROR(IF(INDEX(ENDUSEALL[Bonus Rate ($/kWh)],MATCH(AZ68,ENDUSEALL[End Use to Coincident Peak Demand Factors],0))="","",INDEX(ENDUSEALL[Bonus Rate ($/kWh)],MATCH(AZ68,ENDUSEALL[End Use to Coincident Peak Demand Factors],0))*AK68),"")</f>
        <v/>
      </c>
      <c r="BH68" s="1107" t="str">
        <f>IF(OR(C68="",E68="",G68="",K68="",M68="",O68="",Q68="",S68="",W68="",Z68="",AB68="",AD68="",AF68=""),"",IF(BJ68&lt;&gt;"",SPILLOVERNUMBER,
221&amp;INDEX(LOCATIONTYPE[Measure Number],MATCH(E68,LOCATIONTYPE[Location Type],0))&amp;INDEX(ENDUSEALL[Measure Number Indicator],MATCH(AZ68,ENDUSEALL[End Use to Coincident Peak Demand Factors],0))&amp;INDEX(CMLIGHTEFF[Measure Number],MATCH(S68,CMLIGHTEFF[Eff Desc 1],0))))</f>
        <v/>
      </c>
      <c r="BI68" s="1108" t="str">
        <f>IFERROR(IF(ROUND(AN68/AH68,2)=TOTCOSTCAP,"Cost Cap at 75%",
IF(BD68&lt;KWHRATEMIN, "kWh Incentive Rate Min",
IF(BD68&gt;KWHRATEMAX,"kWh Incentive Rate Cap",
IF(AN68=BG68,"Bonus Incentive",
"kWh Incentive")))),"")</f>
        <v/>
      </c>
      <c r="BJ68" s="1108" t="str">
        <f ca="1">IFERROR(IF(EXPIRATION&lt;&gt;"",PROJSTATEXP,
IF(BL68&gt;0,"",
IF(AW68-AX68&lt;=0,MEASURESAVE,
IF(OR(M02S04F06="",M02S04F06="Select Rate Code",M02S04F06=0),MEASURERATE,
IF(M02S04F19="",MEASUREBLDG,
IF(PAYCUSE&lt;PAYBACKREQ,PROJECTSTATPAYBACK,
IF(CBCUSE&lt;CBREQ,PROJECTSTATCB,""))))))),MEASURESUBMIT)</f>
        <v>Submit for Review</v>
      </c>
      <c r="BK68" s="930" t="str">
        <f>IFERROR(IF(OR(C68="",E68="",G68="",K68="",M68="",O68="",Q68="",S68="",W68="",Z68="",AB68="",AD68="",AF68=""),"",
ROUND(((1+ELOSS)*((AK68*INDEX(ELECCB[NPV AEC $/kWh],MATCH(AY68,ELECCB[Year Number],1)))+(BA68*INDEX(ELECCB[NPV ACC $/kW],MATCH(AY68,ELECCB[Year Number],1))))),2)),0)</f>
        <v/>
      </c>
      <c r="BL68" s="1118"/>
    </row>
    <row r="69" spans="2:64" ht="15.95" customHeight="1">
      <c r="B69" s="905"/>
      <c r="C69" s="1037"/>
      <c r="D69" s="1037"/>
      <c r="E69" s="1037"/>
      <c r="F69" s="1039"/>
      <c r="G69" s="1040"/>
      <c r="H69" s="1037"/>
      <c r="I69" s="1037"/>
      <c r="J69" s="1037"/>
      <c r="K69" s="1037"/>
      <c r="L69" s="1037"/>
      <c r="M69" s="1041"/>
      <c r="N69" s="1041"/>
      <c r="O69" s="1055"/>
      <c r="P69" s="1055"/>
      <c r="Q69" s="1058"/>
      <c r="R69" s="1059"/>
      <c r="S69" s="1061"/>
      <c r="T69" s="1037"/>
      <c r="U69" s="1037"/>
      <c r="V69" s="1037"/>
      <c r="W69" s="1037"/>
      <c r="X69" s="1037"/>
      <c r="Y69" s="1037"/>
      <c r="Z69" s="1041"/>
      <c r="AA69" s="1041"/>
      <c r="AB69" s="1044"/>
      <c r="AC69" s="1045"/>
      <c r="AD69" s="1053"/>
      <c r="AE69" s="1054"/>
      <c r="AF69" s="1054"/>
      <c r="AG69" s="1083"/>
      <c r="AH69" s="1064"/>
      <c r="AI69" s="1065"/>
      <c r="AJ69" s="1065"/>
      <c r="AK69" s="1066"/>
      <c r="AL69" s="1066"/>
      <c r="AM69" s="1066"/>
      <c r="AN69" s="1049"/>
      <c r="AO69" s="1050"/>
      <c r="AP69" s="1050"/>
      <c r="AQ69" s="1050"/>
      <c r="AT69" s="1104"/>
      <c r="AU69" s="1104"/>
      <c r="AV69" s="1105"/>
      <c r="AW69" s="1025"/>
      <c r="AX69" s="1025"/>
      <c r="AY69" s="1114"/>
      <c r="AZ69" s="1116"/>
      <c r="BA69" s="1109"/>
      <c r="BB69" s="1111"/>
      <c r="BC69" s="931"/>
      <c r="BD69" s="931"/>
      <c r="BE69" s="931"/>
      <c r="BF69" s="931"/>
      <c r="BG69" s="931"/>
      <c r="BH69" s="1107"/>
      <c r="BI69" s="1105"/>
      <c r="BJ69" s="1105"/>
      <c r="BK69" s="931"/>
      <c r="BL69" s="1119"/>
    </row>
    <row r="70" spans="2:64" ht="15.95" customHeight="1">
      <c r="B70" s="905">
        <v>27</v>
      </c>
      <c r="C70" s="1037"/>
      <c r="D70" s="1037"/>
      <c r="E70" s="1037"/>
      <c r="F70" s="1039"/>
      <c r="G70" s="1040"/>
      <c r="H70" s="1037"/>
      <c r="I70" s="1037"/>
      <c r="J70" s="1037"/>
      <c r="K70" s="1037"/>
      <c r="L70" s="1037"/>
      <c r="M70" s="1041"/>
      <c r="N70" s="1041"/>
      <c r="O70" s="1055" t="str">
        <f>IFERROR(IF(G70="","",INDEX(CMLIGHTBASE[Base Watt 1],MATCH(G70,CMLIGHTBASE[Base Desc 1],0))),"")</f>
        <v/>
      </c>
      <c r="P70" s="1055"/>
      <c r="Q70" s="1058"/>
      <c r="R70" s="1059"/>
      <c r="S70" s="1061"/>
      <c r="T70" s="1037"/>
      <c r="U70" s="1037"/>
      <c r="V70" s="1037"/>
      <c r="W70" s="1037"/>
      <c r="X70" s="1037"/>
      <c r="Y70" s="1037"/>
      <c r="Z70" s="1041"/>
      <c r="AA70" s="1041"/>
      <c r="AB70" s="1044"/>
      <c r="AC70" s="1045"/>
      <c r="AD70" s="1053"/>
      <c r="AE70" s="1054"/>
      <c r="AF70" s="1054"/>
      <c r="AG70" s="1083"/>
      <c r="AH70" s="1064" t="str">
        <f t="shared" ref="AH70" si="100">IF(OR(C70="",E70="",G70="",K70="",M70="",O70="",Q70="",S70="",W70="",Z70="",AB70="",AD70="",AF70=""),"",ROUND(AD70+AF70,2))</f>
        <v/>
      </c>
      <c r="AI70" s="1065"/>
      <c r="AJ70" s="1065"/>
      <c r="AK70" s="1066" t="str">
        <f t="shared" ref="AK70" si="101">IF(OR(C70="",E70="",G70="",K70="",M70="",O70="",Q70="",S70="",W70="",Z70="",AB70="",AD70="",AF70=""),"",IF(AW70-AX70&lt;=0,0,AW70-AX70))</f>
        <v/>
      </c>
      <c r="AL70" s="1066"/>
      <c r="AM70" s="1066"/>
      <c r="AN70" s="1047" t="str">
        <f>IF(OR(C70="",E70="",G70="",K70="",M70="",O70="",Q70="",S70="",W70="",Z70="",AB70="",AD70="",AF70=""),"",
IF(BJ70&lt;&gt;"",BJ70,IF(BL70&gt;0,BL70,
IF(ACTIVEBLOCK="Yes",ROUND(MIN(AH70*0.75,AK70*BLOCKBIDRATE),2),
IF(BG70&lt;&gt;"",ROUND(MIN(AH70*0.75,BG70),2),
IF(BD70&lt;KWHRATEMIN,ROUND(MIN(AH70*0.75,BE70),2),
IF(BD70&gt;KWHRATEMAX,ROUND(MIN(AH70*0.75,BF70),2),
ROUND(MIN(AH70*0.75,BC70),2))))))))</f>
        <v/>
      </c>
      <c r="AO70" s="1048"/>
      <c r="AP70" s="1048"/>
      <c r="AQ70" s="1048"/>
      <c r="AT70" s="1104" t="str">
        <f>IFERROR(IF(OR(C70="",E70="",G70="",K70="",M70="",O70="",Q70="",S70="",W70="",Z70="",AB70="",AD70="",AF70=""),"",
ROUND(((1+ELOSS)*((AK70*INDEX(ELECCB[NPV AEC $/kWh],MATCH(AY70,ELECCB[Year Number],1)))+(BA70*INDEX(ELECCB[NPV ACC $/kW],MATCH(AY70,ELECCB[Year Number],1))))/AH70),2)),0)</f>
        <v/>
      </c>
      <c r="AU70" s="1104" t="str">
        <f>IFERROR(AH70/M02S04F06/AK70,"")</f>
        <v/>
      </c>
      <c r="AV70" s="1105" t="str">
        <f>IF(OR(G70="",S70=""),"",IF(INDEX(CMLIGHTEFF[Unit],MATCH(S70,CMLIGHTEFF[Eff Desc 1],0))="","",INDEX(CMLIGHTEFF[Unit],MATCH(S70,CMLIGHTEFF[Eff Desc 1],0))))</f>
        <v/>
      </c>
      <c r="AW70" s="1103" t="str">
        <f>IF(OR(C70="",E70="",G70="",K70="",M70="",O70="",Q70="",S70="",W70="",Z70="",AB70="",AD70="",AF70=""),"",
IF(OR(ISNUMBER(SEARCH("Exterior",E70)),ISNUMBER(SEARCH("Garage",E70))),ROUND(M70*O70*Q70/1000,0),
ROUND(M70*O70*Q70/1000*INDEX(BUILDINGTYPE[Waste Heat Factor (e)],MATCH(M02S04F19,BUILDINGTYPE[Building Type],0)),4)))</f>
        <v/>
      </c>
      <c r="AX70" s="1103" t="str">
        <f>IF(OR(C70="",E70="",G70="",K70="",M70="",O70="",Q70="",S70="",W70="",Z70="",AB70="",AD70="",AF70=""),"",
IF(OR(ISNUMBER(SEARCH("Exterior",E70)),ISNUMBER(SEARCH("Garage",E70))),ROUND(Z70*AB70*Q70/1000,4),
ROUND(Z70*AB70*Q70/1000*INDEX(BUILDINGTYPE[Waste Heat Factor (e)],MATCH(M02S04F19,BUILDINGTYPE[Building Type],0)),4)))</f>
        <v/>
      </c>
      <c r="AY70" s="1114" t="str">
        <f>IF(OR(G70="",S70=""),"",IF(INDEX(CMLIGHTEFF[EUL],MATCH(S70,CMLIGHTEFF[Eff Desc 1],0))="","",INDEX(CMLIGHTEFF[EUL],MATCH(S70,CMLIGHTEFF[Eff Desc 1],0))))</f>
        <v/>
      </c>
      <c r="AZ70" s="1115" t="str">
        <f t="shared" ref="AZ70" si="102">IF(OR(E70="",G70="",S70=""),"",IF(ISNUMBER(SEARCH("24/7",E70)),"Ext Lighting w/ Peak ",IF(E70="Interior","Interior Lighting",IF(OR(E70="Garage",E70="Exterior"),"Ext Lighting w/o Peak","Err"))))</f>
        <v/>
      </c>
      <c r="BA70" s="1109" t="str">
        <f>IFERROR(IF(OR(C70="",E70="",G70="",K70="",M70="",O70="",Q70="",S70="",W70="",Z70="",AB70="",AD70="",AF70=""),"",ROUND(AK70*INDEX(ENDUSEALL[Factor],MATCH(AZ70,ENDUSEALL[End Use to Coincident Peak Demand Factors],0)),4)),"")</f>
        <v/>
      </c>
      <c r="BB70" s="1111" t="str">
        <f>IFERROR(IF(OR(C70="",E70="",G70="",K70="",M70="",O70="",Q70="",S70="",W70="",Z70="",AB70="",AD70="",AF70=""),"",IF(OR(E70="Garage",E70="Exterior"),0,
ROUND((((M70*O70)-(Z70*AB70))/1000)*INDEX(BUILDINGTYPE[Waste Heat Factor (e)],MATCH(M02S04F19,BUILDINGTYPE[Building Type],0))*INDEX(BUILDINGTYPE[Lighting Coincidence Factor],MATCH(M02S04F19,BUILDINGTYPE[Building Type],0)),4))),"")</f>
        <v/>
      </c>
      <c r="BC70" s="930" t="str">
        <f t="shared" ref="BC70" si="103">IFERROR(ROUND(AK70*BD70,2),"")</f>
        <v/>
      </c>
      <c r="BD70" s="930" t="str">
        <f>IFERROR(INDEX(ENDUSEALL[Rate ($/kWh)],MATCH(AZ70,ENDUSEALL[End Use to Coincident Peak Demand Factors],0)),"")</f>
        <v/>
      </c>
      <c r="BE70" s="931" t="str">
        <f>IFERROR(ROUND(AK70*KWHRATEMIN,2),"")</f>
        <v/>
      </c>
      <c r="BF70" s="931" t="str">
        <f>IFERROR(ROUND(AK70*KWHRATEMAX,2),"")</f>
        <v/>
      </c>
      <c r="BG70" s="930" t="str">
        <f>IFERROR(IF(INDEX(ENDUSEALL[Bonus Rate ($/kWh)],MATCH(AZ70,ENDUSEALL[End Use to Coincident Peak Demand Factors],0))="","",INDEX(ENDUSEALL[Bonus Rate ($/kWh)],MATCH(AZ70,ENDUSEALL[End Use to Coincident Peak Demand Factors],0))*AK70),"")</f>
        <v/>
      </c>
      <c r="BH70" s="1107" t="str">
        <f>IF(OR(C70="",E70="",G70="",K70="",M70="",O70="",Q70="",S70="",W70="",Z70="",AB70="",AD70="",AF70=""),"",IF(BJ70&lt;&gt;"",SPILLOVERNUMBER,
221&amp;INDEX(LOCATIONTYPE[Measure Number],MATCH(E70,LOCATIONTYPE[Location Type],0))&amp;INDEX(ENDUSEALL[Measure Number Indicator],MATCH(AZ70,ENDUSEALL[End Use to Coincident Peak Demand Factors],0))&amp;INDEX(CMLIGHTEFF[Measure Number],MATCH(S70,CMLIGHTEFF[Eff Desc 1],0))))</f>
        <v/>
      </c>
      <c r="BI70" s="1108" t="str">
        <f>IFERROR(IF(ROUND(AN70/AH70,2)=TOTCOSTCAP,"Cost Cap at 75%",
IF(BD70&lt;KWHRATEMIN, "kWh Incentive Rate Min",
IF(BD70&gt;KWHRATEMAX,"kWh Incentive Rate Cap",
IF(AN70=BG70,"Bonus Incentive",
"kWh Incentive")))),"")</f>
        <v/>
      </c>
      <c r="BJ70" s="1108" t="str">
        <f ca="1">IFERROR(IF(EXPIRATION&lt;&gt;"",PROJSTATEXP,
IF(BL70&gt;0,"",
IF(AW70-AX70&lt;=0,MEASURESAVE,
IF(OR(M02S04F06="",M02S04F06="Select Rate Code",M02S04F06=0),MEASURERATE,
IF(M02S04F19="",MEASUREBLDG,
IF(PAYCUSE&lt;PAYBACKREQ,PROJECTSTATPAYBACK,
IF(CBCUSE&lt;CBREQ,PROJECTSTATCB,""))))))),MEASURESUBMIT)</f>
        <v>Submit for Review</v>
      </c>
      <c r="BK70" s="930" t="str">
        <f>IFERROR(IF(OR(C70="",E70="",G70="",K70="",M70="",O70="",Q70="",S70="",W70="",Z70="",AB70="",AD70="",AF70=""),"",
ROUND(((1+ELOSS)*((AK70*INDEX(ELECCB[NPV AEC $/kWh],MATCH(AY70,ELECCB[Year Number],1)))+(BA70*INDEX(ELECCB[NPV ACC $/kW],MATCH(AY70,ELECCB[Year Number],1))))),2)),0)</f>
        <v/>
      </c>
      <c r="BL70" s="1118"/>
    </row>
    <row r="71" spans="2:64" ht="15.95" customHeight="1">
      <c r="B71" s="905"/>
      <c r="C71" s="1037"/>
      <c r="D71" s="1037"/>
      <c r="E71" s="1037"/>
      <c r="F71" s="1039"/>
      <c r="G71" s="1040"/>
      <c r="H71" s="1037"/>
      <c r="I71" s="1037"/>
      <c r="J71" s="1037"/>
      <c r="K71" s="1037"/>
      <c r="L71" s="1037"/>
      <c r="M71" s="1041"/>
      <c r="N71" s="1041"/>
      <c r="O71" s="1055"/>
      <c r="P71" s="1055"/>
      <c r="Q71" s="1058"/>
      <c r="R71" s="1059"/>
      <c r="S71" s="1061"/>
      <c r="T71" s="1037"/>
      <c r="U71" s="1037"/>
      <c r="V71" s="1037"/>
      <c r="W71" s="1037"/>
      <c r="X71" s="1037"/>
      <c r="Y71" s="1037"/>
      <c r="Z71" s="1041"/>
      <c r="AA71" s="1041"/>
      <c r="AB71" s="1044"/>
      <c r="AC71" s="1045"/>
      <c r="AD71" s="1053"/>
      <c r="AE71" s="1054"/>
      <c r="AF71" s="1054"/>
      <c r="AG71" s="1083"/>
      <c r="AH71" s="1064"/>
      <c r="AI71" s="1065"/>
      <c r="AJ71" s="1065"/>
      <c r="AK71" s="1066"/>
      <c r="AL71" s="1066"/>
      <c r="AM71" s="1066"/>
      <c r="AN71" s="1049"/>
      <c r="AO71" s="1050"/>
      <c r="AP71" s="1050"/>
      <c r="AQ71" s="1050"/>
      <c r="AT71" s="1104"/>
      <c r="AU71" s="1104"/>
      <c r="AV71" s="1105"/>
      <c r="AW71" s="1025"/>
      <c r="AX71" s="1025"/>
      <c r="AY71" s="1114"/>
      <c r="AZ71" s="1116"/>
      <c r="BA71" s="1109"/>
      <c r="BB71" s="1111"/>
      <c r="BC71" s="931"/>
      <c r="BD71" s="931"/>
      <c r="BE71" s="931"/>
      <c r="BF71" s="931"/>
      <c r="BG71" s="931"/>
      <c r="BH71" s="1107"/>
      <c r="BI71" s="1105"/>
      <c r="BJ71" s="1105"/>
      <c r="BK71" s="931"/>
      <c r="BL71" s="1119"/>
    </row>
    <row r="72" spans="2:64" ht="15.95" customHeight="1">
      <c r="B72" s="905">
        <v>28</v>
      </c>
      <c r="C72" s="1037"/>
      <c r="D72" s="1037"/>
      <c r="E72" s="1037"/>
      <c r="F72" s="1039"/>
      <c r="G72" s="1040"/>
      <c r="H72" s="1037"/>
      <c r="I72" s="1037"/>
      <c r="J72" s="1037"/>
      <c r="K72" s="1037"/>
      <c r="L72" s="1037"/>
      <c r="M72" s="1041"/>
      <c r="N72" s="1041"/>
      <c r="O72" s="1055" t="str">
        <f>IFERROR(IF(G72="","",INDEX(CMLIGHTBASE[Base Watt 1],MATCH(G72,CMLIGHTBASE[Base Desc 1],0))),"")</f>
        <v/>
      </c>
      <c r="P72" s="1055"/>
      <c r="Q72" s="1058"/>
      <c r="R72" s="1059"/>
      <c r="S72" s="1061"/>
      <c r="T72" s="1037"/>
      <c r="U72" s="1037"/>
      <c r="V72" s="1037"/>
      <c r="W72" s="1037"/>
      <c r="X72" s="1037"/>
      <c r="Y72" s="1037"/>
      <c r="Z72" s="1041"/>
      <c r="AA72" s="1041"/>
      <c r="AB72" s="1044"/>
      <c r="AC72" s="1045"/>
      <c r="AD72" s="1053"/>
      <c r="AE72" s="1054"/>
      <c r="AF72" s="1054"/>
      <c r="AG72" s="1083"/>
      <c r="AH72" s="1064" t="str">
        <f t="shared" ref="AH72" si="104">IF(OR(C72="",E72="",G72="",K72="",M72="",O72="",Q72="",S72="",W72="",Z72="",AB72="",AD72="",AF72=""),"",ROUND(AD72+AF72,2))</f>
        <v/>
      </c>
      <c r="AI72" s="1065"/>
      <c r="AJ72" s="1065"/>
      <c r="AK72" s="1066" t="str">
        <f t="shared" ref="AK72" si="105">IF(OR(C72="",E72="",G72="",K72="",M72="",O72="",Q72="",S72="",W72="",Z72="",AB72="",AD72="",AF72=""),"",IF(AW72-AX72&lt;=0,0,AW72-AX72))</f>
        <v/>
      </c>
      <c r="AL72" s="1066"/>
      <c r="AM72" s="1066"/>
      <c r="AN72" s="1047" t="str">
        <f>IF(OR(C72="",E72="",G72="",K72="",M72="",O72="",Q72="",S72="",W72="",Z72="",AB72="",AD72="",AF72=""),"",
IF(BJ72&lt;&gt;"",BJ72,IF(BL72&gt;0,BL72,
IF(ACTIVEBLOCK="Yes",ROUND(MIN(AH72*0.75,AK72*BLOCKBIDRATE),2),
IF(BG72&lt;&gt;"",ROUND(MIN(AH72*0.75,BG72),2),
IF(BD72&lt;KWHRATEMIN,ROUND(MIN(AH72*0.75,BE72),2),
IF(BD72&gt;KWHRATEMAX,ROUND(MIN(AH72*0.75,BF72),2),
ROUND(MIN(AH72*0.75,BC72),2))))))))</f>
        <v/>
      </c>
      <c r="AO72" s="1048"/>
      <c r="AP72" s="1048"/>
      <c r="AQ72" s="1048"/>
      <c r="AT72" s="1104" t="str">
        <f>IFERROR(IF(OR(C72="",E72="",G72="",K72="",M72="",O72="",Q72="",S72="",W72="",Z72="",AB72="",AD72="",AF72=""),"",
ROUND(((1+ELOSS)*((AK72*INDEX(ELECCB[NPV AEC $/kWh],MATCH(AY72,ELECCB[Year Number],1)))+(BA72*INDEX(ELECCB[NPV ACC $/kW],MATCH(AY72,ELECCB[Year Number],1))))/AH72),2)),0)</f>
        <v/>
      </c>
      <c r="AU72" s="1104" t="str">
        <f>IFERROR(AH72/M02S04F06/AK72,"")</f>
        <v/>
      </c>
      <c r="AV72" s="1105" t="str">
        <f>IF(OR(G72="",S72=""),"",IF(INDEX(CMLIGHTEFF[Unit],MATCH(S72,CMLIGHTEFF[Eff Desc 1],0))="","",INDEX(CMLIGHTEFF[Unit],MATCH(S72,CMLIGHTEFF[Eff Desc 1],0))))</f>
        <v/>
      </c>
      <c r="AW72" s="1103" t="str">
        <f>IF(OR(C72="",E72="",G72="",K72="",M72="",O72="",Q72="",S72="",W72="",Z72="",AB72="",AD72="",AF72=""),"",
IF(OR(ISNUMBER(SEARCH("Exterior",E72)),ISNUMBER(SEARCH("Garage",E72))),ROUND(M72*O72*Q72/1000,0),
ROUND(M72*O72*Q72/1000*INDEX(BUILDINGTYPE[Waste Heat Factor (e)],MATCH(M02S04F19,BUILDINGTYPE[Building Type],0)),4)))</f>
        <v/>
      </c>
      <c r="AX72" s="1103" t="str">
        <f>IF(OR(C72="",E72="",G72="",K72="",M72="",O72="",Q72="",S72="",W72="",Z72="",AB72="",AD72="",AF72=""),"",
IF(OR(ISNUMBER(SEARCH("Exterior",E72)),ISNUMBER(SEARCH("Garage",E72))),ROUND(Z72*AB72*Q72/1000,4),
ROUND(Z72*AB72*Q72/1000*INDEX(BUILDINGTYPE[Waste Heat Factor (e)],MATCH(M02S04F19,BUILDINGTYPE[Building Type],0)),4)))</f>
        <v/>
      </c>
      <c r="AY72" s="1114" t="str">
        <f>IF(OR(G72="",S72=""),"",IF(INDEX(CMLIGHTEFF[EUL],MATCH(S72,CMLIGHTEFF[Eff Desc 1],0))="","",INDEX(CMLIGHTEFF[EUL],MATCH(S72,CMLIGHTEFF[Eff Desc 1],0))))</f>
        <v/>
      </c>
      <c r="AZ72" s="1115" t="str">
        <f t="shared" ref="AZ72" si="106">IF(OR(E72="",G72="",S72=""),"",IF(ISNUMBER(SEARCH("24/7",E72)),"Ext Lighting w/ Peak ",IF(E72="Interior","Interior Lighting",IF(OR(E72="Garage",E72="Exterior"),"Ext Lighting w/o Peak","Err"))))</f>
        <v/>
      </c>
      <c r="BA72" s="1109" t="str">
        <f>IFERROR(IF(OR(C72="",E72="",G72="",K72="",M72="",O72="",Q72="",S72="",W72="",Z72="",AB72="",AD72="",AF72=""),"",ROUND(AK72*INDEX(ENDUSEALL[Factor],MATCH(AZ72,ENDUSEALL[End Use to Coincident Peak Demand Factors],0)),4)),"")</f>
        <v/>
      </c>
      <c r="BB72" s="1111" t="str">
        <f>IFERROR(IF(OR(C72="",E72="",G72="",K72="",M72="",O72="",Q72="",S72="",W72="",Z72="",AB72="",AD72="",AF72=""),"",IF(OR(E72="Garage",E72="Exterior"),0,
ROUND((((M72*O72)-(Z72*AB72))/1000)*INDEX(BUILDINGTYPE[Waste Heat Factor (e)],MATCH(M02S04F19,BUILDINGTYPE[Building Type],0))*INDEX(BUILDINGTYPE[Lighting Coincidence Factor],MATCH(M02S04F19,BUILDINGTYPE[Building Type],0)),4))),"")</f>
        <v/>
      </c>
      <c r="BC72" s="930" t="str">
        <f t="shared" ref="BC72" si="107">IFERROR(ROUND(AK72*BD72,2),"")</f>
        <v/>
      </c>
      <c r="BD72" s="930" t="str">
        <f>IFERROR(INDEX(ENDUSEALL[Rate ($/kWh)],MATCH(AZ72,ENDUSEALL[End Use to Coincident Peak Demand Factors],0)),"")</f>
        <v/>
      </c>
      <c r="BE72" s="931" t="str">
        <f>IFERROR(ROUND(AK72*KWHRATEMIN,2),"")</f>
        <v/>
      </c>
      <c r="BF72" s="931" t="str">
        <f>IFERROR(ROUND(AK72*KWHRATEMAX,2),"")</f>
        <v/>
      </c>
      <c r="BG72" s="930" t="str">
        <f>IFERROR(IF(INDEX(ENDUSEALL[Bonus Rate ($/kWh)],MATCH(AZ72,ENDUSEALL[End Use to Coincident Peak Demand Factors],0))="","",INDEX(ENDUSEALL[Bonus Rate ($/kWh)],MATCH(AZ72,ENDUSEALL[End Use to Coincident Peak Demand Factors],0))*AK72),"")</f>
        <v/>
      </c>
      <c r="BH72" s="1107" t="str">
        <f>IF(OR(C72="",E72="",G72="",K72="",M72="",O72="",Q72="",S72="",W72="",Z72="",AB72="",AD72="",AF72=""),"",IF(BJ72&lt;&gt;"",SPILLOVERNUMBER,
221&amp;INDEX(LOCATIONTYPE[Measure Number],MATCH(E72,LOCATIONTYPE[Location Type],0))&amp;INDEX(ENDUSEALL[Measure Number Indicator],MATCH(AZ72,ENDUSEALL[End Use to Coincident Peak Demand Factors],0))&amp;INDEX(CMLIGHTEFF[Measure Number],MATCH(S72,CMLIGHTEFF[Eff Desc 1],0))))</f>
        <v/>
      </c>
      <c r="BI72" s="1108" t="str">
        <f>IFERROR(IF(ROUND(AN72/AH72,2)=TOTCOSTCAP,"Cost Cap at 75%",
IF(BD72&lt;KWHRATEMIN, "kWh Incentive Rate Min",
IF(BD72&gt;KWHRATEMAX,"kWh Incentive Rate Cap",
IF(AN72=BG72,"Bonus Incentive",
"kWh Incentive")))),"")</f>
        <v/>
      </c>
      <c r="BJ72" s="1108" t="str">
        <f ca="1">IFERROR(IF(EXPIRATION&lt;&gt;"",PROJSTATEXP,
IF(BL72&gt;0,"",
IF(AW72-AX72&lt;=0,MEASURESAVE,
IF(OR(M02S04F06="",M02S04F06="Select Rate Code",M02S04F06=0),MEASURERATE,
IF(M02S04F19="",MEASUREBLDG,
IF(PAYCUSE&lt;PAYBACKREQ,PROJECTSTATPAYBACK,
IF(CBCUSE&lt;CBREQ,PROJECTSTATCB,""))))))),MEASURESUBMIT)</f>
        <v>Submit for Review</v>
      </c>
      <c r="BK72" s="930" t="str">
        <f>IFERROR(IF(OR(C72="",E72="",G72="",K72="",M72="",O72="",Q72="",S72="",W72="",Z72="",AB72="",AD72="",AF72=""),"",
ROUND(((1+ELOSS)*((AK72*INDEX(ELECCB[NPV AEC $/kWh],MATCH(AY72,ELECCB[Year Number],1)))+(BA72*INDEX(ELECCB[NPV ACC $/kW],MATCH(AY72,ELECCB[Year Number],1))))),2)),0)</f>
        <v/>
      </c>
      <c r="BL72" s="1118"/>
    </row>
    <row r="73" spans="2:64" ht="15.95" customHeight="1">
      <c r="B73" s="905"/>
      <c r="C73" s="1037"/>
      <c r="D73" s="1037"/>
      <c r="E73" s="1037"/>
      <c r="F73" s="1039"/>
      <c r="G73" s="1040"/>
      <c r="H73" s="1037"/>
      <c r="I73" s="1037"/>
      <c r="J73" s="1037"/>
      <c r="K73" s="1037"/>
      <c r="L73" s="1037"/>
      <c r="M73" s="1041"/>
      <c r="N73" s="1041"/>
      <c r="O73" s="1055"/>
      <c r="P73" s="1055"/>
      <c r="Q73" s="1058"/>
      <c r="R73" s="1059"/>
      <c r="S73" s="1061"/>
      <c r="T73" s="1037"/>
      <c r="U73" s="1037"/>
      <c r="V73" s="1037"/>
      <c r="W73" s="1037"/>
      <c r="X73" s="1037"/>
      <c r="Y73" s="1037"/>
      <c r="Z73" s="1041"/>
      <c r="AA73" s="1041"/>
      <c r="AB73" s="1044"/>
      <c r="AC73" s="1045"/>
      <c r="AD73" s="1053"/>
      <c r="AE73" s="1054"/>
      <c r="AF73" s="1054"/>
      <c r="AG73" s="1083"/>
      <c r="AH73" s="1064"/>
      <c r="AI73" s="1065"/>
      <c r="AJ73" s="1065"/>
      <c r="AK73" s="1066"/>
      <c r="AL73" s="1066"/>
      <c r="AM73" s="1066"/>
      <c r="AN73" s="1049"/>
      <c r="AO73" s="1050"/>
      <c r="AP73" s="1050"/>
      <c r="AQ73" s="1050"/>
      <c r="AT73" s="1104"/>
      <c r="AU73" s="1104"/>
      <c r="AV73" s="1105"/>
      <c r="AW73" s="1025"/>
      <c r="AX73" s="1025"/>
      <c r="AY73" s="1114"/>
      <c r="AZ73" s="1116"/>
      <c r="BA73" s="1109"/>
      <c r="BB73" s="1111"/>
      <c r="BC73" s="931"/>
      <c r="BD73" s="931"/>
      <c r="BE73" s="931"/>
      <c r="BF73" s="931"/>
      <c r="BG73" s="931"/>
      <c r="BH73" s="1107"/>
      <c r="BI73" s="1105"/>
      <c r="BJ73" s="1105"/>
      <c r="BK73" s="931"/>
      <c r="BL73" s="1119"/>
    </row>
    <row r="74" spans="2:64" ht="15.95" customHeight="1">
      <c r="B74" s="905">
        <v>29</v>
      </c>
      <c r="C74" s="1037"/>
      <c r="D74" s="1037"/>
      <c r="E74" s="1037"/>
      <c r="F74" s="1039"/>
      <c r="G74" s="1040"/>
      <c r="H74" s="1037"/>
      <c r="I74" s="1037"/>
      <c r="J74" s="1037"/>
      <c r="K74" s="1037"/>
      <c r="L74" s="1037"/>
      <c r="M74" s="1041"/>
      <c r="N74" s="1041"/>
      <c r="O74" s="1055" t="str">
        <f>IFERROR(IF(G74="","",INDEX(CMLIGHTBASE[Base Watt 1],MATCH(G74,CMLIGHTBASE[Base Desc 1],0))),"")</f>
        <v/>
      </c>
      <c r="P74" s="1055"/>
      <c r="Q74" s="1058"/>
      <c r="R74" s="1059"/>
      <c r="S74" s="1061"/>
      <c r="T74" s="1037"/>
      <c r="U74" s="1037"/>
      <c r="V74" s="1037"/>
      <c r="W74" s="1037"/>
      <c r="X74" s="1037"/>
      <c r="Y74" s="1037"/>
      <c r="Z74" s="1041"/>
      <c r="AA74" s="1041"/>
      <c r="AB74" s="1044"/>
      <c r="AC74" s="1045"/>
      <c r="AD74" s="1053"/>
      <c r="AE74" s="1054"/>
      <c r="AF74" s="1054"/>
      <c r="AG74" s="1083"/>
      <c r="AH74" s="1064" t="str">
        <f t="shared" ref="AH74" si="108">IF(OR(C74="",E74="",G74="",K74="",M74="",O74="",Q74="",S74="",W74="",Z74="",AB74="",AD74="",AF74=""),"",ROUND(AD74+AF74,2))</f>
        <v/>
      </c>
      <c r="AI74" s="1065"/>
      <c r="AJ74" s="1065"/>
      <c r="AK74" s="1066" t="str">
        <f t="shared" ref="AK74" si="109">IF(OR(C74="",E74="",G74="",K74="",M74="",O74="",Q74="",S74="",W74="",Z74="",AB74="",AD74="",AF74=""),"",IF(AW74-AX74&lt;=0,0,AW74-AX74))</f>
        <v/>
      </c>
      <c r="AL74" s="1066"/>
      <c r="AM74" s="1066"/>
      <c r="AN74" s="1047" t="str">
        <f>IF(OR(C74="",E74="",G74="",K74="",M74="",O74="",Q74="",S74="",W74="",Z74="",AB74="",AD74="",AF74=""),"",
IF(BJ74&lt;&gt;"",BJ74,IF(BL74&gt;0,BL74,
IF(ACTIVEBLOCK="Yes",ROUND(MIN(AH74*0.75,AK74*BLOCKBIDRATE),2),
IF(BG74&lt;&gt;"",ROUND(MIN(AH74*0.75,BG74),2),
IF(BD74&lt;KWHRATEMIN,ROUND(MIN(AH74*0.75,BE74),2),
IF(BD74&gt;KWHRATEMAX,ROUND(MIN(AH74*0.75,BF74),2),
ROUND(MIN(AH74*0.75,BC74),2))))))))</f>
        <v/>
      </c>
      <c r="AO74" s="1048"/>
      <c r="AP74" s="1048"/>
      <c r="AQ74" s="1048"/>
      <c r="AT74" s="1104" t="str">
        <f>IFERROR(IF(OR(C74="",E74="",G74="",K74="",M74="",O74="",Q74="",S74="",W74="",Z74="",AB74="",AD74="",AF74=""),"",
ROUND(((1+ELOSS)*((AK74*INDEX(ELECCB[NPV AEC $/kWh],MATCH(AY74,ELECCB[Year Number],1)))+(BA74*INDEX(ELECCB[NPV ACC $/kW],MATCH(AY74,ELECCB[Year Number],1))))/AH74),2)),0)</f>
        <v/>
      </c>
      <c r="AU74" s="1104" t="str">
        <f>IFERROR(AH74/M02S04F06/AK74,"")</f>
        <v/>
      </c>
      <c r="AV74" s="1105" t="str">
        <f>IF(OR(G74="",S74=""),"",IF(INDEX(CMLIGHTEFF[Unit],MATCH(S74,CMLIGHTEFF[Eff Desc 1],0))="","",INDEX(CMLIGHTEFF[Unit],MATCH(S74,CMLIGHTEFF[Eff Desc 1],0))))</f>
        <v/>
      </c>
      <c r="AW74" s="1103" t="str">
        <f>IF(OR(C74="",E74="",G74="",K74="",M74="",O74="",Q74="",S74="",W74="",Z74="",AB74="",AD74="",AF74=""),"",
IF(OR(ISNUMBER(SEARCH("Exterior",E74)),ISNUMBER(SEARCH("Garage",E74))),ROUND(M74*O74*Q74/1000,0),
ROUND(M74*O74*Q74/1000*INDEX(BUILDINGTYPE[Waste Heat Factor (e)],MATCH(M02S04F19,BUILDINGTYPE[Building Type],0)),4)))</f>
        <v/>
      </c>
      <c r="AX74" s="1103" t="str">
        <f>IF(OR(C74="",E74="",G74="",K74="",M74="",O74="",Q74="",S74="",W74="",Z74="",AB74="",AD74="",AF74=""),"",
IF(OR(ISNUMBER(SEARCH("Exterior",E74)),ISNUMBER(SEARCH("Garage",E74))),ROUND(Z74*AB74*Q74/1000,4),
ROUND(Z74*AB74*Q74/1000*INDEX(BUILDINGTYPE[Waste Heat Factor (e)],MATCH(M02S04F19,BUILDINGTYPE[Building Type],0)),4)))</f>
        <v/>
      </c>
      <c r="AY74" s="1114" t="str">
        <f>IF(OR(G74="",S74=""),"",IF(INDEX(CMLIGHTEFF[EUL],MATCH(S74,CMLIGHTEFF[Eff Desc 1],0))="","",INDEX(CMLIGHTEFF[EUL],MATCH(S74,CMLIGHTEFF[Eff Desc 1],0))))</f>
        <v/>
      </c>
      <c r="AZ74" s="1115" t="str">
        <f t="shared" ref="AZ74" si="110">IF(OR(E74="",G74="",S74=""),"",IF(ISNUMBER(SEARCH("24/7",E74)),"Ext Lighting w/ Peak ",IF(E74="Interior","Interior Lighting",IF(OR(E74="Garage",E74="Exterior"),"Ext Lighting w/o Peak","Err"))))</f>
        <v/>
      </c>
      <c r="BA74" s="1109" t="str">
        <f>IFERROR(IF(OR(C74="",E74="",G74="",K74="",M74="",O74="",Q74="",S74="",W74="",Z74="",AB74="",AD74="",AF74=""),"",ROUND(AK74*INDEX(ENDUSEALL[Factor],MATCH(AZ74,ENDUSEALL[End Use to Coincident Peak Demand Factors],0)),4)),"")</f>
        <v/>
      </c>
      <c r="BB74" s="1111" t="str">
        <f>IFERROR(IF(OR(C74="",E74="",G74="",K74="",M74="",O74="",Q74="",S74="",W74="",Z74="",AB74="",AD74="",AF74=""),"",IF(OR(E74="Garage",E74="Exterior"),0,
ROUND((((M74*O74)-(Z74*AB74))/1000)*INDEX(BUILDINGTYPE[Waste Heat Factor (e)],MATCH(M02S04F19,BUILDINGTYPE[Building Type],0))*INDEX(BUILDINGTYPE[Lighting Coincidence Factor],MATCH(M02S04F19,BUILDINGTYPE[Building Type],0)),4))),"")</f>
        <v/>
      </c>
      <c r="BC74" s="930" t="str">
        <f t="shared" ref="BC74" si="111">IFERROR(ROUND(AK74*BD74,2),"")</f>
        <v/>
      </c>
      <c r="BD74" s="930" t="str">
        <f>IFERROR(INDEX(ENDUSEALL[Rate ($/kWh)],MATCH(AZ74,ENDUSEALL[End Use to Coincident Peak Demand Factors],0)),"")</f>
        <v/>
      </c>
      <c r="BE74" s="931" t="str">
        <f>IFERROR(ROUND(AK74*KWHRATEMIN,2),"")</f>
        <v/>
      </c>
      <c r="BF74" s="931" t="str">
        <f>IFERROR(ROUND(AK74*KWHRATEMAX,2),"")</f>
        <v/>
      </c>
      <c r="BG74" s="930" t="str">
        <f>IFERROR(IF(INDEX(ENDUSEALL[Bonus Rate ($/kWh)],MATCH(AZ74,ENDUSEALL[End Use to Coincident Peak Demand Factors],0))="","",INDEX(ENDUSEALL[Bonus Rate ($/kWh)],MATCH(AZ74,ENDUSEALL[End Use to Coincident Peak Demand Factors],0))*AK74),"")</f>
        <v/>
      </c>
      <c r="BH74" s="1107" t="str">
        <f>IF(OR(C74="",E74="",G74="",K74="",M74="",O74="",Q74="",S74="",W74="",Z74="",AB74="",AD74="",AF74=""),"",IF(BJ74&lt;&gt;"",SPILLOVERNUMBER,
221&amp;INDEX(LOCATIONTYPE[Measure Number],MATCH(E74,LOCATIONTYPE[Location Type],0))&amp;INDEX(ENDUSEALL[Measure Number Indicator],MATCH(AZ74,ENDUSEALL[End Use to Coincident Peak Demand Factors],0))&amp;INDEX(CMLIGHTEFF[Measure Number],MATCH(S74,CMLIGHTEFF[Eff Desc 1],0))))</f>
        <v/>
      </c>
      <c r="BI74" s="1108" t="str">
        <f>IFERROR(IF(ROUND(AN74/AH74,2)=TOTCOSTCAP,"Cost Cap at 75%",
IF(BD74&lt;KWHRATEMIN, "kWh Incentive Rate Min",
IF(BD74&gt;KWHRATEMAX,"kWh Incentive Rate Cap",
IF(AN74=BG74,"Bonus Incentive",
"kWh Incentive")))),"")</f>
        <v/>
      </c>
      <c r="BJ74" s="1108" t="str">
        <f ca="1">IFERROR(IF(EXPIRATION&lt;&gt;"",PROJSTATEXP,
IF(BL74&gt;0,"",
IF(AW74-AX74&lt;=0,MEASURESAVE,
IF(OR(M02S04F06="",M02S04F06="Select Rate Code",M02S04F06=0),MEASURERATE,
IF(M02S04F19="",MEASUREBLDG,
IF(PAYCUSE&lt;PAYBACKREQ,PROJECTSTATPAYBACK,
IF(CBCUSE&lt;CBREQ,PROJECTSTATCB,""))))))),MEASURESUBMIT)</f>
        <v>Submit for Review</v>
      </c>
      <c r="BK74" s="930" t="str">
        <f>IFERROR(IF(OR(C74="",E74="",G74="",K74="",M74="",O74="",Q74="",S74="",W74="",Z74="",AB74="",AD74="",AF74=""),"",
ROUND(((1+ELOSS)*((AK74*INDEX(ELECCB[NPV AEC $/kWh],MATCH(AY74,ELECCB[Year Number],1)))+(BA74*INDEX(ELECCB[NPV ACC $/kW],MATCH(AY74,ELECCB[Year Number],1))))),2)),0)</f>
        <v/>
      </c>
      <c r="BL74" s="1118"/>
    </row>
    <row r="75" spans="2:64" ht="15.95" customHeight="1">
      <c r="B75" s="905"/>
      <c r="C75" s="1037"/>
      <c r="D75" s="1037"/>
      <c r="E75" s="1037"/>
      <c r="F75" s="1039"/>
      <c r="G75" s="1040"/>
      <c r="H75" s="1037"/>
      <c r="I75" s="1037"/>
      <c r="J75" s="1037"/>
      <c r="K75" s="1037"/>
      <c r="L75" s="1037"/>
      <c r="M75" s="1041"/>
      <c r="N75" s="1041"/>
      <c r="O75" s="1055"/>
      <c r="P75" s="1055"/>
      <c r="Q75" s="1058"/>
      <c r="R75" s="1059"/>
      <c r="S75" s="1061"/>
      <c r="T75" s="1037"/>
      <c r="U75" s="1037"/>
      <c r="V75" s="1037"/>
      <c r="W75" s="1037"/>
      <c r="X75" s="1037"/>
      <c r="Y75" s="1037"/>
      <c r="Z75" s="1041"/>
      <c r="AA75" s="1041"/>
      <c r="AB75" s="1044"/>
      <c r="AC75" s="1045"/>
      <c r="AD75" s="1053"/>
      <c r="AE75" s="1054"/>
      <c r="AF75" s="1054"/>
      <c r="AG75" s="1083"/>
      <c r="AH75" s="1064"/>
      <c r="AI75" s="1065"/>
      <c r="AJ75" s="1065"/>
      <c r="AK75" s="1066"/>
      <c r="AL75" s="1066"/>
      <c r="AM75" s="1066"/>
      <c r="AN75" s="1049"/>
      <c r="AO75" s="1050"/>
      <c r="AP75" s="1050"/>
      <c r="AQ75" s="1050"/>
      <c r="AT75" s="1104"/>
      <c r="AU75" s="1104"/>
      <c r="AV75" s="1105"/>
      <c r="AW75" s="1025"/>
      <c r="AX75" s="1025"/>
      <c r="AY75" s="1114"/>
      <c r="AZ75" s="1116"/>
      <c r="BA75" s="1109"/>
      <c r="BB75" s="1111"/>
      <c r="BC75" s="931"/>
      <c r="BD75" s="931"/>
      <c r="BE75" s="931"/>
      <c r="BF75" s="931"/>
      <c r="BG75" s="931"/>
      <c r="BH75" s="1107"/>
      <c r="BI75" s="1105"/>
      <c r="BJ75" s="1105"/>
      <c r="BK75" s="931"/>
      <c r="BL75" s="1119"/>
    </row>
    <row r="76" spans="2:64" ht="15.95" customHeight="1">
      <c r="B76" s="905">
        <v>30</v>
      </c>
      <c r="C76" s="1037"/>
      <c r="D76" s="1037"/>
      <c r="E76" s="1037"/>
      <c r="F76" s="1039"/>
      <c r="G76" s="1040"/>
      <c r="H76" s="1037"/>
      <c r="I76" s="1037"/>
      <c r="J76" s="1037"/>
      <c r="K76" s="1037"/>
      <c r="L76" s="1037"/>
      <c r="M76" s="1041"/>
      <c r="N76" s="1041"/>
      <c r="O76" s="1055" t="str">
        <f>IFERROR(IF(G76="","",INDEX(CMLIGHTBASE[Base Watt 1],MATCH(G76,CMLIGHTBASE[Base Desc 1],0))),"")</f>
        <v/>
      </c>
      <c r="P76" s="1055"/>
      <c r="Q76" s="1058"/>
      <c r="R76" s="1059"/>
      <c r="S76" s="1061"/>
      <c r="T76" s="1037"/>
      <c r="U76" s="1037"/>
      <c r="V76" s="1037"/>
      <c r="W76" s="1037"/>
      <c r="X76" s="1037"/>
      <c r="Y76" s="1037"/>
      <c r="Z76" s="1041"/>
      <c r="AA76" s="1041"/>
      <c r="AB76" s="1044"/>
      <c r="AC76" s="1045"/>
      <c r="AD76" s="1053"/>
      <c r="AE76" s="1054"/>
      <c r="AF76" s="1054"/>
      <c r="AG76" s="1083"/>
      <c r="AH76" s="1064" t="str">
        <f t="shared" ref="AH76" si="112">IF(OR(C76="",E76="",G76="",K76="",M76="",O76="",Q76="",S76="",W76="",Z76="",AB76="",AD76="",AF76=""),"",ROUND(AD76+AF76,2))</f>
        <v/>
      </c>
      <c r="AI76" s="1065"/>
      <c r="AJ76" s="1065"/>
      <c r="AK76" s="1066" t="str">
        <f t="shared" ref="AK76" si="113">IF(OR(C76="",E76="",G76="",K76="",M76="",O76="",Q76="",S76="",W76="",Z76="",AB76="",AD76="",AF76=""),"",IF(AW76-AX76&lt;=0,0,AW76-AX76))</f>
        <v/>
      </c>
      <c r="AL76" s="1066"/>
      <c r="AM76" s="1066"/>
      <c r="AN76" s="1047" t="str">
        <f>IF(OR(C76="",E76="",G76="",K76="",M76="",O76="",Q76="",S76="",W76="",Z76="",AB76="",AD76="",AF76=""),"",
IF(BJ76&lt;&gt;"",BJ76,IF(BL76&gt;0,BL76,
IF(ACTIVEBLOCK="Yes",ROUND(MIN(AH76*0.75,AK76*BLOCKBIDRATE),2),
IF(BG76&lt;&gt;"",ROUND(MIN(AH76*0.75,BG76),2),
IF(BD76&lt;KWHRATEMIN,ROUND(MIN(AH76*0.75,BE76),2),
IF(BD76&gt;KWHRATEMAX,ROUND(MIN(AH76*0.75,BF76),2),
ROUND(MIN(AH76*0.75,BC76),2))))))))</f>
        <v/>
      </c>
      <c r="AO76" s="1048"/>
      <c r="AP76" s="1048"/>
      <c r="AQ76" s="1048"/>
      <c r="AT76" s="1104" t="str">
        <f>IFERROR(IF(OR(C76="",E76="",G76="",K76="",M76="",O76="",Q76="",S76="",W76="",Z76="",AB76="",AD76="",AF76=""),"",
ROUND(((1+ELOSS)*((AK76*INDEX(ELECCB[NPV AEC $/kWh],MATCH(AY76,ELECCB[Year Number],1)))+(BA76*INDEX(ELECCB[NPV ACC $/kW],MATCH(AY76,ELECCB[Year Number],1))))/AH76),2)),0)</f>
        <v/>
      </c>
      <c r="AU76" s="1104" t="str">
        <f>IFERROR(AH76/M02S04F06/AK76,"")</f>
        <v/>
      </c>
      <c r="AV76" s="1105" t="str">
        <f>IF(OR(G76="",S76=""),"",IF(INDEX(CMLIGHTEFF[Unit],MATCH(S76,CMLIGHTEFF[Eff Desc 1],0))="","",INDEX(CMLIGHTEFF[Unit],MATCH(S76,CMLIGHTEFF[Eff Desc 1],0))))</f>
        <v/>
      </c>
      <c r="AW76" s="1103" t="str">
        <f>IF(OR(C76="",E76="",G76="",K76="",M76="",O76="",Q76="",S76="",W76="",Z76="",AB76="",AD76="",AF76=""),"",
IF(OR(ISNUMBER(SEARCH("Exterior",E76)),ISNUMBER(SEARCH("Garage",E76))),ROUND(M76*O76*Q76/1000,0),
ROUND(M76*O76*Q76/1000*INDEX(BUILDINGTYPE[Waste Heat Factor (e)],MATCH(M02S04F19,BUILDINGTYPE[Building Type],0)),4)))</f>
        <v/>
      </c>
      <c r="AX76" s="1103" t="str">
        <f>IF(OR(C76="",E76="",G76="",K76="",M76="",O76="",Q76="",S76="",W76="",Z76="",AB76="",AD76="",AF76=""),"",
IF(OR(ISNUMBER(SEARCH("Exterior",E76)),ISNUMBER(SEARCH("Garage",E76))),ROUND(Z76*AB76*Q76/1000,4),
ROUND(Z76*AB76*Q76/1000*INDEX(BUILDINGTYPE[Waste Heat Factor (e)],MATCH(M02S04F19,BUILDINGTYPE[Building Type],0)),4)))</f>
        <v/>
      </c>
      <c r="AY76" s="1114" t="str">
        <f>IF(OR(G76="",S76=""),"",IF(INDEX(CMLIGHTEFF[EUL],MATCH(S76,CMLIGHTEFF[Eff Desc 1],0))="","",INDEX(CMLIGHTEFF[EUL],MATCH(S76,CMLIGHTEFF[Eff Desc 1],0))))</f>
        <v/>
      </c>
      <c r="AZ76" s="1115" t="str">
        <f t="shared" ref="AZ76" si="114">IF(OR(E76="",G76="",S76=""),"",IF(ISNUMBER(SEARCH("24/7",E76)),"Ext Lighting w/ Peak ",IF(E76="Interior","Interior Lighting",IF(OR(E76="Garage",E76="Exterior"),"Ext Lighting w/o Peak","Err"))))</f>
        <v/>
      </c>
      <c r="BA76" s="1109" t="str">
        <f>IFERROR(IF(OR(C76="",E76="",G76="",K76="",M76="",O76="",Q76="",S76="",W76="",Z76="",AB76="",AD76="",AF76=""),"",ROUND(AK76*INDEX(ENDUSEALL[Factor],MATCH(AZ76,ENDUSEALL[End Use to Coincident Peak Demand Factors],0)),4)),"")</f>
        <v/>
      </c>
      <c r="BB76" s="1111" t="str">
        <f>IFERROR(IF(OR(C76="",E76="",G76="",K76="",M76="",O76="",Q76="",S76="",W76="",Z76="",AB76="",AD76="",AF76=""),"",IF(OR(E76="Garage",E76="Exterior"),0,
ROUND((((M76*O76)-(Z76*AB76))/1000)*INDEX(BUILDINGTYPE[Waste Heat Factor (e)],MATCH(M02S04F19,BUILDINGTYPE[Building Type],0))*INDEX(BUILDINGTYPE[Lighting Coincidence Factor],MATCH(M02S04F19,BUILDINGTYPE[Building Type],0)),4))),"")</f>
        <v/>
      </c>
      <c r="BC76" s="930" t="str">
        <f t="shared" ref="BC76" si="115">IFERROR(ROUND(AK76*BD76,2),"")</f>
        <v/>
      </c>
      <c r="BD76" s="930" t="str">
        <f>IFERROR(INDEX(ENDUSEALL[Rate ($/kWh)],MATCH(AZ76,ENDUSEALL[End Use to Coincident Peak Demand Factors],0)),"")</f>
        <v/>
      </c>
      <c r="BE76" s="931" t="str">
        <f>IFERROR(ROUND(AK76*KWHRATEMIN,2),"")</f>
        <v/>
      </c>
      <c r="BF76" s="931" t="str">
        <f>IFERROR(ROUND(AK76*KWHRATEMAX,2),"")</f>
        <v/>
      </c>
      <c r="BG76" s="930" t="str">
        <f>IFERROR(IF(INDEX(ENDUSEALL[Bonus Rate ($/kWh)],MATCH(AZ76,ENDUSEALL[End Use to Coincident Peak Demand Factors],0))="","",INDEX(ENDUSEALL[Bonus Rate ($/kWh)],MATCH(AZ76,ENDUSEALL[End Use to Coincident Peak Demand Factors],0))*AK76),"")</f>
        <v/>
      </c>
      <c r="BH76" s="1107" t="str">
        <f>IF(OR(C76="",E76="",G76="",K76="",M76="",O76="",Q76="",S76="",W76="",Z76="",AB76="",AD76="",AF76=""),"",IF(BJ76&lt;&gt;"",SPILLOVERNUMBER,
221&amp;INDEX(LOCATIONTYPE[Measure Number],MATCH(E76,LOCATIONTYPE[Location Type],0))&amp;INDEX(ENDUSEALL[Measure Number Indicator],MATCH(AZ76,ENDUSEALL[End Use to Coincident Peak Demand Factors],0))&amp;INDEX(CMLIGHTEFF[Measure Number],MATCH(S76,CMLIGHTEFF[Eff Desc 1],0))))</f>
        <v/>
      </c>
      <c r="BI76" s="1108" t="str">
        <f>IFERROR(IF(ROUND(AN76/AH76,2)=TOTCOSTCAP,"Cost Cap at 75%",
IF(BD76&lt;KWHRATEMIN, "kWh Incentive Rate Min",
IF(BD76&gt;KWHRATEMAX,"kWh Incentive Rate Cap",
IF(AN76=BG76,"Bonus Incentive",
"kWh Incentive")))),"")</f>
        <v/>
      </c>
      <c r="BJ76" s="1108" t="str">
        <f ca="1">IFERROR(IF(EXPIRATION&lt;&gt;"",PROJSTATEXP,
IF(BL76&gt;0,"",
IF(AW76-AX76&lt;=0,MEASURESAVE,
IF(OR(M02S04F06="",M02S04F06="Select Rate Code",M02S04F06=0),MEASURERATE,
IF(M02S04F19="",MEASUREBLDG,
IF(PAYCUSE&lt;PAYBACKREQ,PROJECTSTATPAYBACK,
IF(CBCUSE&lt;CBREQ,PROJECTSTATCB,""))))))),MEASURESUBMIT)</f>
        <v>Submit for Review</v>
      </c>
      <c r="BK76" s="930" t="str">
        <f>IFERROR(IF(OR(C76="",E76="",G76="",K76="",M76="",O76="",Q76="",S76="",W76="",Z76="",AB76="",AD76="",AF76=""),"",
ROUND(((1+ELOSS)*((AK76*INDEX(ELECCB[NPV AEC $/kWh],MATCH(AY76,ELECCB[Year Number],1)))+(BA76*INDEX(ELECCB[NPV ACC $/kW],MATCH(AY76,ELECCB[Year Number],1))))),2)),0)</f>
        <v/>
      </c>
      <c r="BL76" s="1118"/>
    </row>
    <row r="77" spans="2:64" ht="15.95" customHeight="1">
      <c r="B77" s="905"/>
      <c r="C77" s="1037"/>
      <c r="D77" s="1037"/>
      <c r="E77" s="1037"/>
      <c r="F77" s="1039"/>
      <c r="G77" s="1040"/>
      <c r="H77" s="1037"/>
      <c r="I77" s="1037"/>
      <c r="J77" s="1037"/>
      <c r="K77" s="1037"/>
      <c r="L77" s="1037"/>
      <c r="M77" s="1041"/>
      <c r="N77" s="1041"/>
      <c r="O77" s="1055"/>
      <c r="P77" s="1055"/>
      <c r="Q77" s="1058"/>
      <c r="R77" s="1059"/>
      <c r="S77" s="1061"/>
      <c r="T77" s="1037"/>
      <c r="U77" s="1037"/>
      <c r="V77" s="1037"/>
      <c r="W77" s="1037"/>
      <c r="X77" s="1037"/>
      <c r="Y77" s="1037"/>
      <c r="Z77" s="1041"/>
      <c r="AA77" s="1041"/>
      <c r="AB77" s="1044"/>
      <c r="AC77" s="1045"/>
      <c r="AD77" s="1053"/>
      <c r="AE77" s="1054"/>
      <c r="AF77" s="1054"/>
      <c r="AG77" s="1083"/>
      <c r="AH77" s="1064"/>
      <c r="AI77" s="1065"/>
      <c r="AJ77" s="1065"/>
      <c r="AK77" s="1066"/>
      <c r="AL77" s="1066"/>
      <c r="AM77" s="1066"/>
      <c r="AN77" s="1049"/>
      <c r="AO77" s="1050"/>
      <c r="AP77" s="1050"/>
      <c r="AQ77" s="1050"/>
      <c r="AT77" s="1104"/>
      <c r="AU77" s="1104"/>
      <c r="AV77" s="1105"/>
      <c r="AW77" s="1025"/>
      <c r="AX77" s="1025"/>
      <c r="AY77" s="1114"/>
      <c r="AZ77" s="1116"/>
      <c r="BA77" s="1109"/>
      <c r="BB77" s="1111"/>
      <c r="BC77" s="931"/>
      <c r="BD77" s="931"/>
      <c r="BE77" s="931"/>
      <c r="BF77" s="931"/>
      <c r="BG77" s="931"/>
      <c r="BH77" s="1107"/>
      <c r="BI77" s="1105"/>
      <c r="BJ77" s="1105"/>
      <c r="BK77" s="931"/>
      <c r="BL77" s="1119"/>
    </row>
    <row r="78" spans="2:64" customFormat="1" ht="15.95" customHeight="1">
      <c r="AW78" s="180"/>
      <c r="AX78" s="180"/>
      <c r="BG78" s="180"/>
    </row>
    <row r="79" spans="2:64" customFormat="1" ht="15.95" hidden="1" customHeight="1">
      <c r="AW79" s="180"/>
      <c r="AX79" s="180"/>
      <c r="BG79" s="180"/>
    </row>
    <row r="80" spans="2:64" customFormat="1" ht="15.95" hidden="1" customHeight="1">
      <c r="AW80" s="180"/>
      <c r="AX80" s="180"/>
      <c r="BG80" s="180"/>
    </row>
    <row r="81" spans="49:59" customFormat="1" ht="15.95" hidden="1" customHeight="1">
      <c r="AW81" s="180"/>
      <c r="AX81" s="180"/>
      <c r="BG81" s="180"/>
    </row>
    <row r="82" spans="49:59" customFormat="1" ht="15.95" hidden="1" customHeight="1">
      <c r="AW82" s="180"/>
      <c r="AX82" s="180"/>
      <c r="BG82" s="180"/>
    </row>
    <row r="83" spans="49:59" customFormat="1" ht="15.95" hidden="1" customHeight="1">
      <c r="AW83" s="180"/>
      <c r="AX83" s="180"/>
      <c r="BG83" s="180"/>
    </row>
    <row r="84" spans="49:59" customFormat="1" ht="15.95" hidden="1" customHeight="1">
      <c r="AW84" s="180"/>
      <c r="AX84" s="180"/>
      <c r="BG84" s="180"/>
    </row>
    <row r="85" spans="49:59" customFormat="1" ht="15.95" hidden="1" customHeight="1">
      <c r="AW85" s="180"/>
      <c r="AX85" s="180"/>
      <c r="BG85" s="180"/>
    </row>
    <row r="86" spans="49:59" customFormat="1" ht="15.95" hidden="1" customHeight="1">
      <c r="AW86" s="180"/>
      <c r="AX86" s="180"/>
      <c r="BG86" s="180"/>
    </row>
    <row r="87" spans="49:59" customFormat="1" ht="15.95" hidden="1" customHeight="1">
      <c r="AW87" s="180"/>
      <c r="AX87" s="180"/>
      <c r="BG87" s="180"/>
    </row>
    <row r="88" spans="49:59" customFormat="1" ht="15.95" hidden="1" customHeight="1">
      <c r="AW88" s="180"/>
      <c r="AX88" s="180"/>
      <c r="BG88" s="180"/>
    </row>
    <row r="89" spans="49:59" customFormat="1" ht="15.95" hidden="1" customHeight="1">
      <c r="AW89" s="180"/>
      <c r="AX89" s="180"/>
      <c r="BG89" s="180"/>
    </row>
    <row r="90" spans="49:59" customFormat="1" ht="15.95" hidden="1" customHeight="1">
      <c r="AW90" s="180"/>
      <c r="AX90" s="180"/>
      <c r="BG90" s="180"/>
    </row>
    <row r="91" spans="49:59" customFormat="1" ht="15.95" hidden="1" customHeight="1">
      <c r="AW91" s="180"/>
      <c r="AX91" s="180"/>
      <c r="BG91" s="180"/>
    </row>
    <row r="92" spans="49:59" customFormat="1" ht="15.95" hidden="1" customHeight="1">
      <c r="AW92" s="180"/>
      <c r="AX92" s="180"/>
      <c r="BG92" s="180"/>
    </row>
    <row r="93" spans="49:59" customFormat="1" ht="15.95" hidden="1" customHeight="1">
      <c r="AW93" s="180"/>
      <c r="AX93" s="180"/>
      <c r="BG93" s="180"/>
    </row>
    <row r="94" spans="49:59" customFormat="1" ht="15.95" hidden="1" customHeight="1">
      <c r="AW94" s="180"/>
      <c r="AX94" s="180"/>
      <c r="BG94" s="180"/>
    </row>
    <row r="95" spans="49:59" customFormat="1" ht="15.95" hidden="1" customHeight="1">
      <c r="AW95" s="180"/>
      <c r="AX95" s="180"/>
      <c r="BG95" s="180"/>
    </row>
    <row r="96" spans="49:59" customFormat="1" ht="15.95" hidden="1" customHeight="1">
      <c r="AW96" s="180"/>
      <c r="AX96" s="180"/>
      <c r="BG96" s="180"/>
    </row>
    <row r="97" spans="49:59" customFormat="1" ht="15.95" hidden="1" customHeight="1">
      <c r="AW97" s="180"/>
      <c r="AX97" s="180"/>
      <c r="BG97" s="180"/>
    </row>
    <row r="98" spans="49:59" customFormat="1" ht="15.95" hidden="1" customHeight="1">
      <c r="AW98" s="180"/>
      <c r="AX98" s="180"/>
      <c r="BG98" s="180"/>
    </row>
    <row r="99" spans="49:59" customFormat="1" ht="15.95" hidden="1" customHeight="1">
      <c r="AW99" s="180"/>
      <c r="AX99" s="180"/>
      <c r="BG99" s="180"/>
    </row>
    <row r="100" spans="49:59" customFormat="1" ht="15.95" hidden="1" customHeight="1">
      <c r="AW100" s="180"/>
      <c r="AX100" s="180"/>
      <c r="BG100" s="180"/>
    </row>
    <row r="101" spans="49:59" customFormat="1" ht="15.95" hidden="1" customHeight="1">
      <c r="AW101" s="180"/>
      <c r="AX101" s="180"/>
      <c r="BG101" s="180"/>
    </row>
    <row r="102" spans="49:59" customFormat="1" ht="15.95" hidden="1" customHeight="1">
      <c r="AW102" s="180"/>
      <c r="AX102" s="180"/>
      <c r="BG102" s="180"/>
    </row>
    <row r="103" spans="49:59" customFormat="1" ht="15.95" hidden="1" customHeight="1">
      <c r="AW103" s="180"/>
      <c r="AX103" s="180"/>
      <c r="BG103" s="180"/>
    </row>
    <row r="104" spans="49:59" customFormat="1" ht="15.95" hidden="1" customHeight="1">
      <c r="AW104" s="180"/>
      <c r="AX104" s="180"/>
      <c r="BG104" s="180"/>
    </row>
    <row r="105" spans="49:59" customFormat="1" ht="15.95" hidden="1" customHeight="1">
      <c r="AW105" s="180"/>
      <c r="AX105" s="180"/>
      <c r="BG105" s="180"/>
    </row>
    <row r="106" spans="49:59" customFormat="1" ht="15.95" hidden="1" customHeight="1">
      <c r="AW106" s="180"/>
      <c r="AX106" s="180"/>
      <c r="BG106" s="180"/>
    </row>
    <row r="107" spans="49:59" customFormat="1" ht="15.95" hidden="1" customHeight="1">
      <c r="AW107" s="180"/>
      <c r="AX107" s="180"/>
      <c r="BG107" s="180"/>
    </row>
    <row r="108" spans="49:59" customFormat="1" ht="15.95" hidden="1" customHeight="1">
      <c r="AW108" s="180"/>
      <c r="AX108" s="180"/>
      <c r="BG108" s="180"/>
    </row>
    <row r="109" spans="49:59" customFormat="1" ht="15.95" hidden="1" customHeight="1">
      <c r="AW109" s="180"/>
      <c r="AX109" s="180"/>
      <c r="BG109" s="180"/>
    </row>
    <row r="110" spans="49:59" customFormat="1" ht="15.95" hidden="1" customHeight="1">
      <c r="AW110" s="180"/>
      <c r="AX110" s="180"/>
      <c r="BG110" s="180"/>
    </row>
    <row r="111" spans="49:59" customFormat="1" ht="15.95" hidden="1" customHeight="1">
      <c r="AW111" s="180"/>
      <c r="AX111" s="180"/>
      <c r="BG111" s="180"/>
    </row>
    <row r="112" spans="49:59" customFormat="1" ht="15.95" hidden="1" customHeight="1">
      <c r="AW112" s="180"/>
      <c r="AX112" s="180"/>
      <c r="BG112" s="180"/>
    </row>
    <row r="113" spans="47:59" customFormat="1" ht="15.95" hidden="1" customHeight="1">
      <c r="AW113" s="180"/>
      <c r="AX113" s="180"/>
      <c r="BG113" s="180"/>
    </row>
    <row r="114" spans="47:59" customFormat="1" ht="15.95" hidden="1" customHeight="1">
      <c r="AW114" s="180"/>
      <c r="AX114" s="180"/>
      <c r="BG114" s="180"/>
    </row>
    <row r="115" spans="47:59" customFormat="1" ht="15.95" hidden="1" customHeight="1">
      <c r="AW115" s="180"/>
      <c r="AX115" s="180"/>
      <c r="BG115" s="180"/>
    </row>
    <row r="116" spans="47:59" customFormat="1" ht="15.95" hidden="1" customHeight="1">
      <c r="AW116" s="180"/>
      <c r="AX116" s="180"/>
      <c r="BG116" s="180"/>
    </row>
    <row r="117" spans="47:59" customFormat="1" ht="15.95" hidden="1" customHeight="1">
      <c r="AW117" s="180"/>
      <c r="AX117" s="180"/>
      <c r="BG117" s="180"/>
    </row>
    <row r="118" spans="47:59" customFormat="1" ht="15.95" hidden="1" customHeight="1">
      <c r="AW118" s="180"/>
      <c r="AX118" s="180"/>
      <c r="BG118" s="180"/>
    </row>
    <row r="119" spans="47:59" customFormat="1" ht="15.95" hidden="1" customHeight="1">
      <c r="AW119" s="180"/>
      <c r="AX119" s="180"/>
      <c r="BG119" s="180"/>
    </row>
    <row r="120" spans="47:59" ht="15.95" hidden="1" customHeight="1">
      <c r="AU120" s="57"/>
      <c r="AV120" s="64"/>
      <c r="AW120" s="64"/>
      <c r="AX120" s="64"/>
      <c r="AY120" s="57"/>
      <c r="AZ120" s="57"/>
      <c r="BA120" s="57"/>
      <c r="BB120" s="64"/>
    </row>
    <row r="121" spans="47:59" ht="15.95" hidden="1" customHeight="1">
      <c r="AU121" s="57"/>
      <c r="AV121" s="64"/>
      <c r="AW121" s="64"/>
      <c r="AX121" s="64"/>
      <c r="AY121" s="57"/>
      <c r="AZ121" s="57"/>
      <c r="BA121" s="57"/>
      <c r="BB121" s="64"/>
    </row>
    <row r="122" spans="47:59" ht="15.95" hidden="1" customHeight="1">
      <c r="AU122" s="57"/>
      <c r="AV122" s="64"/>
      <c r="AW122" s="64"/>
      <c r="AX122" s="64"/>
      <c r="AY122" s="57"/>
      <c r="AZ122" s="57"/>
      <c r="BA122" s="57"/>
      <c r="BB122" s="64"/>
    </row>
    <row r="123" spans="47:59" ht="15.95" hidden="1" customHeight="1">
      <c r="AU123" s="57"/>
      <c r="AV123" s="64"/>
      <c r="AW123" s="64"/>
      <c r="AX123" s="64"/>
      <c r="AY123" s="57"/>
      <c r="AZ123" s="57"/>
      <c r="BA123" s="57"/>
      <c r="BB123" s="64"/>
    </row>
    <row r="124" spans="47:59" ht="15.95" hidden="1" customHeight="1">
      <c r="AU124" s="57"/>
      <c r="AV124" s="64"/>
      <c r="AW124" s="64"/>
      <c r="AX124" s="64"/>
      <c r="AY124" s="57"/>
      <c r="AZ124" s="57"/>
      <c r="BA124" s="57"/>
      <c r="BB124" s="64"/>
    </row>
    <row r="125" spans="47:59" ht="15.95" hidden="1" customHeight="1">
      <c r="AU125" s="57"/>
      <c r="AV125" s="64"/>
      <c r="AW125" s="64"/>
      <c r="AX125" s="64"/>
      <c r="AY125" s="57"/>
      <c r="AZ125" s="57"/>
      <c r="BA125" s="57"/>
      <c r="BB125" s="64"/>
    </row>
    <row r="126" spans="47:59" ht="15.95" hidden="1" customHeight="1">
      <c r="AU126" s="57"/>
      <c r="AV126" s="64"/>
      <c r="AW126" s="64"/>
      <c r="AX126" s="64"/>
      <c r="AY126" s="57"/>
      <c r="AZ126" s="57"/>
      <c r="BA126" s="57"/>
      <c r="BB126" s="64"/>
    </row>
    <row r="127" spans="47:59" ht="15.95" hidden="1" customHeight="1">
      <c r="AU127" s="57"/>
      <c r="AV127" s="64"/>
      <c r="AW127" s="64"/>
      <c r="AX127" s="64"/>
      <c r="AY127" s="57"/>
      <c r="AZ127" s="57"/>
      <c r="BA127" s="57"/>
      <c r="BB127" s="64"/>
    </row>
    <row r="128" spans="47:59" ht="15.95" hidden="1" customHeight="1">
      <c r="AU128" s="57"/>
      <c r="AV128" s="64"/>
      <c r="AW128" s="64"/>
      <c r="AX128" s="64"/>
      <c r="AY128" s="57"/>
      <c r="AZ128" s="57"/>
      <c r="BA128" s="57"/>
      <c r="BB128" s="64"/>
    </row>
    <row r="129" spans="47:54" ht="15.95" hidden="1" customHeight="1">
      <c r="AU129" s="57"/>
      <c r="AV129" s="64"/>
      <c r="AW129" s="64"/>
      <c r="AX129" s="64"/>
      <c r="AY129" s="57"/>
      <c r="AZ129" s="57"/>
      <c r="BA129" s="57"/>
      <c r="BB129" s="64"/>
    </row>
    <row r="130" spans="47:54" ht="15.95" hidden="1" customHeight="1">
      <c r="AU130" s="57"/>
      <c r="AV130" s="64"/>
      <c r="AW130" s="64"/>
      <c r="AX130" s="64"/>
      <c r="AY130" s="57"/>
      <c r="AZ130" s="57"/>
      <c r="BA130" s="57"/>
      <c r="BB130" s="64"/>
    </row>
    <row r="131" spans="47:54" ht="15.95" hidden="1" customHeight="1">
      <c r="AU131" s="57"/>
      <c r="AV131" s="64"/>
      <c r="AW131" s="64"/>
      <c r="AX131" s="64"/>
      <c r="AY131" s="57"/>
      <c r="AZ131" s="57"/>
      <c r="BA131" s="57"/>
      <c r="BB131" s="64"/>
    </row>
    <row r="132" spans="47:54" ht="15.95" hidden="1" customHeight="1">
      <c r="AU132" s="57"/>
      <c r="AV132" s="64"/>
      <c r="AW132" s="64"/>
      <c r="AX132" s="64"/>
      <c r="AY132" s="57"/>
      <c r="AZ132" s="57"/>
      <c r="BA132" s="57"/>
      <c r="BB132" s="64"/>
    </row>
    <row r="133" spans="47:54" ht="15.95" hidden="1" customHeight="1">
      <c r="AU133" s="57"/>
      <c r="AV133" s="64"/>
      <c r="AW133" s="64"/>
      <c r="AX133" s="64"/>
      <c r="AY133" s="57"/>
      <c r="AZ133" s="57"/>
      <c r="BA133" s="57"/>
      <c r="BB133" s="64"/>
    </row>
    <row r="134" spans="47:54" ht="15.95" hidden="1" customHeight="1">
      <c r="AU134" s="57"/>
      <c r="AV134" s="64"/>
      <c r="AW134" s="64"/>
      <c r="AX134" s="64"/>
      <c r="AY134" s="57"/>
      <c r="AZ134" s="57"/>
      <c r="BA134" s="57"/>
      <c r="BB134" s="64"/>
    </row>
    <row r="135" spans="47:54" ht="15.95" hidden="1" customHeight="1">
      <c r="AU135" s="57"/>
      <c r="AV135" s="64"/>
      <c r="AW135" s="64"/>
      <c r="AX135" s="64"/>
      <c r="AY135" s="57"/>
      <c r="AZ135" s="57"/>
      <c r="BA135" s="57"/>
      <c r="BB135" s="64"/>
    </row>
    <row r="136" spans="47:54" ht="15.95" hidden="1" customHeight="1">
      <c r="AU136" s="57"/>
      <c r="AV136" s="64"/>
      <c r="AW136" s="64"/>
      <c r="AX136" s="64"/>
      <c r="AY136" s="57"/>
      <c r="AZ136" s="57"/>
      <c r="BA136" s="57"/>
      <c r="BB136" s="64"/>
    </row>
    <row r="137" spans="47:54" ht="15.95" hidden="1" customHeight="1">
      <c r="AU137" s="57"/>
      <c r="AV137" s="64"/>
      <c r="AW137" s="64"/>
      <c r="AX137" s="64"/>
      <c r="AY137" s="57"/>
      <c r="AZ137" s="57"/>
      <c r="BA137" s="57"/>
      <c r="BB137" s="64"/>
    </row>
    <row r="138" spans="47:54" ht="15.95" hidden="1" customHeight="1">
      <c r="AU138" s="57"/>
      <c r="AV138" s="64"/>
      <c r="AW138" s="64"/>
      <c r="AX138" s="64"/>
      <c r="AY138" s="57"/>
      <c r="AZ138" s="57"/>
      <c r="BA138" s="57"/>
      <c r="BB138" s="64"/>
    </row>
    <row r="139" spans="47:54" ht="15.95" hidden="1" customHeight="1">
      <c r="AU139" s="57"/>
      <c r="AV139" s="64"/>
      <c r="AW139" s="64"/>
      <c r="AX139" s="64"/>
      <c r="AY139" s="57"/>
      <c r="AZ139" s="57"/>
      <c r="BA139" s="57"/>
      <c r="BB139" s="64"/>
    </row>
    <row r="140" spans="47:54" ht="15.95" hidden="1" customHeight="1">
      <c r="AU140" s="57"/>
      <c r="AV140" s="64"/>
      <c r="AW140" s="64"/>
      <c r="AX140" s="64"/>
      <c r="AY140" s="57"/>
      <c r="AZ140" s="57"/>
      <c r="BA140" s="57"/>
      <c r="BB140" s="64"/>
    </row>
    <row r="141" spans="47:54" ht="15.95" hidden="1" customHeight="1">
      <c r="AU141" s="57"/>
      <c r="AV141" s="64"/>
      <c r="AW141" s="64"/>
      <c r="AX141" s="64"/>
      <c r="AY141" s="57"/>
      <c r="AZ141" s="57"/>
      <c r="BA141" s="57"/>
      <c r="BB141" s="64"/>
    </row>
    <row r="142" spans="47:54" ht="15.95" hidden="1" customHeight="1">
      <c r="AU142" s="57"/>
      <c r="AV142" s="64"/>
      <c r="AW142" s="64"/>
      <c r="AX142" s="64"/>
      <c r="AY142" s="57"/>
      <c r="AZ142" s="57"/>
      <c r="BA142" s="57"/>
      <c r="BB142" s="64"/>
    </row>
    <row r="143" spans="47:54" ht="15.95" hidden="1" customHeight="1">
      <c r="AU143" s="57"/>
      <c r="AV143" s="64"/>
      <c r="AW143" s="64"/>
      <c r="AX143" s="64"/>
      <c r="AY143" s="57"/>
      <c r="AZ143" s="57"/>
      <c r="BA143" s="57"/>
      <c r="BB143" s="64"/>
    </row>
    <row r="144" spans="47:54" ht="15.95" hidden="1" customHeight="1">
      <c r="AU144" s="57"/>
      <c r="AV144" s="64"/>
      <c r="AW144" s="64"/>
      <c r="AX144" s="64"/>
      <c r="AY144" s="57"/>
      <c r="AZ144" s="57"/>
      <c r="BA144" s="57"/>
      <c r="BB144" s="64"/>
    </row>
    <row r="145" spans="47:54" ht="15.95" hidden="1" customHeight="1">
      <c r="AU145" s="57"/>
      <c r="AV145" s="64"/>
      <c r="AW145" s="64"/>
      <c r="AX145" s="64"/>
      <c r="AY145" s="57"/>
      <c r="AZ145" s="57"/>
      <c r="BA145" s="57"/>
      <c r="BB145" s="64"/>
    </row>
    <row r="146" spans="47:54" ht="15.95" hidden="1" customHeight="1">
      <c r="AU146" s="57"/>
      <c r="AV146" s="64"/>
      <c r="AW146" s="64"/>
      <c r="AX146" s="64"/>
      <c r="AY146" s="57"/>
      <c r="AZ146" s="57"/>
      <c r="BA146" s="57"/>
      <c r="BB146" s="64"/>
    </row>
    <row r="147" spans="47:54" ht="15.95" hidden="1" customHeight="1">
      <c r="AU147" s="57"/>
      <c r="AV147" s="64"/>
      <c r="AW147" s="64"/>
      <c r="AX147" s="64"/>
      <c r="AY147" s="57"/>
      <c r="AZ147" s="57"/>
      <c r="BA147" s="57"/>
      <c r="BB147" s="64"/>
    </row>
    <row r="148" spans="47:54" ht="15.95" hidden="1" customHeight="1">
      <c r="AU148" s="57"/>
      <c r="AV148" s="64"/>
      <c r="AW148" s="64"/>
      <c r="AX148" s="64"/>
      <c r="AY148" s="57"/>
      <c r="AZ148" s="57"/>
      <c r="BA148" s="57"/>
      <c r="BB148" s="64"/>
    </row>
    <row r="149" spans="47:54" ht="15.95" hidden="1" customHeight="1">
      <c r="AU149" s="57"/>
      <c r="AV149" s="64"/>
      <c r="AW149" s="64"/>
      <c r="AX149" s="64"/>
      <c r="AY149" s="57"/>
      <c r="AZ149" s="57"/>
      <c r="BA149" s="57"/>
      <c r="BB149" s="64"/>
    </row>
    <row r="150" spans="47:54" ht="15.95" hidden="1" customHeight="1">
      <c r="AU150" s="57"/>
      <c r="AV150" s="64"/>
      <c r="AW150" s="64"/>
      <c r="AX150" s="64"/>
      <c r="AY150" s="57"/>
      <c r="AZ150" s="57"/>
      <c r="BA150" s="57"/>
      <c r="BB150" s="64"/>
    </row>
    <row r="151" spans="47:54" ht="15.95" hidden="1" customHeight="1">
      <c r="AU151" s="57"/>
      <c r="AV151" s="64"/>
      <c r="AW151" s="64"/>
      <c r="AX151" s="64"/>
      <c r="AY151" s="57"/>
      <c r="AZ151" s="57"/>
      <c r="BA151" s="57"/>
      <c r="BB151" s="64"/>
    </row>
    <row r="152" spans="47:54" ht="15.95" hidden="1" customHeight="1">
      <c r="AU152" s="57"/>
      <c r="AV152" s="64"/>
      <c r="AW152" s="64"/>
      <c r="AX152" s="64"/>
      <c r="AY152" s="57"/>
      <c r="AZ152" s="57"/>
      <c r="BA152" s="57"/>
      <c r="BB152" s="64"/>
    </row>
    <row r="153" spans="47:54" ht="15.95" hidden="1" customHeight="1">
      <c r="AU153" s="57"/>
      <c r="AV153" s="64"/>
      <c r="AW153" s="64"/>
      <c r="AX153" s="64"/>
      <c r="AY153" s="57"/>
      <c r="AZ153" s="57"/>
      <c r="BA153" s="57"/>
      <c r="BB153" s="64"/>
    </row>
    <row r="154" spans="47:54" ht="15.95" hidden="1" customHeight="1">
      <c r="AU154" s="57"/>
      <c r="AV154" s="64"/>
      <c r="AW154" s="64"/>
      <c r="AX154" s="64"/>
      <c r="AY154" s="57"/>
      <c r="AZ154" s="57"/>
      <c r="BA154" s="57"/>
      <c r="BB154" s="64"/>
    </row>
    <row r="155" spans="47:54" ht="15.95" hidden="1" customHeight="1">
      <c r="AU155" s="57"/>
      <c r="AV155" s="64"/>
      <c r="AW155" s="64"/>
      <c r="AX155" s="64"/>
      <c r="AY155" s="57"/>
      <c r="AZ155" s="57"/>
      <c r="BA155" s="57"/>
      <c r="BB155" s="64"/>
    </row>
    <row r="156" spans="47:54" ht="15.95" hidden="1" customHeight="1">
      <c r="AU156" s="57"/>
      <c r="AV156" s="64"/>
      <c r="AW156" s="64"/>
      <c r="AX156" s="64"/>
      <c r="AY156" s="57"/>
      <c r="AZ156" s="57"/>
      <c r="BA156" s="57"/>
      <c r="BB156" s="64"/>
    </row>
    <row r="157" spans="47:54" ht="15.95" hidden="1" customHeight="1">
      <c r="AU157" s="57"/>
      <c r="AV157" s="64"/>
      <c r="AW157" s="64"/>
      <c r="AX157" s="64"/>
      <c r="AY157" s="57"/>
      <c r="AZ157" s="57"/>
      <c r="BA157" s="57"/>
      <c r="BB157" s="64"/>
    </row>
    <row r="158" spans="47:54" ht="15.95" hidden="1" customHeight="1">
      <c r="AU158" s="57"/>
      <c r="AV158" s="64"/>
      <c r="AW158" s="64"/>
      <c r="AX158" s="64"/>
      <c r="AY158" s="57"/>
      <c r="AZ158" s="57"/>
      <c r="BA158" s="57"/>
      <c r="BB158" s="64"/>
    </row>
    <row r="159" spans="47:54" ht="15.95" hidden="1" customHeight="1">
      <c r="AU159" s="57"/>
      <c r="AV159" s="64"/>
      <c r="AW159" s="64"/>
      <c r="AX159" s="64"/>
      <c r="AY159" s="57"/>
      <c r="AZ159" s="57"/>
      <c r="BA159" s="57"/>
      <c r="BB159" s="64"/>
    </row>
    <row r="160" spans="47:54" ht="15.95" hidden="1" customHeight="1">
      <c r="AU160" s="57"/>
      <c r="AV160" s="64"/>
      <c r="AW160" s="64"/>
      <c r="AX160" s="64"/>
      <c r="AY160" s="57"/>
      <c r="AZ160" s="57"/>
      <c r="BA160" s="57"/>
      <c r="BB160" s="64"/>
    </row>
    <row r="161" spans="47:54" ht="15.95" hidden="1" customHeight="1">
      <c r="AU161" s="57"/>
      <c r="AV161" s="64"/>
      <c r="AW161" s="64"/>
      <c r="AX161" s="64"/>
      <c r="AY161" s="57"/>
      <c r="AZ161" s="57"/>
      <c r="BA161" s="57"/>
      <c r="BB161" s="64"/>
    </row>
    <row r="162" spans="47:54" ht="15.95" hidden="1" customHeight="1">
      <c r="AU162" s="57"/>
      <c r="AV162" s="64"/>
      <c r="AW162" s="64"/>
      <c r="AX162" s="64"/>
      <c r="AY162" s="57"/>
      <c r="AZ162" s="57"/>
      <c r="BA162" s="57"/>
      <c r="BB162" s="64"/>
    </row>
    <row r="163" spans="47:54" ht="15.95" hidden="1" customHeight="1">
      <c r="AU163" s="57"/>
      <c r="AV163" s="64"/>
      <c r="AW163" s="64"/>
      <c r="AX163" s="64"/>
      <c r="AY163" s="57"/>
      <c r="AZ163" s="57"/>
      <c r="BA163" s="57"/>
      <c r="BB163" s="64"/>
    </row>
    <row r="164" spans="47:54" ht="15.95" hidden="1" customHeight="1">
      <c r="AU164" s="57"/>
      <c r="AV164" s="64"/>
      <c r="AW164" s="64"/>
      <c r="AX164" s="64"/>
      <c r="AY164" s="57"/>
      <c r="AZ164" s="57"/>
      <c r="BA164" s="57"/>
      <c r="BB164" s="64"/>
    </row>
    <row r="165" spans="47:54" ht="15.95" hidden="1" customHeight="1">
      <c r="AU165" s="57"/>
      <c r="AV165" s="64"/>
      <c r="AW165" s="64"/>
      <c r="AX165" s="64"/>
      <c r="AY165" s="57"/>
      <c r="AZ165" s="57"/>
      <c r="BA165" s="57"/>
      <c r="BB165" s="64"/>
    </row>
    <row r="166" spans="47:54" ht="15.95" hidden="1" customHeight="1">
      <c r="AU166" s="57"/>
      <c r="AV166" s="64"/>
      <c r="AW166" s="64"/>
      <c r="AX166" s="64"/>
      <c r="AY166" s="57"/>
      <c r="AZ166" s="57"/>
      <c r="BA166" s="57"/>
      <c r="BB166" s="64"/>
    </row>
    <row r="167" spans="47:54" ht="15.95" hidden="1" customHeight="1">
      <c r="AU167" s="57"/>
      <c r="AV167" s="64"/>
      <c r="AW167" s="64"/>
      <c r="AX167" s="64"/>
      <c r="AY167" s="57"/>
      <c r="AZ167" s="57"/>
      <c r="BA167" s="57"/>
      <c r="BB167" s="64"/>
    </row>
    <row r="168" spans="47:54" ht="15.95" hidden="1" customHeight="1">
      <c r="AU168" s="57"/>
      <c r="AV168" s="64"/>
      <c r="AW168" s="64"/>
      <c r="AX168" s="64"/>
      <c r="AY168" s="57"/>
      <c r="AZ168" s="57"/>
      <c r="BA168" s="57"/>
      <c r="BB168" s="64"/>
    </row>
    <row r="169" spans="47:54" ht="15.95" hidden="1" customHeight="1">
      <c r="AU169" s="57"/>
      <c r="AV169" s="64"/>
      <c r="AW169" s="64"/>
      <c r="AX169" s="64"/>
      <c r="AY169" s="57"/>
      <c r="AZ169" s="57"/>
      <c r="BA169" s="57"/>
      <c r="BB169" s="64"/>
    </row>
    <row r="170" spans="47:54" ht="15.95" hidden="1" customHeight="1">
      <c r="AU170" s="57"/>
      <c r="AV170" s="64"/>
      <c r="AW170" s="64"/>
      <c r="AX170" s="64"/>
      <c r="AY170" s="57"/>
      <c r="AZ170" s="57"/>
      <c r="BA170" s="57"/>
      <c r="BB170" s="64"/>
    </row>
    <row r="171" spans="47:54" ht="15.95" hidden="1" customHeight="1">
      <c r="AU171" s="57"/>
      <c r="AV171" s="64"/>
      <c r="AW171" s="64"/>
      <c r="AX171" s="64"/>
      <c r="AY171" s="57"/>
      <c r="AZ171" s="57"/>
      <c r="BA171" s="57"/>
      <c r="BB171" s="64"/>
    </row>
    <row r="172" spans="47:54" ht="15.95" hidden="1" customHeight="1">
      <c r="AU172" s="57"/>
      <c r="AV172" s="64"/>
      <c r="AW172" s="64"/>
      <c r="AX172" s="64"/>
      <c r="AY172" s="57"/>
      <c r="AZ172" s="57"/>
      <c r="BA172" s="57"/>
      <c r="BB172" s="64"/>
    </row>
    <row r="173" spans="47:54" ht="15.95" hidden="1" customHeight="1">
      <c r="AU173" s="57"/>
      <c r="AV173" s="64"/>
      <c r="AW173" s="64"/>
      <c r="AX173" s="64"/>
      <c r="AY173" s="57"/>
      <c r="AZ173" s="57"/>
      <c r="BA173" s="57"/>
      <c r="BB173" s="64"/>
    </row>
    <row r="174" spans="47:54" ht="15.95" hidden="1" customHeight="1">
      <c r="AU174" s="57"/>
      <c r="AV174" s="64"/>
      <c r="AW174" s="64"/>
      <c r="AX174" s="64"/>
      <c r="AY174" s="57"/>
      <c r="AZ174" s="57"/>
      <c r="BA174" s="57"/>
      <c r="BB174" s="64"/>
    </row>
    <row r="175" spans="47:54" ht="15.95" hidden="1" customHeight="1">
      <c r="AU175" s="57"/>
      <c r="AV175" s="64"/>
      <c r="AW175" s="64"/>
      <c r="AX175" s="64"/>
      <c r="AY175" s="57"/>
      <c r="AZ175" s="57"/>
      <c r="BA175" s="57"/>
      <c r="BB175" s="64"/>
    </row>
    <row r="176" spans="47:54" ht="15.95" hidden="1" customHeight="1">
      <c r="AU176" s="57"/>
      <c r="AV176" s="64"/>
      <c r="AW176" s="64"/>
      <c r="AX176" s="64"/>
      <c r="AY176" s="57"/>
      <c r="AZ176" s="57"/>
      <c r="BA176" s="57"/>
      <c r="BB176" s="64"/>
    </row>
    <row r="177" spans="47:54" ht="15.95" hidden="1" customHeight="1">
      <c r="AU177" s="57"/>
      <c r="AV177" s="64"/>
      <c r="AW177" s="64"/>
      <c r="AX177" s="64"/>
      <c r="AY177" s="57"/>
      <c r="AZ177" s="57"/>
      <c r="BA177" s="57"/>
      <c r="BB177" s="64"/>
    </row>
    <row r="178" spans="47:54" ht="15.95" hidden="1" customHeight="1">
      <c r="AU178" s="57"/>
      <c r="AV178" s="64"/>
      <c r="AW178" s="64"/>
      <c r="AX178" s="64"/>
      <c r="AY178" s="57"/>
      <c r="AZ178" s="57"/>
      <c r="BA178" s="57"/>
      <c r="BB178" s="64"/>
    </row>
    <row r="179" spans="47:54" ht="15.95" hidden="1" customHeight="1">
      <c r="AU179" s="57"/>
      <c r="AV179" s="64"/>
      <c r="AW179" s="64"/>
      <c r="AX179" s="64"/>
      <c r="AY179" s="57"/>
      <c r="AZ179" s="57"/>
      <c r="BA179" s="57"/>
      <c r="BB179" s="64"/>
    </row>
    <row r="180" spans="47:54" ht="15.95" hidden="1" customHeight="1">
      <c r="AU180" s="57"/>
      <c r="AV180" s="64"/>
      <c r="AW180" s="64"/>
      <c r="AX180" s="64"/>
      <c r="AY180" s="57"/>
      <c r="AZ180" s="57"/>
      <c r="BA180" s="57"/>
      <c r="BB180" s="64"/>
    </row>
    <row r="181" spans="47:54" ht="15.95" hidden="1" customHeight="1">
      <c r="AU181" s="57"/>
      <c r="AV181" s="64"/>
      <c r="AW181" s="64"/>
      <c r="AX181" s="64"/>
      <c r="AY181" s="57"/>
      <c r="AZ181" s="57"/>
      <c r="BA181" s="57"/>
      <c r="BB181" s="64"/>
    </row>
    <row r="182" spans="47:54" ht="15.95" hidden="1" customHeight="1">
      <c r="AU182" s="57"/>
      <c r="AV182" s="64"/>
      <c r="AW182" s="64"/>
      <c r="AX182" s="64"/>
      <c r="AY182" s="57"/>
      <c r="AZ182" s="57"/>
      <c r="BA182" s="57"/>
      <c r="BB182" s="64"/>
    </row>
    <row r="183" spans="47:54" ht="15.95" hidden="1" customHeight="1">
      <c r="AU183" s="57"/>
      <c r="AV183" s="64"/>
      <c r="AW183" s="64"/>
      <c r="AX183" s="64"/>
      <c r="AY183" s="57"/>
      <c r="AZ183" s="57"/>
      <c r="BA183" s="57"/>
      <c r="BB183" s="64"/>
    </row>
    <row r="184" spans="47:54" ht="15.95" hidden="1" customHeight="1">
      <c r="AU184" s="57"/>
      <c r="AV184" s="64"/>
      <c r="AW184" s="64"/>
      <c r="AX184" s="64"/>
      <c r="AY184" s="57"/>
      <c r="AZ184" s="57"/>
      <c r="BA184" s="57"/>
      <c r="BB184" s="64"/>
    </row>
    <row r="185" spans="47:54" ht="15.95" hidden="1" customHeight="1">
      <c r="AU185" s="57"/>
      <c r="AV185" s="64"/>
      <c r="AW185" s="64"/>
      <c r="AX185" s="64"/>
      <c r="AY185" s="57"/>
      <c r="AZ185" s="57"/>
      <c r="BA185" s="57"/>
      <c r="BB185" s="64"/>
    </row>
    <row r="186" spans="47:54" ht="15.95" hidden="1" customHeight="1">
      <c r="AU186" s="57"/>
      <c r="AV186" s="64"/>
      <c r="AW186" s="64"/>
      <c r="AX186" s="64"/>
      <c r="AY186" s="57"/>
      <c r="AZ186" s="57"/>
      <c r="BA186" s="57"/>
      <c r="BB186" s="64"/>
    </row>
    <row r="187" spans="47:54" ht="15.95" hidden="1" customHeight="1">
      <c r="AU187" s="57"/>
      <c r="AV187" s="64"/>
      <c r="AW187" s="64"/>
      <c r="AX187" s="64"/>
      <c r="AY187" s="57"/>
      <c r="AZ187" s="57"/>
      <c r="BA187" s="57"/>
      <c r="BB187" s="64"/>
    </row>
    <row r="188" spans="47:54" ht="15.95" hidden="1" customHeight="1">
      <c r="AU188" s="57"/>
      <c r="AV188" s="64"/>
      <c r="AW188" s="64"/>
      <c r="AX188" s="64"/>
      <c r="AY188" s="57"/>
      <c r="AZ188" s="57"/>
      <c r="BA188" s="57"/>
      <c r="BB188" s="64"/>
    </row>
    <row r="189" spans="47:54" ht="15.95" hidden="1" customHeight="1">
      <c r="AU189" s="57"/>
      <c r="AV189" s="64"/>
      <c r="AW189" s="64"/>
      <c r="AX189" s="64"/>
      <c r="AY189" s="57"/>
      <c r="AZ189" s="57"/>
      <c r="BA189" s="57"/>
      <c r="BB189" s="64"/>
    </row>
    <row r="190" spans="47:54" ht="15.95" hidden="1" customHeight="1">
      <c r="AU190" s="57"/>
      <c r="AV190" s="64"/>
      <c r="AW190" s="64"/>
      <c r="AX190" s="64"/>
      <c r="AY190" s="57"/>
      <c r="AZ190" s="57"/>
      <c r="BA190" s="57"/>
      <c r="BB190" s="64"/>
    </row>
    <row r="191" spans="47:54" ht="15.95" hidden="1" customHeight="1">
      <c r="AU191" s="57"/>
      <c r="AV191" s="64"/>
      <c r="AW191" s="64"/>
      <c r="AX191" s="64"/>
      <c r="AY191" s="57"/>
      <c r="AZ191" s="57"/>
      <c r="BA191" s="57"/>
      <c r="BB191" s="64"/>
    </row>
    <row r="192" spans="47:54" ht="15.95" hidden="1" customHeight="1">
      <c r="AU192" s="57"/>
      <c r="AV192" s="64"/>
      <c r="AW192" s="64"/>
      <c r="AX192" s="64"/>
      <c r="AY192" s="57"/>
      <c r="AZ192" s="57"/>
      <c r="BA192" s="57"/>
      <c r="BB192" s="64"/>
    </row>
    <row r="193" spans="1:54" ht="15.95" hidden="1" customHeight="1">
      <c r="AU193" s="57"/>
      <c r="AV193" s="64"/>
      <c r="AW193" s="64"/>
      <c r="AX193" s="64"/>
      <c r="AY193" s="57"/>
      <c r="AZ193" s="57"/>
      <c r="BA193" s="57"/>
      <c r="BB193" s="64"/>
    </row>
    <row r="194" spans="1:54" ht="15.95" hidden="1" customHeight="1">
      <c r="AU194" s="57"/>
      <c r="AV194" s="64"/>
      <c r="AW194" s="64"/>
      <c r="AX194" s="64"/>
      <c r="AY194" s="57"/>
      <c r="AZ194" s="57"/>
      <c r="BA194" s="57"/>
      <c r="BB194" s="64"/>
    </row>
    <row r="195" spans="1:54" ht="15.95" hidden="1" customHeight="1">
      <c r="AU195" s="57"/>
      <c r="AV195" s="64"/>
      <c r="AW195" s="64"/>
      <c r="AX195" s="64"/>
      <c r="AY195" s="57"/>
      <c r="AZ195" s="57"/>
      <c r="BA195" s="57"/>
      <c r="BB195" s="64"/>
    </row>
    <row r="196" spans="1:54" ht="15.95" hidden="1" customHeight="1">
      <c r="AU196" s="57"/>
      <c r="AV196" s="64"/>
      <c r="AW196" s="64"/>
      <c r="AX196" s="64"/>
      <c r="AY196" s="57"/>
      <c r="AZ196" s="57"/>
      <c r="BA196" s="57"/>
      <c r="BB196" s="64"/>
    </row>
    <row r="197" spans="1:54" ht="15.95" hidden="1" customHeight="1">
      <c r="AU197" s="57"/>
      <c r="AV197" s="64"/>
      <c r="AW197" s="64"/>
      <c r="AX197" s="64"/>
      <c r="AY197" s="57"/>
      <c r="AZ197" s="57"/>
      <c r="BA197" s="57"/>
      <c r="BB197" s="64"/>
    </row>
    <row r="198" spans="1:54" ht="15.95" hidden="1" customHeight="1">
      <c r="AU198" s="57"/>
      <c r="AV198" s="64"/>
      <c r="AW198" s="64"/>
      <c r="AX198" s="64"/>
      <c r="AY198" s="57"/>
      <c r="AZ198" s="57"/>
      <c r="BA198" s="57"/>
      <c r="BB198" s="64"/>
    </row>
    <row r="199" spans="1:54" ht="15.95" hidden="1" customHeight="1">
      <c r="AU199" s="57"/>
      <c r="AV199" s="64"/>
      <c r="AW199" s="64"/>
      <c r="AX199" s="64"/>
      <c r="AY199" s="57"/>
      <c r="AZ199" s="57"/>
      <c r="BA199" s="57"/>
      <c r="BB199" s="64"/>
    </row>
    <row r="200" spans="1:54"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U200"/>
      <c r="AV200"/>
      <c r="AW200" s="1025">
        <f>SUM(AW18:AW77)</f>
        <v>0</v>
      </c>
      <c r="AX200" s="1025">
        <f>SUM(AX18:AX77)</f>
        <v>0</v>
      </c>
      <c r="AY200"/>
      <c r="AZ200"/>
      <c r="BA200" s="1026">
        <f>SUM(BA18:BA77)</f>
        <v>0</v>
      </c>
      <c r="BB200"/>
    </row>
    <row r="201" spans="1:54"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U201"/>
      <c r="AV201"/>
      <c r="AW201" s="1025"/>
      <c r="AX201" s="1025"/>
      <c r="AY201"/>
      <c r="AZ201"/>
      <c r="BA201" s="1027"/>
      <c r="BB201"/>
    </row>
    <row r="202" spans="1:54"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c r="AT202"/>
    </row>
    <row r="203" spans="1:54" ht="15.95" hidden="1" customHeight="1"/>
    <row r="204" spans="1:54" ht="15.95" hidden="1" customHeight="1"/>
  </sheetData>
  <sheetProtection algorithmName="SHA-512" hashValue="L+L0ibIft4xfZGN77llmLTKSYp08HxZswt8iMQ9CBrvGJkuW2Le9+2JAK/frzQXmQvbbbRox+5e606p9u8ytUw==" saltValue="+QC+VfMCAAwI7LVmFotrlg==" spinCount="100000" sheet="1" objects="1" scenarios="1" selectLockedCells="1"/>
  <mergeCells count="1147">
    <mergeCell ref="BL50:BL51"/>
    <mergeCell ref="BL52:BL53"/>
    <mergeCell ref="BL54:BL55"/>
    <mergeCell ref="BL56:BL57"/>
    <mergeCell ref="BL58:BL59"/>
    <mergeCell ref="BL60:BL61"/>
    <mergeCell ref="BL62:BL63"/>
    <mergeCell ref="BL64:BL65"/>
    <mergeCell ref="BL66:BL67"/>
    <mergeCell ref="BL68:BL69"/>
    <mergeCell ref="BL70:BL71"/>
    <mergeCell ref="BL72:BL73"/>
    <mergeCell ref="BL74:BL75"/>
    <mergeCell ref="BL76:BL77"/>
    <mergeCell ref="BL16:BL17"/>
    <mergeCell ref="BL18:BL19"/>
    <mergeCell ref="BL20:BL21"/>
    <mergeCell ref="BL22:BL23"/>
    <mergeCell ref="BL24:BL25"/>
    <mergeCell ref="BL26:BL27"/>
    <mergeCell ref="BL28:BL29"/>
    <mergeCell ref="BL30:BL31"/>
    <mergeCell ref="BL32:BL33"/>
    <mergeCell ref="BL34:BL35"/>
    <mergeCell ref="BL36:BL37"/>
    <mergeCell ref="BL38:BL39"/>
    <mergeCell ref="BL40:BL41"/>
    <mergeCell ref="BL42:BL43"/>
    <mergeCell ref="BL44:BL45"/>
    <mergeCell ref="BL46:BL47"/>
    <mergeCell ref="BL48:BL49"/>
    <mergeCell ref="BK50:BK51"/>
    <mergeCell ref="BK52:BK53"/>
    <mergeCell ref="BK54:BK55"/>
    <mergeCell ref="BK56:BK57"/>
    <mergeCell ref="BK58:BK59"/>
    <mergeCell ref="BK60:BK61"/>
    <mergeCell ref="BK62:BK63"/>
    <mergeCell ref="BK64:BK65"/>
    <mergeCell ref="BK66:BK67"/>
    <mergeCell ref="BK68:BK69"/>
    <mergeCell ref="BK70:BK71"/>
    <mergeCell ref="BK72:BK73"/>
    <mergeCell ref="BK74:BK75"/>
    <mergeCell ref="BK76:BK77"/>
    <mergeCell ref="BK16:BK17"/>
    <mergeCell ref="BK18:BK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G58:BG59"/>
    <mergeCell ref="BG60:BG61"/>
    <mergeCell ref="BG62:BG63"/>
    <mergeCell ref="BG64:BG65"/>
    <mergeCell ref="BG66:BG67"/>
    <mergeCell ref="BG68:BG69"/>
    <mergeCell ref="BG70:BG71"/>
    <mergeCell ref="BG72:BG73"/>
    <mergeCell ref="BG74:BG75"/>
    <mergeCell ref="BG76:BG77"/>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G52:BG53"/>
    <mergeCell ref="BG54:BG55"/>
    <mergeCell ref="BG56:BG57"/>
    <mergeCell ref="AO5:AS6"/>
    <mergeCell ref="AO7:AS7"/>
    <mergeCell ref="AO8:AS8"/>
    <mergeCell ref="BC76:BC77"/>
    <mergeCell ref="BD76:BD77"/>
    <mergeCell ref="BE76:BE77"/>
    <mergeCell ref="BF76:BF77"/>
    <mergeCell ref="BH76:BH77"/>
    <mergeCell ref="BI76:BI77"/>
    <mergeCell ref="BJ76:BJ77"/>
    <mergeCell ref="AT76:AT77"/>
    <mergeCell ref="AU76:AU77"/>
    <mergeCell ref="AV76:AV77"/>
    <mergeCell ref="AW76:AW77"/>
    <mergeCell ref="AX76:AX77"/>
    <mergeCell ref="AY76:AY77"/>
    <mergeCell ref="AZ76:AZ77"/>
    <mergeCell ref="BA76:BA77"/>
    <mergeCell ref="BB76:BB77"/>
    <mergeCell ref="BC72:BC73"/>
    <mergeCell ref="BD72:BD73"/>
    <mergeCell ref="BE72:BE73"/>
    <mergeCell ref="BF72:BF73"/>
    <mergeCell ref="BH72:BH73"/>
    <mergeCell ref="BI72:BI73"/>
    <mergeCell ref="BJ72:BJ73"/>
    <mergeCell ref="AT74:AT75"/>
    <mergeCell ref="AU74:AU75"/>
    <mergeCell ref="AV74:AV75"/>
    <mergeCell ref="AW74:AW75"/>
    <mergeCell ref="AX74:AX75"/>
    <mergeCell ref="AY74:AY75"/>
    <mergeCell ref="AZ74:AZ75"/>
    <mergeCell ref="BA74:BA75"/>
    <mergeCell ref="BB74:BB75"/>
    <mergeCell ref="BC74:BC75"/>
    <mergeCell ref="BD74:BD75"/>
    <mergeCell ref="BE74:BE75"/>
    <mergeCell ref="BF74:BF75"/>
    <mergeCell ref="BH74:BH75"/>
    <mergeCell ref="BI74:BI75"/>
    <mergeCell ref="BJ74:BJ75"/>
    <mergeCell ref="AT72:AT73"/>
    <mergeCell ref="AU72:AU73"/>
    <mergeCell ref="AV72:AV73"/>
    <mergeCell ref="AW72:AW73"/>
    <mergeCell ref="AX72:AX73"/>
    <mergeCell ref="AY72:AY73"/>
    <mergeCell ref="AZ72:AZ73"/>
    <mergeCell ref="BA72:BA73"/>
    <mergeCell ref="BB72:BB73"/>
    <mergeCell ref="BC68:BC69"/>
    <mergeCell ref="BD68:BD69"/>
    <mergeCell ref="BE68:BE69"/>
    <mergeCell ref="BF68:BF69"/>
    <mergeCell ref="BH68:BH69"/>
    <mergeCell ref="BI68:BI69"/>
    <mergeCell ref="BJ68:BJ69"/>
    <mergeCell ref="AT70:AT71"/>
    <mergeCell ref="AU70:AU71"/>
    <mergeCell ref="AV70:AV71"/>
    <mergeCell ref="AW70:AW71"/>
    <mergeCell ref="AX70:AX71"/>
    <mergeCell ref="AY70:AY71"/>
    <mergeCell ref="AZ70:AZ71"/>
    <mergeCell ref="BA70:BA71"/>
    <mergeCell ref="BB70:BB71"/>
    <mergeCell ref="BC70:BC71"/>
    <mergeCell ref="BD70:BD71"/>
    <mergeCell ref="BE70:BE71"/>
    <mergeCell ref="BF70:BF71"/>
    <mergeCell ref="BH70:BH71"/>
    <mergeCell ref="BI70:BI71"/>
    <mergeCell ref="BJ70:BJ71"/>
    <mergeCell ref="AT68:AT69"/>
    <mergeCell ref="AU68:AU69"/>
    <mergeCell ref="AV68:AV69"/>
    <mergeCell ref="AW68:AW69"/>
    <mergeCell ref="AX68:AX69"/>
    <mergeCell ref="AY68:AY69"/>
    <mergeCell ref="AZ68:AZ69"/>
    <mergeCell ref="BA68:BA69"/>
    <mergeCell ref="BB68:BB69"/>
    <mergeCell ref="BC64:BC65"/>
    <mergeCell ref="BD64:BD65"/>
    <mergeCell ref="BE64:BE65"/>
    <mergeCell ref="BF64:BF65"/>
    <mergeCell ref="BH64:BH65"/>
    <mergeCell ref="BI64:BI65"/>
    <mergeCell ref="BJ64:BJ65"/>
    <mergeCell ref="AT66:AT67"/>
    <mergeCell ref="AU66:AU67"/>
    <mergeCell ref="AV66:AV67"/>
    <mergeCell ref="AW66:AW67"/>
    <mergeCell ref="AX66:AX67"/>
    <mergeCell ref="AY66:AY67"/>
    <mergeCell ref="AZ66:AZ67"/>
    <mergeCell ref="BA66:BA67"/>
    <mergeCell ref="BB66:BB67"/>
    <mergeCell ref="BC66:BC67"/>
    <mergeCell ref="BD66:BD67"/>
    <mergeCell ref="BE66:BE67"/>
    <mergeCell ref="BF66:BF67"/>
    <mergeCell ref="BH66:BH67"/>
    <mergeCell ref="BI66:BI67"/>
    <mergeCell ref="BJ66:BJ67"/>
    <mergeCell ref="AT64:AT65"/>
    <mergeCell ref="AU64:AU65"/>
    <mergeCell ref="AV64:AV65"/>
    <mergeCell ref="AW64:AW65"/>
    <mergeCell ref="AX64:AX65"/>
    <mergeCell ref="AY64:AY65"/>
    <mergeCell ref="AZ64:AZ65"/>
    <mergeCell ref="BA64:BA65"/>
    <mergeCell ref="BB64:BB65"/>
    <mergeCell ref="BC60:BC61"/>
    <mergeCell ref="BD60:BD61"/>
    <mergeCell ref="BE60:BE61"/>
    <mergeCell ref="BF60:BF61"/>
    <mergeCell ref="BH60:BH61"/>
    <mergeCell ref="BI60:BI61"/>
    <mergeCell ref="BJ60:BJ61"/>
    <mergeCell ref="AT62:AT63"/>
    <mergeCell ref="AU62:AU63"/>
    <mergeCell ref="AV62:AV63"/>
    <mergeCell ref="AW62:AW63"/>
    <mergeCell ref="AX62:AX63"/>
    <mergeCell ref="AY62:AY63"/>
    <mergeCell ref="AZ62:AZ63"/>
    <mergeCell ref="BA62:BA63"/>
    <mergeCell ref="BB62:BB63"/>
    <mergeCell ref="BC62:BC63"/>
    <mergeCell ref="BD62:BD63"/>
    <mergeCell ref="BE62:BE63"/>
    <mergeCell ref="BF62:BF63"/>
    <mergeCell ref="BH62:BH63"/>
    <mergeCell ref="BI62:BI63"/>
    <mergeCell ref="BJ62:BJ63"/>
    <mergeCell ref="AT60:AT61"/>
    <mergeCell ref="AU60:AU61"/>
    <mergeCell ref="AV60:AV61"/>
    <mergeCell ref="AW60:AW61"/>
    <mergeCell ref="AX60:AX61"/>
    <mergeCell ref="AY60:AY61"/>
    <mergeCell ref="AZ60:AZ61"/>
    <mergeCell ref="BA60:BA61"/>
    <mergeCell ref="BB60:BB61"/>
    <mergeCell ref="BC56:BC57"/>
    <mergeCell ref="BD56:BD57"/>
    <mergeCell ref="BE56:BE57"/>
    <mergeCell ref="BF56:BF57"/>
    <mergeCell ref="BH56:BH57"/>
    <mergeCell ref="BI56:BI57"/>
    <mergeCell ref="BJ56:BJ57"/>
    <mergeCell ref="AT58:AT59"/>
    <mergeCell ref="AU58:AU59"/>
    <mergeCell ref="AV58:AV59"/>
    <mergeCell ref="AW58:AW59"/>
    <mergeCell ref="AX58:AX59"/>
    <mergeCell ref="AY58:AY59"/>
    <mergeCell ref="AZ58:AZ59"/>
    <mergeCell ref="BA58:BA59"/>
    <mergeCell ref="BB58:BB59"/>
    <mergeCell ref="BC58:BC59"/>
    <mergeCell ref="BD58:BD59"/>
    <mergeCell ref="BE58:BE59"/>
    <mergeCell ref="BF58:BF59"/>
    <mergeCell ref="BH58:BH59"/>
    <mergeCell ref="BI58:BI59"/>
    <mergeCell ref="BJ58:BJ59"/>
    <mergeCell ref="AT56:AT57"/>
    <mergeCell ref="AU56:AU57"/>
    <mergeCell ref="AV56:AV57"/>
    <mergeCell ref="AW56:AW57"/>
    <mergeCell ref="AX56:AX57"/>
    <mergeCell ref="AY56:AY57"/>
    <mergeCell ref="AZ56:AZ57"/>
    <mergeCell ref="BA56:BA57"/>
    <mergeCell ref="BB56:BB57"/>
    <mergeCell ref="BC52:BC53"/>
    <mergeCell ref="BD52:BD53"/>
    <mergeCell ref="BE52:BE53"/>
    <mergeCell ref="BF52:BF53"/>
    <mergeCell ref="BH52:BH53"/>
    <mergeCell ref="BI52:BI53"/>
    <mergeCell ref="BJ52:BJ53"/>
    <mergeCell ref="AT54:AT55"/>
    <mergeCell ref="AU54:AU55"/>
    <mergeCell ref="AV54:AV55"/>
    <mergeCell ref="AW54:AW55"/>
    <mergeCell ref="AX54:AX55"/>
    <mergeCell ref="AY54:AY55"/>
    <mergeCell ref="AZ54:AZ55"/>
    <mergeCell ref="BA54:BA55"/>
    <mergeCell ref="BB54:BB55"/>
    <mergeCell ref="BC54:BC55"/>
    <mergeCell ref="BD54:BD55"/>
    <mergeCell ref="BE54:BE55"/>
    <mergeCell ref="BF54:BF55"/>
    <mergeCell ref="BH54:BH55"/>
    <mergeCell ref="BI54:BI55"/>
    <mergeCell ref="BJ54:BJ55"/>
    <mergeCell ref="AT52:AT53"/>
    <mergeCell ref="AU52:AU53"/>
    <mergeCell ref="AV52:AV53"/>
    <mergeCell ref="AW52:AW53"/>
    <mergeCell ref="AX52:AX53"/>
    <mergeCell ref="AY52:AY53"/>
    <mergeCell ref="AZ52:AZ53"/>
    <mergeCell ref="BA52:BA53"/>
    <mergeCell ref="BB52:BB53"/>
    <mergeCell ref="BC48:BC49"/>
    <mergeCell ref="BD48:BD49"/>
    <mergeCell ref="BE48:BE49"/>
    <mergeCell ref="BF48:BF49"/>
    <mergeCell ref="BH48:BH49"/>
    <mergeCell ref="BI48:BI49"/>
    <mergeCell ref="BJ48:BJ49"/>
    <mergeCell ref="AT50:AT51"/>
    <mergeCell ref="AU50:AU51"/>
    <mergeCell ref="AV50:AV51"/>
    <mergeCell ref="AW50:AW51"/>
    <mergeCell ref="AX50:AX51"/>
    <mergeCell ref="AY50:AY51"/>
    <mergeCell ref="AZ50:AZ51"/>
    <mergeCell ref="BA50:BA51"/>
    <mergeCell ref="BB50:BB51"/>
    <mergeCell ref="BC50:BC51"/>
    <mergeCell ref="BD50:BD51"/>
    <mergeCell ref="BE50:BE51"/>
    <mergeCell ref="BF50:BF51"/>
    <mergeCell ref="BH50:BH51"/>
    <mergeCell ref="BI50:BI51"/>
    <mergeCell ref="BJ50:BJ51"/>
    <mergeCell ref="AT48:AT49"/>
    <mergeCell ref="AU48:AU49"/>
    <mergeCell ref="AV48:AV49"/>
    <mergeCell ref="AW48:AW49"/>
    <mergeCell ref="AX48:AX49"/>
    <mergeCell ref="AY48:AY49"/>
    <mergeCell ref="AZ48:AZ49"/>
    <mergeCell ref="BA48:BA49"/>
    <mergeCell ref="BB48:BB49"/>
    <mergeCell ref="BC44:BC45"/>
    <mergeCell ref="BD44:BD45"/>
    <mergeCell ref="BE44:BE45"/>
    <mergeCell ref="BF44:BF45"/>
    <mergeCell ref="BH44:BH45"/>
    <mergeCell ref="BI44:BI45"/>
    <mergeCell ref="BJ44:BJ45"/>
    <mergeCell ref="AT46:AT47"/>
    <mergeCell ref="AU46:AU47"/>
    <mergeCell ref="AV46:AV47"/>
    <mergeCell ref="AW46:AW47"/>
    <mergeCell ref="AX46:AX47"/>
    <mergeCell ref="AY46:AY47"/>
    <mergeCell ref="AZ46:AZ47"/>
    <mergeCell ref="BA46:BA47"/>
    <mergeCell ref="BB46:BB47"/>
    <mergeCell ref="BC46:BC47"/>
    <mergeCell ref="BD46:BD47"/>
    <mergeCell ref="BE46:BE47"/>
    <mergeCell ref="BF46:BF47"/>
    <mergeCell ref="BH46:BH47"/>
    <mergeCell ref="BI46:BI47"/>
    <mergeCell ref="BJ46:BJ47"/>
    <mergeCell ref="AT44:AT45"/>
    <mergeCell ref="AU44:AU45"/>
    <mergeCell ref="AV44:AV45"/>
    <mergeCell ref="AW44:AW45"/>
    <mergeCell ref="AX44:AX45"/>
    <mergeCell ref="AY44:AY45"/>
    <mergeCell ref="AZ44:AZ45"/>
    <mergeCell ref="BA44:BA45"/>
    <mergeCell ref="BB44:BB45"/>
    <mergeCell ref="BC40:BC41"/>
    <mergeCell ref="BD40:BD41"/>
    <mergeCell ref="BE40:BE41"/>
    <mergeCell ref="BF40:BF41"/>
    <mergeCell ref="BH40:BH41"/>
    <mergeCell ref="BI40:BI41"/>
    <mergeCell ref="BJ40:BJ41"/>
    <mergeCell ref="AT42:AT43"/>
    <mergeCell ref="AU42:AU43"/>
    <mergeCell ref="AV42:AV43"/>
    <mergeCell ref="AW42:AW43"/>
    <mergeCell ref="AX42:AX43"/>
    <mergeCell ref="AY42:AY43"/>
    <mergeCell ref="AZ42:AZ43"/>
    <mergeCell ref="BA42:BA43"/>
    <mergeCell ref="BB42:BB43"/>
    <mergeCell ref="BC42:BC43"/>
    <mergeCell ref="BD42:BD43"/>
    <mergeCell ref="BE42:BE43"/>
    <mergeCell ref="BF42:BF43"/>
    <mergeCell ref="BH42:BH43"/>
    <mergeCell ref="BI42:BI43"/>
    <mergeCell ref="BJ42:BJ43"/>
    <mergeCell ref="AT40:AT41"/>
    <mergeCell ref="AU40:AU41"/>
    <mergeCell ref="AV40:AV41"/>
    <mergeCell ref="AW40:AW41"/>
    <mergeCell ref="AX40:AX41"/>
    <mergeCell ref="AY40:AY41"/>
    <mergeCell ref="AZ40:AZ41"/>
    <mergeCell ref="BA40:BA41"/>
    <mergeCell ref="BB40:BB41"/>
    <mergeCell ref="BC36:BC37"/>
    <mergeCell ref="BD36:BD37"/>
    <mergeCell ref="BE36:BE37"/>
    <mergeCell ref="BF36:BF37"/>
    <mergeCell ref="BH36:BH37"/>
    <mergeCell ref="BI36:BI37"/>
    <mergeCell ref="BJ36:BJ37"/>
    <mergeCell ref="AT38:AT39"/>
    <mergeCell ref="AU38:AU39"/>
    <mergeCell ref="AV38:AV39"/>
    <mergeCell ref="AW38:AW39"/>
    <mergeCell ref="AX38:AX39"/>
    <mergeCell ref="AY38:AY39"/>
    <mergeCell ref="AZ38:AZ39"/>
    <mergeCell ref="BA38:BA39"/>
    <mergeCell ref="BB38:BB39"/>
    <mergeCell ref="BC38:BC39"/>
    <mergeCell ref="BD38:BD39"/>
    <mergeCell ref="BE38:BE39"/>
    <mergeCell ref="BF38:BF39"/>
    <mergeCell ref="BH38:BH39"/>
    <mergeCell ref="BI38:BI39"/>
    <mergeCell ref="BJ38:BJ39"/>
    <mergeCell ref="AT36:AT37"/>
    <mergeCell ref="AU36:AU37"/>
    <mergeCell ref="AV36:AV37"/>
    <mergeCell ref="AW36:AW37"/>
    <mergeCell ref="AX36:AX37"/>
    <mergeCell ref="AY36:AY37"/>
    <mergeCell ref="AZ36:AZ37"/>
    <mergeCell ref="BA36:BA37"/>
    <mergeCell ref="BB36:BB37"/>
    <mergeCell ref="BC32:BC33"/>
    <mergeCell ref="BD32:BD33"/>
    <mergeCell ref="BE32:BE33"/>
    <mergeCell ref="BF32:BF33"/>
    <mergeCell ref="BH32:BH33"/>
    <mergeCell ref="BI32:BI33"/>
    <mergeCell ref="BJ32:BJ33"/>
    <mergeCell ref="AT34:AT35"/>
    <mergeCell ref="AU34:AU35"/>
    <mergeCell ref="AV34:AV35"/>
    <mergeCell ref="AW34:AW35"/>
    <mergeCell ref="AX34:AX35"/>
    <mergeCell ref="AY34:AY35"/>
    <mergeCell ref="AZ34:AZ35"/>
    <mergeCell ref="BA34:BA35"/>
    <mergeCell ref="BB34:BB35"/>
    <mergeCell ref="BC34:BC35"/>
    <mergeCell ref="BD34:BD35"/>
    <mergeCell ref="BE34:BE35"/>
    <mergeCell ref="BF34:BF35"/>
    <mergeCell ref="BH34:BH35"/>
    <mergeCell ref="BI34:BI35"/>
    <mergeCell ref="BJ34:BJ35"/>
    <mergeCell ref="AT32:AT33"/>
    <mergeCell ref="AU32:AU33"/>
    <mergeCell ref="AV32:AV33"/>
    <mergeCell ref="AW32:AW33"/>
    <mergeCell ref="AX32:AX33"/>
    <mergeCell ref="AY32:AY33"/>
    <mergeCell ref="AZ32:AZ33"/>
    <mergeCell ref="BA32:BA33"/>
    <mergeCell ref="BB32:BB33"/>
    <mergeCell ref="BC28:BC29"/>
    <mergeCell ref="BD28:BD29"/>
    <mergeCell ref="BE28:BE29"/>
    <mergeCell ref="BF28:BF29"/>
    <mergeCell ref="BH28:BH29"/>
    <mergeCell ref="BI28:BI29"/>
    <mergeCell ref="BJ28:BJ29"/>
    <mergeCell ref="AT30:AT31"/>
    <mergeCell ref="AU30:AU31"/>
    <mergeCell ref="AV30:AV31"/>
    <mergeCell ref="AW30:AW31"/>
    <mergeCell ref="AX30:AX31"/>
    <mergeCell ref="AY30:AY31"/>
    <mergeCell ref="AZ30:AZ31"/>
    <mergeCell ref="BA30:BA31"/>
    <mergeCell ref="BB30:BB31"/>
    <mergeCell ref="BC30:BC31"/>
    <mergeCell ref="BD30:BD31"/>
    <mergeCell ref="BE30:BE31"/>
    <mergeCell ref="BF30:BF31"/>
    <mergeCell ref="BH30:BH31"/>
    <mergeCell ref="BI30:BI31"/>
    <mergeCell ref="BJ30:BJ31"/>
    <mergeCell ref="AT28:AT29"/>
    <mergeCell ref="AU28:AU29"/>
    <mergeCell ref="AV28:AV29"/>
    <mergeCell ref="AW28:AW29"/>
    <mergeCell ref="AX28:AX29"/>
    <mergeCell ref="AY28:AY29"/>
    <mergeCell ref="AZ28:AZ29"/>
    <mergeCell ref="BA28:BA29"/>
    <mergeCell ref="BB28:BB29"/>
    <mergeCell ref="BC24:BC25"/>
    <mergeCell ref="BD24:BD25"/>
    <mergeCell ref="BE24:BE25"/>
    <mergeCell ref="BF24:BF25"/>
    <mergeCell ref="BH24:BH25"/>
    <mergeCell ref="BI24:BI25"/>
    <mergeCell ref="BJ24:BJ25"/>
    <mergeCell ref="AT26:AT27"/>
    <mergeCell ref="AU26:AU27"/>
    <mergeCell ref="AV26:AV27"/>
    <mergeCell ref="AW26:AW27"/>
    <mergeCell ref="AX26:AX27"/>
    <mergeCell ref="AY26:AY27"/>
    <mergeCell ref="AZ26:AZ27"/>
    <mergeCell ref="BA26:BA27"/>
    <mergeCell ref="BB26:BB27"/>
    <mergeCell ref="BC26:BC27"/>
    <mergeCell ref="BD26:BD27"/>
    <mergeCell ref="BE26:BE27"/>
    <mergeCell ref="BF26:BF27"/>
    <mergeCell ref="BH26:BH27"/>
    <mergeCell ref="BI26:BI27"/>
    <mergeCell ref="BJ26:BJ27"/>
    <mergeCell ref="AT24:AT25"/>
    <mergeCell ref="AU24:AU25"/>
    <mergeCell ref="AV24:AV25"/>
    <mergeCell ref="AW24:AW25"/>
    <mergeCell ref="AX24:AX25"/>
    <mergeCell ref="AY24:AY25"/>
    <mergeCell ref="AZ24:AZ25"/>
    <mergeCell ref="BA24:BA25"/>
    <mergeCell ref="BB24:BB25"/>
    <mergeCell ref="AT22:AT23"/>
    <mergeCell ref="AU22:AU23"/>
    <mergeCell ref="AV22:AV23"/>
    <mergeCell ref="AW22:AW23"/>
    <mergeCell ref="AX22:AX23"/>
    <mergeCell ref="AY22:AY23"/>
    <mergeCell ref="AZ22:AZ23"/>
    <mergeCell ref="BA22:BA23"/>
    <mergeCell ref="BB22:BB23"/>
    <mergeCell ref="BC22:BC23"/>
    <mergeCell ref="BD22:BD23"/>
    <mergeCell ref="BE22:BE23"/>
    <mergeCell ref="BF22:BF23"/>
    <mergeCell ref="BH22:BH23"/>
    <mergeCell ref="BI22:BI23"/>
    <mergeCell ref="BJ22:BJ23"/>
    <mergeCell ref="AY20:AY21"/>
    <mergeCell ref="AZ20:AZ21"/>
    <mergeCell ref="BA20:BA21"/>
    <mergeCell ref="BB20:BB21"/>
    <mergeCell ref="BC20:BC21"/>
    <mergeCell ref="BD20:BD21"/>
    <mergeCell ref="BE20:BE21"/>
    <mergeCell ref="BF20:BF21"/>
    <mergeCell ref="BH20:BH21"/>
    <mergeCell ref="BG20:BG21"/>
    <mergeCell ref="BG22:BG23"/>
    <mergeCell ref="AW16:AW17"/>
    <mergeCell ref="AX16:AX17"/>
    <mergeCell ref="AW18:AW19"/>
    <mergeCell ref="AX18:AX19"/>
    <mergeCell ref="AT20:AT21"/>
    <mergeCell ref="AU20:AU21"/>
    <mergeCell ref="AV20:AV21"/>
    <mergeCell ref="AW20:AW21"/>
    <mergeCell ref="AX20:AX21"/>
    <mergeCell ref="BF18:BF19"/>
    <mergeCell ref="BH18:BH19"/>
    <mergeCell ref="BI18:BI19"/>
    <mergeCell ref="BJ18:BJ19"/>
    <mergeCell ref="BA18:BA19"/>
    <mergeCell ref="BB18:BB19"/>
    <mergeCell ref="BC18:BC19"/>
    <mergeCell ref="BD18:BD19"/>
    <mergeCell ref="BE18:BE19"/>
    <mergeCell ref="AT18:AT19"/>
    <mergeCell ref="AU18:AU19"/>
    <mergeCell ref="AV18:AV19"/>
    <mergeCell ref="AY18:AY19"/>
    <mergeCell ref="AZ18:AZ19"/>
    <mergeCell ref="BH16:BH17"/>
    <mergeCell ref="BI20:BI21"/>
    <mergeCell ref="BJ20:BJ21"/>
    <mergeCell ref="BG16:BG17"/>
    <mergeCell ref="BG18:BG19"/>
    <mergeCell ref="AF76:AG77"/>
    <mergeCell ref="AH76:AJ77"/>
    <mergeCell ref="AK76:AM77"/>
    <mergeCell ref="AN76:AQ77"/>
    <mergeCell ref="AH74:AJ75"/>
    <mergeCell ref="AK74:AM75"/>
    <mergeCell ref="AN74:AQ75"/>
    <mergeCell ref="AH72:AJ73"/>
    <mergeCell ref="AK64:AM65"/>
    <mergeCell ref="AN64:AQ65"/>
    <mergeCell ref="AN62:AQ63"/>
    <mergeCell ref="AF60:AG61"/>
    <mergeCell ref="AH60:AJ61"/>
    <mergeCell ref="AK60:AM61"/>
    <mergeCell ref="AN60:AQ61"/>
    <mergeCell ref="AH58:AJ59"/>
    <mergeCell ref="AK58:AM59"/>
    <mergeCell ref="AN58:AQ59"/>
    <mergeCell ref="AH56:AJ57"/>
    <mergeCell ref="AF72:AG73"/>
    <mergeCell ref="AH66:AJ67"/>
    <mergeCell ref="AK66:AM67"/>
    <mergeCell ref="AN66:AQ67"/>
    <mergeCell ref="AF64:AG65"/>
    <mergeCell ref="AH64:AJ65"/>
    <mergeCell ref="AF58:AG59"/>
    <mergeCell ref="AH50:AJ51"/>
    <mergeCell ref="AK50:AM51"/>
    <mergeCell ref="AN50:AQ51"/>
    <mergeCell ref="AK48:AM49"/>
    <mergeCell ref="B76:B77"/>
    <mergeCell ref="C76:D77"/>
    <mergeCell ref="E76:F77"/>
    <mergeCell ref="G76:J77"/>
    <mergeCell ref="K76:L77"/>
    <mergeCell ref="M76:N77"/>
    <mergeCell ref="O76:P77"/>
    <mergeCell ref="Q76:R77"/>
    <mergeCell ref="S76:V77"/>
    <mergeCell ref="W76:Y77"/>
    <mergeCell ref="Z76:AA77"/>
    <mergeCell ref="AB76:AC77"/>
    <mergeCell ref="AD76:AE77"/>
    <mergeCell ref="AK72:AM73"/>
    <mergeCell ref="AN72:AQ73"/>
    <mergeCell ref="B74:B75"/>
    <mergeCell ref="C74:D75"/>
    <mergeCell ref="E74:F75"/>
    <mergeCell ref="G74:J75"/>
    <mergeCell ref="K74:L75"/>
    <mergeCell ref="M74:N75"/>
    <mergeCell ref="O74:P75"/>
    <mergeCell ref="Q74:R75"/>
    <mergeCell ref="S74:V75"/>
    <mergeCell ref="W74:Y75"/>
    <mergeCell ref="Z74:AA75"/>
    <mergeCell ref="AB74:AC75"/>
    <mergeCell ref="AD74:AE75"/>
    <mergeCell ref="AF74:AG75"/>
    <mergeCell ref="Z72:AA73"/>
    <mergeCell ref="AB72:AC73"/>
    <mergeCell ref="AD72:AE73"/>
    <mergeCell ref="AN70:AQ71"/>
    <mergeCell ref="AF68:AG69"/>
    <mergeCell ref="AH68:AJ69"/>
    <mergeCell ref="AK68:AM69"/>
    <mergeCell ref="AN68:AQ69"/>
    <mergeCell ref="AD70:AE71"/>
    <mergeCell ref="AF70:AG71"/>
    <mergeCell ref="AH70:AJ71"/>
    <mergeCell ref="AK70:AM71"/>
    <mergeCell ref="S68:V69"/>
    <mergeCell ref="W68:Y69"/>
    <mergeCell ref="Z68:AA69"/>
    <mergeCell ref="AB68:AC69"/>
    <mergeCell ref="AD68:AE69"/>
    <mergeCell ref="B70:B71"/>
    <mergeCell ref="C70:D71"/>
    <mergeCell ref="E70:F71"/>
    <mergeCell ref="G70:J71"/>
    <mergeCell ref="K70:L71"/>
    <mergeCell ref="M70:N71"/>
    <mergeCell ref="O70:P71"/>
    <mergeCell ref="Q70:R71"/>
    <mergeCell ref="S70:V71"/>
    <mergeCell ref="W70:Y71"/>
    <mergeCell ref="Z70:AA71"/>
    <mergeCell ref="AB70:AC71"/>
    <mergeCell ref="B68:B69"/>
    <mergeCell ref="M66:N67"/>
    <mergeCell ref="O66:P67"/>
    <mergeCell ref="M72:N73"/>
    <mergeCell ref="O72:P73"/>
    <mergeCell ref="Q72:R73"/>
    <mergeCell ref="S72:V73"/>
    <mergeCell ref="W72:Y73"/>
    <mergeCell ref="B72:B73"/>
    <mergeCell ref="C72:D73"/>
    <mergeCell ref="E72:F73"/>
    <mergeCell ref="G72:J73"/>
    <mergeCell ref="K72:L73"/>
    <mergeCell ref="C68:D69"/>
    <mergeCell ref="E68:F69"/>
    <mergeCell ref="G68:J69"/>
    <mergeCell ref="K68:L69"/>
    <mergeCell ref="M68:N69"/>
    <mergeCell ref="O68:P69"/>
    <mergeCell ref="Q68:R69"/>
    <mergeCell ref="B66:B67"/>
    <mergeCell ref="C66:D67"/>
    <mergeCell ref="E66:F67"/>
    <mergeCell ref="G66:J67"/>
    <mergeCell ref="K66:L67"/>
    <mergeCell ref="Q66:R67"/>
    <mergeCell ref="S66:V67"/>
    <mergeCell ref="W66:Y67"/>
    <mergeCell ref="Z66:AA67"/>
    <mergeCell ref="AB66:AC67"/>
    <mergeCell ref="AD66:AE67"/>
    <mergeCell ref="AF66:AG67"/>
    <mergeCell ref="AD60:AE61"/>
    <mergeCell ref="B58:B59"/>
    <mergeCell ref="C58:D59"/>
    <mergeCell ref="E58:F59"/>
    <mergeCell ref="G58:J59"/>
    <mergeCell ref="K58:L59"/>
    <mergeCell ref="M58:N59"/>
    <mergeCell ref="O58:P59"/>
    <mergeCell ref="Q58:R59"/>
    <mergeCell ref="S58:V59"/>
    <mergeCell ref="W58:Y59"/>
    <mergeCell ref="AD62:AE63"/>
    <mergeCell ref="AF62:AG63"/>
    <mergeCell ref="B64:B65"/>
    <mergeCell ref="C64:D65"/>
    <mergeCell ref="E64:F65"/>
    <mergeCell ref="G64:J65"/>
    <mergeCell ref="K64:L65"/>
    <mergeCell ref="Z64:AA65"/>
    <mergeCell ref="AB64:AC65"/>
    <mergeCell ref="AD64:AE65"/>
    <mergeCell ref="M64:N65"/>
    <mergeCell ref="O64:P65"/>
    <mergeCell ref="Q64:R65"/>
    <mergeCell ref="S64:V65"/>
    <mergeCell ref="AH62:AJ63"/>
    <mergeCell ref="AK62:AM63"/>
    <mergeCell ref="B62:B63"/>
    <mergeCell ref="C62:D63"/>
    <mergeCell ref="E62:F63"/>
    <mergeCell ref="G62:J63"/>
    <mergeCell ref="K62:L63"/>
    <mergeCell ref="M62:N63"/>
    <mergeCell ref="O62:P63"/>
    <mergeCell ref="Q62:R63"/>
    <mergeCell ref="S62:V63"/>
    <mergeCell ref="W62:Y63"/>
    <mergeCell ref="Z62:AA63"/>
    <mergeCell ref="AB62:AC63"/>
    <mergeCell ref="B60:B61"/>
    <mergeCell ref="C60:D61"/>
    <mergeCell ref="E60:F61"/>
    <mergeCell ref="G60:J61"/>
    <mergeCell ref="K60:L61"/>
    <mergeCell ref="M60:N61"/>
    <mergeCell ref="O60:P61"/>
    <mergeCell ref="Q60:R61"/>
    <mergeCell ref="S60:V61"/>
    <mergeCell ref="W60:Y61"/>
    <mergeCell ref="Z60:AA61"/>
    <mergeCell ref="AB60:AC61"/>
    <mergeCell ref="W64:Y65"/>
    <mergeCell ref="Z58:AA59"/>
    <mergeCell ref="AB58:AC59"/>
    <mergeCell ref="AD58:AE59"/>
    <mergeCell ref="AF52:AG53"/>
    <mergeCell ref="B52:B53"/>
    <mergeCell ref="C52:D53"/>
    <mergeCell ref="E52:F53"/>
    <mergeCell ref="G52:J53"/>
    <mergeCell ref="K52:L53"/>
    <mergeCell ref="AB52:AC53"/>
    <mergeCell ref="AD52:AE53"/>
    <mergeCell ref="B54:B55"/>
    <mergeCell ref="C54:D55"/>
    <mergeCell ref="E54:F55"/>
    <mergeCell ref="G54:J55"/>
    <mergeCell ref="K54:L55"/>
    <mergeCell ref="B56:B57"/>
    <mergeCell ref="C56:D57"/>
    <mergeCell ref="E56:F57"/>
    <mergeCell ref="AH52:AJ53"/>
    <mergeCell ref="AK52:AM53"/>
    <mergeCell ref="AN52:AQ53"/>
    <mergeCell ref="M56:N57"/>
    <mergeCell ref="O56:P57"/>
    <mergeCell ref="Q56:R57"/>
    <mergeCell ref="S56:V57"/>
    <mergeCell ref="W56:Y57"/>
    <mergeCell ref="AK56:AM57"/>
    <mergeCell ref="AN56:AQ57"/>
    <mergeCell ref="M54:N55"/>
    <mergeCell ref="O54:P55"/>
    <mergeCell ref="Q54:R55"/>
    <mergeCell ref="S54:V55"/>
    <mergeCell ref="AD54:AE55"/>
    <mergeCell ref="AF54:AG55"/>
    <mergeCell ref="AH54:AJ55"/>
    <mergeCell ref="AK54:AM55"/>
    <mergeCell ref="AN54:AQ55"/>
    <mergeCell ref="W54:Y55"/>
    <mergeCell ref="Z54:AA55"/>
    <mergeCell ref="AB54:AC55"/>
    <mergeCell ref="Z56:AA57"/>
    <mergeCell ref="AB56:AC57"/>
    <mergeCell ref="AD56:AE57"/>
    <mergeCell ref="AF56:AG57"/>
    <mergeCell ref="M52:N53"/>
    <mergeCell ref="O52:P53"/>
    <mergeCell ref="Q52:R53"/>
    <mergeCell ref="S52:V53"/>
    <mergeCell ref="W52:Y53"/>
    <mergeCell ref="Z52:AA53"/>
    <mergeCell ref="G56:J57"/>
    <mergeCell ref="K56:L57"/>
    <mergeCell ref="AN48:AQ49"/>
    <mergeCell ref="B50:B51"/>
    <mergeCell ref="C50:D51"/>
    <mergeCell ref="E50:F51"/>
    <mergeCell ref="G50:J51"/>
    <mergeCell ref="K50:L51"/>
    <mergeCell ref="M50:N51"/>
    <mergeCell ref="O50:P51"/>
    <mergeCell ref="Q50:R51"/>
    <mergeCell ref="S50:V51"/>
    <mergeCell ref="W50:Y51"/>
    <mergeCell ref="Z50:AA51"/>
    <mergeCell ref="AB50:AC51"/>
    <mergeCell ref="AD50:AE51"/>
    <mergeCell ref="AF50:AG51"/>
    <mergeCell ref="Z48:AA49"/>
    <mergeCell ref="AB48:AC49"/>
    <mergeCell ref="AD48:AE49"/>
    <mergeCell ref="AF48:AG49"/>
    <mergeCell ref="AH48:AJ49"/>
    <mergeCell ref="M48:N49"/>
    <mergeCell ref="O48:P49"/>
    <mergeCell ref="Q48:R49"/>
    <mergeCell ref="S48:V49"/>
    <mergeCell ref="W48:Y49"/>
    <mergeCell ref="B48:B49"/>
    <mergeCell ref="C48:D49"/>
    <mergeCell ref="E48:F49"/>
    <mergeCell ref="G48:J49"/>
    <mergeCell ref="K48:L49"/>
    <mergeCell ref="AB46:AC47"/>
    <mergeCell ref="AH46:AJ47"/>
    <mergeCell ref="C46:D47"/>
    <mergeCell ref="E46:F47"/>
    <mergeCell ref="G46:J47"/>
    <mergeCell ref="K46:L47"/>
    <mergeCell ref="M46:N47"/>
    <mergeCell ref="AN44:AQ45"/>
    <mergeCell ref="AD44:AE45"/>
    <mergeCell ref="AF44:AG45"/>
    <mergeCell ref="O44:P45"/>
    <mergeCell ref="Q44:R45"/>
    <mergeCell ref="S44:V45"/>
    <mergeCell ref="W44:Y45"/>
    <mergeCell ref="Z44:AA45"/>
    <mergeCell ref="AK46:AM47"/>
    <mergeCell ref="AN46:AQ47"/>
    <mergeCell ref="AD46:AE47"/>
    <mergeCell ref="AF46:AG47"/>
    <mergeCell ref="O46:P47"/>
    <mergeCell ref="Q46:R47"/>
    <mergeCell ref="S46:V47"/>
    <mergeCell ref="W46:Y47"/>
    <mergeCell ref="Z46:AA47"/>
    <mergeCell ref="C44:D45"/>
    <mergeCell ref="E44:F45"/>
    <mergeCell ref="G44:J45"/>
    <mergeCell ref="K44:L45"/>
    <mergeCell ref="M44:N45"/>
    <mergeCell ref="AB42:AC43"/>
    <mergeCell ref="AH42:AJ43"/>
    <mergeCell ref="AK42:AM43"/>
    <mergeCell ref="AN42:AQ43"/>
    <mergeCell ref="AD42:AE43"/>
    <mergeCell ref="AF42:AG43"/>
    <mergeCell ref="O42:P43"/>
    <mergeCell ref="Q42:R43"/>
    <mergeCell ref="S42:V43"/>
    <mergeCell ref="W42:Y43"/>
    <mergeCell ref="Z42:AA43"/>
    <mergeCell ref="C42:D43"/>
    <mergeCell ref="E42:F43"/>
    <mergeCell ref="G42:J43"/>
    <mergeCell ref="K42:L43"/>
    <mergeCell ref="M42:N43"/>
    <mergeCell ref="AB44:AC45"/>
    <mergeCell ref="AH44:AJ45"/>
    <mergeCell ref="AK44:AM45"/>
    <mergeCell ref="K38:L39"/>
    <mergeCell ref="M38:N39"/>
    <mergeCell ref="AB40:AC41"/>
    <mergeCell ref="AH40:AJ41"/>
    <mergeCell ref="AK40:AM41"/>
    <mergeCell ref="AN40:AQ41"/>
    <mergeCell ref="AD40:AE41"/>
    <mergeCell ref="AF40:AG41"/>
    <mergeCell ref="O40:P41"/>
    <mergeCell ref="Q40:R41"/>
    <mergeCell ref="S40:V41"/>
    <mergeCell ref="W40:Y41"/>
    <mergeCell ref="Z40:AA41"/>
    <mergeCell ref="K40:L41"/>
    <mergeCell ref="M40:N41"/>
    <mergeCell ref="AB38:AC39"/>
    <mergeCell ref="AH38:AJ39"/>
    <mergeCell ref="AK38:AM39"/>
    <mergeCell ref="AN38:AQ39"/>
    <mergeCell ref="AD38:AE39"/>
    <mergeCell ref="AF38:AG39"/>
    <mergeCell ref="O38:P39"/>
    <mergeCell ref="Q38:R39"/>
    <mergeCell ref="S38:V39"/>
    <mergeCell ref="W38:Y39"/>
    <mergeCell ref="Z38:AA39"/>
    <mergeCell ref="AH36:AJ37"/>
    <mergeCell ref="AK36:AM37"/>
    <mergeCell ref="AN36:AQ37"/>
    <mergeCell ref="AD36:AE37"/>
    <mergeCell ref="AF36:AG37"/>
    <mergeCell ref="O36:P37"/>
    <mergeCell ref="Q36:R37"/>
    <mergeCell ref="S36:V37"/>
    <mergeCell ref="W36:Y37"/>
    <mergeCell ref="Z36:AA37"/>
    <mergeCell ref="AH34:AJ35"/>
    <mergeCell ref="AK34:AM35"/>
    <mergeCell ref="AN34:AQ35"/>
    <mergeCell ref="AD34:AE35"/>
    <mergeCell ref="AF34:AG35"/>
    <mergeCell ref="O34:P35"/>
    <mergeCell ref="Q34:R35"/>
    <mergeCell ref="S34:V35"/>
    <mergeCell ref="W34:Y35"/>
    <mergeCell ref="Z34:AA35"/>
    <mergeCell ref="AB32:AC33"/>
    <mergeCell ref="AH32:AJ33"/>
    <mergeCell ref="AK32:AM33"/>
    <mergeCell ref="AN32:AQ33"/>
    <mergeCell ref="AD32:AE33"/>
    <mergeCell ref="AF32:AG33"/>
    <mergeCell ref="O32:P33"/>
    <mergeCell ref="Q32:R33"/>
    <mergeCell ref="S32:V33"/>
    <mergeCell ref="W32:Y33"/>
    <mergeCell ref="Z32:AA33"/>
    <mergeCell ref="AN28:AQ29"/>
    <mergeCell ref="AD28:AE29"/>
    <mergeCell ref="AF28:AG29"/>
    <mergeCell ref="O28:P29"/>
    <mergeCell ref="Q28:R29"/>
    <mergeCell ref="S28:V29"/>
    <mergeCell ref="W28:Y29"/>
    <mergeCell ref="Z28:AA29"/>
    <mergeCell ref="AB30:AC31"/>
    <mergeCell ref="AH30:AJ31"/>
    <mergeCell ref="AK30:AM31"/>
    <mergeCell ref="AD26:AE27"/>
    <mergeCell ref="AF26:AG27"/>
    <mergeCell ref="O26:P27"/>
    <mergeCell ref="Q26:R27"/>
    <mergeCell ref="S26:V27"/>
    <mergeCell ref="W26:Y27"/>
    <mergeCell ref="Z26:AA27"/>
    <mergeCell ref="C26:D27"/>
    <mergeCell ref="E26:F27"/>
    <mergeCell ref="G26:J27"/>
    <mergeCell ref="K26:L27"/>
    <mergeCell ref="M26:N27"/>
    <mergeCell ref="AB28:AC29"/>
    <mergeCell ref="AH28:AJ29"/>
    <mergeCell ref="AK28:AM29"/>
    <mergeCell ref="C30:D31"/>
    <mergeCell ref="E30:F31"/>
    <mergeCell ref="G30:J31"/>
    <mergeCell ref="K30:L31"/>
    <mergeCell ref="M30:N31"/>
    <mergeCell ref="AF22:AG23"/>
    <mergeCell ref="O22:P23"/>
    <mergeCell ref="Q22:R23"/>
    <mergeCell ref="S22:V23"/>
    <mergeCell ref="W22:Y23"/>
    <mergeCell ref="Z22:AA23"/>
    <mergeCell ref="AN22:AQ23"/>
    <mergeCell ref="C24:D25"/>
    <mergeCell ref="E24:F25"/>
    <mergeCell ref="G24:J25"/>
    <mergeCell ref="K24:L25"/>
    <mergeCell ref="M24:N25"/>
    <mergeCell ref="AB22:AC23"/>
    <mergeCell ref="AH22:AJ23"/>
    <mergeCell ref="AK22:AM23"/>
    <mergeCell ref="AN30:AQ31"/>
    <mergeCell ref="AD30:AE31"/>
    <mergeCell ref="AF30:AG31"/>
    <mergeCell ref="O30:P31"/>
    <mergeCell ref="Q30:R31"/>
    <mergeCell ref="S30:V31"/>
    <mergeCell ref="W30:Y31"/>
    <mergeCell ref="Z30:AA31"/>
    <mergeCell ref="C28:D29"/>
    <mergeCell ref="E28:F29"/>
    <mergeCell ref="G28:J29"/>
    <mergeCell ref="K28:L29"/>
    <mergeCell ref="M28:N29"/>
    <mergeCell ref="AB26:AC27"/>
    <mergeCell ref="AH26:AJ27"/>
    <mergeCell ref="AK26:AM27"/>
    <mergeCell ref="AN26:AQ27"/>
    <mergeCell ref="E22:F23"/>
    <mergeCell ref="G22:J23"/>
    <mergeCell ref="K22:L23"/>
    <mergeCell ref="M22:N23"/>
    <mergeCell ref="AK18:AM19"/>
    <mergeCell ref="C13:P13"/>
    <mergeCell ref="AF18:AG19"/>
    <mergeCell ref="X9:AA11"/>
    <mergeCell ref="AB9:AE11"/>
    <mergeCell ref="AF9:AI11"/>
    <mergeCell ref="AJ9:AM11"/>
    <mergeCell ref="C22:D23"/>
    <mergeCell ref="AB24:AC25"/>
    <mergeCell ref="AH24:AJ25"/>
    <mergeCell ref="AK24:AM25"/>
    <mergeCell ref="AN24:AQ25"/>
    <mergeCell ref="AD24:AE25"/>
    <mergeCell ref="AF24:AG25"/>
    <mergeCell ref="O24:P25"/>
    <mergeCell ref="Q24:R25"/>
    <mergeCell ref="S24:V25"/>
    <mergeCell ref="W24:Y25"/>
    <mergeCell ref="Z24:AA25"/>
    <mergeCell ref="AN20:AQ21"/>
    <mergeCell ref="AD20:AE21"/>
    <mergeCell ref="AF20:AG21"/>
    <mergeCell ref="O20:P21"/>
    <mergeCell ref="Q20:R21"/>
    <mergeCell ref="S20:V21"/>
    <mergeCell ref="W20:Y21"/>
    <mergeCell ref="Z20:AA21"/>
    <mergeCell ref="AD22:AE23"/>
    <mergeCell ref="L9:O11"/>
    <mergeCell ref="P9:S11"/>
    <mergeCell ref="T9:W11"/>
    <mergeCell ref="O18:P19"/>
    <mergeCell ref="Q18:R19"/>
    <mergeCell ref="S18:V19"/>
    <mergeCell ref="W18:Y19"/>
    <mergeCell ref="Z18:AA19"/>
    <mergeCell ref="C18:D19"/>
    <mergeCell ref="E18:F19"/>
    <mergeCell ref="G18:J19"/>
    <mergeCell ref="K18:L19"/>
    <mergeCell ref="M18:N19"/>
    <mergeCell ref="AB20:AC21"/>
    <mergeCell ref="AH20:AJ21"/>
    <mergeCell ref="AK20:AM21"/>
    <mergeCell ref="AH18:AJ19"/>
    <mergeCell ref="B30:B31"/>
    <mergeCell ref="AP1:AS3"/>
    <mergeCell ref="BI16:BI17"/>
    <mergeCell ref="BJ16:BJ17"/>
    <mergeCell ref="G16:J17"/>
    <mergeCell ref="M16:N17"/>
    <mergeCell ref="O16:P17"/>
    <mergeCell ref="Q16:R17"/>
    <mergeCell ref="S16:V17"/>
    <mergeCell ref="W16:Y17"/>
    <mergeCell ref="Z16:AA17"/>
    <mergeCell ref="AB16:AC17"/>
    <mergeCell ref="AD16:AG16"/>
    <mergeCell ref="AD17:AE17"/>
    <mergeCell ref="F1:I3"/>
    <mergeCell ref="J1:M3"/>
    <mergeCell ref="AH1:AK3"/>
    <mergeCell ref="AL1:AO3"/>
    <mergeCell ref="R14:U14"/>
    <mergeCell ref="V14:Y14"/>
    <mergeCell ref="Z14:AC14"/>
    <mergeCell ref="R12:U13"/>
    <mergeCell ref="V12:Y13"/>
    <mergeCell ref="Z12:AC13"/>
    <mergeCell ref="E16:F17"/>
    <mergeCell ref="AH16:AJ17"/>
    <mergeCell ref="K16:L17"/>
    <mergeCell ref="A4:E6"/>
    <mergeCell ref="A7:E8"/>
    <mergeCell ref="H9:K11"/>
    <mergeCell ref="AN18:AQ19"/>
    <mergeCell ref="AD18:AE19"/>
    <mergeCell ref="M200:AG201"/>
    <mergeCell ref="B46:B47"/>
    <mergeCell ref="B44:B45"/>
    <mergeCell ref="B42:B43"/>
    <mergeCell ref="B40:B41"/>
    <mergeCell ref="B38:B39"/>
    <mergeCell ref="B36:B37"/>
    <mergeCell ref="B34:B35"/>
    <mergeCell ref="B32:B33"/>
    <mergeCell ref="C36:D37"/>
    <mergeCell ref="E36:F37"/>
    <mergeCell ref="G36:J37"/>
    <mergeCell ref="K36:L37"/>
    <mergeCell ref="M36:N37"/>
    <mergeCell ref="AB34:AC35"/>
    <mergeCell ref="C34:D35"/>
    <mergeCell ref="E34:F35"/>
    <mergeCell ref="G34:J35"/>
    <mergeCell ref="K34:L35"/>
    <mergeCell ref="M34:N35"/>
    <mergeCell ref="AB36:AC37"/>
    <mergeCell ref="C40:D41"/>
    <mergeCell ref="E40:F41"/>
    <mergeCell ref="G40:J41"/>
    <mergeCell ref="C32:D33"/>
    <mergeCell ref="E32:F33"/>
    <mergeCell ref="G32:J33"/>
    <mergeCell ref="K32:L33"/>
    <mergeCell ref="M32:N33"/>
    <mergeCell ref="C38:D39"/>
    <mergeCell ref="E38:F39"/>
    <mergeCell ref="G38:J39"/>
    <mergeCell ref="O1:AE3"/>
    <mergeCell ref="AW200:AW201"/>
    <mergeCell ref="AX200:AX201"/>
    <mergeCell ref="BA200:BA201"/>
    <mergeCell ref="B28:B29"/>
    <mergeCell ref="B26:B27"/>
    <mergeCell ref="B24:B25"/>
    <mergeCell ref="B22:B23"/>
    <mergeCell ref="BB16:BB17"/>
    <mergeCell ref="BD16:BD17"/>
    <mergeCell ref="BE16:BE17"/>
    <mergeCell ref="BF16:BF17"/>
    <mergeCell ref="AI13:AQ13"/>
    <mergeCell ref="B20:B21"/>
    <mergeCell ref="B18:B19"/>
    <mergeCell ref="AY16:AY17"/>
    <mergeCell ref="AZ16:AZ17"/>
    <mergeCell ref="BC16:BC17"/>
    <mergeCell ref="AU16:AU17"/>
    <mergeCell ref="AV16:AV17"/>
    <mergeCell ref="BA16:BA17"/>
    <mergeCell ref="AK16:AM17"/>
    <mergeCell ref="AN16:AQ17"/>
    <mergeCell ref="AT16:AT17"/>
    <mergeCell ref="AF17:AG17"/>
    <mergeCell ref="C16:D17"/>
    <mergeCell ref="C20:D21"/>
    <mergeCell ref="E20:F21"/>
    <mergeCell ref="G20:J21"/>
    <mergeCell ref="K20:L21"/>
    <mergeCell ref="M20:N21"/>
    <mergeCell ref="AB18:AC19"/>
  </mergeCells>
  <conditionalFormatting sqref="E26:AG77 G24:AG25 G20:AG21 E20:F25 E18:AG19">
    <cfRule type="expression" dxfId="88" priority="11">
      <formula>AND(ISBLANK($C18)=FALSE,OR(ISBLANK(E18)=TRUE,E18=""))</formula>
    </cfRule>
  </conditionalFormatting>
  <conditionalFormatting sqref="AN18:AQ77">
    <cfRule type="expression" dxfId="87" priority="7">
      <formula>ISNUMBER($AN18)=FALSE</formula>
    </cfRule>
  </conditionalFormatting>
  <conditionalFormatting sqref="AO8:AS8">
    <cfRule type="expression" dxfId="86" priority="6">
      <formula>IF($AO$8=PROJSTATMEASURE,FALSE,TRUE)</formula>
    </cfRule>
  </conditionalFormatting>
  <conditionalFormatting sqref="G22:AG23">
    <cfRule type="expression" dxfId="85" priority="5">
      <formula>AND(ISBLANK($C22)=FALSE,OR(ISBLANK(G22)=TRUE,G22=""))</formula>
    </cfRule>
  </conditionalFormatting>
  <conditionalFormatting sqref="O18:P77">
    <cfRule type="expression" dxfId="84" priority="1">
      <formula>IF($O18&lt;&gt;INDEX(CMELIGHTBASEW,MATCH(G18,CMELIGHTBASE1,0)),TRUE,FALSE)</formula>
    </cfRule>
  </conditionalFormatting>
  <dataValidations xWindow="500" yWindow="589" count="10">
    <dataValidation type="decimal" allowBlank="1" showInputMessage="1" showErrorMessage="1" prompt="This is the TOTAL Material Cost of the measure, NOT a per unit basis." sqref="AD18:AE77" xr:uid="{CE83EFE3-4D4C-4561-A15B-29D7FF850794}">
      <formula1>0</formula1>
      <formula2>999999999</formula2>
    </dataValidation>
    <dataValidation type="decimal" allowBlank="1" showInputMessage="1" showErrorMessage="1" prompt="This is the TOTAL Labor Cost of the measure, NOT a per unit basis." sqref="AF18:AG77" xr:uid="{1169B241-57CD-4FA4-9C70-1BF6E0598EC6}">
      <formula1>0</formula1>
      <formula2>999999999</formula2>
    </dataValidation>
    <dataValidation type="list" allowBlank="1" showInputMessage="1" sqref="AZ18:AZ77" xr:uid="{235BFD4F-3DB0-4D79-96F5-B06EF3BC04B0}">
      <formula1>ENDUSECAT</formula1>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list" allowBlank="1" showInputMessage="1" showErrorMessage="1" sqref="S18:V77" xr:uid="{C1CB6AD5-D357-4620-9001-3C7E4E7AA400}">
      <formula1>CMELIGHTEFF1</formula1>
    </dataValidation>
    <dataValidation type="decimal" allowBlank="1" showInputMessage="1" showErrorMessage="1" sqref="M18:N77 Z18:AA77" xr:uid="{AB3841D7-CF13-49C4-BDE1-E887D7777A49}">
      <formula1>0</formula1>
      <formula2>999999</formula2>
    </dataValidation>
    <dataValidation type="whole" operator="lessThanOrEqual" allowBlank="1" showInputMessage="1" showErrorMessage="1" prompt="Enter annual operating hours for lamp/fixture._x000a_(Ex: 8 hours/day * 5 days/week * 52 weeks/year = 2080 hours/year)" sqref="Q18:R77" xr:uid="{84800BE9-AB21-44D6-A700-CF6A3B8264E7}">
      <formula1>8760</formula1>
    </dataValidation>
    <dataValidation type="decimal" operator="greaterThanOrEqual" allowBlank="1" showInputMessage="1" showErrorMessage="1" sqref="AB18:AC77 O18:P77" xr:uid="{33FCBBF7-0350-44CA-A249-5DC9AEFD37AF}">
      <formula1>0</formula1>
    </dataValidation>
    <dataValidation allowBlank="1" showInputMessage="1" showErrorMessage="1" prompt="Install Location should describe the area where the lighting was installed. (Ex: Room 2b)" sqref="C18:D77" xr:uid="{D0D6F855-E328-4F50-BE25-5E8CE3A34F8A}"/>
  </dataValidations>
  <hyperlinks>
    <hyperlink ref="H9:K11" location="'M03-S02'!C18" tooltip="Lighting" display="'M03-S02'!C18" xr:uid="{97FCFE0F-213C-447A-9C62-628A930BC349}"/>
    <hyperlink ref="L9:O11" location="'M03-S03'!C18" tooltip="Lighting Controls" display="'M03-S03'!C18" xr:uid="{6B5208F2-03CC-4A25-A7F4-44853BF9BAE6}"/>
    <hyperlink ref="P9:S11" location="'M03-S04'!C18" tooltip="Refrigeration" display="'M03-S04'!C18" xr:uid="{972ACDEF-B9D7-4A86-84F3-81428AFFC1D3}"/>
    <hyperlink ref="T9:W11" location="'M03-S05'!C18" tooltip="HVAC" display="'M03-S05'!C18" xr:uid="{CD0B0B93-9715-430F-8E8C-D8D01C41D1DE}"/>
    <hyperlink ref="AB9:AE11" location="'M03-S06'!C18" tooltip="Compressed Air / Process" display="'M03-S06'!C18" xr:uid="{258422E5-B50F-4722-8693-7CFC876BA6EC}"/>
    <hyperlink ref="AF9:AI11" location="'M03-S07'!C18" tooltip="Water Heating / Cooking" display="'M03-S07'!C18" xr:uid="{9C1649F1-A745-496D-B1A8-25CEF8ED2F2D}"/>
    <hyperlink ref="X9:AA11" location="'M03-S08'!C18" tooltip="Motors and Drives" display="'M03-S08'!C18" xr:uid="{AD343F28-8F5F-449E-9CD2-89926D65E94C}"/>
    <hyperlink ref="AJ9:AM11" location="'M04-S09'!C18" tooltip="Miscellaneous" display="'M04-S09'!C18" xr:uid="{1C80A8BC-DBC0-4158-BAD3-1D56BED907BC}"/>
    <hyperlink ref="J1:M3" location="'M01-S02'!J1" tooltip="Instructions" display="'M01-S02'!J1" xr:uid="{DA5D03AD-6118-48D1-B697-C7A77E00C3BC}"/>
    <hyperlink ref="AL1:AO3" location="'M05-S05'!AL1" tooltip=" " display="'M05-S05'!AL1" xr:uid="{D5F0113D-8C78-4A77-A4D5-C4A9FD928A99}"/>
    <hyperlink ref="AH1:AK3" location="'M05-S04'!AH1" tooltip=" " display="'M05-S04'!AH1" xr:uid="{BDD5583C-08F6-45EE-9A23-8CCF89F65693}"/>
    <hyperlink ref="AP1:AS3" location="'M01-S03'!AP1" tooltip="Contact" display="'M01-S03'!AP1" xr:uid="{B2D8AB1C-79FA-4998-8446-EDF68EA138C9}"/>
    <hyperlink ref="B202" r:id="rId1" xr:uid="{F18C8A1F-AB9C-4F78-9874-84DF3C7B7E2C}"/>
  </hyperlinks>
  <printOptions horizontalCentered="1"/>
  <pageMargins left="0.25" right="0.25" top="0.25" bottom="0.25" header="0.25" footer="0.25"/>
  <pageSetup scale="46"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pageSetUpPr fitToPage="1"/>
  </sheetPr>
  <dimension ref="A1:BL204"/>
  <sheetViews>
    <sheetView showGridLines="0" showRowColHeaders="0" zoomScale="85" zoomScaleNormal="85" workbookViewId="0">
      <selection activeCell="C18" sqref="C18:L19"/>
    </sheetView>
  </sheetViews>
  <sheetFormatPr defaultColWidth="0" defaultRowHeight="15" customHeight="1" zeroHeight="1"/>
  <cols>
    <col min="1" max="45" width="4.7109375" style="180" customWidth="1"/>
    <col min="46" max="47" width="9.42578125" style="180" hidden="1" customWidth="1"/>
    <col min="48" max="48" width="15.7109375" style="180" hidden="1" customWidth="1"/>
    <col min="49" max="63" width="9.42578125" style="180" hidden="1" customWidth="1"/>
    <col min="64" max="64" width="11.5703125" style="180" hidden="1" customWidth="1"/>
    <col min="65" max="71" width="4.7109375" style="180" hidden="1" customWidth="1"/>
    <col min="72" max="16384" width="4.7109375" style="180" hidden="1"/>
  </cols>
  <sheetData>
    <row r="1" spans="1:64" customFormat="1"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row>
    <row r="5" spans="1:64" ht="15.95" customHeight="1">
      <c r="A5" s="1046"/>
      <c r="B5" s="1046"/>
      <c r="C5" s="1046"/>
      <c r="D5" s="1046"/>
      <c r="E5" s="1046"/>
      <c r="AO5" s="1117">
        <f ca="1">PROGRESSSTATUS</f>
        <v>0</v>
      </c>
      <c r="AP5" s="1117"/>
      <c r="AQ5" s="1117"/>
      <c r="AR5" s="1117"/>
      <c r="AS5" s="1117"/>
      <c r="AT5" s="40"/>
      <c r="AU5" s="194" t="s">
        <v>1438</v>
      </c>
      <c r="AV5" s="194" t="s">
        <v>336</v>
      </c>
      <c r="AW5" s="197"/>
      <c r="AX5" s="197"/>
    </row>
    <row r="6" spans="1:64" ht="15.95" customHeight="1">
      <c r="A6" s="1046"/>
      <c r="B6" s="1046"/>
      <c r="C6" s="1046"/>
      <c r="D6" s="1046"/>
      <c r="E6" s="1046"/>
      <c r="AO6" s="1117"/>
      <c r="AP6" s="1117"/>
      <c r="AQ6" s="1117"/>
      <c r="AR6" s="1117"/>
      <c r="AS6" s="1117"/>
      <c r="AT6" s="193" t="s">
        <v>1443</v>
      </c>
      <c r="AU6" s="192" t="str">
        <f>CBPRESE</f>
        <v>NA</v>
      </c>
      <c r="AV6" s="286" t="str">
        <f>PAYPRESE</f>
        <v>NA</v>
      </c>
      <c r="AW6" s="197"/>
      <c r="AX6" s="197"/>
    </row>
    <row r="7" spans="1:64" ht="15.95" customHeight="1">
      <c r="A7" s="725" t="s">
        <v>83</v>
      </c>
      <c r="B7" s="725"/>
      <c r="C7" s="725"/>
      <c r="D7" s="725"/>
      <c r="E7" s="725"/>
      <c r="AO7" s="725" t="s">
        <v>309</v>
      </c>
      <c r="AP7" s="725"/>
      <c r="AQ7" s="725"/>
      <c r="AR7" s="725"/>
      <c r="AS7" s="725"/>
      <c r="AT7" s="193" t="s">
        <v>144</v>
      </c>
      <c r="AU7" s="192" t="str">
        <f>CBCUSE</f>
        <v>NA</v>
      </c>
      <c r="AV7" s="286" t="str">
        <f>PAYCUSE</f>
        <v>NA</v>
      </c>
      <c r="AW7" s="197"/>
      <c r="AX7" s="197"/>
    </row>
    <row r="8" spans="1:64" ht="15.95" customHeight="1" thickBot="1">
      <c r="A8" s="774"/>
      <c r="B8" s="774"/>
      <c r="C8" s="774"/>
      <c r="D8" s="774"/>
      <c r="E8" s="725"/>
      <c r="AO8" s="749" t="str">
        <f ca="1">PROJSTATUS</f>
        <v>Enter Measures</v>
      </c>
      <c r="AP8" s="749"/>
      <c r="AQ8" s="749"/>
      <c r="AR8" s="749"/>
      <c r="AS8" s="749"/>
      <c r="AT8" s="193" t="s">
        <v>651</v>
      </c>
      <c r="AU8" s="192" t="str">
        <f>CBALL</f>
        <v>NA</v>
      </c>
      <c r="AV8" s="286" t="str">
        <f>PAYALL</f>
        <v>NA</v>
      </c>
      <c r="AW8" s="197"/>
      <c r="AX8" s="197"/>
    </row>
    <row r="9" spans="1:64" s="148" customFormat="1" ht="15.95" customHeight="1">
      <c r="B9" s="152"/>
      <c r="C9" s="152"/>
      <c r="D9" s="152"/>
      <c r="E9" s="182"/>
      <c r="F9" s="181"/>
      <c r="G9" s="181"/>
      <c r="H9" s="910" t="str">
        <f>M3S2</f>
        <v>Lighting</v>
      </c>
      <c r="I9" s="911"/>
      <c r="J9" s="911"/>
      <c r="K9" s="911"/>
      <c r="L9" s="913" t="str">
        <f>M3S3</f>
        <v>Lighting Controls</v>
      </c>
      <c r="M9" s="913"/>
      <c r="N9" s="913"/>
      <c r="O9" s="913"/>
      <c r="P9" s="910" t="str">
        <f>M3S4</f>
        <v>Refrigeration</v>
      </c>
      <c r="Q9" s="911"/>
      <c r="R9" s="911"/>
      <c r="S9" s="911"/>
      <c r="T9" s="910" t="str">
        <f>M3S5</f>
        <v>HVAC</v>
      </c>
      <c r="U9" s="911"/>
      <c r="V9" s="911"/>
      <c r="W9" s="911"/>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2"/>
      <c r="AP9" s="235"/>
      <c r="AQ9" s="352"/>
      <c r="AR9" s="352"/>
      <c r="AS9" s="336"/>
      <c r="AZ9" s="180"/>
    </row>
    <row r="10" spans="1:64" s="148" customFormat="1" ht="15.95" customHeight="1">
      <c r="B10" s="152"/>
      <c r="C10" s="152"/>
      <c r="D10" s="152"/>
      <c r="E10" s="13"/>
      <c r="F10" s="183"/>
      <c r="G10" s="183"/>
      <c r="H10" s="912"/>
      <c r="I10" s="912"/>
      <c r="J10" s="912"/>
      <c r="K10" s="912"/>
      <c r="L10" s="914"/>
      <c r="M10" s="914"/>
      <c r="N10" s="914"/>
      <c r="O10" s="914"/>
      <c r="P10" s="912"/>
      <c r="Q10" s="912"/>
      <c r="R10" s="912"/>
      <c r="S10" s="912"/>
      <c r="T10" s="912"/>
      <c r="U10" s="912"/>
      <c r="V10" s="912"/>
      <c r="W10" s="912"/>
      <c r="X10" s="912"/>
      <c r="Y10" s="912"/>
      <c r="Z10" s="912"/>
      <c r="AA10" s="912"/>
      <c r="AB10" s="912"/>
      <c r="AC10" s="912"/>
      <c r="AD10" s="912"/>
      <c r="AE10" s="912"/>
      <c r="AF10" s="912"/>
      <c r="AG10" s="912"/>
      <c r="AH10" s="912"/>
      <c r="AI10" s="912"/>
      <c r="AJ10" s="912"/>
      <c r="AK10" s="912"/>
      <c r="AL10" s="912"/>
      <c r="AM10" s="912"/>
      <c r="AN10" s="152"/>
      <c r="AO10" s="344"/>
      <c r="AP10" s="235"/>
      <c r="AQ10" s="344"/>
      <c r="AR10" s="344"/>
      <c r="AS10" s="336"/>
      <c r="AZ10" s="180"/>
    </row>
    <row r="11" spans="1:64" ht="15.95" customHeight="1">
      <c r="B11" s="295"/>
      <c r="C11" s="295"/>
      <c r="D11" s="295"/>
      <c r="E11" s="13"/>
      <c r="F11" s="13"/>
      <c r="G11" s="13"/>
      <c r="H11" s="912"/>
      <c r="I11" s="912"/>
      <c r="J11" s="912"/>
      <c r="K11" s="912"/>
      <c r="L11" s="914"/>
      <c r="M11" s="914"/>
      <c r="N11" s="914"/>
      <c r="O11" s="914"/>
      <c r="P11" s="912"/>
      <c r="Q11" s="912"/>
      <c r="R11" s="912"/>
      <c r="S11" s="912"/>
      <c r="T11" s="912"/>
      <c r="U11" s="912"/>
      <c r="V11" s="912"/>
      <c r="W11" s="912"/>
      <c r="X11" s="912"/>
      <c r="Y11" s="912"/>
      <c r="Z11" s="912"/>
      <c r="AA11" s="912"/>
      <c r="AB11" s="912"/>
      <c r="AC11" s="912"/>
      <c r="AD11" s="912"/>
      <c r="AE11" s="912"/>
      <c r="AF11" s="912"/>
      <c r="AG11" s="912"/>
      <c r="AH11" s="912"/>
      <c r="AI11" s="912"/>
      <c r="AJ11" s="912"/>
      <c r="AK11" s="912"/>
      <c r="AL11" s="912"/>
      <c r="AM11" s="912"/>
      <c r="AN11" s="394"/>
      <c r="AO11" s="337"/>
      <c r="AP11" s="235"/>
      <c r="AQ11" s="337"/>
      <c r="AR11" s="337"/>
      <c r="AS11" s="235"/>
    </row>
    <row r="12" spans="1:64" ht="15.95" customHeight="1">
      <c r="A12" s="185"/>
      <c r="B12" s="185"/>
      <c r="C12" s="185"/>
      <c r="D12" s="185"/>
      <c r="E12" s="185"/>
      <c r="R12" s="916">
        <f>SUM(AN18:AQ184)</f>
        <v>0</v>
      </c>
      <c r="S12" s="916"/>
      <c r="T12" s="916"/>
      <c r="U12" s="916"/>
      <c r="V12" s="916">
        <f ca="1">SUMIF(AN18:AQ184,"&gt;0",AH18:AJ184)</f>
        <v>0</v>
      </c>
      <c r="W12" s="916"/>
      <c r="X12" s="916"/>
      <c r="Y12" s="916"/>
      <c r="Z12" s="915">
        <f ca="1">SUMIF(AN18:AQ184,"&gt;0",AK18:AM184)</f>
        <v>0</v>
      </c>
      <c r="AA12" s="915"/>
      <c r="AB12" s="915"/>
      <c r="AC12" s="915"/>
      <c r="AO12" s="235"/>
      <c r="AP12" s="235"/>
      <c r="AQ12" s="235"/>
      <c r="AR12" s="235"/>
      <c r="AS12" s="235"/>
      <c r="AZ12" s="148"/>
    </row>
    <row r="13" spans="1:64" ht="15.95" customHeight="1">
      <c r="A13" s="185"/>
      <c r="B13" s="185"/>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c r="AJ13"/>
      <c r="AK13"/>
      <c r="AL13"/>
      <c r="AM13"/>
      <c r="AN13"/>
      <c r="AO13" s="235"/>
      <c r="AP13" s="235"/>
      <c r="AQ13" s="235"/>
      <c r="AR13" s="235"/>
      <c r="AS13" s="235"/>
    </row>
    <row r="14" spans="1:64" ht="15.95" customHeight="1">
      <c r="R14" s="860" t="s">
        <v>1979</v>
      </c>
      <c r="S14" s="860"/>
      <c r="T14" s="860"/>
      <c r="U14" s="860"/>
      <c r="V14" s="860" t="s">
        <v>67</v>
      </c>
      <c r="W14" s="860"/>
      <c r="X14" s="860"/>
      <c r="Y14" s="860"/>
      <c r="Z14" s="860" t="s">
        <v>1248</v>
      </c>
      <c r="AA14" s="860"/>
      <c r="AB14" s="860"/>
      <c r="AC14" s="860"/>
      <c r="AI14"/>
      <c r="AJ14"/>
      <c r="AK14"/>
      <c r="AL14"/>
      <c r="AM14"/>
      <c r="AN14"/>
      <c r="AO14" s="235"/>
      <c r="AP14" s="235"/>
      <c r="AQ14" s="235"/>
      <c r="AR14" s="235"/>
      <c r="AS14" s="235"/>
    </row>
    <row r="15" spans="1:64" ht="15.95" customHeight="1">
      <c r="AO15" s="235"/>
      <c r="AP15" s="235"/>
      <c r="AQ15" s="235"/>
      <c r="AR15" s="235"/>
      <c r="AS15" s="235"/>
    </row>
    <row r="16" spans="1:64" ht="15.95" customHeight="1">
      <c r="C16" s="836" t="s">
        <v>1350</v>
      </c>
      <c r="D16" s="836"/>
      <c r="E16" s="836"/>
      <c r="F16" s="836"/>
      <c r="G16" s="836"/>
      <c r="H16" s="836"/>
      <c r="I16" s="836"/>
      <c r="J16" s="836"/>
      <c r="K16" s="836"/>
      <c r="L16" s="836"/>
      <c r="M16" s="836" t="s">
        <v>1381</v>
      </c>
      <c r="N16" s="836"/>
      <c r="O16" s="836" t="s">
        <v>74</v>
      </c>
      <c r="P16" s="836"/>
      <c r="Q16" s="836" t="s">
        <v>1931</v>
      </c>
      <c r="R16" s="836"/>
      <c r="S16" s="836"/>
      <c r="T16" s="836" t="s">
        <v>2214</v>
      </c>
      <c r="U16" s="836"/>
      <c r="V16" s="836"/>
      <c r="W16" s="836" t="s">
        <v>2215</v>
      </c>
      <c r="X16" s="836"/>
      <c r="Y16" s="836"/>
      <c r="Z16" s="836"/>
      <c r="AA16" s="836" t="s">
        <v>1369</v>
      </c>
      <c r="AB16" s="836"/>
      <c r="AC16" s="836"/>
      <c r="AD16" s="1134" t="s">
        <v>1355</v>
      </c>
      <c r="AE16" s="1134"/>
      <c r="AF16" s="1134"/>
      <c r="AG16" s="1134"/>
      <c r="AH16" s="836" t="s">
        <v>1425</v>
      </c>
      <c r="AI16" s="836"/>
      <c r="AJ16" s="836"/>
      <c r="AK16" s="836" t="s">
        <v>1187</v>
      </c>
      <c r="AL16" s="836"/>
      <c r="AM16" s="836"/>
      <c r="AN16" s="836" t="s">
        <v>83</v>
      </c>
      <c r="AO16" s="908"/>
      <c r="AP16" s="908"/>
      <c r="AQ16" s="908"/>
      <c r="AR16" s="354"/>
      <c r="AS16" s="354"/>
      <c r="AT16" s="858" t="s">
        <v>141</v>
      </c>
      <c r="AU16" s="858" t="s">
        <v>336</v>
      </c>
      <c r="AV16" s="858" t="s">
        <v>1195</v>
      </c>
      <c r="AW16" s="858" t="s">
        <v>699</v>
      </c>
      <c r="AX16" s="858" t="s">
        <v>1376</v>
      </c>
      <c r="AY16" s="858" t="s">
        <v>88</v>
      </c>
      <c r="AZ16" s="858" t="s">
        <v>1426</v>
      </c>
      <c r="BA16" s="858" t="s">
        <v>1428</v>
      </c>
      <c r="BB16" s="858" t="s">
        <v>1645</v>
      </c>
      <c r="BC16" s="1030" t="s">
        <v>2495</v>
      </c>
      <c r="BD16" s="1030" t="s">
        <v>780</v>
      </c>
      <c r="BE16" s="1122" t="s">
        <v>1982</v>
      </c>
      <c r="BF16" s="858" t="s">
        <v>1983</v>
      </c>
      <c r="BG16" s="858" t="s">
        <v>2046</v>
      </c>
      <c r="BH16" s="858" t="s">
        <v>85</v>
      </c>
      <c r="BI16" s="932" t="s">
        <v>1427</v>
      </c>
      <c r="BJ16" s="1132" t="s">
        <v>319</v>
      </c>
      <c r="BK16" s="932" t="s">
        <v>2500</v>
      </c>
      <c r="BL16" s="932" t="s">
        <v>2893</v>
      </c>
    </row>
    <row r="17" spans="1:64" ht="15.95" customHeight="1" thickBot="1">
      <c r="B17" s="36"/>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837"/>
      <c r="AI17" s="837"/>
      <c r="AJ17" s="837"/>
      <c r="AK17" s="837"/>
      <c r="AL17" s="837"/>
      <c r="AM17" s="837"/>
      <c r="AN17" s="837"/>
      <c r="AO17" s="909"/>
      <c r="AP17" s="909"/>
      <c r="AQ17" s="909"/>
      <c r="AR17" s="355"/>
      <c r="AS17" s="355"/>
      <c r="AT17" s="859"/>
      <c r="AU17" s="859"/>
      <c r="AV17" s="859"/>
      <c r="AW17" s="859"/>
      <c r="AX17" s="859"/>
      <c r="AY17" s="859"/>
      <c r="AZ17" s="859"/>
      <c r="BA17" s="859"/>
      <c r="BB17" s="859"/>
      <c r="BC17" s="1031"/>
      <c r="BD17" s="1031"/>
      <c r="BE17" s="1123"/>
      <c r="BF17" s="859"/>
      <c r="BG17" s="859"/>
      <c r="BH17" s="859"/>
      <c r="BI17" s="933"/>
      <c r="BJ17" s="1133"/>
      <c r="BK17" s="933"/>
      <c r="BL17" s="933"/>
    </row>
    <row r="18" spans="1:64" ht="15.95" customHeight="1">
      <c r="B18" s="905">
        <v>1</v>
      </c>
      <c r="C18" s="1143"/>
      <c r="D18" s="918"/>
      <c r="E18" s="918"/>
      <c r="F18" s="918"/>
      <c r="G18" s="918"/>
      <c r="H18" s="918"/>
      <c r="I18" s="918"/>
      <c r="J18" s="918"/>
      <c r="K18" s="918"/>
      <c r="L18" s="918"/>
      <c r="M18" s="1147" t="str">
        <f>IFERROR(IF(C18="","",INDEX(CMELIGHTCON[Wattage Unit],MATCH(C18,CMELIGHTCON[Proj Desc 1],0))),"")</f>
        <v/>
      </c>
      <c r="N18" s="1147"/>
      <c r="O18" s="1142"/>
      <c r="P18" s="1142"/>
      <c r="Q18" s="1144"/>
      <c r="R18" s="1144"/>
      <c r="S18" s="1144"/>
      <c r="T18" s="1145"/>
      <c r="U18" s="1145"/>
      <c r="V18" s="1149"/>
      <c r="W18" s="1146"/>
      <c r="X18" s="1145"/>
      <c r="Y18" s="1145"/>
      <c r="Z18" s="1145"/>
      <c r="AA18" s="1145"/>
      <c r="AB18" s="1145"/>
      <c r="AC18" s="1145"/>
      <c r="AD18" s="1124"/>
      <c r="AE18" s="1124"/>
      <c r="AF18" s="1125"/>
      <c r="AG18" s="1126"/>
      <c r="AH18" s="1067" t="str">
        <f>IF(OR(C18="",Q18="",W18="",O18="",AA18="",AD18="",AF18=""),"",ROUND(AD18+AF18,2))</f>
        <v/>
      </c>
      <c r="AI18" s="1068"/>
      <c r="AJ18" s="1068"/>
      <c r="AK18" s="1081" t="str">
        <f>IF(OR(C18="",Q18="",W18="",O18="",AA18="",AD18="",AF18=""),"",IF(AW18-AX18&lt;=0,0,ROUND(AW18-AX18,4)))</f>
        <v/>
      </c>
      <c r="AL18" s="1081"/>
      <c r="AM18" s="1081"/>
      <c r="AN18" s="1135" t="str">
        <f>IF(OR(C18="",Q18="",W18="",O18="",AA18="",AD18="",AF18=""),"",
IF(BJ18&lt;&gt;"",BJ18,IF(BL18&gt;0,BL18,
IF(ACTIVEBLOCK="Yes",ROUND(MIN(AH18*0.75,AK18*BLOCKBIDRATE),2),
IF(BG18&lt;&gt;"",ROUND(MIN(AH18*0.75,BG18),2),
IF(BD18&lt;KWHRATEMIN,ROUND(MIN(AH18*0.75,BE18),2),
IF(BD18&gt;KWHRATEMAX,ROUND(MIN(AH18*0.75,BF18),2),
ROUND(MIN(AH18*0.75,BC18),2))))))))</f>
        <v/>
      </c>
      <c r="AO18" s="1136"/>
      <c r="AP18" s="1136"/>
      <c r="AQ18" s="1137"/>
      <c r="AR18" s="355"/>
      <c r="AS18" s="355"/>
      <c r="AT18" s="1112" t="str">
        <f>IFERROR(IF(OR(C18="",Q18="",W18="",O18="",AA18="",AD18="",AF18=""),"",
ROUND(((1+ELOSS)*((AK18*INDEX(ELECCB[NPV AEC $/kWh],MATCH(AY18,ELECCB[Year Number],1)))+(BA18*INDEX(ELECCB[NPV ACC $/kW],MATCH(AY18,ELECCB[Year Number],1))))/AH18),2)),0)</f>
        <v/>
      </c>
      <c r="AU18" s="1112" t="str">
        <f>IFERROR(AH18/M02S04F06/AK18,"")</f>
        <v/>
      </c>
      <c r="AV18" s="1108" t="str">
        <f>IF(C18="","",INDEX(CMELIGHTCON[Wattage Unit],MATCH(C18,CMELIGHTCON[Proj Desc 1],0)))</f>
        <v/>
      </c>
      <c r="AW18" s="1103" t="str">
        <f>IF(OR(C18="",Q18="",W18="",O18="",AA18="",AD18="",AF18=""),"",
ROUND((Q18/1000)*T18*INDEX(BUILDINGTYPE[Waste Heat Factor (e)],MATCH(M02S04F19,BUILDINGTYPE[Building Type],0)),4))</f>
        <v/>
      </c>
      <c r="AX18" s="1103" t="str">
        <f>IF(OR(C18="",Q18="",W18="",O18="",AA18="",AD18="",AF18=""),"",
AW18-ROUND((Q18/1000)*T18*INDEX(CMELIGHTCON[Energy Savings Factor],MATCH(C18,CMELIGHTCON[Proj Desc 1],0))*INDEX(BUILDINGTYPE[Waste Heat Factor (e)],MATCH(M02S04F19,BUILDINGTYPE[Building Type],0)),4))</f>
        <v/>
      </c>
      <c r="AY18" s="1113" t="str">
        <f>IF(OR(C18=""),"",IF(INDEX(CMELIGHTCON[EUL],MATCH(C18,CMELIGHTCON[Proj Desc 1],0))="","",INDEX(CMELIGHTCON[EUL],MATCH(C18,CMELIGHTCON[Proj Desc 1],0))))</f>
        <v/>
      </c>
      <c r="AZ18" s="1115" t="str">
        <f>IF(OR(C18=""),"",IF(INDEX(CMELIGHTCON[End Use Category],MATCH(C18,CMELIGHTCON[Proj Desc 1],0))="","",INDEX(CMELIGHTCON[End Use Category],MATCH(C18,CMELIGHTCON[Proj Desc 1],0))))</f>
        <v/>
      </c>
      <c r="BA18" s="1027" t="str">
        <f>IFERROR(IF(OR(C18="",Q18="",W18="",O18="",AA18="",AD18="",AF18=""),"",ROUND(AK18*INDEX(ENDUSEALL[Factor],MATCH(AZ18,ENDUSEALL[End Use to Coincident Peak Demand Factors],0)),4)),"")</f>
        <v/>
      </c>
      <c r="BB18" s="1120"/>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IF(OR(C18="",Q18="",W18="",O18="",AA18="",AD18="",AF18=""),"",IF(BJ18&lt;&gt;"",SPILLOVERNUMBER,INDEX(CMELIGHTCON[Measure Number],MATCH(C18,CMELIGHTCON[Proj Desc 1],0))))</f>
        <v/>
      </c>
      <c r="BI18" s="1108" t="str">
        <f>IFERROR(IF(ROUND(AN18/AH18,2)=TOTCOSTCAP,"Cost Cap at 75%",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IF(AND((ISNUMBER(SEARCH("Other",F18))),OR(AY18="",AZ18="")),MEASURESUBMIT,
 IF(PAYCUSE&lt;PAYBACKREQ,PROJECTSTATPAYBACK,
IF(CBCUSE&lt;CBREQ,PROJECTSTATCB,""))))))),MEASURESUBMIT)</f>
        <v>Submit for Review</v>
      </c>
      <c r="BK18" s="930" t="str">
        <f>IFERROR(IF(OR(C18="",Q18="",W18="",O18="",AA18="",AD18="",AF18=""),"",
ROUND(((1+ELOSS)*((AK18*INDEX(ELECCB[NPV AEC $/kWh],MATCH(AY18,ELECCB[Year Number],1)))+(BA18*INDEX(ELECCB[NPV ACC $/kW],MATCH(AY18,ELECCB[Year Number],1))))),2)),0)</f>
        <v/>
      </c>
      <c r="BL18" s="1118"/>
    </row>
    <row r="19" spans="1:64" ht="15.95" customHeight="1">
      <c r="B19" s="905"/>
      <c r="C19" s="1038"/>
      <c r="D19" s="1076"/>
      <c r="E19" s="1076"/>
      <c r="F19" s="1076"/>
      <c r="G19" s="1076"/>
      <c r="H19" s="1076"/>
      <c r="I19" s="1076"/>
      <c r="J19" s="1076"/>
      <c r="K19" s="1076"/>
      <c r="L19" s="1076"/>
      <c r="M19" s="1141"/>
      <c r="N19" s="1141"/>
      <c r="O19" s="1041"/>
      <c r="P19" s="1041"/>
      <c r="Q19" s="1044"/>
      <c r="R19" s="1044"/>
      <c r="S19" s="1044"/>
      <c r="T19" s="1037"/>
      <c r="U19" s="1037"/>
      <c r="V19" s="1148"/>
      <c r="W19" s="1040"/>
      <c r="X19" s="1037"/>
      <c r="Y19" s="1037"/>
      <c r="Z19" s="1037"/>
      <c r="AA19" s="1037"/>
      <c r="AB19" s="1037"/>
      <c r="AC19" s="1037"/>
      <c r="AD19" s="1054"/>
      <c r="AE19" s="1054"/>
      <c r="AF19" s="1127"/>
      <c r="AG19" s="1128"/>
      <c r="AH19" s="1064"/>
      <c r="AI19" s="1065"/>
      <c r="AJ19" s="1065"/>
      <c r="AK19" s="1066"/>
      <c r="AL19" s="1066"/>
      <c r="AM19" s="1066"/>
      <c r="AN19" s="1138"/>
      <c r="AO19" s="1139"/>
      <c r="AP19" s="1139"/>
      <c r="AQ19" s="1140"/>
      <c r="AR19" s="355"/>
      <c r="AS19" s="355"/>
      <c r="AT19" s="1104"/>
      <c r="AU19" s="1104"/>
      <c r="AV19" s="1105"/>
      <c r="AW19" s="1025"/>
      <c r="AX19" s="1025"/>
      <c r="AY19" s="1114"/>
      <c r="AZ19" s="1116"/>
      <c r="BA19" s="1109"/>
      <c r="BB19" s="1121"/>
      <c r="BC19" s="931"/>
      <c r="BD19" s="931"/>
      <c r="BE19" s="931"/>
      <c r="BF19" s="931"/>
      <c r="BG19" s="931"/>
      <c r="BH19" s="1107"/>
      <c r="BI19" s="1105"/>
      <c r="BJ19" s="1105"/>
      <c r="BK19" s="931"/>
      <c r="BL19" s="1119"/>
    </row>
    <row r="20" spans="1:64" ht="15.95" customHeight="1">
      <c r="A20" s="145"/>
      <c r="B20" s="905">
        <v>2</v>
      </c>
      <c r="C20" s="1069"/>
      <c r="D20" s="1073"/>
      <c r="E20" s="1073"/>
      <c r="F20" s="1073"/>
      <c r="G20" s="1073"/>
      <c r="H20" s="1073"/>
      <c r="I20" s="1073"/>
      <c r="J20" s="1073"/>
      <c r="K20" s="1073"/>
      <c r="L20" s="1073"/>
      <c r="M20" s="1141" t="str">
        <f>IFERROR(IF(C20="","",INDEX(CMELIGHTCON[Wattage Unit],MATCH(C20,CMELIGHTCON[Proj Desc 1],0))),"")</f>
        <v/>
      </c>
      <c r="N20" s="1141"/>
      <c r="O20" s="1041"/>
      <c r="P20" s="1041"/>
      <c r="Q20" s="1044"/>
      <c r="R20" s="1044"/>
      <c r="S20" s="1044"/>
      <c r="T20" s="1037"/>
      <c r="U20" s="1037"/>
      <c r="V20" s="1148"/>
      <c r="W20" s="1040"/>
      <c r="X20" s="1037"/>
      <c r="Y20" s="1037"/>
      <c r="Z20" s="1037"/>
      <c r="AA20" s="1037"/>
      <c r="AB20" s="1037"/>
      <c r="AC20" s="1037"/>
      <c r="AD20" s="1054"/>
      <c r="AE20" s="1054"/>
      <c r="AF20" s="1127"/>
      <c r="AG20" s="1128"/>
      <c r="AH20" s="1067" t="str">
        <f t="shared" ref="AH20" si="0">IF(OR(C20="",Q20="",W20="",O20="",AA20="",AD20="",AF20=""),"",ROUND(AD20+AF20,2))</f>
        <v/>
      </c>
      <c r="AI20" s="1068"/>
      <c r="AJ20" s="1068"/>
      <c r="AK20" s="1081" t="str">
        <f t="shared" ref="AK20" si="1">IF(OR(C20="",Q20="",W20="",O20="",AA20="",AD20="",AF20=""),"",IF(AW20-AX20&lt;=0,0,ROUND(AW20-AX20,4)))</f>
        <v/>
      </c>
      <c r="AL20" s="1081"/>
      <c r="AM20" s="1081"/>
      <c r="AN20" s="1135" t="str">
        <f>IF(OR(C20="",Q20="",W20="",O20="",AA20="",AD20="",AF20=""),"",
IF(BJ20&lt;&gt;"",BJ20,IF(BL20&gt;0,BL20,
IF(ACTIVEBLOCK="Yes",ROUND(MIN(AH20*0.75,AK20*BLOCKBIDRATE),2),
IF(BG20&lt;&gt;"",ROUND(MIN(AH20*0.75,BG20),2),
IF(BD20&lt;KWHRATEMIN,ROUND(MIN(AH20*0.75,BE20),2),
IF(BD20&gt;KWHRATEMAX,ROUND(MIN(AH20*0.75,BF20),2),
ROUND(MIN(AH20*0.75,BC20),2))))))))</f>
        <v/>
      </c>
      <c r="AO20" s="1136"/>
      <c r="AP20" s="1136"/>
      <c r="AQ20" s="1137"/>
      <c r="AR20" s="355"/>
      <c r="AS20" s="355"/>
      <c r="AT20" s="1112" t="str">
        <f>IFERROR(IF(OR(C20="",Q20="",W20="",O20="",AA20="",AD20="",AF20=""),"",
ROUND(((1+ELOSS)*((AK20*INDEX(ELECCB[NPV AEC $/kWh],MATCH(AY20,ELECCB[Year Number],1)))+(BA20*INDEX(ELECCB[NPV ACC $/kW],MATCH(AY20,ELECCB[Year Number],1))))/AH20),2)),0)</f>
        <v/>
      </c>
      <c r="AU20" s="1112" t="str">
        <f>IFERROR(AH20/M02S04F06/AK20,"")</f>
        <v/>
      </c>
      <c r="AV20" s="1108" t="str">
        <f>IF(C20="","",INDEX(CMELIGHTCON[Wattage Unit],MATCH(C20,CMELIGHTCON[Proj Desc 1],0)))</f>
        <v/>
      </c>
      <c r="AW20" s="1103" t="str">
        <f>IF(OR(C20="",Q20="",W20="",O20="",AA20="",AD20="",AF20=""),"",
ROUND((Q20/1000)*T20*INDEX(BUILDINGTYPE[Waste Heat Factor (e)],MATCH(M02S04F19,BUILDINGTYPE[Building Type],0)),4))</f>
        <v/>
      </c>
      <c r="AX20" s="1103" t="str">
        <f>IF(OR(C20="",Q20="",W20="",O20="",AA20="",AD20="",AF20=""),"",
AW20-ROUND((Q20/1000)*T20*INDEX(CMELIGHTCON[Energy Savings Factor],MATCH(C20,CMELIGHTCON[Proj Desc 1],0))*INDEX(BUILDINGTYPE[Waste Heat Factor (e)],MATCH(M02S04F19,BUILDINGTYPE[Building Type],0)),4))</f>
        <v/>
      </c>
      <c r="AY20" s="1113" t="str">
        <f>IF(OR(C20=""),"",IF(INDEX(CMELIGHTCON[EUL],MATCH(C20,CMELIGHTCON[Proj Desc 1],0))="","",INDEX(CMELIGHTCON[EUL],MATCH(C20,CMELIGHTCON[Proj Desc 1],0))))</f>
        <v/>
      </c>
      <c r="AZ20" s="1115" t="str">
        <f>IF(OR(C20=""),"",IF(INDEX(CMELIGHTCON[End Use Category],MATCH(C20,CMELIGHTCON[Proj Desc 1],0))="","",INDEX(CMELIGHTCON[End Use Category],MATCH(C20,CMELIGHTCON[Proj Desc 1],0))))</f>
        <v/>
      </c>
      <c r="BA20" s="1027" t="str">
        <f>IFERROR(IF(OR(C20="",Q20="",W20="",O20="",AA20="",AD20="",AF20=""),"",ROUND(AK20*INDEX(ENDUSEALL[Factor],MATCH(AZ20,ENDUSEALL[End Use to Coincident Peak Demand Factors],0)),4)),"")</f>
        <v/>
      </c>
      <c r="BB20" s="1120"/>
      <c r="BC20" s="930" t="str">
        <f t="shared" ref="BC20" si="2">IFERROR(ROUND(AK20*BD20,2),"")</f>
        <v/>
      </c>
      <c r="BD20" s="930" t="str">
        <f>IFERROR(INDEX(ENDUSEALL[Rate ($/kWh)],MATCH(AZ20,ENDUSEALL[End Use to Coincident Peak Demand Factors],0)),"")</f>
        <v/>
      </c>
      <c r="BE20" s="930" t="str">
        <f>IFERROR(ROUND(AK20*KWHRATEMIN,2),"")</f>
        <v/>
      </c>
      <c r="BF20" s="930" t="str">
        <f>IFERROR(ROUND(AK20*KWHRATEMAX,2),"")</f>
        <v/>
      </c>
      <c r="BG20" s="930" t="str">
        <f>IFERROR(IF(INDEX(ENDUSEALL[Bonus Rate ($/kWh)],MATCH(AZ20,ENDUSEALL[End Use to Coincident Peak Demand Factors],0))="","",INDEX(ENDUSEALL[Bonus Rate ($/kWh)],MATCH(AZ20,ENDUSEALL[End Use to Coincident Peak Demand Factors],0))*AK20),"")</f>
        <v/>
      </c>
      <c r="BH20" s="1106" t="str">
        <f>IF(OR(C20="",Q20="",W20="",O20="",AA20="",AD20="",AF20=""),"",IF(BJ20&lt;&gt;"",SPILLOVERNUMBER,INDEX(CMELIGHTCON[Measure Number],MATCH(C20,CMELIGHTCON[Proj Desc 1],0))))</f>
        <v/>
      </c>
      <c r="BI20" s="1108" t="str">
        <f>IFERROR(IF(ROUND(AN20/AH20,2)=TOTCOSTCAP,"Cost Cap at 75%",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IF(AND((ISNUMBER(SEARCH("Other",F20))),OR(AY20="",AZ20="")),MEASURESUBMIT,
 IF(PAYCUSE&lt;PAYBACKREQ,PROJECTSTATPAYBACK,
IF(CBCUSE&lt;CBREQ,PROJECTSTATCB,""))))))),MEASURESUBMIT)</f>
        <v>Submit for Review</v>
      </c>
      <c r="BK20" s="930" t="str">
        <f>IFERROR(IF(OR(C20="",Q20="",W20="",O20="",AA20="",AD20="",AF20=""),"",
ROUND(((1+ELOSS)*((AK20*INDEX(ELECCB[NPV AEC $/kWh],MATCH(AY20,ELECCB[Year Number],1)))+(BA20*INDEX(ELECCB[NPV ACC $/kW],MATCH(AY20,ELECCB[Year Number],1))))),2)),0)</f>
        <v/>
      </c>
      <c r="BL20" s="1118"/>
    </row>
    <row r="21" spans="1:64" ht="15.95" customHeight="1">
      <c r="B21" s="905"/>
      <c r="C21" s="1038"/>
      <c r="D21" s="1076"/>
      <c r="E21" s="1076"/>
      <c r="F21" s="1076"/>
      <c r="G21" s="1076"/>
      <c r="H21" s="1076"/>
      <c r="I21" s="1076"/>
      <c r="J21" s="1076"/>
      <c r="K21" s="1076"/>
      <c r="L21" s="1076"/>
      <c r="M21" s="1141"/>
      <c r="N21" s="1141"/>
      <c r="O21" s="1041"/>
      <c r="P21" s="1041"/>
      <c r="Q21" s="1044"/>
      <c r="R21" s="1044"/>
      <c r="S21" s="1044"/>
      <c r="T21" s="1037"/>
      <c r="U21" s="1037"/>
      <c r="V21" s="1148"/>
      <c r="W21" s="1040"/>
      <c r="X21" s="1037"/>
      <c r="Y21" s="1037"/>
      <c r="Z21" s="1037"/>
      <c r="AA21" s="1037"/>
      <c r="AB21" s="1037"/>
      <c r="AC21" s="1037"/>
      <c r="AD21" s="1054"/>
      <c r="AE21" s="1054"/>
      <c r="AF21" s="1127"/>
      <c r="AG21" s="1128"/>
      <c r="AH21" s="1064"/>
      <c r="AI21" s="1065"/>
      <c r="AJ21" s="1065"/>
      <c r="AK21" s="1066"/>
      <c r="AL21" s="1066"/>
      <c r="AM21" s="1066"/>
      <c r="AN21" s="1138"/>
      <c r="AO21" s="1139"/>
      <c r="AP21" s="1139"/>
      <c r="AQ21" s="1140"/>
      <c r="AR21" s="355"/>
      <c r="AS21" s="355"/>
      <c r="AT21" s="1104"/>
      <c r="AU21" s="1104"/>
      <c r="AV21" s="1105"/>
      <c r="AW21" s="1025"/>
      <c r="AX21" s="1025"/>
      <c r="AY21" s="1114"/>
      <c r="AZ21" s="1116"/>
      <c r="BA21" s="1109"/>
      <c r="BB21" s="1121"/>
      <c r="BC21" s="931"/>
      <c r="BD21" s="931"/>
      <c r="BE21" s="931"/>
      <c r="BF21" s="931"/>
      <c r="BG21" s="931"/>
      <c r="BH21" s="1107"/>
      <c r="BI21" s="1105"/>
      <c r="BJ21" s="1105"/>
      <c r="BK21" s="931"/>
      <c r="BL21" s="1119"/>
    </row>
    <row r="22" spans="1:64" s="36" customFormat="1" ht="15.95" customHeight="1">
      <c r="A22" s="195"/>
      <c r="B22" s="905">
        <v>3</v>
      </c>
      <c r="C22" s="1069"/>
      <c r="D22" s="1073"/>
      <c r="E22" s="1073"/>
      <c r="F22" s="1073"/>
      <c r="G22" s="1073"/>
      <c r="H22" s="1073"/>
      <c r="I22" s="1073"/>
      <c r="J22" s="1073"/>
      <c r="K22" s="1073"/>
      <c r="L22" s="1073"/>
      <c r="M22" s="1141" t="str">
        <f>IFERROR(IF(C22="","",INDEX(CMELIGHTCON[Wattage Unit],MATCH(C22,CMELIGHTCON[Proj Desc 1],0))),"")</f>
        <v/>
      </c>
      <c r="N22" s="1141"/>
      <c r="O22" s="1041"/>
      <c r="P22" s="1041"/>
      <c r="Q22" s="1044"/>
      <c r="R22" s="1044"/>
      <c r="S22" s="1044"/>
      <c r="T22" s="1037"/>
      <c r="U22" s="1037"/>
      <c r="V22" s="1148"/>
      <c r="W22" s="1040"/>
      <c r="X22" s="1037"/>
      <c r="Y22" s="1037"/>
      <c r="Z22" s="1037"/>
      <c r="AA22" s="1037"/>
      <c r="AB22" s="1037"/>
      <c r="AC22" s="1037"/>
      <c r="AD22" s="1054"/>
      <c r="AE22" s="1054"/>
      <c r="AF22" s="1127"/>
      <c r="AG22" s="1128"/>
      <c r="AH22" s="1067" t="str">
        <f t="shared" ref="AH22" si="3">IF(OR(C22="",Q22="",W22="",O22="",AA22="",AD22="",AF22=""),"",ROUND(AD22+AF22,2))</f>
        <v/>
      </c>
      <c r="AI22" s="1068"/>
      <c r="AJ22" s="1068"/>
      <c r="AK22" s="1081" t="str">
        <f t="shared" ref="AK22" si="4">IF(OR(C22="",Q22="",W22="",O22="",AA22="",AD22="",AF22=""),"",IF(AW22-AX22&lt;=0,0,ROUND(AW22-AX22,4)))</f>
        <v/>
      </c>
      <c r="AL22" s="1081"/>
      <c r="AM22" s="1081"/>
      <c r="AN22" s="1135" t="str">
        <f>IF(OR(C22="",Q22="",W22="",O22="",AA22="",AD22="",AF22=""),"",
IF(BJ22&lt;&gt;"",BJ22,IF(BL22&gt;0,BL22,
IF(ACTIVEBLOCK="Yes",ROUND(MIN(AH22*0.75,AK22*BLOCKBIDRATE),2),
IF(BG22&lt;&gt;"",ROUND(MIN(AH22*0.75,BG22),2),
IF(BD22&lt;KWHRATEMIN,ROUND(MIN(AH22*0.75,BE22),2),
IF(BD22&gt;KWHRATEMAX,ROUND(MIN(AH22*0.75,BF22),2),
ROUND(MIN(AH22*0.75,BC22),2))))))))</f>
        <v/>
      </c>
      <c r="AO22" s="1136"/>
      <c r="AP22" s="1136"/>
      <c r="AQ22" s="1137"/>
      <c r="AR22" s="354"/>
      <c r="AS22" s="354"/>
      <c r="AT22" s="1112" t="str">
        <f>IFERROR(IF(OR(C22="",Q22="",W22="",O22="",AA22="",AD22="",AF22=""),"",
ROUND(((1+ELOSS)*((AK22*INDEX(ELECCB[NPV AEC $/kWh],MATCH(AY22,ELECCB[Year Number],1)))+(BA22*INDEX(ELECCB[NPV ACC $/kW],MATCH(AY22,ELECCB[Year Number],1))))/AH22),2)),0)</f>
        <v/>
      </c>
      <c r="AU22" s="1112" t="str">
        <f>IFERROR(AH22/M02S04F06/AK22,"")</f>
        <v/>
      </c>
      <c r="AV22" s="1108" t="str">
        <f>IF(C22="","",INDEX(CMELIGHTCON[Wattage Unit],MATCH(C22,CMELIGHTCON[Proj Desc 1],0)))</f>
        <v/>
      </c>
      <c r="AW22" s="1103" t="str">
        <f>IF(OR(C22="",Q22="",W22="",O22="",AA22="",AD22="",AF22=""),"",
ROUND((Q22/1000)*T22*INDEX(BUILDINGTYPE[Waste Heat Factor (e)],MATCH(M02S04F19,BUILDINGTYPE[Building Type],0)),4))</f>
        <v/>
      </c>
      <c r="AX22" s="1103" t="str">
        <f>IF(OR(C22="",Q22="",W22="",O22="",AA22="",AD22="",AF22=""),"",
AW22-ROUND((Q22/1000)*T22*INDEX(CMELIGHTCON[Energy Savings Factor],MATCH(C22,CMELIGHTCON[Proj Desc 1],0))*INDEX(BUILDINGTYPE[Waste Heat Factor (e)],MATCH(M02S04F19,BUILDINGTYPE[Building Type],0)),4))</f>
        <v/>
      </c>
      <c r="AY22" s="1113" t="str">
        <f>IF(OR(C22=""),"",IF(INDEX(CMELIGHTCON[EUL],MATCH(C22,CMELIGHTCON[Proj Desc 1],0))="","",INDEX(CMELIGHTCON[EUL],MATCH(C22,CMELIGHTCON[Proj Desc 1],0))))</f>
        <v/>
      </c>
      <c r="AZ22" s="1115" t="str">
        <f>IF(OR(C22=""),"",IF(INDEX(CMELIGHTCON[End Use Category],MATCH(C22,CMELIGHTCON[Proj Desc 1],0))="","",INDEX(CMELIGHTCON[End Use Category],MATCH(C22,CMELIGHTCON[Proj Desc 1],0))))</f>
        <v/>
      </c>
      <c r="BA22" s="1027" t="str">
        <f>IFERROR(IF(OR(C22="",Q22="",W22="",O22="",AA22="",AD22="",AF22=""),"",ROUND(AK22*INDEX(ENDUSEALL[Factor],MATCH(AZ22,ENDUSEALL[End Use to Coincident Peak Demand Factors],0)),4)),"")</f>
        <v/>
      </c>
      <c r="BB22" s="1120"/>
      <c r="BC22" s="930" t="str">
        <f t="shared" ref="BC22" si="5">IFERROR(ROUND(AK22*BD22,2),"")</f>
        <v/>
      </c>
      <c r="BD22" s="930" t="str">
        <f>IFERROR(INDEX(ENDUSEALL[Rate ($/kWh)],MATCH(AZ22,ENDUSEALL[End Use to Coincident Peak Demand Factors],0)),"")</f>
        <v/>
      </c>
      <c r="BE22" s="930" t="str">
        <f>IFERROR(ROUND(AK22*KWHRATEMIN,2),"")</f>
        <v/>
      </c>
      <c r="BF22" s="930" t="str">
        <f>IFERROR(ROUND(AK22*KWHRATEMAX,2),"")</f>
        <v/>
      </c>
      <c r="BG22" s="930" t="str">
        <f>IFERROR(IF(INDEX(ENDUSEALL[Bonus Rate ($/kWh)],MATCH(AZ22,ENDUSEALL[End Use to Coincident Peak Demand Factors],0))="","",INDEX(ENDUSEALL[Bonus Rate ($/kWh)],MATCH(AZ22,ENDUSEALL[End Use to Coincident Peak Demand Factors],0))*AK22),"")</f>
        <v/>
      </c>
      <c r="BH22" s="1106" t="str">
        <f>IF(OR(C22="",Q22="",W22="",O22="",AA22="",AD22="",AF22=""),"",IF(BJ22&lt;&gt;"",SPILLOVERNUMBER,INDEX(CMELIGHTCON[Measure Number],MATCH(C22,CMELIGHTCON[Proj Desc 1],0))))</f>
        <v/>
      </c>
      <c r="BI22" s="1108" t="str">
        <f>IFERROR(IF(ROUND(AN22/AH22,2)=TOTCOSTCAP,"Cost Cap at 75%",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IF(AND((ISNUMBER(SEARCH("Other",F22))),OR(AY22="",AZ22="")),MEASURESUBMIT,
 IF(PAYCUSE&lt;PAYBACKREQ,PROJECTSTATPAYBACK,
IF(CBCUSE&lt;CBREQ,PROJECTSTATCB,""))))))),MEASURESUBMIT)</f>
        <v>Submit for Review</v>
      </c>
      <c r="BK22" s="930" t="str">
        <f>IFERROR(IF(OR(C22="",Q22="",W22="",O22="",AA22="",AD22="",AF22=""),"",
ROUND(((1+ELOSS)*((AK22*INDEX(ELECCB[NPV AEC $/kWh],MATCH(AY22,ELECCB[Year Number],1)))+(BA22*INDEX(ELECCB[NPV ACC $/kW],MATCH(AY22,ELECCB[Year Number],1))))),2)),0)</f>
        <v/>
      </c>
      <c r="BL22" s="1118"/>
    </row>
    <row r="23" spans="1:64" s="36" customFormat="1" ht="15.95" customHeight="1">
      <c r="A23" s="195"/>
      <c r="B23" s="905"/>
      <c r="C23" s="1038"/>
      <c r="D23" s="1076"/>
      <c r="E23" s="1076"/>
      <c r="F23" s="1076"/>
      <c r="G23" s="1076"/>
      <c r="H23" s="1076"/>
      <c r="I23" s="1076"/>
      <c r="J23" s="1076"/>
      <c r="K23" s="1076"/>
      <c r="L23" s="1076"/>
      <c r="M23" s="1141"/>
      <c r="N23" s="1141"/>
      <c r="O23" s="1041"/>
      <c r="P23" s="1041"/>
      <c r="Q23" s="1044"/>
      <c r="R23" s="1044"/>
      <c r="S23" s="1044"/>
      <c r="T23" s="1037"/>
      <c r="U23" s="1037"/>
      <c r="V23" s="1148"/>
      <c r="W23" s="1040"/>
      <c r="X23" s="1037"/>
      <c r="Y23" s="1037"/>
      <c r="Z23" s="1037"/>
      <c r="AA23" s="1037"/>
      <c r="AB23" s="1037"/>
      <c r="AC23" s="1037"/>
      <c r="AD23" s="1054"/>
      <c r="AE23" s="1054"/>
      <c r="AF23" s="1127"/>
      <c r="AG23" s="1128"/>
      <c r="AH23" s="1064"/>
      <c r="AI23" s="1065"/>
      <c r="AJ23" s="1065"/>
      <c r="AK23" s="1066"/>
      <c r="AL23" s="1066"/>
      <c r="AM23" s="1066"/>
      <c r="AN23" s="1138"/>
      <c r="AO23" s="1139"/>
      <c r="AP23" s="1139"/>
      <c r="AQ23" s="1140"/>
      <c r="AR23" s="354"/>
      <c r="AS23" s="354"/>
      <c r="AT23" s="1104"/>
      <c r="AU23" s="1104"/>
      <c r="AV23" s="1105"/>
      <c r="AW23" s="1025"/>
      <c r="AX23" s="1025"/>
      <c r="AY23" s="1114"/>
      <c r="AZ23" s="1116"/>
      <c r="BA23" s="1109"/>
      <c r="BB23" s="1121"/>
      <c r="BC23" s="931"/>
      <c r="BD23" s="931"/>
      <c r="BE23" s="931"/>
      <c r="BF23" s="931"/>
      <c r="BG23" s="931"/>
      <c r="BH23" s="1107"/>
      <c r="BI23" s="1105"/>
      <c r="BJ23" s="1105"/>
      <c r="BK23" s="931"/>
      <c r="BL23" s="1119"/>
    </row>
    <row r="24" spans="1:64" ht="15.95" customHeight="1">
      <c r="B24" s="905">
        <v>4</v>
      </c>
      <c r="C24" s="1069"/>
      <c r="D24" s="1073"/>
      <c r="E24" s="1073"/>
      <c r="F24" s="1073"/>
      <c r="G24" s="1073"/>
      <c r="H24" s="1073"/>
      <c r="I24" s="1073"/>
      <c r="J24" s="1073"/>
      <c r="K24" s="1073"/>
      <c r="L24" s="1073"/>
      <c r="M24" s="1141" t="str">
        <f>IFERROR(IF(C24="","",INDEX(CMELIGHTCON[Wattage Unit],MATCH(C24,CMELIGHTCON[Proj Desc 1],0))),"")</f>
        <v/>
      </c>
      <c r="N24" s="1141"/>
      <c r="O24" s="1041"/>
      <c r="P24" s="1041"/>
      <c r="Q24" s="1044"/>
      <c r="R24" s="1044"/>
      <c r="S24" s="1044"/>
      <c r="T24" s="1037"/>
      <c r="U24" s="1037"/>
      <c r="V24" s="1148"/>
      <c r="W24" s="1040"/>
      <c r="X24" s="1037"/>
      <c r="Y24" s="1037"/>
      <c r="Z24" s="1037"/>
      <c r="AA24" s="1037"/>
      <c r="AB24" s="1037"/>
      <c r="AC24" s="1037"/>
      <c r="AD24" s="1054"/>
      <c r="AE24" s="1054"/>
      <c r="AF24" s="1127"/>
      <c r="AG24" s="1128"/>
      <c r="AH24" s="1067" t="str">
        <f t="shared" ref="AH24" si="6">IF(OR(C24="",Q24="",W24="",O24="",AA24="",AD24="",AF24=""),"",ROUND(AD24+AF24,2))</f>
        <v/>
      </c>
      <c r="AI24" s="1068"/>
      <c r="AJ24" s="1068"/>
      <c r="AK24" s="1081" t="str">
        <f t="shared" ref="AK24" si="7">IF(OR(C24="",Q24="",W24="",O24="",AA24="",AD24="",AF24=""),"",IF(AW24-AX24&lt;=0,0,ROUND(AW24-AX24,4)))</f>
        <v/>
      </c>
      <c r="AL24" s="1081"/>
      <c r="AM24" s="1081"/>
      <c r="AN24" s="1135" t="str">
        <f>IF(OR(C24="",Q24="",W24="",O24="",AA24="",AD24="",AF24=""),"",
IF(BJ24&lt;&gt;"",BJ24,IF(BL24&gt;0,BL24,
IF(ACTIVEBLOCK="Yes",ROUND(MIN(AH24*0.75,AK24*BLOCKBIDRATE),2),
IF(BG24&lt;&gt;"",ROUND(MIN(AH24*0.75,BG24),2),
IF(BD24&lt;KWHRATEMIN,ROUND(MIN(AH24*0.75,BE24),2),
IF(BD24&gt;KWHRATEMAX,ROUND(MIN(AH24*0.75,BF24),2),
ROUND(MIN(AH24*0.75,BC24),2))))))))</f>
        <v/>
      </c>
      <c r="AO24" s="1136"/>
      <c r="AP24" s="1136"/>
      <c r="AQ24" s="1137"/>
      <c r="AR24" s="355"/>
      <c r="AS24" s="355"/>
      <c r="AT24" s="1112" t="str">
        <f>IFERROR(IF(OR(C24="",Q24="",W24="",O24="",AA24="",AD24="",AF24=""),"",
ROUND(((1+ELOSS)*((AK24*INDEX(ELECCB[NPV AEC $/kWh],MATCH(AY24,ELECCB[Year Number],1)))+(BA24*INDEX(ELECCB[NPV ACC $/kW],MATCH(AY24,ELECCB[Year Number],1))))/AH24),2)),0)</f>
        <v/>
      </c>
      <c r="AU24" s="1112" t="str">
        <f>IFERROR(AH24/M02S04F06/AK24,"")</f>
        <v/>
      </c>
      <c r="AV24" s="1108" t="str">
        <f>IF(C24="","",INDEX(CMELIGHTCON[Wattage Unit],MATCH(C24,CMELIGHTCON[Proj Desc 1],0)))</f>
        <v/>
      </c>
      <c r="AW24" s="1103" t="str">
        <f>IF(OR(C24="",Q24="",W24="",O24="",AA24="",AD24="",AF24=""),"",
ROUND((Q24/1000)*T24*INDEX(BUILDINGTYPE[Waste Heat Factor (e)],MATCH(M02S04F19,BUILDINGTYPE[Building Type],0)),4))</f>
        <v/>
      </c>
      <c r="AX24" s="1103" t="str">
        <f>IF(OR(C24="",Q24="",W24="",O24="",AA24="",AD24="",AF24=""),"",
AW24-ROUND((Q24/1000)*T24*INDEX(CMELIGHTCON[Energy Savings Factor],MATCH(C24,CMELIGHTCON[Proj Desc 1],0))*INDEX(BUILDINGTYPE[Waste Heat Factor (e)],MATCH(M02S04F19,BUILDINGTYPE[Building Type],0)),4))</f>
        <v/>
      </c>
      <c r="AY24" s="1113" t="str">
        <f>IF(OR(C24=""),"",IF(INDEX(CMELIGHTCON[EUL],MATCH(C24,CMELIGHTCON[Proj Desc 1],0))="","",INDEX(CMELIGHTCON[EUL],MATCH(C24,CMELIGHTCON[Proj Desc 1],0))))</f>
        <v/>
      </c>
      <c r="AZ24" s="1115" t="str">
        <f>IF(OR(C24=""),"",IF(INDEX(CMELIGHTCON[End Use Category],MATCH(C24,CMELIGHTCON[Proj Desc 1],0))="","",INDEX(CMELIGHTCON[End Use Category],MATCH(C24,CMELIGHTCON[Proj Desc 1],0))))</f>
        <v/>
      </c>
      <c r="BA24" s="1027" t="str">
        <f>IFERROR(IF(OR(C24="",Q24="",W24="",O24="",AA24="",AD24="",AF24=""),"",ROUND(AK24*INDEX(ENDUSEALL[Factor],MATCH(AZ24,ENDUSEALL[End Use to Coincident Peak Demand Factors],0)),4)),"")</f>
        <v/>
      </c>
      <c r="BB24" s="1120"/>
      <c r="BC24" s="930" t="str">
        <f t="shared" ref="BC24" si="8">IFERROR(ROUND(AK24*BD24,2),"")</f>
        <v/>
      </c>
      <c r="BD24" s="930" t="str">
        <f>IFERROR(INDEX(ENDUSEALL[Rate ($/kWh)],MATCH(AZ24,ENDUSEALL[End Use to Coincident Peak Demand Factors],0)),"")</f>
        <v/>
      </c>
      <c r="BE24" s="930" t="str">
        <f>IFERROR(ROUND(AK24*KWHRATEMIN,2),"")</f>
        <v/>
      </c>
      <c r="BF24" s="930" t="str">
        <f>IFERROR(ROUND(AK24*KWHRATEMAX,2),"")</f>
        <v/>
      </c>
      <c r="BG24" s="930" t="str">
        <f>IFERROR(IF(INDEX(ENDUSEALL[Bonus Rate ($/kWh)],MATCH(AZ24,ENDUSEALL[End Use to Coincident Peak Demand Factors],0))="","",INDEX(ENDUSEALL[Bonus Rate ($/kWh)],MATCH(AZ24,ENDUSEALL[End Use to Coincident Peak Demand Factors],0))*AK24),"")</f>
        <v/>
      </c>
      <c r="BH24" s="1106" t="str">
        <f>IF(OR(C24="",Q24="",W24="",O24="",AA24="",AD24="",AF24=""),"",IF(BJ24&lt;&gt;"",SPILLOVERNUMBER,INDEX(CMELIGHTCON[Measure Number],MATCH(C24,CMELIGHTCON[Proj Desc 1],0))))</f>
        <v/>
      </c>
      <c r="BI24" s="1108" t="str">
        <f>IFERROR(IF(ROUND(AN24/AH24,2)=TOTCOSTCAP,"Cost Cap at 75%",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IF(AND((ISNUMBER(SEARCH("Other",F24))),OR(AY24="",AZ24="")),MEASURESUBMIT,
 IF(PAYCUSE&lt;PAYBACKREQ,PROJECTSTATPAYBACK,
IF(CBCUSE&lt;CBREQ,PROJECTSTATCB,""))))))),MEASURESUBMIT)</f>
        <v>Submit for Review</v>
      </c>
      <c r="BK24" s="930" t="str">
        <f>IFERROR(IF(OR(C24="",Q24="",W24="",O24="",AA24="",AD24="",AF24=""),"",
ROUND(((1+ELOSS)*((AK24*INDEX(ELECCB[NPV AEC $/kWh],MATCH(AY24,ELECCB[Year Number],1)))+(BA24*INDEX(ELECCB[NPV ACC $/kW],MATCH(AY24,ELECCB[Year Number],1))))),2)),0)</f>
        <v/>
      </c>
      <c r="BL24" s="1118"/>
    </row>
    <row r="25" spans="1:64" ht="15.95" customHeight="1">
      <c r="A25" s="145"/>
      <c r="B25" s="905"/>
      <c r="C25" s="1038"/>
      <c r="D25" s="1076"/>
      <c r="E25" s="1076"/>
      <c r="F25" s="1076"/>
      <c r="G25" s="1076"/>
      <c r="H25" s="1076"/>
      <c r="I25" s="1076"/>
      <c r="J25" s="1076"/>
      <c r="K25" s="1076"/>
      <c r="L25" s="1076"/>
      <c r="M25" s="1141"/>
      <c r="N25" s="1141"/>
      <c r="O25" s="1041"/>
      <c r="P25" s="1041"/>
      <c r="Q25" s="1044"/>
      <c r="R25" s="1044"/>
      <c r="S25" s="1044"/>
      <c r="T25" s="1037"/>
      <c r="U25" s="1037"/>
      <c r="V25" s="1148"/>
      <c r="W25" s="1040"/>
      <c r="X25" s="1037"/>
      <c r="Y25" s="1037"/>
      <c r="Z25" s="1037"/>
      <c r="AA25" s="1037"/>
      <c r="AB25" s="1037"/>
      <c r="AC25" s="1037"/>
      <c r="AD25" s="1054"/>
      <c r="AE25" s="1054"/>
      <c r="AF25" s="1127"/>
      <c r="AG25" s="1128"/>
      <c r="AH25" s="1064"/>
      <c r="AI25" s="1065"/>
      <c r="AJ25" s="1065"/>
      <c r="AK25" s="1066"/>
      <c r="AL25" s="1066"/>
      <c r="AM25" s="1066"/>
      <c r="AN25" s="1138"/>
      <c r="AO25" s="1139"/>
      <c r="AP25" s="1139"/>
      <c r="AQ25" s="1140"/>
      <c r="AR25" s="355"/>
      <c r="AS25" s="355"/>
      <c r="AT25" s="1104"/>
      <c r="AU25" s="1104"/>
      <c r="AV25" s="1105"/>
      <c r="AW25" s="1025"/>
      <c r="AX25" s="1025"/>
      <c r="AY25" s="1114"/>
      <c r="AZ25" s="1116"/>
      <c r="BA25" s="1109"/>
      <c r="BB25" s="1121"/>
      <c r="BC25" s="931"/>
      <c r="BD25" s="931"/>
      <c r="BE25" s="931"/>
      <c r="BF25" s="931"/>
      <c r="BG25" s="931"/>
      <c r="BH25" s="1107"/>
      <c r="BI25" s="1105"/>
      <c r="BJ25" s="1105"/>
      <c r="BK25" s="931"/>
      <c r="BL25" s="1119"/>
    </row>
    <row r="26" spans="1:64" ht="15.95" customHeight="1">
      <c r="B26" s="905">
        <v>5</v>
      </c>
      <c r="C26" s="1069"/>
      <c r="D26" s="1073"/>
      <c r="E26" s="1073"/>
      <c r="F26" s="1073"/>
      <c r="G26" s="1073"/>
      <c r="H26" s="1073"/>
      <c r="I26" s="1073"/>
      <c r="J26" s="1073"/>
      <c r="K26" s="1073"/>
      <c r="L26" s="1073"/>
      <c r="M26" s="1141" t="str">
        <f>IFERROR(IF(C26="","",INDEX(CMELIGHTCON[Wattage Unit],MATCH(C26,CMELIGHTCON[Proj Desc 1],0))),"")</f>
        <v/>
      </c>
      <c r="N26" s="1141"/>
      <c r="O26" s="1041"/>
      <c r="P26" s="1041"/>
      <c r="Q26" s="1044"/>
      <c r="R26" s="1044"/>
      <c r="S26" s="1044"/>
      <c r="T26" s="1037"/>
      <c r="U26" s="1037"/>
      <c r="V26" s="1148"/>
      <c r="W26" s="1040"/>
      <c r="X26" s="1037"/>
      <c r="Y26" s="1037"/>
      <c r="Z26" s="1037"/>
      <c r="AA26" s="1037"/>
      <c r="AB26" s="1037"/>
      <c r="AC26" s="1037"/>
      <c r="AD26" s="1054"/>
      <c r="AE26" s="1054"/>
      <c r="AF26" s="1127"/>
      <c r="AG26" s="1128"/>
      <c r="AH26" s="1067" t="str">
        <f t="shared" ref="AH26" si="9">IF(OR(C26="",Q26="",W26="",O26="",AA26="",AD26="",AF26=""),"",ROUND(AD26+AF26,2))</f>
        <v/>
      </c>
      <c r="AI26" s="1068"/>
      <c r="AJ26" s="1068"/>
      <c r="AK26" s="1081" t="str">
        <f t="shared" ref="AK26" si="10">IF(OR(C26="",Q26="",W26="",O26="",AA26="",AD26="",AF26=""),"",IF(AW26-AX26&lt;=0,0,ROUND(AW26-AX26,4)))</f>
        <v/>
      </c>
      <c r="AL26" s="1081"/>
      <c r="AM26" s="1081"/>
      <c r="AN26" s="1135" t="str">
        <f>IF(OR(C26="",Q26="",W26="",O26="",AA26="",AD26="",AF26=""),"",
IF(BJ26&lt;&gt;"",BJ26,IF(BL26&gt;0,BL26,
IF(ACTIVEBLOCK="Yes",ROUND(MIN(AH26*0.75,AK26*BLOCKBIDRATE),2),
IF(BG26&lt;&gt;"",ROUND(MIN(AH26*0.75,BG26),2),
IF(BD26&lt;KWHRATEMIN,ROUND(MIN(AH26*0.75,BE26),2),
IF(BD26&gt;KWHRATEMAX,ROUND(MIN(AH26*0.75,BF26),2),
ROUND(MIN(AH26*0.75,BC26),2))))))))</f>
        <v/>
      </c>
      <c r="AO26" s="1136"/>
      <c r="AP26" s="1136"/>
      <c r="AQ26" s="1137"/>
      <c r="AR26" s="355"/>
      <c r="AS26" s="355"/>
      <c r="AT26" s="1112" t="str">
        <f>IFERROR(IF(OR(C26="",Q26="",W26="",O26="",AA26="",AD26="",AF26=""),"",
ROUND(((1+ELOSS)*((AK26*INDEX(ELECCB[NPV AEC $/kWh],MATCH(AY26,ELECCB[Year Number],1)))+(BA26*INDEX(ELECCB[NPV ACC $/kW],MATCH(AY26,ELECCB[Year Number],1))))/AH26),2)),0)</f>
        <v/>
      </c>
      <c r="AU26" s="1112" t="str">
        <f>IFERROR(AH26/M02S04F06/AK26,"")</f>
        <v/>
      </c>
      <c r="AV26" s="1108" t="str">
        <f>IF(C26="","",INDEX(CMELIGHTCON[Wattage Unit],MATCH(C26,CMELIGHTCON[Proj Desc 1],0)))</f>
        <v/>
      </c>
      <c r="AW26" s="1103" t="str">
        <f>IF(OR(C26="",Q26="",W26="",O26="",AA26="",AD26="",AF26=""),"",
ROUND((Q26/1000)*T26*INDEX(BUILDINGTYPE[Waste Heat Factor (e)],MATCH(M02S04F19,BUILDINGTYPE[Building Type],0)),4))</f>
        <v/>
      </c>
      <c r="AX26" s="1103" t="str">
        <f>IF(OR(C26="",Q26="",W26="",O26="",AA26="",AD26="",AF26=""),"",
AW26-ROUND((Q26/1000)*T26*INDEX(CMELIGHTCON[Energy Savings Factor],MATCH(C26,CMELIGHTCON[Proj Desc 1],0))*INDEX(BUILDINGTYPE[Waste Heat Factor (e)],MATCH(M02S04F19,BUILDINGTYPE[Building Type],0)),4))</f>
        <v/>
      </c>
      <c r="AY26" s="1113" t="str">
        <f>IF(OR(C26=""),"",IF(INDEX(CMELIGHTCON[EUL],MATCH(C26,CMELIGHTCON[Proj Desc 1],0))="","",INDEX(CMELIGHTCON[EUL],MATCH(C26,CMELIGHTCON[Proj Desc 1],0))))</f>
        <v/>
      </c>
      <c r="AZ26" s="1115" t="str">
        <f>IF(OR(C26=""),"",IF(INDEX(CMELIGHTCON[End Use Category],MATCH(C26,CMELIGHTCON[Proj Desc 1],0))="","",INDEX(CMELIGHTCON[End Use Category],MATCH(C26,CMELIGHTCON[Proj Desc 1],0))))</f>
        <v/>
      </c>
      <c r="BA26" s="1027" t="str">
        <f>IFERROR(IF(OR(C26="",Q26="",W26="",O26="",AA26="",AD26="",AF26=""),"",ROUND(AK26*INDEX(ENDUSEALL[Factor],MATCH(AZ26,ENDUSEALL[End Use to Coincident Peak Demand Factors],0)),4)),"")</f>
        <v/>
      </c>
      <c r="BB26" s="1120"/>
      <c r="BC26" s="930" t="str">
        <f t="shared" ref="BC26" si="11">IFERROR(ROUND(AK26*BD26,2),"")</f>
        <v/>
      </c>
      <c r="BD26" s="930" t="str">
        <f>IFERROR(INDEX(ENDUSEALL[Rate ($/kWh)],MATCH(AZ26,ENDUSEALL[End Use to Coincident Peak Demand Factors],0)),"")</f>
        <v/>
      </c>
      <c r="BE26" s="930" t="str">
        <f>IFERROR(ROUND(AK26*KWHRATEMIN,2),"")</f>
        <v/>
      </c>
      <c r="BF26" s="930" t="str">
        <f>IFERROR(ROUND(AK26*KWHRATEMAX,2),"")</f>
        <v/>
      </c>
      <c r="BG26" s="930" t="str">
        <f>IFERROR(IF(INDEX(ENDUSEALL[Bonus Rate ($/kWh)],MATCH(AZ26,ENDUSEALL[End Use to Coincident Peak Demand Factors],0))="","",INDEX(ENDUSEALL[Bonus Rate ($/kWh)],MATCH(AZ26,ENDUSEALL[End Use to Coincident Peak Demand Factors],0))*AK26),"")</f>
        <v/>
      </c>
      <c r="BH26" s="1106" t="str">
        <f>IF(OR(C26="",Q26="",W26="",O26="",AA26="",AD26="",AF26=""),"",IF(BJ26&lt;&gt;"",SPILLOVERNUMBER,INDEX(CMELIGHTCON[Measure Number],MATCH(C26,CMELIGHTCON[Proj Desc 1],0))))</f>
        <v/>
      </c>
      <c r="BI26" s="1108" t="str">
        <f>IFERROR(IF(ROUND(AN26/AH26,2)=TOTCOSTCAP,"Cost Cap at 75%",
IF(BD26&lt;KWHRATEMIN, "kWh Incentive Rate Min",
IF(BD26&gt;KWHRATEMAX,"kWh Incentive Rate Cap",
IF(AN26=BG26,"Bonus Incentive",
"kWh Incentive")))),"")</f>
        <v/>
      </c>
      <c r="BJ26" s="1108" t="str">
        <f ca="1">IFERROR(IF(EXPIRATION&lt;&gt;"",PROJSTATEXP,
IF(BL26&gt;0,"",
IF(AW26-AX26&lt;=0,MEASURESAVE,
IF(OR(M02S04F06="",M02S04F06="Select Rate Code",M02S04F06=0),MEASURERATE,
IF(AND((ISNUMBER(SEARCH("Other",F26))),OR(AY26="",AZ26="")),MEASURESUBMIT,
 IF(PAYCUSE&lt;PAYBACKREQ,PROJECTSTATPAYBACK,
IF(CBCUSE&lt;CBREQ,PROJECTSTATCB,""))))))),MEASURESUBMIT)</f>
        <v>Submit for Review</v>
      </c>
      <c r="BK26" s="930" t="str">
        <f>IFERROR(IF(OR(C26="",Q26="",W26="",O26="",AA26="",AD26="",AF26=""),"",
ROUND(((1+ELOSS)*((AK26*INDEX(ELECCB[NPV AEC $/kWh],MATCH(AY26,ELECCB[Year Number],1)))+(BA26*INDEX(ELECCB[NPV ACC $/kW],MATCH(AY26,ELECCB[Year Number],1))))),2)),0)</f>
        <v/>
      </c>
      <c r="BL26" s="1118"/>
    </row>
    <row r="27" spans="1:64" ht="15.95" customHeight="1">
      <c r="B27" s="905"/>
      <c r="C27" s="1038"/>
      <c r="D27" s="1076"/>
      <c r="E27" s="1076"/>
      <c r="F27" s="1076"/>
      <c r="G27" s="1076"/>
      <c r="H27" s="1076"/>
      <c r="I27" s="1076"/>
      <c r="J27" s="1076"/>
      <c r="K27" s="1076"/>
      <c r="L27" s="1076"/>
      <c r="M27" s="1141"/>
      <c r="N27" s="1141"/>
      <c r="O27" s="1041"/>
      <c r="P27" s="1041"/>
      <c r="Q27" s="1044"/>
      <c r="R27" s="1044"/>
      <c r="S27" s="1044"/>
      <c r="T27" s="1037"/>
      <c r="U27" s="1037"/>
      <c r="V27" s="1148"/>
      <c r="W27" s="1040"/>
      <c r="X27" s="1037"/>
      <c r="Y27" s="1037"/>
      <c r="Z27" s="1037"/>
      <c r="AA27" s="1037"/>
      <c r="AB27" s="1037"/>
      <c r="AC27" s="1037"/>
      <c r="AD27" s="1054"/>
      <c r="AE27" s="1054"/>
      <c r="AF27" s="1127"/>
      <c r="AG27" s="1128"/>
      <c r="AH27" s="1064"/>
      <c r="AI27" s="1065"/>
      <c r="AJ27" s="1065"/>
      <c r="AK27" s="1066"/>
      <c r="AL27" s="1066"/>
      <c r="AM27" s="1066"/>
      <c r="AN27" s="1138"/>
      <c r="AO27" s="1139"/>
      <c r="AP27" s="1139"/>
      <c r="AQ27" s="1140"/>
      <c r="AR27" s="355"/>
      <c r="AS27" s="355"/>
      <c r="AT27" s="1104"/>
      <c r="AU27" s="1104"/>
      <c r="AV27" s="1105"/>
      <c r="AW27" s="1025"/>
      <c r="AX27" s="1025"/>
      <c r="AY27" s="1114"/>
      <c r="AZ27" s="1116"/>
      <c r="BA27" s="1109"/>
      <c r="BB27" s="1121"/>
      <c r="BC27" s="931"/>
      <c r="BD27" s="931"/>
      <c r="BE27" s="931"/>
      <c r="BF27" s="931"/>
      <c r="BG27" s="931"/>
      <c r="BH27" s="1107"/>
      <c r="BI27" s="1105"/>
      <c r="BJ27" s="1105"/>
      <c r="BK27" s="931"/>
      <c r="BL27" s="1119"/>
    </row>
    <row r="28" spans="1:64" ht="15.95" customHeight="1">
      <c r="B28" s="905">
        <v>6</v>
      </c>
      <c r="C28" s="1069"/>
      <c r="D28" s="1073"/>
      <c r="E28" s="1073"/>
      <c r="F28" s="1073"/>
      <c r="G28" s="1073"/>
      <c r="H28" s="1073"/>
      <c r="I28" s="1073"/>
      <c r="J28" s="1073"/>
      <c r="K28" s="1073"/>
      <c r="L28" s="1073"/>
      <c r="M28" s="1141" t="str">
        <f>IFERROR(IF(C28="","",INDEX(CMELIGHTCON[Wattage Unit],MATCH(C28,CMELIGHTCON[Proj Desc 1],0))),"")</f>
        <v/>
      </c>
      <c r="N28" s="1141"/>
      <c r="O28" s="1041"/>
      <c r="P28" s="1041"/>
      <c r="Q28" s="1044"/>
      <c r="R28" s="1044"/>
      <c r="S28" s="1044"/>
      <c r="T28" s="1037"/>
      <c r="U28" s="1037"/>
      <c r="V28" s="1148"/>
      <c r="W28" s="1040"/>
      <c r="X28" s="1037"/>
      <c r="Y28" s="1037"/>
      <c r="Z28" s="1037"/>
      <c r="AA28" s="1037"/>
      <c r="AB28" s="1037"/>
      <c r="AC28" s="1037"/>
      <c r="AD28" s="1054"/>
      <c r="AE28" s="1054"/>
      <c r="AF28" s="1127"/>
      <c r="AG28" s="1128"/>
      <c r="AH28" s="1067" t="str">
        <f t="shared" ref="AH28" si="12">IF(OR(C28="",Q28="",W28="",O28="",AA28="",AD28="",AF28=""),"",ROUND(AD28+AF28,2))</f>
        <v/>
      </c>
      <c r="AI28" s="1068"/>
      <c r="AJ28" s="1068"/>
      <c r="AK28" s="1081" t="str">
        <f t="shared" ref="AK28" si="13">IF(OR(C28="",Q28="",W28="",O28="",AA28="",AD28="",AF28=""),"",IF(AW28-AX28&lt;=0,0,ROUND(AW28-AX28,4)))</f>
        <v/>
      </c>
      <c r="AL28" s="1081"/>
      <c r="AM28" s="1081"/>
      <c r="AN28" s="1135" t="str">
        <f>IF(OR(C28="",Q28="",W28="",O28="",AA28="",AD28="",AF28=""),"",
IF(BJ28&lt;&gt;"",BJ28,IF(BL28&gt;0,BL28,
IF(ACTIVEBLOCK="Yes",ROUND(MIN(AH28*0.75,AK28*BLOCKBIDRATE),2),
IF(BG28&lt;&gt;"",ROUND(MIN(AH28*0.75,BG28),2),
IF(BD28&lt;KWHRATEMIN,ROUND(MIN(AH28*0.75,BE28),2),
IF(BD28&gt;KWHRATEMAX,ROUND(MIN(AH28*0.75,BF28),2),
ROUND(MIN(AH28*0.75,BC28),2))))))))</f>
        <v/>
      </c>
      <c r="AO28" s="1136"/>
      <c r="AP28" s="1136"/>
      <c r="AQ28" s="1137"/>
      <c r="AR28" s="355"/>
      <c r="AS28" s="355"/>
      <c r="AT28" s="1112" t="str">
        <f>IFERROR(IF(OR(C28="",Q28="",W28="",O28="",AA28="",AD28="",AF28=""),"",
ROUND(((1+ELOSS)*((AK28*INDEX(ELECCB[NPV AEC $/kWh],MATCH(AY28,ELECCB[Year Number],1)))+(BA28*INDEX(ELECCB[NPV ACC $/kW],MATCH(AY28,ELECCB[Year Number],1))))/AH28),2)),0)</f>
        <v/>
      </c>
      <c r="AU28" s="1112" t="str">
        <f>IFERROR(AH28/M02S04F06/AK28,"")</f>
        <v/>
      </c>
      <c r="AV28" s="1108" t="str">
        <f>IF(C28="","",INDEX(CMELIGHTCON[Wattage Unit],MATCH(C28,CMELIGHTCON[Proj Desc 1],0)))</f>
        <v/>
      </c>
      <c r="AW28" s="1103" t="str">
        <f>IF(OR(C28="",Q28="",W28="",O28="",AA28="",AD28="",AF28=""),"",
ROUND((Q28/1000)*T28*INDEX(BUILDINGTYPE[Waste Heat Factor (e)],MATCH(M02S04F19,BUILDINGTYPE[Building Type],0)),4))</f>
        <v/>
      </c>
      <c r="AX28" s="1103" t="str">
        <f>IF(OR(C28="",Q28="",W28="",O28="",AA28="",AD28="",AF28=""),"",
AW28-ROUND((Q28/1000)*T28*INDEX(CMELIGHTCON[Energy Savings Factor],MATCH(C28,CMELIGHTCON[Proj Desc 1],0))*INDEX(BUILDINGTYPE[Waste Heat Factor (e)],MATCH(M02S04F19,BUILDINGTYPE[Building Type],0)),4))</f>
        <v/>
      </c>
      <c r="AY28" s="1113" t="str">
        <f>IF(OR(C28=""),"",IF(INDEX(CMELIGHTCON[EUL],MATCH(C28,CMELIGHTCON[Proj Desc 1],0))="","",INDEX(CMELIGHTCON[EUL],MATCH(C28,CMELIGHTCON[Proj Desc 1],0))))</f>
        <v/>
      </c>
      <c r="AZ28" s="1115" t="str">
        <f>IF(OR(C28=""),"",IF(INDEX(CMELIGHTCON[End Use Category],MATCH(C28,CMELIGHTCON[Proj Desc 1],0))="","",INDEX(CMELIGHTCON[End Use Category],MATCH(C28,CMELIGHTCON[Proj Desc 1],0))))</f>
        <v/>
      </c>
      <c r="BA28" s="1027" t="str">
        <f>IFERROR(IF(OR(C28="",Q28="",W28="",O28="",AA28="",AD28="",AF28=""),"",ROUND(AK28*INDEX(ENDUSEALL[Factor],MATCH(AZ28,ENDUSEALL[End Use to Coincident Peak Demand Factors],0)),4)),"")</f>
        <v/>
      </c>
      <c r="BB28" s="1120"/>
      <c r="BC28" s="930" t="str">
        <f t="shared" ref="BC28" si="14">IFERROR(ROUND(AK28*BD28,2),"")</f>
        <v/>
      </c>
      <c r="BD28" s="930" t="str">
        <f>IFERROR(INDEX(ENDUSEALL[Rate ($/kWh)],MATCH(AZ28,ENDUSEALL[End Use to Coincident Peak Demand Factors],0)),"")</f>
        <v/>
      </c>
      <c r="BE28" s="930" t="str">
        <f>IFERROR(ROUND(AK28*KWHRATEMIN,2),"")</f>
        <v/>
      </c>
      <c r="BF28" s="930" t="str">
        <f>IFERROR(ROUND(AK28*KWHRATEMAX,2),"")</f>
        <v/>
      </c>
      <c r="BG28" s="930" t="str">
        <f>IFERROR(IF(INDEX(ENDUSEALL[Bonus Rate ($/kWh)],MATCH(AZ28,ENDUSEALL[End Use to Coincident Peak Demand Factors],0))="","",INDEX(ENDUSEALL[Bonus Rate ($/kWh)],MATCH(AZ28,ENDUSEALL[End Use to Coincident Peak Demand Factors],0))*AK28),"")</f>
        <v/>
      </c>
      <c r="BH28" s="1106" t="str">
        <f>IF(OR(C28="",Q28="",W28="",O28="",AA28="",AD28="",AF28=""),"",IF(BJ28&lt;&gt;"",SPILLOVERNUMBER,INDEX(CMELIGHTCON[Measure Number],MATCH(C28,CMELIGHTCON[Proj Desc 1],0))))</f>
        <v/>
      </c>
      <c r="BI28" s="1108" t="str">
        <f>IFERROR(IF(ROUND(AN28/AH28,2)=TOTCOSTCAP,"Cost Cap at 75%",
IF(BD28&lt;KWHRATEMIN, "kWh Incentive Rate Min",
IF(BD28&gt;KWHRATEMAX,"kWh Incentive Rate Cap",
IF(AN28=BG28,"Bonus Incentive",
"kWh Incentive")))),"")</f>
        <v/>
      </c>
      <c r="BJ28" s="1108" t="str">
        <f ca="1">IFERROR(IF(EXPIRATION&lt;&gt;"",PROJSTATEXP,
IF(BL28&gt;0,"",
IF(AW28-AX28&lt;=0,MEASURESAVE,
IF(OR(M02S04F06="",M02S04F06="Select Rate Code",M02S04F06=0),MEASURERATE,
IF(AND((ISNUMBER(SEARCH("Other",F28))),OR(AY28="",AZ28="")),MEASURESUBMIT,
 IF(PAYCUSE&lt;PAYBACKREQ,PROJECTSTATPAYBACK,
IF(CBCUSE&lt;CBREQ,PROJECTSTATCB,""))))))),MEASURESUBMIT)</f>
        <v>Submit for Review</v>
      </c>
      <c r="BK28" s="930" t="str">
        <f>IFERROR(IF(OR(C28="",Q28="",W28="",O28="",AA28="",AD28="",AF28=""),"",
ROUND(((1+ELOSS)*((AK28*INDEX(ELECCB[NPV AEC $/kWh],MATCH(AY28,ELECCB[Year Number],1)))+(BA28*INDEX(ELECCB[NPV ACC $/kW],MATCH(AY28,ELECCB[Year Number],1))))),2)),0)</f>
        <v/>
      </c>
      <c r="BL28" s="1118"/>
    </row>
    <row r="29" spans="1:64" ht="15.95" customHeight="1">
      <c r="B29" s="905"/>
      <c r="C29" s="1038"/>
      <c r="D29" s="1076"/>
      <c r="E29" s="1076"/>
      <c r="F29" s="1076"/>
      <c r="G29" s="1076"/>
      <c r="H29" s="1076"/>
      <c r="I29" s="1076"/>
      <c r="J29" s="1076"/>
      <c r="K29" s="1076"/>
      <c r="L29" s="1076"/>
      <c r="M29" s="1141"/>
      <c r="N29" s="1141"/>
      <c r="O29" s="1041"/>
      <c r="P29" s="1041"/>
      <c r="Q29" s="1044"/>
      <c r="R29" s="1044"/>
      <c r="S29" s="1044"/>
      <c r="T29" s="1037"/>
      <c r="U29" s="1037"/>
      <c r="V29" s="1148"/>
      <c r="W29" s="1040"/>
      <c r="X29" s="1037"/>
      <c r="Y29" s="1037"/>
      <c r="Z29" s="1037"/>
      <c r="AA29" s="1037"/>
      <c r="AB29" s="1037"/>
      <c r="AC29" s="1037"/>
      <c r="AD29" s="1054"/>
      <c r="AE29" s="1054"/>
      <c r="AF29" s="1127"/>
      <c r="AG29" s="1128"/>
      <c r="AH29" s="1064"/>
      <c r="AI29" s="1065"/>
      <c r="AJ29" s="1065"/>
      <c r="AK29" s="1066"/>
      <c r="AL29" s="1066"/>
      <c r="AM29" s="1066"/>
      <c r="AN29" s="1138"/>
      <c r="AO29" s="1139"/>
      <c r="AP29" s="1139"/>
      <c r="AQ29" s="1140"/>
      <c r="AR29" s="355"/>
      <c r="AS29" s="355"/>
      <c r="AT29" s="1104"/>
      <c r="AU29" s="1104"/>
      <c r="AV29" s="1105"/>
      <c r="AW29" s="1025"/>
      <c r="AX29" s="1025"/>
      <c r="AY29" s="1114"/>
      <c r="AZ29" s="1116"/>
      <c r="BA29" s="1109"/>
      <c r="BB29" s="1121"/>
      <c r="BC29" s="931"/>
      <c r="BD29" s="931"/>
      <c r="BE29" s="931"/>
      <c r="BF29" s="931"/>
      <c r="BG29" s="931"/>
      <c r="BH29" s="1107"/>
      <c r="BI29" s="1105"/>
      <c r="BJ29" s="1105"/>
      <c r="BK29" s="931"/>
      <c r="BL29" s="1119"/>
    </row>
    <row r="30" spans="1:64" ht="15.95" customHeight="1">
      <c r="B30" s="905">
        <v>7</v>
      </c>
      <c r="C30" s="1069"/>
      <c r="D30" s="1073"/>
      <c r="E30" s="1073"/>
      <c r="F30" s="1073"/>
      <c r="G30" s="1073"/>
      <c r="H30" s="1073"/>
      <c r="I30" s="1073"/>
      <c r="J30" s="1073"/>
      <c r="K30" s="1073"/>
      <c r="L30" s="1073"/>
      <c r="M30" s="1141" t="str">
        <f>IFERROR(IF(C30="","",INDEX(CMELIGHTCON[Wattage Unit],MATCH(C30,CMELIGHTCON[Proj Desc 1],0))),"")</f>
        <v/>
      </c>
      <c r="N30" s="1141"/>
      <c r="O30" s="1041"/>
      <c r="P30" s="1041"/>
      <c r="Q30" s="1044"/>
      <c r="R30" s="1044"/>
      <c r="S30" s="1044"/>
      <c r="T30" s="1037"/>
      <c r="U30" s="1037"/>
      <c r="V30" s="1148"/>
      <c r="W30" s="1040"/>
      <c r="X30" s="1037"/>
      <c r="Y30" s="1037"/>
      <c r="Z30" s="1037"/>
      <c r="AA30" s="1037"/>
      <c r="AB30" s="1037"/>
      <c r="AC30" s="1037"/>
      <c r="AD30" s="1054"/>
      <c r="AE30" s="1054"/>
      <c r="AF30" s="1127"/>
      <c r="AG30" s="1128"/>
      <c r="AH30" s="1067" t="str">
        <f t="shared" ref="AH30" si="15">IF(OR(C30="",Q30="",W30="",O30="",AA30="",AD30="",AF30=""),"",ROUND(AD30+AF30,2))</f>
        <v/>
      </c>
      <c r="AI30" s="1068"/>
      <c r="AJ30" s="1068"/>
      <c r="AK30" s="1081" t="str">
        <f t="shared" ref="AK30" si="16">IF(OR(C30="",Q30="",W30="",O30="",AA30="",AD30="",AF30=""),"",IF(AW30-AX30&lt;=0,0,ROUND(AW30-AX30,4)))</f>
        <v/>
      </c>
      <c r="AL30" s="1081"/>
      <c r="AM30" s="1081"/>
      <c r="AN30" s="1135" t="str">
        <f>IF(OR(C30="",Q30="",W30="",O30="",AA30="",AD30="",AF30=""),"",
IF(BJ30&lt;&gt;"",BJ30,IF(BL30&gt;0,BL30,
IF(ACTIVEBLOCK="Yes",ROUND(MIN(AH30*0.75,AK30*BLOCKBIDRATE),2),
IF(BG30&lt;&gt;"",ROUND(MIN(AH30*0.75,BG30),2),
IF(BD30&lt;KWHRATEMIN,ROUND(MIN(AH30*0.75,BE30),2),
IF(BD30&gt;KWHRATEMAX,ROUND(MIN(AH30*0.75,BF30),2),
ROUND(MIN(AH30*0.75,BC30),2))))))))</f>
        <v/>
      </c>
      <c r="AO30" s="1136"/>
      <c r="AP30" s="1136"/>
      <c r="AQ30" s="1137"/>
      <c r="AR30" s="355"/>
      <c r="AS30" s="355"/>
      <c r="AT30" s="1112" t="str">
        <f>IFERROR(IF(OR(C30="",Q30="",W30="",O30="",AA30="",AD30="",AF30=""),"",
ROUND(((1+ELOSS)*((AK30*INDEX(ELECCB[NPV AEC $/kWh],MATCH(AY30,ELECCB[Year Number],1)))+(BA30*INDEX(ELECCB[NPV ACC $/kW],MATCH(AY30,ELECCB[Year Number],1))))/AH30),2)),0)</f>
        <v/>
      </c>
      <c r="AU30" s="1112" t="str">
        <f>IFERROR(AH30/M02S04F06/AK30,"")</f>
        <v/>
      </c>
      <c r="AV30" s="1108" t="str">
        <f>IF(C30="","",INDEX(CMELIGHTCON[Wattage Unit],MATCH(C30,CMELIGHTCON[Proj Desc 1],0)))</f>
        <v/>
      </c>
      <c r="AW30" s="1103" t="str">
        <f>IF(OR(C30="",Q30="",W30="",O30="",AA30="",AD30="",AF30=""),"",
ROUND((Q30/1000)*T30*INDEX(BUILDINGTYPE[Waste Heat Factor (e)],MATCH(M02S04F19,BUILDINGTYPE[Building Type],0)),4))</f>
        <v/>
      </c>
      <c r="AX30" s="1103" t="str">
        <f>IF(OR(C30="",Q30="",W30="",O30="",AA30="",AD30="",AF30=""),"",
AW30-ROUND((Q30/1000)*T30*INDEX(CMELIGHTCON[Energy Savings Factor],MATCH(C30,CMELIGHTCON[Proj Desc 1],0))*INDEX(BUILDINGTYPE[Waste Heat Factor (e)],MATCH(M02S04F19,BUILDINGTYPE[Building Type],0)),4))</f>
        <v/>
      </c>
      <c r="AY30" s="1113" t="str">
        <f>IF(OR(C30=""),"",IF(INDEX(CMELIGHTCON[EUL],MATCH(C30,CMELIGHTCON[Proj Desc 1],0))="","",INDEX(CMELIGHTCON[EUL],MATCH(C30,CMELIGHTCON[Proj Desc 1],0))))</f>
        <v/>
      </c>
      <c r="AZ30" s="1115" t="str">
        <f>IF(OR(C30=""),"",IF(INDEX(CMELIGHTCON[End Use Category],MATCH(C30,CMELIGHTCON[Proj Desc 1],0))="","",INDEX(CMELIGHTCON[End Use Category],MATCH(C30,CMELIGHTCON[Proj Desc 1],0))))</f>
        <v/>
      </c>
      <c r="BA30" s="1027" t="str">
        <f>IFERROR(IF(OR(C30="",Q30="",W30="",O30="",AA30="",AD30="",AF30=""),"",ROUND(AK30*INDEX(ENDUSEALL[Factor],MATCH(AZ30,ENDUSEALL[End Use to Coincident Peak Demand Factors],0)),4)),"")</f>
        <v/>
      </c>
      <c r="BB30" s="1120"/>
      <c r="BC30" s="930" t="str">
        <f t="shared" ref="BC30" si="17">IFERROR(ROUND(AK30*BD30,2),"")</f>
        <v/>
      </c>
      <c r="BD30" s="930" t="str">
        <f>IFERROR(INDEX(ENDUSEALL[Rate ($/kWh)],MATCH(AZ30,ENDUSEALL[End Use to Coincident Peak Demand Factors],0)),"")</f>
        <v/>
      </c>
      <c r="BE30" s="930" t="str">
        <f>IFERROR(ROUND(AK30*KWHRATEMIN,2),"")</f>
        <v/>
      </c>
      <c r="BF30" s="930" t="str">
        <f>IFERROR(ROUND(AK30*KWHRATEMAX,2),"")</f>
        <v/>
      </c>
      <c r="BG30" s="930" t="str">
        <f>IFERROR(IF(INDEX(ENDUSEALL[Bonus Rate ($/kWh)],MATCH(AZ30,ENDUSEALL[End Use to Coincident Peak Demand Factors],0))="","",INDEX(ENDUSEALL[Bonus Rate ($/kWh)],MATCH(AZ30,ENDUSEALL[End Use to Coincident Peak Demand Factors],0))*AK30),"")</f>
        <v/>
      </c>
      <c r="BH30" s="1106" t="str">
        <f>IF(OR(C30="",Q30="",W30="",O30="",AA30="",AD30="",AF30=""),"",IF(BJ30&lt;&gt;"",SPILLOVERNUMBER,INDEX(CMELIGHTCON[Measure Number],MATCH(C30,CMELIGHTCON[Proj Desc 1],0))))</f>
        <v/>
      </c>
      <c r="BI30" s="1108" t="str">
        <f>IFERROR(IF(ROUND(AN30/AH30,2)=TOTCOSTCAP,"Cost Cap at 75%",
IF(BD30&lt;KWHRATEMIN, "kWh Incentive Rate Min",
IF(BD30&gt;KWHRATEMAX,"kWh Incentive Rate Cap",
IF(AN30=BG30,"Bonus Incentive",
"kWh Incentive")))),"")</f>
        <v/>
      </c>
      <c r="BJ30" s="1108" t="str">
        <f ca="1">IFERROR(IF(EXPIRATION&lt;&gt;"",PROJSTATEXP,
IF(BL30&gt;0,"",
IF(AW30-AX30&lt;=0,MEASURESAVE,
IF(OR(M02S04F06="",M02S04F06="Select Rate Code",M02S04F06=0),MEASURERATE,
IF(AND((ISNUMBER(SEARCH("Other",F30))),OR(AY30="",AZ30="")),MEASURESUBMIT,
 IF(PAYCUSE&lt;PAYBACKREQ,PROJECTSTATPAYBACK,
IF(CBCUSE&lt;CBREQ,PROJECTSTATCB,""))))))),MEASURESUBMIT)</f>
        <v>Submit for Review</v>
      </c>
      <c r="BK30" s="930" t="str">
        <f>IFERROR(IF(OR(C30="",Q30="",W30="",O30="",AA30="",AD30="",AF30=""),"",
ROUND(((1+ELOSS)*((AK30*INDEX(ELECCB[NPV AEC $/kWh],MATCH(AY30,ELECCB[Year Number],1)))+(BA30*INDEX(ELECCB[NPV ACC $/kW],MATCH(AY30,ELECCB[Year Number],1))))),2)),0)</f>
        <v/>
      </c>
      <c r="BL30" s="1118"/>
    </row>
    <row r="31" spans="1:64" ht="15.95" customHeight="1">
      <c r="B31" s="905"/>
      <c r="C31" s="1038"/>
      <c r="D31" s="1076"/>
      <c r="E31" s="1076"/>
      <c r="F31" s="1076"/>
      <c r="G31" s="1076"/>
      <c r="H31" s="1076"/>
      <c r="I31" s="1076"/>
      <c r="J31" s="1076"/>
      <c r="K31" s="1076"/>
      <c r="L31" s="1076"/>
      <c r="M31" s="1141"/>
      <c r="N31" s="1141"/>
      <c r="O31" s="1041"/>
      <c r="P31" s="1041"/>
      <c r="Q31" s="1044"/>
      <c r="R31" s="1044"/>
      <c r="S31" s="1044"/>
      <c r="T31" s="1037"/>
      <c r="U31" s="1037"/>
      <c r="V31" s="1148"/>
      <c r="W31" s="1040"/>
      <c r="X31" s="1037"/>
      <c r="Y31" s="1037"/>
      <c r="Z31" s="1037"/>
      <c r="AA31" s="1037"/>
      <c r="AB31" s="1037"/>
      <c r="AC31" s="1037"/>
      <c r="AD31" s="1054"/>
      <c r="AE31" s="1054"/>
      <c r="AF31" s="1127"/>
      <c r="AG31" s="1128"/>
      <c r="AH31" s="1064"/>
      <c r="AI31" s="1065"/>
      <c r="AJ31" s="1065"/>
      <c r="AK31" s="1066"/>
      <c r="AL31" s="1066"/>
      <c r="AM31" s="1066"/>
      <c r="AN31" s="1138"/>
      <c r="AO31" s="1139"/>
      <c r="AP31" s="1139"/>
      <c r="AQ31" s="1140"/>
      <c r="AR31" s="355"/>
      <c r="AS31" s="355"/>
      <c r="AT31" s="1104"/>
      <c r="AU31" s="1104"/>
      <c r="AV31" s="1105"/>
      <c r="AW31" s="1025"/>
      <c r="AX31" s="1025"/>
      <c r="AY31" s="1114"/>
      <c r="AZ31" s="1116"/>
      <c r="BA31" s="1109"/>
      <c r="BB31" s="1121"/>
      <c r="BC31" s="931"/>
      <c r="BD31" s="931"/>
      <c r="BE31" s="931"/>
      <c r="BF31" s="931"/>
      <c r="BG31" s="931"/>
      <c r="BH31" s="1107"/>
      <c r="BI31" s="1105"/>
      <c r="BJ31" s="1105"/>
      <c r="BK31" s="931"/>
      <c r="BL31" s="1119"/>
    </row>
    <row r="32" spans="1:64" ht="15.95" customHeight="1">
      <c r="B32" s="905">
        <v>8</v>
      </c>
      <c r="C32" s="1069"/>
      <c r="D32" s="1073"/>
      <c r="E32" s="1073"/>
      <c r="F32" s="1073"/>
      <c r="G32" s="1073"/>
      <c r="H32" s="1073"/>
      <c r="I32" s="1073"/>
      <c r="J32" s="1073"/>
      <c r="K32" s="1073"/>
      <c r="L32" s="1073"/>
      <c r="M32" s="1141" t="str">
        <f>IFERROR(IF(C32="","",INDEX(CMELIGHTCON[Wattage Unit],MATCH(C32,CMELIGHTCON[Proj Desc 1],0))),"")</f>
        <v/>
      </c>
      <c r="N32" s="1141"/>
      <c r="O32" s="1041"/>
      <c r="P32" s="1041"/>
      <c r="Q32" s="1044"/>
      <c r="R32" s="1044"/>
      <c r="S32" s="1044"/>
      <c r="T32" s="1037"/>
      <c r="U32" s="1037"/>
      <c r="V32" s="1148"/>
      <c r="W32" s="1040"/>
      <c r="X32" s="1037"/>
      <c r="Y32" s="1037"/>
      <c r="Z32" s="1037"/>
      <c r="AA32" s="1037"/>
      <c r="AB32" s="1037"/>
      <c r="AC32" s="1037"/>
      <c r="AD32" s="1054"/>
      <c r="AE32" s="1054"/>
      <c r="AF32" s="1127"/>
      <c r="AG32" s="1128"/>
      <c r="AH32" s="1067" t="str">
        <f t="shared" ref="AH32" si="18">IF(OR(C32="",Q32="",W32="",O32="",AA32="",AD32="",AF32=""),"",ROUND(AD32+AF32,2))</f>
        <v/>
      </c>
      <c r="AI32" s="1068"/>
      <c r="AJ32" s="1068"/>
      <c r="AK32" s="1081" t="str">
        <f t="shared" ref="AK32" si="19">IF(OR(C32="",Q32="",W32="",O32="",AA32="",AD32="",AF32=""),"",IF(AW32-AX32&lt;=0,0,ROUND(AW32-AX32,4)))</f>
        <v/>
      </c>
      <c r="AL32" s="1081"/>
      <c r="AM32" s="1081"/>
      <c r="AN32" s="1135" t="str">
        <f>IF(OR(C32="",Q32="",W32="",O32="",AA32="",AD32="",AF32=""),"",
IF(BJ32&lt;&gt;"",BJ32,IF(BL32&gt;0,BL32,
IF(ACTIVEBLOCK="Yes",ROUND(MIN(AH32*0.75,AK32*BLOCKBIDRATE),2),
IF(BG32&lt;&gt;"",ROUND(MIN(AH32*0.75,BG32),2),
IF(BD32&lt;KWHRATEMIN,ROUND(MIN(AH32*0.75,BE32),2),
IF(BD32&gt;KWHRATEMAX,ROUND(MIN(AH32*0.75,BF32),2),
ROUND(MIN(AH32*0.75,BC32),2))))))))</f>
        <v/>
      </c>
      <c r="AO32" s="1136"/>
      <c r="AP32" s="1136"/>
      <c r="AQ32" s="1137"/>
      <c r="AR32" s="355"/>
      <c r="AS32" s="355"/>
      <c r="AT32" s="1112" t="str">
        <f>IFERROR(IF(OR(C32="",Q32="",W32="",O32="",AA32="",AD32="",AF32=""),"",
ROUND(((1+ELOSS)*((AK32*INDEX(ELECCB[NPV AEC $/kWh],MATCH(AY32,ELECCB[Year Number],1)))+(BA32*INDEX(ELECCB[NPV ACC $/kW],MATCH(AY32,ELECCB[Year Number],1))))/AH32),2)),0)</f>
        <v/>
      </c>
      <c r="AU32" s="1112" t="str">
        <f>IFERROR(AH32/M02S04F06/AK32,"")</f>
        <v/>
      </c>
      <c r="AV32" s="1108" t="str">
        <f>IF(C32="","",INDEX(CMELIGHTCON[Wattage Unit],MATCH(C32,CMELIGHTCON[Proj Desc 1],0)))</f>
        <v/>
      </c>
      <c r="AW32" s="1103" t="str">
        <f>IF(OR(C32="",Q32="",W32="",O32="",AA32="",AD32="",AF32=""),"",
ROUND((Q32/1000)*T32*INDEX(BUILDINGTYPE[Waste Heat Factor (e)],MATCH(M02S04F19,BUILDINGTYPE[Building Type],0)),4))</f>
        <v/>
      </c>
      <c r="AX32" s="1103" t="str">
        <f>IF(OR(C32="",Q32="",W32="",O32="",AA32="",AD32="",AF32=""),"",
AW32-ROUND((Q32/1000)*T32*INDEX(CMELIGHTCON[Energy Savings Factor],MATCH(C32,CMELIGHTCON[Proj Desc 1],0))*INDEX(BUILDINGTYPE[Waste Heat Factor (e)],MATCH(M02S04F19,BUILDINGTYPE[Building Type],0)),4))</f>
        <v/>
      </c>
      <c r="AY32" s="1113" t="str">
        <f>IF(OR(C32=""),"",IF(INDEX(CMELIGHTCON[EUL],MATCH(C32,CMELIGHTCON[Proj Desc 1],0))="","",INDEX(CMELIGHTCON[EUL],MATCH(C32,CMELIGHTCON[Proj Desc 1],0))))</f>
        <v/>
      </c>
      <c r="AZ32" s="1115" t="str">
        <f>IF(OR(C32=""),"",IF(INDEX(CMELIGHTCON[End Use Category],MATCH(C32,CMELIGHTCON[Proj Desc 1],0))="","",INDEX(CMELIGHTCON[End Use Category],MATCH(C32,CMELIGHTCON[Proj Desc 1],0))))</f>
        <v/>
      </c>
      <c r="BA32" s="1027" t="str">
        <f>IFERROR(IF(OR(C32="",Q32="",W32="",O32="",AA32="",AD32="",AF32=""),"",ROUND(AK32*INDEX(ENDUSEALL[Factor],MATCH(AZ32,ENDUSEALL[End Use to Coincident Peak Demand Factors],0)),4)),"")</f>
        <v/>
      </c>
      <c r="BB32" s="1120"/>
      <c r="BC32" s="930" t="str">
        <f t="shared" ref="BC32" si="20">IFERROR(ROUND(AK32*BD32,2),"")</f>
        <v/>
      </c>
      <c r="BD32" s="930" t="str">
        <f>IFERROR(INDEX(ENDUSEALL[Rate ($/kWh)],MATCH(AZ32,ENDUSEALL[End Use to Coincident Peak Demand Factors],0)),"")</f>
        <v/>
      </c>
      <c r="BE32" s="930" t="str">
        <f>IFERROR(ROUND(AK32*KWHRATEMIN,2),"")</f>
        <v/>
      </c>
      <c r="BF32" s="930" t="str">
        <f>IFERROR(ROUND(AK32*KWHRATEMAX,2),"")</f>
        <v/>
      </c>
      <c r="BG32" s="930" t="str">
        <f>IFERROR(IF(INDEX(ENDUSEALL[Bonus Rate ($/kWh)],MATCH(AZ32,ENDUSEALL[End Use to Coincident Peak Demand Factors],0))="","",INDEX(ENDUSEALL[Bonus Rate ($/kWh)],MATCH(AZ32,ENDUSEALL[End Use to Coincident Peak Demand Factors],0))*AK32),"")</f>
        <v/>
      </c>
      <c r="BH32" s="1106" t="str">
        <f>IF(OR(C32="",Q32="",W32="",O32="",AA32="",AD32="",AF32=""),"",IF(BJ32&lt;&gt;"",SPILLOVERNUMBER,INDEX(CMELIGHTCON[Measure Number],MATCH(C32,CMELIGHTCON[Proj Desc 1],0))))</f>
        <v/>
      </c>
      <c r="BI32" s="1108" t="str">
        <f>IFERROR(IF(ROUND(AN32/AH32,2)=TOTCOSTCAP,"Cost Cap at 75%",
IF(BD32&lt;KWHRATEMIN, "kWh Incentive Rate Min",
IF(BD32&gt;KWHRATEMAX,"kWh Incentive Rate Cap",
IF(AN32=BG32,"Bonus Incentive",
"kWh Incentive")))),"")</f>
        <v/>
      </c>
      <c r="BJ32" s="1108" t="str">
        <f ca="1">IFERROR(IF(EXPIRATION&lt;&gt;"",PROJSTATEXP,
IF(BL32&gt;0,"",
IF(AW32-AX32&lt;=0,MEASURESAVE,
IF(OR(M02S04F06="",M02S04F06="Select Rate Code",M02S04F06=0),MEASURERATE,
IF(AND((ISNUMBER(SEARCH("Other",F32))),OR(AY32="",AZ32="")),MEASURESUBMIT,
 IF(PAYCUSE&lt;PAYBACKREQ,PROJECTSTATPAYBACK,
IF(CBCUSE&lt;CBREQ,PROJECTSTATCB,""))))))),MEASURESUBMIT)</f>
        <v>Submit for Review</v>
      </c>
      <c r="BK32" s="930" t="str">
        <f>IFERROR(IF(OR(C32="",Q32="",W32="",O32="",AA32="",AD32="",AF32=""),"",
ROUND(((1+ELOSS)*((AK32*INDEX(ELECCB[NPV AEC $/kWh],MATCH(AY32,ELECCB[Year Number],1)))+(BA32*INDEX(ELECCB[NPV ACC $/kW],MATCH(AY32,ELECCB[Year Number],1))))),2)),0)</f>
        <v/>
      </c>
      <c r="BL32" s="1118"/>
    </row>
    <row r="33" spans="2:64" ht="15.95" customHeight="1">
      <c r="B33" s="905"/>
      <c r="C33" s="1038"/>
      <c r="D33" s="1076"/>
      <c r="E33" s="1076"/>
      <c r="F33" s="1076"/>
      <c r="G33" s="1076"/>
      <c r="H33" s="1076"/>
      <c r="I33" s="1076"/>
      <c r="J33" s="1076"/>
      <c r="K33" s="1076"/>
      <c r="L33" s="1076"/>
      <c r="M33" s="1141"/>
      <c r="N33" s="1141"/>
      <c r="O33" s="1041"/>
      <c r="P33" s="1041"/>
      <c r="Q33" s="1044"/>
      <c r="R33" s="1044"/>
      <c r="S33" s="1044"/>
      <c r="T33" s="1037"/>
      <c r="U33" s="1037"/>
      <c r="V33" s="1148"/>
      <c r="W33" s="1040"/>
      <c r="X33" s="1037"/>
      <c r="Y33" s="1037"/>
      <c r="Z33" s="1037"/>
      <c r="AA33" s="1037"/>
      <c r="AB33" s="1037"/>
      <c r="AC33" s="1037"/>
      <c r="AD33" s="1054"/>
      <c r="AE33" s="1054"/>
      <c r="AF33" s="1127"/>
      <c r="AG33" s="1128"/>
      <c r="AH33" s="1064"/>
      <c r="AI33" s="1065"/>
      <c r="AJ33" s="1065"/>
      <c r="AK33" s="1066"/>
      <c r="AL33" s="1066"/>
      <c r="AM33" s="1066"/>
      <c r="AN33" s="1138"/>
      <c r="AO33" s="1139"/>
      <c r="AP33" s="1139"/>
      <c r="AQ33" s="1140"/>
      <c r="AR33" s="355"/>
      <c r="AS33" s="355"/>
      <c r="AT33" s="1104"/>
      <c r="AU33" s="1104"/>
      <c r="AV33" s="1105"/>
      <c r="AW33" s="1025"/>
      <c r="AX33" s="1025"/>
      <c r="AY33" s="1114"/>
      <c r="AZ33" s="1116"/>
      <c r="BA33" s="1109"/>
      <c r="BB33" s="1121"/>
      <c r="BC33" s="931"/>
      <c r="BD33" s="931"/>
      <c r="BE33" s="931"/>
      <c r="BF33" s="931"/>
      <c r="BG33" s="931"/>
      <c r="BH33" s="1107"/>
      <c r="BI33" s="1105"/>
      <c r="BJ33" s="1105"/>
      <c r="BK33" s="931"/>
      <c r="BL33" s="1119"/>
    </row>
    <row r="34" spans="2:64" ht="15.95" customHeight="1">
      <c r="B34" s="905">
        <v>9</v>
      </c>
      <c r="C34" s="1069"/>
      <c r="D34" s="1073"/>
      <c r="E34" s="1073"/>
      <c r="F34" s="1073"/>
      <c r="G34" s="1073"/>
      <c r="H34" s="1073"/>
      <c r="I34" s="1073"/>
      <c r="J34" s="1073"/>
      <c r="K34" s="1073"/>
      <c r="L34" s="1073"/>
      <c r="M34" s="1141" t="str">
        <f>IFERROR(IF(C34="","",INDEX(CMELIGHTCON[Wattage Unit],MATCH(C34,CMELIGHTCON[Proj Desc 1],0))),"")</f>
        <v/>
      </c>
      <c r="N34" s="1141"/>
      <c r="O34" s="1041"/>
      <c r="P34" s="1041"/>
      <c r="Q34" s="1044"/>
      <c r="R34" s="1044"/>
      <c r="S34" s="1044"/>
      <c r="T34" s="1037"/>
      <c r="U34" s="1037"/>
      <c r="V34" s="1148"/>
      <c r="W34" s="1040"/>
      <c r="X34" s="1037"/>
      <c r="Y34" s="1037"/>
      <c r="Z34" s="1037"/>
      <c r="AA34" s="1037"/>
      <c r="AB34" s="1037"/>
      <c r="AC34" s="1037"/>
      <c r="AD34" s="1054"/>
      <c r="AE34" s="1054"/>
      <c r="AF34" s="1127"/>
      <c r="AG34" s="1128"/>
      <c r="AH34" s="1067" t="str">
        <f t="shared" ref="AH34" si="21">IF(OR(C34="",Q34="",W34="",O34="",AA34="",AD34="",AF34=""),"",ROUND(AD34+AF34,2))</f>
        <v/>
      </c>
      <c r="AI34" s="1068"/>
      <c r="AJ34" s="1068"/>
      <c r="AK34" s="1081" t="str">
        <f t="shared" ref="AK34" si="22">IF(OR(C34="",Q34="",W34="",O34="",AA34="",AD34="",AF34=""),"",IF(AW34-AX34&lt;=0,0,ROUND(AW34-AX34,4)))</f>
        <v/>
      </c>
      <c r="AL34" s="1081"/>
      <c r="AM34" s="1081"/>
      <c r="AN34" s="1135" t="str">
        <f>IF(OR(C34="",Q34="",W34="",O34="",AA34="",AD34="",AF34=""),"",
IF(BJ34&lt;&gt;"",BJ34,IF(BL34&gt;0,BL34,
IF(ACTIVEBLOCK="Yes",ROUND(MIN(AH34*0.75,AK34*BLOCKBIDRATE),2),
IF(BG34&lt;&gt;"",ROUND(MIN(AH34*0.75,BG34),2),
IF(BD34&lt;KWHRATEMIN,ROUND(MIN(AH34*0.75,BE34),2),
IF(BD34&gt;KWHRATEMAX,ROUND(MIN(AH34*0.75,BF34),2),
ROUND(MIN(AH34*0.75,BC34),2))))))))</f>
        <v/>
      </c>
      <c r="AO34" s="1136"/>
      <c r="AP34" s="1136"/>
      <c r="AQ34" s="1137"/>
      <c r="AR34" s="355"/>
      <c r="AS34" s="355"/>
      <c r="AT34" s="1112" t="str">
        <f>IFERROR(IF(OR(C34="",Q34="",W34="",O34="",AA34="",AD34="",AF34=""),"",
ROUND(((1+ELOSS)*((AK34*INDEX(ELECCB[NPV AEC $/kWh],MATCH(AY34,ELECCB[Year Number],1)))+(BA34*INDEX(ELECCB[NPV ACC $/kW],MATCH(AY34,ELECCB[Year Number],1))))/AH34),2)),0)</f>
        <v/>
      </c>
      <c r="AU34" s="1112" t="str">
        <f>IFERROR(AH34/M02S04F06/AK34,"")</f>
        <v/>
      </c>
      <c r="AV34" s="1108" t="str">
        <f>IF(C34="","",INDEX(CMELIGHTCON[Wattage Unit],MATCH(C34,CMELIGHTCON[Proj Desc 1],0)))</f>
        <v/>
      </c>
      <c r="AW34" s="1103" t="str">
        <f>IF(OR(C34="",Q34="",W34="",O34="",AA34="",AD34="",AF34=""),"",
ROUND((Q34/1000)*T34*INDEX(BUILDINGTYPE[Waste Heat Factor (e)],MATCH(M02S04F19,BUILDINGTYPE[Building Type],0)),4))</f>
        <v/>
      </c>
      <c r="AX34" s="1103" t="str">
        <f>IF(OR(C34="",Q34="",W34="",O34="",AA34="",AD34="",AF34=""),"",
AW34-ROUND((Q34/1000)*T34*INDEX(CMELIGHTCON[Energy Savings Factor],MATCH(C34,CMELIGHTCON[Proj Desc 1],0))*INDEX(BUILDINGTYPE[Waste Heat Factor (e)],MATCH(M02S04F19,BUILDINGTYPE[Building Type],0)),4))</f>
        <v/>
      </c>
      <c r="AY34" s="1113" t="str">
        <f>IF(OR(C34=""),"",IF(INDEX(CMELIGHTCON[EUL],MATCH(C34,CMELIGHTCON[Proj Desc 1],0))="","",INDEX(CMELIGHTCON[EUL],MATCH(C34,CMELIGHTCON[Proj Desc 1],0))))</f>
        <v/>
      </c>
      <c r="AZ34" s="1115" t="str">
        <f>IF(OR(C34=""),"",IF(INDEX(CMELIGHTCON[End Use Category],MATCH(C34,CMELIGHTCON[Proj Desc 1],0))="","",INDEX(CMELIGHTCON[End Use Category],MATCH(C34,CMELIGHTCON[Proj Desc 1],0))))</f>
        <v/>
      </c>
      <c r="BA34" s="1027" t="str">
        <f>IFERROR(IF(OR(C34="",Q34="",W34="",O34="",AA34="",AD34="",AF34=""),"",ROUND(AK34*INDEX(ENDUSEALL[Factor],MATCH(AZ34,ENDUSEALL[End Use to Coincident Peak Demand Factors],0)),4)),"")</f>
        <v/>
      </c>
      <c r="BB34" s="1120"/>
      <c r="BC34" s="930" t="str">
        <f t="shared" ref="BC34" si="23">IFERROR(ROUND(AK34*BD34,2),"")</f>
        <v/>
      </c>
      <c r="BD34" s="930" t="str">
        <f>IFERROR(INDEX(ENDUSEALL[Rate ($/kWh)],MATCH(AZ34,ENDUSEALL[End Use to Coincident Peak Demand Factors],0)),"")</f>
        <v/>
      </c>
      <c r="BE34" s="930" t="str">
        <f>IFERROR(ROUND(AK34*KWHRATEMIN,2),"")</f>
        <v/>
      </c>
      <c r="BF34" s="930" t="str">
        <f>IFERROR(ROUND(AK34*KWHRATEMAX,2),"")</f>
        <v/>
      </c>
      <c r="BG34" s="930" t="str">
        <f>IFERROR(IF(INDEX(ENDUSEALL[Bonus Rate ($/kWh)],MATCH(AZ34,ENDUSEALL[End Use to Coincident Peak Demand Factors],0))="","",INDEX(ENDUSEALL[Bonus Rate ($/kWh)],MATCH(AZ34,ENDUSEALL[End Use to Coincident Peak Demand Factors],0))*AK34),"")</f>
        <v/>
      </c>
      <c r="BH34" s="1106" t="str">
        <f>IF(OR(C34="",Q34="",W34="",O34="",AA34="",AD34="",AF34=""),"",IF(BJ34&lt;&gt;"",SPILLOVERNUMBER,INDEX(CMELIGHTCON[Measure Number],MATCH(C34,CMELIGHTCON[Proj Desc 1],0))))</f>
        <v/>
      </c>
      <c r="BI34" s="1108" t="str">
        <f>IFERROR(IF(ROUND(AN34/AH34,2)=TOTCOSTCAP,"Cost Cap at 75%",
IF(BD34&lt;KWHRATEMIN, "kWh Incentive Rate Min",
IF(BD34&gt;KWHRATEMAX,"kWh Incentive Rate Cap",
IF(AN34=BG34,"Bonus Incentive",
"kWh Incentive")))),"")</f>
        <v/>
      </c>
      <c r="BJ34" s="1108" t="str">
        <f ca="1">IFERROR(IF(EXPIRATION&lt;&gt;"",PROJSTATEXP,
IF(BL34&gt;0,"",
IF(AW34-AX34&lt;=0,MEASURESAVE,
IF(OR(M02S04F06="",M02S04F06="Select Rate Code",M02S04F06=0),MEASURERATE,
IF(AND((ISNUMBER(SEARCH("Other",F34))),OR(AY34="",AZ34="")),MEASURESUBMIT,
 IF(PAYCUSE&lt;PAYBACKREQ,PROJECTSTATPAYBACK,
IF(CBCUSE&lt;CBREQ,PROJECTSTATCB,""))))))),MEASURESUBMIT)</f>
        <v>Submit for Review</v>
      </c>
      <c r="BK34" s="930" t="str">
        <f>IFERROR(IF(OR(C34="",Q34="",W34="",O34="",AA34="",AD34="",AF34=""),"",
ROUND(((1+ELOSS)*((AK34*INDEX(ELECCB[NPV AEC $/kWh],MATCH(AY34,ELECCB[Year Number],1)))+(BA34*INDEX(ELECCB[NPV ACC $/kW],MATCH(AY34,ELECCB[Year Number],1))))),2)),0)</f>
        <v/>
      </c>
      <c r="BL34" s="1118"/>
    </row>
    <row r="35" spans="2:64" ht="15.95" customHeight="1">
      <c r="B35" s="905"/>
      <c r="C35" s="1038"/>
      <c r="D35" s="1076"/>
      <c r="E35" s="1076"/>
      <c r="F35" s="1076"/>
      <c r="G35" s="1076"/>
      <c r="H35" s="1076"/>
      <c r="I35" s="1076"/>
      <c r="J35" s="1076"/>
      <c r="K35" s="1076"/>
      <c r="L35" s="1076"/>
      <c r="M35" s="1141"/>
      <c r="N35" s="1141"/>
      <c r="O35" s="1041"/>
      <c r="P35" s="1041"/>
      <c r="Q35" s="1044"/>
      <c r="R35" s="1044"/>
      <c r="S35" s="1044"/>
      <c r="T35" s="1037"/>
      <c r="U35" s="1037"/>
      <c r="V35" s="1148"/>
      <c r="W35" s="1040"/>
      <c r="X35" s="1037"/>
      <c r="Y35" s="1037"/>
      <c r="Z35" s="1037"/>
      <c r="AA35" s="1037"/>
      <c r="AB35" s="1037"/>
      <c r="AC35" s="1037"/>
      <c r="AD35" s="1054"/>
      <c r="AE35" s="1054"/>
      <c r="AF35" s="1127"/>
      <c r="AG35" s="1128"/>
      <c r="AH35" s="1064"/>
      <c r="AI35" s="1065"/>
      <c r="AJ35" s="1065"/>
      <c r="AK35" s="1066"/>
      <c r="AL35" s="1066"/>
      <c r="AM35" s="1066"/>
      <c r="AN35" s="1138"/>
      <c r="AO35" s="1139"/>
      <c r="AP35" s="1139"/>
      <c r="AQ35" s="1140"/>
      <c r="AR35" s="355"/>
      <c r="AS35" s="355"/>
      <c r="AT35" s="1104"/>
      <c r="AU35" s="1104"/>
      <c r="AV35" s="1105"/>
      <c r="AW35" s="1025"/>
      <c r="AX35" s="1025"/>
      <c r="AY35" s="1114"/>
      <c r="AZ35" s="1116"/>
      <c r="BA35" s="1109"/>
      <c r="BB35" s="1121"/>
      <c r="BC35" s="931"/>
      <c r="BD35" s="931"/>
      <c r="BE35" s="931"/>
      <c r="BF35" s="931"/>
      <c r="BG35" s="931"/>
      <c r="BH35" s="1107"/>
      <c r="BI35" s="1105"/>
      <c r="BJ35" s="1105"/>
      <c r="BK35" s="931"/>
      <c r="BL35" s="1119"/>
    </row>
    <row r="36" spans="2:64" ht="15.95" customHeight="1">
      <c r="B36" s="905">
        <v>10</v>
      </c>
      <c r="C36" s="1069"/>
      <c r="D36" s="1073"/>
      <c r="E36" s="1073"/>
      <c r="F36" s="1073"/>
      <c r="G36" s="1073"/>
      <c r="H36" s="1073"/>
      <c r="I36" s="1073"/>
      <c r="J36" s="1073"/>
      <c r="K36" s="1073"/>
      <c r="L36" s="1073"/>
      <c r="M36" s="1141" t="str">
        <f>IFERROR(IF(C36="","",INDEX(CMELIGHTCON[Wattage Unit],MATCH(C36,CMELIGHTCON[Proj Desc 1],0))),"")</f>
        <v/>
      </c>
      <c r="N36" s="1141"/>
      <c r="O36" s="1041"/>
      <c r="P36" s="1041"/>
      <c r="Q36" s="1044"/>
      <c r="R36" s="1044"/>
      <c r="S36" s="1044"/>
      <c r="T36" s="1037"/>
      <c r="U36" s="1037"/>
      <c r="V36" s="1148"/>
      <c r="W36" s="1040"/>
      <c r="X36" s="1037"/>
      <c r="Y36" s="1037"/>
      <c r="Z36" s="1037"/>
      <c r="AA36" s="1037"/>
      <c r="AB36" s="1037"/>
      <c r="AC36" s="1037"/>
      <c r="AD36" s="1054"/>
      <c r="AE36" s="1054"/>
      <c r="AF36" s="1127"/>
      <c r="AG36" s="1128"/>
      <c r="AH36" s="1067" t="str">
        <f t="shared" ref="AH36" si="24">IF(OR(C36="",Q36="",W36="",O36="",AA36="",AD36="",AF36=""),"",ROUND(AD36+AF36,2))</f>
        <v/>
      </c>
      <c r="AI36" s="1068"/>
      <c r="AJ36" s="1068"/>
      <c r="AK36" s="1081" t="str">
        <f t="shared" ref="AK36" si="25">IF(OR(C36="",Q36="",W36="",O36="",AA36="",AD36="",AF36=""),"",IF(AW36-AX36&lt;=0,0,ROUND(AW36-AX36,4)))</f>
        <v/>
      </c>
      <c r="AL36" s="1081"/>
      <c r="AM36" s="1081"/>
      <c r="AN36" s="1135" t="str">
        <f>IF(OR(C36="",Q36="",W36="",O36="",AA36="",AD36="",AF36=""),"",
IF(BJ36&lt;&gt;"",BJ36,IF(BL36&gt;0,BL36,
IF(ACTIVEBLOCK="Yes",ROUND(MIN(AH36*0.75,AK36*BLOCKBIDRATE),2),
IF(BG36&lt;&gt;"",ROUND(MIN(AH36*0.75,BG36),2),
IF(BD36&lt;KWHRATEMIN,ROUND(MIN(AH36*0.75,BE36),2),
IF(BD36&gt;KWHRATEMAX,ROUND(MIN(AH36*0.75,BF36),2),
ROUND(MIN(AH36*0.75,BC36),2))))))))</f>
        <v/>
      </c>
      <c r="AO36" s="1136"/>
      <c r="AP36" s="1136"/>
      <c r="AQ36" s="1137"/>
      <c r="AR36" s="355"/>
      <c r="AS36" s="355"/>
      <c r="AT36" s="1112" t="str">
        <f>IFERROR(IF(OR(C36="",Q36="",W36="",O36="",AA36="",AD36="",AF36=""),"",
ROUND(((1+ELOSS)*((AK36*INDEX(ELECCB[NPV AEC $/kWh],MATCH(AY36,ELECCB[Year Number],1)))+(BA36*INDEX(ELECCB[NPV ACC $/kW],MATCH(AY36,ELECCB[Year Number],1))))/AH36),2)),0)</f>
        <v/>
      </c>
      <c r="AU36" s="1112" t="str">
        <f>IFERROR(AH36/M02S04F06/AK36,"")</f>
        <v/>
      </c>
      <c r="AV36" s="1108" t="str">
        <f>IF(C36="","",INDEX(CMELIGHTCON[Wattage Unit],MATCH(C36,CMELIGHTCON[Proj Desc 1],0)))</f>
        <v/>
      </c>
      <c r="AW36" s="1103" t="str">
        <f>IF(OR(C36="",Q36="",W36="",O36="",AA36="",AD36="",AF36=""),"",
ROUND((Q36/1000)*T36*INDEX(BUILDINGTYPE[Waste Heat Factor (e)],MATCH(M02S04F19,BUILDINGTYPE[Building Type],0)),4))</f>
        <v/>
      </c>
      <c r="AX36" s="1103" t="str">
        <f>IF(OR(C36="",Q36="",W36="",O36="",AA36="",AD36="",AF36=""),"",
AW36-ROUND((Q36/1000)*T36*INDEX(CMELIGHTCON[Energy Savings Factor],MATCH(C36,CMELIGHTCON[Proj Desc 1],0))*INDEX(BUILDINGTYPE[Waste Heat Factor (e)],MATCH(M02S04F19,BUILDINGTYPE[Building Type],0)),4))</f>
        <v/>
      </c>
      <c r="AY36" s="1113" t="str">
        <f>IF(OR(C36=""),"",IF(INDEX(CMELIGHTCON[EUL],MATCH(C36,CMELIGHTCON[Proj Desc 1],0))="","",INDEX(CMELIGHTCON[EUL],MATCH(C36,CMELIGHTCON[Proj Desc 1],0))))</f>
        <v/>
      </c>
      <c r="AZ36" s="1115" t="str">
        <f>IF(OR(C36=""),"",IF(INDEX(CMELIGHTCON[End Use Category],MATCH(C36,CMELIGHTCON[Proj Desc 1],0))="","",INDEX(CMELIGHTCON[End Use Category],MATCH(C36,CMELIGHTCON[Proj Desc 1],0))))</f>
        <v/>
      </c>
      <c r="BA36" s="1027" t="str">
        <f>IFERROR(IF(OR(C36="",Q36="",W36="",O36="",AA36="",AD36="",AF36=""),"",ROUND(AK36*INDEX(ENDUSEALL[Factor],MATCH(AZ36,ENDUSEALL[End Use to Coincident Peak Demand Factors],0)),4)),"")</f>
        <v/>
      </c>
      <c r="BB36" s="1120"/>
      <c r="BC36" s="930" t="str">
        <f t="shared" ref="BC36" si="26">IFERROR(ROUND(AK36*BD36,2),"")</f>
        <v/>
      </c>
      <c r="BD36" s="930" t="str">
        <f>IFERROR(INDEX(ENDUSEALL[Rate ($/kWh)],MATCH(AZ36,ENDUSEALL[End Use to Coincident Peak Demand Factors],0)),"")</f>
        <v/>
      </c>
      <c r="BE36" s="930" t="str">
        <f>IFERROR(ROUND(AK36*KWHRATEMIN,2),"")</f>
        <v/>
      </c>
      <c r="BF36" s="930" t="str">
        <f>IFERROR(ROUND(AK36*KWHRATEMAX,2),"")</f>
        <v/>
      </c>
      <c r="BG36" s="930" t="str">
        <f>IFERROR(IF(INDEX(ENDUSEALL[Bonus Rate ($/kWh)],MATCH(AZ36,ENDUSEALL[End Use to Coincident Peak Demand Factors],0))="","",INDEX(ENDUSEALL[Bonus Rate ($/kWh)],MATCH(AZ36,ENDUSEALL[End Use to Coincident Peak Demand Factors],0))*AK36),"")</f>
        <v/>
      </c>
      <c r="BH36" s="1106" t="str">
        <f>IF(OR(C36="",Q36="",W36="",O36="",AA36="",AD36="",AF36=""),"",IF(BJ36&lt;&gt;"",SPILLOVERNUMBER,INDEX(CMELIGHTCON[Measure Number],MATCH(C36,CMELIGHTCON[Proj Desc 1],0))))</f>
        <v/>
      </c>
      <c r="BI36" s="1108" t="str">
        <f>IFERROR(IF(ROUND(AN36/AH36,2)=TOTCOSTCAP,"Cost Cap at 75%",
IF(BD36&lt;KWHRATEMIN, "kWh Incentive Rate Min",
IF(BD36&gt;KWHRATEMAX,"kWh Incentive Rate Cap",
IF(AN36=BG36,"Bonus Incentive",
"kWh Incentive")))),"")</f>
        <v/>
      </c>
      <c r="BJ36" s="1108" t="str">
        <f ca="1">IFERROR(IF(EXPIRATION&lt;&gt;"",PROJSTATEXP,
IF(BL36&gt;0,"",
IF(AW36-AX36&lt;=0,MEASURESAVE,
IF(OR(M02S04F06="",M02S04F06="Select Rate Code",M02S04F06=0),MEASURERATE,
IF(AND((ISNUMBER(SEARCH("Other",F36))),OR(AY36="",AZ36="")),MEASURESUBMIT,
 IF(PAYCUSE&lt;PAYBACKREQ,PROJECTSTATPAYBACK,
IF(CBCUSE&lt;CBREQ,PROJECTSTATCB,""))))))),MEASURESUBMIT)</f>
        <v>Submit for Review</v>
      </c>
      <c r="BK36" s="930" t="str">
        <f>IFERROR(IF(OR(C36="",Q36="",W36="",O36="",AA36="",AD36="",AF36=""),"",
ROUND(((1+ELOSS)*((AK36*INDEX(ELECCB[NPV AEC $/kWh],MATCH(AY36,ELECCB[Year Number],1)))+(BA36*INDEX(ELECCB[NPV ACC $/kW],MATCH(AY36,ELECCB[Year Number],1))))),2)),0)</f>
        <v/>
      </c>
      <c r="BL36" s="1118"/>
    </row>
    <row r="37" spans="2:64" ht="15.95" customHeight="1">
      <c r="B37" s="905"/>
      <c r="C37" s="1038"/>
      <c r="D37" s="1076"/>
      <c r="E37" s="1076"/>
      <c r="F37" s="1076"/>
      <c r="G37" s="1076"/>
      <c r="H37" s="1076"/>
      <c r="I37" s="1076"/>
      <c r="J37" s="1076"/>
      <c r="K37" s="1076"/>
      <c r="L37" s="1076"/>
      <c r="M37" s="1141"/>
      <c r="N37" s="1141"/>
      <c r="O37" s="1041"/>
      <c r="P37" s="1041"/>
      <c r="Q37" s="1044"/>
      <c r="R37" s="1044"/>
      <c r="S37" s="1044"/>
      <c r="T37" s="1037"/>
      <c r="U37" s="1037"/>
      <c r="V37" s="1148"/>
      <c r="W37" s="1040"/>
      <c r="X37" s="1037"/>
      <c r="Y37" s="1037"/>
      <c r="Z37" s="1037"/>
      <c r="AA37" s="1037"/>
      <c r="AB37" s="1037"/>
      <c r="AC37" s="1037"/>
      <c r="AD37" s="1054"/>
      <c r="AE37" s="1054"/>
      <c r="AF37" s="1127"/>
      <c r="AG37" s="1128"/>
      <c r="AH37" s="1064"/>
      <c r="AI37" s="1065"/>
      <c r="AJ37" s="1065"/>
      <c r="AK37" s="1066"/>
      <c r="AL37" s="1066"/>
      <c r="AM37" s="1066"/>
      <c r="AN37" s="1138"/>
      <c r="AO37" s="1139"/>
      <c r="AP37" s="1139"/>
      <c r="AQ37" s="1140"/>
      <c r="AR37" s="355"/>
      <c r="AS37" s="355"/>
      <c r="AT37" s="1104"/>
      <c r="AU37" s="1104"/>
      <c r="AV37" s="1105"/>
      <c r="AW37" s="1025"/>
      <c r="AX37" s="1025"/>
      <c r="AY37" s="1114"/>
      <c r="AZ37" s="1116"/>
      <c r="BA37" s="1109"/>
      <c r="BB37" s="1121"/>
      <c r="BC37" s="931"/>
      <c r="BD37" s="931"/>
      <c r="BE37" s="931"/>
      <c r="BF37" s="931"/>
      <c r="BG37" s="931"/>
      <c r="BH37" s="1107"/>
      <c r="BI37" s="1105"/>
      <c r="BJ37" s="1105"/>
      <c r="BK37" s="931"/>
      <c r="BL37" s="1119"/>
    </row>
    <row r="38" spans="2:64" ht="15.95" customHeight="1">
      <c r="B38" s="905"/>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s="235"/>
      <c r="AP38" s="235"/>
      <c r="AQ38" s="235"/>
      <c r="AR38" s="235"/>
      <c r="AS38" s="235"/>
      <c r="AT38"/>
      <c r="AU38"/>
      <c r="AV38"/>
      <c r="AY38"/>
      <c r="AZ38"/>
      <c r="BA38"/>
      <c r="BB38"/>
      <c r="BC38"/>
    </row>
    <row r="39" spans="2:64" ht="15.95" hidden="1" customHeight="1">
      <c r="B39" s="90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s="235"/>
      <c r="AP39" s="235"/>
      <c r="AQ39" s="235"/>
      <c r="AR39" s="235"/>
      <c r="AS39" s="235"/>
      <c r="AT39"/>
      <c r="AU39"/>
      <c r="AV39"/>
      <c r="AY39"/>
      <c r="AZ39"/>
      <c r="BA39"/>
      <c r="BB39"/>
      <c r="BC39"/>
    </row>
    <row r="40" spans="2:64" ht="15.95" hidden="1" customHeight="1">
      <c r="B40" s="90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s="235"/>
      <c r="AP40" s="235"/>
      <c r="AQ40" s="235"/>
      <c r="AR40" s="235"/>
      <c r="AS40" s="235"/>
      <c r="AT40"/>
      <c r="AU40"/>
      <c r="AV40"/>
      <c r="AY40"/>
      <c r="AZ40"/>
      <c r="BA40"/>
      <c r="BB40"/>
      <c r="BC40"/>
    </row>
    <row r="41" spans="2:64" ht="15.95" hidden="1" customHeight="1">
      <c r="B41" s="905"/>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s="235"/>
      <c r="AP41" s="235"/>
      <c r="AQ41" s="235"/>
      <c r="AR41" s="235"/>
      <c r="AS41" s="235"/>
      <c r="AT41"/>
      <c r="AU41"/>
      <c r="AV41"/>
      <c r="AY41"/>
      <c r="AZ41"/>
      <c r="BA41"/>
      <c r="BB41"/>
      <c r="BC41"/>
    </row>
    <row r="42" spans="2:64" ht="15.95" hidden="1" customHeight="1">
      <c r="B42" s="90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s="235"/>
      <c r="AP42" s="235"/>
      <c r="AQ42" s="235"/>
      <c r="AR42" s="235"/>
      <c r="AS42" s="235"/>
      <c r="AT42"/>
      <c r="AU42"/>
      <c r="AV42"/>
      <c r="AY42"/>
      <c r="AZ42"/>
      <c r="BA42"/>
      <c r="BB42"/>
      <c r="BC42"/>
    </row>
    <row r="43" spans="2:64" ht="15.95" hidden="1" customHeight="1">
      <c r="B43" s="90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s="235"/>
      <c r="AP43" s="235"/>
      <c r="AQ43" s="235"/>
      <c r="AR43" s="235"/>
      <c r="AS43" s="235"/>
      <c r="AT43"/>
      <c r="AU43"/>
      <c r="AV43"/>
      <c r="AY43"/>
      <c r="AZ43"/>
      <c r="BA43"/>
      <c r="BB43"/>
      <c r="BC43"/>
    </row>
    <row r="44" spans="2:64" ht="15.95" hidden="1" customHeight="1">
      <c r="B44" s="905"/>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s="235"/>
      <c r="AP44" s="235"/>
      <c r="AQ44" s="235"/>
      <c r="AR44" s="235"/>
      <c r="AS44" s="235"/>
      <c r="AT44"/>
      <c r="AU44"/>
      <c r="AV44"/>
      <c r="AY44"/>
      <c r="AZ44"/>
      <c r="BA44"/>
      <c r="BB44"/>
      <c r="BC44"/>
    </row>
    <row r="45" spans="2:64" ht="15.95" hidden="1" customHeight="1">
      <c r="B45" s="90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s="235"/>
      <c r="AP45" s="235"/>
      <c r="AQ45" s="235"/>
      <c r="AR45" s="235"/>
      <c r="AS45" s="235"/>
      <c r="AT45"/>
      <c r="AU45"/>
      <c r="AV45"/>
      <c r="AY45"/>
      <c r="AZ45"/>
      <c r="BA45"/>
      <c r="BB45"/>
      <c r="BC45"/>
    </row>
    <row r="46" spans="2:64" ht="15.95" hidden="1" customHeight="1">
      <c r="B46" s="90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s="235"/>
      <c r="AP46" s="235"/>
      <c r="AQ46" s="235"/>
      <c r="AR46" s="235"/>
      <c r="AS46" s="235"/>
      <c r="AT46"/>
      <c r="AU46"/>
      <c r="AV46"/>
      <c r="AY46"/>
      <c r="AZ46"/>
      <c r="BA46"/>
      <c r="BB46"/>
      <c r="BC46"/>
    </row>
    <row r="47" spans="2:64" ht="15.95" hidden="1" customHeight="1">
      <c r="B47" s="905"/>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s="235"/>
      <c r="AP47" s="235"/>
      <c r="AQ47" s="235"/>
      <c r="AR47" s="235"/>
      <c r="AS47" s="235"/>
      <c r="AT47"/>
      <c r="AU47"/>
      <c r="AV47"/>
      <c r="AY47"/>
      <c r="AZ47"/>
      <c r="BA47"/>
      <c r="BB47"/>
      <c r="BC47"/>
    </row>
    <row r="48" spans="2:64" ht="15.95" hidden="1" customHeight="1">
      <c r="AO48" s="235"/>
      <c r="AP48" s="235"/>
      <c r="AQ48" s="235"/>
      <c r="AR48" s="235"/>
      <c r="AS48" s="235"/>
      <c r="AU48" s="57"/>
      <c r="AV48" s="64"/>
      <c r="AW48" s="64"/>
      <c r="AX48" s="64"/>
      <c r="BA48" s="57"/>
      <c r="BB48" s="64"/>
    </row>
    <row r="49" spans="41:54" ht="15.95" hidden="1" customHeight="1">
      <c r="AO49" s="235"/>
      <c r="AP49" s="235"/>
      <c r="AQ49" s="235"/>
      <c r="AR49" s="235"/>
      <c r="AS49" s="235"/>
      <c r="AU49" s="57"/>
      <c r="AV49" s="64"/>
      <c r="AW49" s="64"/>
      <c r="AX49" s="64"/>
      <c r="BA49" s="57"/>
      <c r="BB49" s="64"/>
    </row>
    <row r="50" spans="41:54" ht="15.95" hidden="1" customHeight="1">
      <c r="AO50" s="235"/>
      <c r="AP50" s="235"/>
      <c r="AQ50" s="235"/>
      <c r="AR50" s="235"/>
      <c r="AS50" s="235"/>
      <c r="AU50" s="57"/>
      <c r="AV50" s="64"/>
      <c r="AW50" s="64"/>
      <c r="AX50" s="64"/>
      <c r="BA50" s="57"/>
      <c r="BB50" s="64"/>
    </row>
    <row r="51" spans="41:54" ht="15.95" hidden="1" customHeight="1">
      <c r="AO51" s="235"/>
      <c r="AP51" s="235"/>
      <c r="AQ51" s="235"/>
      <c r="AR51" s="235"/>
      <c r="AS51" s="235"/>
      <c r="AU51" s="57"/>
      <c r="AV51" s="64"/>
      <c r="AW51" s="64"/>
      <c r="AX51" s="64"/>
      <c r="BA51" s="57"/>
      <c r="BB51" s="64"/>
    </row>
    <row r="52" spans="41:54" ht="15.95" hidden="1" customHeight="1">
      <c r="AO52" s="235"/>
      <c r="AP52" s="235"/>
      <c r="AQ52" s="235"/>
      <c r="AR52" s="235"/>
      <c r="AS52" s="235"/>
      <c r="AU52" s="57"/>
      <c r="AV52" s="64"/>
      <c r="AW52" s="64"/>
      <c r="AX52" s="64"/>
      <c r="BA52" s="57"/>
      <c r="BB52" s="64"/>
    </row>
    <row r="53" spans="41:54" ht="15.95" hidden="1" customHeight="1">
      <c r="AO53" s="235"/>
      <c r="AP53" s="235"/>
      <c r="AQ53" s="235"/>
      <c r="AR53" s="235"/>
      <c r="AS53" s="235"/>
      <c r="AU53" s="57"/>
      <c r="AV53" s="64"/>
      <c r="AW53" s="64"/>
      <c r="AX53" s="64"/>
      <c r="BA53" s="57"/>
      <c r="BB53" s="64"/>
    </row>
    <row r="54" spans="41:54" ht="15.95" hidden="1" customHeight="1">
      <c r="AO54" s="235"/>
      <c r="AP54" s="235"/>
      <c r="AQ54" s="235"/>
      <c r="AR54" s="235"/>
      <c r="AS54" s="235"/>
      <c r="AU54" s="57"/>
      <c r="AV54" s="64"/>
      <c r="AW54" s="64"/>
      <c r="AX54" s="64"/>
      <c r="BA54" s="57"/>
      <c r="BB54" s="64"/>
    </row>
    <row r="55" spans="41:54" ht="15.95" hidden="1" customHeight="1">
      <c r="AO55" s="235"/>
      <c r="AP55" s="235"/>
      <c r="AQ55" s="235"/>
      <c r="AR55" s="235"/>
      <c r="AS55" s="235"/>
      <c r="AU55" s="57"/>
      <c r="AV55" s="64"/>
      <c r="AW55" s="64"/>
      <c r="AX55" s="64"/>
      <c r="BA55" s="57"/>
      <c r="BB55" s="64"/>
    </row>
    <row r="56" spans="41:54" ht="15.95" hidden="1" customHeight="1">
      <c r="AO56" s="235"/>
      <c r="AP56" s="235"/>
      <c r="AQ56" s="235"/>
      <c r="AR56" s="235"/>
      <c r="AS56" s="235"/>
      <c r="AU56" s="57"/>
      <c r="AV56" s="64"/>
      <c r="AW56" s="64"/>
      <c r="AX56" s="64"/>
      <c r="BA56" s="57"/>
      <c r="BB56" s="64"/>
    </row>
    <row r="57" spans="41:54" ht="15.95" hidden="1" customHeight="1">
      <c r="AO57" s="235"/>
      <c r="AP57" s="235"/>
      <c r="AQ57" s="235"/>
      <c r="AR57" s="235"/>
      <c r="AS57" s="235"/>
      <c r="AU57" s="57"/>
      <c r="AV57" s="64"/>
      <c r="AW57" s="64"/>
      <c r="AX57" s="64"/>
      <c r="BA57" s="57"/>
      <c r="BB57" s="64"/>
    </row>
    <row r="58" spans="41:54" ht="15.95" hidden="1" customHeight="1">
      <c r="AO58" s="235"/>
      <c r="AP58" s="235"/>
      <c r="AQ58" s="235"/>
      <c r="AR58" s="235"/>
      <c r="AS58" s="235"/>
      <c r="AU58" s="57"/>
      <c r="AV58" s="64"/>
      <c r="AW58" s="64"/>
      <c r="AX58" s="64"/>
      <c r="BA58" s="57"/>
      <c r="BB58" s="64"/>
    </row>
    <row r="59" spans="41:54" ht="15.95" hidden="1" customHeight="1">
      <c r="AO59" s="235"/>
      <c r="AP59" s="235"/>
      <c r="AQ59" s="235"/>
      <c r="AR59" s="235"/>
      <c r="AS59" s="235"/>
      <c r="AU59" s="57"/>
      <c r="AV59" s="64"/>
      <c r="AW59" s="64"/>
      <c r="AX59" s="64"/>
      <c r="BA59" s="57"/>
      <c r="BB59" s="64"/>
    </row>
    <row r="60" spans="41:54" ht="15.95" hidden="1" customHeight="1">
      <c r="AO60" s="235"/>
      <c r="AP60" s="235"/>
      <c r="AQ60" s="235"/>
      <c r="AR60" s="235"/>
      <c r="AS60" s="235"/>
      <c r="AU60" s="57"/>
      <c r="AV60" s="64"/>
      <c r="AW60" s="64"/>
      <c r="AX60" s="64"/>
      <c r="BA60" s="57"/>
      <c r="BB60" s="64"/>
    </row>
    <row r="61" spans="41:54" ht="15.95" hidden="1" customHeight="1">
      <c r="AO61" s="235"/>
      <c r="AP61" s="235"/>
      <c r="AQ61" s="235"/>
      <c r="AR61" s="235"/>
      <c r="AS61" s="235"/>
      <c r="AU61" s="57"/>
      <c r="AV61" s="64"/>
      <c r="AW61" s="64"/>
      <c r="AX61" s="64"/>
      <c r="BA61" s="57"/>
      <c r="BB61" s="64"/>
    </row>
    <row r="62" spans="41:54" ht="15.95" hidden="1" customHeight="1">
      <c r="AU62" s="57"/>
      <c r="AV62" s="64"/>
      <c r="AW62" s="64"/>
      <c r="AX62" s="64"/>
      <c r="BA62" s="57"/>
      <c r="BB62" s="64"/>
    </row>
    <row r="63" spans="41:54" ht="15.95" hidden="1" customHeight="1">
      <c r="AU63" s="57"/>
      <c r="AV63" s="64"/>
      <c r="AW63" s="64"/>
      <c r="AX63" s="64"/>
      <c r="BA63" s="57"/>
      <c r="BB63" s="64"/>
    </row>
    <row r="64" spans="41:54" ht="15.95" hidden="1" customHeight="1">
      <c r="AU64" s="57"/>
      <c r="AV64" s="64"/>
      <c r="AW64" s="64"/>
      <c r="AX64" s="64"/>
      <c r="BA64" s="57"/>
      <c r="BB64" s="64"/>
    </row>
    <row r="65" spans="47:54" ht="15.95" hidden="1" customHeight="1">
      <c r="AU65" s="57"/>
      <c r="AV65" s="64"/>
      <c r="AW65" s="64"/>
      <c r="AX65" s="64"/>
      <c r="BA65" s="57"/>
      <c r="BB65" s="64"/>
    </row>
    <row r="66" spans="47:54" ht="15.95" hidden="1" customHeight="1">
      <c r="AU66" s="57"/>
      <c r="AV66" s="64"/>
      <c r="AW66" s="64"/>
      <c r="AX66" s="64"/>
      <c r="BA66" s="57"/>
      <c r="BB66" s="64"/>
    </row>
    <row r="67" spans="47:54" ht="15.95" hidden="1" customHeight="1">
      <c r="AU67" s="57"/>
      <c r="AV67" s="64"/>
      <c r="AW67" s="64"/>
      <c r="AX67" s="64"/>
      <c r="BA67" s="57"/>
      <c r="BB67" s="64"/>
    </row>
    <row r="68" spans="47:54" ht="15.95" hidden="1" customHeight="1">
      <c r="AU68" s="57"/>
      <c r="AV68" s="64"/>
      <c r="AW68" s="64"/>
      <c r="AX68" s="64"/>
      <c r="BA68" s="57"/>
      <c r="BB68" s="64"/>
    </row>
    <row r="69" spans="47:54" ht="15.95" hidden="1" customHeight="1">
      <c r="AU69" s="57"/>
      <c r="AV69" s="64"/>
      <c r="AW69" s="64"/>
      <c r="AX69" s="64"/>
      <c r="BA69" s="57"/>
      <c r="BB69" s="64"/>
    </row>
    <row r="70" spans="47:54" ht="15.95" hidden="1" customHeight="1">
      <c r="AU70" s="57"/>
      <c r="AV70" s="64"/>
      <c r="AW70" s="64"/>
      <c r="AX70" s="64"/>
      <c r="BA70" s="57"/>
      <c r="BB70" s="64"/>
    </row>
    <row r="71" spans="47:54" ht="15.95" hidden="1" customHeight="1">
      <c r="AU71" s="57"/>
      <c r="AV71" s="64"/>
      <c r="AW71" s="64"/>
      <c r="AX71" s="64"/>
      <c r="BA71" s="57"/>
      <c r="BB71" s="64"/>
    </row>
    <row r="72" spans="47:54" ht="15.95" hidden="1" customHeight="1">
      <c r="AU72" s="57"/>
      <c r="AV72" s="64"/>
      <c r="AW72" s="64"/>
      <c r="AX72" s="64"/>
      <c r="BA72" s="57"/>
      <c r="BB72" s="64"/>
    </row>
    <row r="73" spans="47:54" ht="15.95" hidden="1" customHeight="1">
      <c r="AU73" s="57"/>
      <c r="AV73" s="64"/>
      <c r="AW73" s="64"/>
      <c r="AX73" s="64"/>
      <c r="BA73" s="57"/>
      <c r="BB73" s="64"/>
    </row>
    <row r="74" spans="47:54" ht="15.95" hidden="1" customHeight="1">
      <c r="AU74" s="57"/>
      <c r="AV74" s="64"/>
      <c r="AW74" s="64"/>
      <c r="AX74" s="64"/>
      <c r="BA74" s="57"/>
      <c r="BB74" s="64"/>
    </row>
    <row r="75" spans="47:54" ht="15.95" hidden="1" customHeight="1">
      <c r="AU75" s="57"/>
      <c r="AV75" s="64"/>
      <c r="AW75" s="64"/>
      <c r="AX75" s="64"/>
      <c r="BA75" s="57"/>
      <c r="BB75" s="64"/>
    </row>
    <row r="76" spans="47:54" ht="15.95" hidden="1" customHeight="1">
      <c r="AU76" s="57"/>
      <c r="AV76" s="64"/>
      <c r="AW76" s="64"/>
      <c r="AX76" s="64"/>
      <c r="BA76" s="57"/>
      <c r="BB76" s="64"/>
    </row>
    <row r="77" spans="47:54" ht="15.95" hidden="1" customHeight="1">
      <c r="AU77" s="57"/>
      <c r="AV77" s="64"/>
      <c r="AW77" s="64"/>
      <c r="AX77" s="64"/>
      <c r="BA77" s="57"/>
      <c r="BB77" s="64"/>
    </row>
    <row r="78" spans="47:54" ht="15.95" hidden="1" customHeight="1">
      <c r="AU78" s="57"/>
      <c r="AV78" s="64"/>
      <c r="AW78" s="64"/>
      <c r="AX78" s="64"/>
      <c r="BA78" s="57"/>
      <c r="BB78" s="64"/>
    </row>
    <row r="79" spans="47:54" ht="15.95" hidden="1" customHeight="1">
      <c r="AU79" s="57"/>
      <c r="AV79" s="64"/>
      <c r="AW79" s="64"/>
      <c r="AX79" s="64"/>
      <c r="BA79" s="57"/>
      <c r="BB79" s="64"/>
    </row>
    <row r="80" spans="47:54" ht="15.95" hidden="1" customHeight="1">
      <c r="AU80" s="57"/>
      <c r="AV80" s="64"/>
      <c r="AW80" s="64"/>
      <c r="AX80" s="64"/>
      <c r="BA80" s="57"/>
      <c r="BB80" s="64"/>
    </row>
    <row r="81" spans="47:54" ht="15.95" hidden="1" customHeight="1">
      <c r="AU81" s="57"/>
      <c r="AV81" s="64"/>
      <c r="AW81" s="64"/>
      <c r="AX81" s="64"/>
      <c r="BA81" s="57"/>
      <c r="BB81" s="64"/>
    </row>
    <row r="82" spans="47:54" ht="15.95" hidden="1" customHeight="1">
      <c r="AU82" s="57"/>
      <c r="AV82" s="64"/>
      <c r="AW82" s="64"/>
      <c r="AX82" s="64"/>
      <c r="BA82" s="57"/>
      <c r="BB82" s="64"/>
    </row>
    <row r="83" spans="47:54" ht="15.95" hidden="1" customHeight="1">
      <c r="AU83" s="57"/>
      <c r="AV83" s="64"/>
      <c r="AW83" s="64"/>
      <c r="AX83" s="64"/>
      <c r="BA83" s="57"/>
      <c r="BB83" s="64"/>
    </row>
    <row r="84" spans="47:54" ht="15.95" hidden="1" customHeight="1">
      <c r="AU84" s="57"/>
      <c r="AV84" s="64"/>
      <c r="AW84" s="64"/>
      <c r="AX84" s="64"/>
      <c r="BA84" s="57"/>
      <c r="BB84" s="64"/>
    </row>
    <row r="85" spans="47:54" ht="15.95" hidden="1" customHeight="1">
      <c r="AU85" s="57"/>
      <c r="AV85" s="64"/>
      <c r="AW85" s="64"/>
      <c r="AX85" s="64"/>
      <c r="BA85" s="57"/>
      <c r="BB85" s="64"/>
    </row>
    <row r="86" spans="47:54" ht="15.95" hidden="1" customHeight="1">
      <c r="AU86" s="57"/>
      <c r="AV86" s="64"/>
      <c r="AW86" s="64"/>
      <c r="AX86" s="64"/>
      <c r="BA86" s="57"/>
      <c r="BB86" s="64"/>
    </row>
    <row r="87" spans="47:54" ht="15.95" hidden="1" customHeight="1">
      <c r="AU87" s="57"/>
      <c r="AV87" s="64"/>
      <c r="AW87" s="64"/>
      <c r="AX87" s="64"/>
      <c r="BA87" s="57"/>
      <c r="BB87" s="64"/>
    </row>
    <row r="88" spans="47:54" ht="15.95" hidden="1" customHeight="1">
      <c r="AU88" s="57"/>
      <c r="AV88" s="64"/>
      <c r="AW88" s="64"/>
      <c r="AX88" s="64"/>
      <c r="BA88" s="57"/>
      <c r="BB88" s="64"/>
    </row>
    <row r="89" spans="47:54" ht="15.95" hidden="1" customHeight="1">
      <c r="AU89" s="57"/>
      <c r="AV89" s="64"/>
      <c r="AW89" s="64"/>
      <c r="AX89" s="64"/>
      <c r="BA89" s="57"/>
      <c r="BB89" s="64"/>
    </row>
    <row r="90" spans="47:54" ht="15.95" hidden="1" customHeight="1">
      <c r="AU90" s="57"/>
      <c r="AV90" s="64"/>
      <c r="AW90" s="64"/>
      <c r="AX90" s="64"/>
      <c r="BA90" s="57"/>
      <c r="BB90" s="64"/>
    </row>
    <row r="91" spans="47:54" ht="15.95" hidden="1" customHeight="1">
      <c r="AU91" s="57"/>
      <c r="AV91" s="64"/>
      <c r="AW91" s="64"/>
      <c r="AX91" s="64"/>
      <c r="BA91" s="57"/>
      <c r="BB91" s="64"/>
    </row>
    <row r="92" spans="47:54" ht="15.95" hidden="1" customHeight="1">
      <c r="AU92" s="57"/>
      <c r="AV92" s="64"/>
      <c r="AW92" s="64"/>
      <c r="AX92" s="64"/>
      <c r="BA92" s="57"/>
      <c r="BB92" s="64"/>
    </row>
    <row r="93" spans="47:54" ht="15.95" hidden="1" customHeight="1">
      <c r="AU93" s="57"/>
      <c r="AV93" s="64"/>
      <c r="AW93" s="64"/>
      <c r="AX93" s="64"/>
      <c r="BA93" s="57"/>
      <c r="BB93" s="64"/>
    </row>
    <row r="94" spans="47:54" ht="15.95" hidden="1" customHeight="1">
      <c r="AU94" s="57"/>
      <c r="AV94" s="64"/>
      <c r="AW94" s="64"/>
      <c r="AX94" s="64"/>
      <c r="BA94" s="57"/>
      <c r="BB94" s="64"/>
    </row>
    <row r="95" spans="47:54" ht="15.95" hidden="1" customHeight="1">
      <c r="AU95" s="57"/>
      <c r="AV95" s="64"/>
      <c r="AW95" s="64"/>
      <c r="AX95" s="64"/>
      <c r="BA95" s="57"/>
      <c r="BB95" s="64"/>
    </row>
    <row r="96" spans="47:54" ht="15.95" hidden="1" customHeight="1">
      <c r="AU96" s="57"/>
      <c r="AV96" s="64"/>
      <c r="AW96" s="64"/>
      <c r="AX96" s="64"/>
      <c r="BA96" s="57"/>
      <c r="BB96" s="64"/>
    </row>
    <row r="97" spans="47:54" ht="15.95" hidden="1" customHeight="1">
      <c r="AU97" s="57"/>
      <c r="AV97" s="64"/>
      <c r="AW97" s="64"/>
      <c r="AX97" s="64"/>
      <c r="BA97" s="57"/>
      <c r="BB97" s="64"/>
    </row>
    <row r="98" spans="47:54" ht="15.95" hidden="1" customHeight="1">
      <c r="AU98" s="57"/>
      <c r="AV98" s="64"/>
      <c r="AW98" s="64"/>
      <c r="AX98" s="64"/>
      <c r="BA98" s="57"/>
      <c r="BB98" s="64"/>
    </row>
    <row r="99" spans="47:54" ht="15.95" hidden="1" customHeight="1">
      <c r="AU99" s="57"/>
      <c r="AV99" s="64"/>
      <c r="AW99" s="64"/>
      <c r="AX99" s="64"/>
      <c r="BA99" s="57"/>
      <c r="BB99" s="64"/>
    </row>
    <row r="100" spans="47:54" ht="15.95" hidden="1" customHeight="1">
      <c r="AU100" s="57"/>
      <c r="AV100" s="64"/>
      <c r="AW100" s="64"/>
      <c r="AX100" s="64"/>
      <c r="BA100" s="57"/>
      <c r="BB100" s="64"/>
    </row>
    <row r="101" spans="47:54" ht="15.95" hidden="1" customHeight="1">
      <c r="AU101" s="57"/>
      <c r="AV101" s="64"/>
      <c r="AW101" s="64"/>
      <c r="AX101" s="64"/>
      <c r="BA101" s="57"/>
      <c r="BB101" s="64"/>
    </row>
    <row r="102" spans="47:54" ht="15.95" hidden="1" customHeight="1">
      <c r="AU102" s="57"/>
      <c r="AV102" s="64"/>
      <c r="AW102" s="64"/>
      <c r="AX102" s="64"/>
      <c r="BA102" s="57"/>
      <c r="BB102" s="64"/>
    </row>
    <row r="103" spans="47:54" ht="15.95" hidden="1" customHeight="1">
      <c r="AU103" s="57"/>
      <c r="AV103" s="64"/>
      <c r="AW103" s="64"/>
      <c r="AX103" s="64"/>
      <c r="BA103" s="57"/>
      <c r="BB103" s="64"/>
    </row>
    <row r="104" spans="47:54" ht="15.95" hidden="1" customHeight="1">
      <c r="AU104" s="57"/>
      <c r="AV104" s="64"/>
      <c r="AW104" s="64"/>
      <c r="AX104" s="64"/>
      <c r="BA104" s="57"/>
      <c r="BB104" s="64"/>
    </row>
    <row r="105" spans="47:54" ht="15.95" hidden="1" customHeight="1">
      <c r="AU105" s="57"/>
      <c r="AV105" s="64"/>
      <c r="AW105" s="64"/>
      <c r="AX105" s="64"/>
      <c r="BA105" s="57"/>
      <c r="BB105" s="64"/>
    </row>
    <row r="106" spans="47:54" ht="15.95" hidden="1" customHeight="1">
      <c r="AU106" s="57"/>
      <c r="AV106" s="64"/>
      <c r="AW106" s="64"/>
      <c r="AX106" s="64"/>
      <c r="BA106" s="57"/>
      <c r="BB106" s="64"/>
    </row>
    <row r="107" spans="47:54" ht="15.95" hidden="1" customHeight="1">
      <c r="AU107" s="57"/>
      <c r="AV107" s="64"/>
      <c r="AW107" s="64"/>
      <c r="AX107" s="64"/>
      <c r="BA107" s="57"/>
      <c r="BB107" s="64"/>
    </row>
    <row r="108" spans="47:54" ht="15.95" hidden="1" customHeight="1">
      <c r="AU108" s="57"/>
      <c r="AV108" s="64"/>
      <c r="AW108" s="64"/>
      <c r="AX108" s="64"/>
      <c r="BA108" s="57"/>
      <c r="BB108" s="64"/>
    </row>
    <row r="109" spans="47:54" ht="15.95" hidden="1" customHeight="1">
      <c r="AU109" s="57"/>
      <c r="AV109" s="64"/>
      <c r="AW109" s="64"/>
      <c r="AX109" s="64"/>
      <c r="BA109" s="57"/>
      <c r="BB109" s="64"/>
    </row>
    <row r="110" spans="47:54" ht="15.95" hidden="1" customHeight="1">
      <c r="AU110" s="57"/>
      <c r="AV110" s="64"/>
      <c r="AW110" s="64"/>
      <c r="AX110" s="64"/>
      <c r="BA110" s="57"/>
      <c r="BB110" s="64"/>
    </row>
    <row r="111" spans="47:54" ht="15.95" hidden="1" customHeight="1">
      <c r="AU111" s="57"/>
      <c r="AV111" s="64"/>
      <c r="AW111" s="64"/>
      <c r="AX111" s="64"/>
      <c r="BA111" s="57"/>
      <c r="BB111" s="64"/>
    </row>
    <row r="112" spans="47:54" ht="15.95" hidden="1" customHeight="1">
      <c r="AU112" s="57"/>
      <c r="AV112" s="64"/>
      <c r="AW112" s="64"/>
      <c r="AX112" s="64"/>
      <c r="BA112" s="57"/>
      <c r="BB112" s="64"/>
    </row>
    <row r="113" spans="47:54" ht="15.95" hidden="1" customHeight="1">
      <c r="AU113" s="57"/>
      <c r="AV113" s="64"/>
      <c r="AW113" s="64"/>
      <c r="AX113" s="64"/>
      <c r="BA113" s="57"/>
      <c r="BB113" s="64"/>
    </row>
    <row r="114" spans="47:54" ht="15.95" hidden="1" customHeight="1">
      <c r="AU114" s="57"/>
      <c r="AV114" s="64"/>
      <c r="AW114" s="64"/>
      <c r="AX114" s="64"/>
      <c r="BA114" s="57"/>
      <c r="BB114" s="64"/>
    </row>
    <row r="115" spans="47:54" ht="15.95" hidden="1" customHeight="1">
      <c r="AU115" s="57"/>
      <c r="AV115" s="64"/>
      <c r="AW115" s="64"/>
      <c r="AX115" s="64"/>
      <c r="BA115" s="57"/>
      <c r="BB115" s="64"/>
    </row>
    <row r="116" spans="47:54" ht="15.95" hidden="1" customHeight="1">
      <c r="AU116" s="57"/>
      <c r="AV116" s="64"/>
      <c r="AW116" s="64"/>
      <c r="AX116" s="64"/>
      <c r="BA116" s="57"/>
      <c r="BB116" s="64"/>
    </row>
    <row r="117" spans="47:54" ht="15.95" hidden="1" customHeight="1">
      <c r="AU117" s="57"/>
      <c r="AV117" s="64"/>
      <c r="AW117" s="64"/>
      <c r="AX117" s="64"/>
      <c r="BA117" s="57"/>
      <c r="BB117" s="64"/>
    </row>
    <row r="118" spans="47:54" ht="15.95" hidden="1" customHeight="1">
      <c r="AU118" s="57"/>
      <c r="AV118" s="64"/>
      <c r="AW118" s="64"/>
      <c r="AX118" s="64"/>
      <c r="BA118" s="57"/>
      <c r="BB118" s="64"/>
    </row>
    <row r="119" spans="47:54" ht="15.95" hidden="1" customHeight="1">
      <c r="AU119" s="57"/>
      <c r="AV119" s="64"/>
      <c r="AW119" s="64"/>
      <c r="AX119" s="64"/>
      <c r="BA119" s="57"/>
      <c r="BB119" s="64"/>
    </row>
    <row r="120" spans="47:54" ht="15.95" hidden="1" customHeight="1">
      <c r="AU120" s="57"/>
      <c r="AV120" s="64"/>
      <c r="AW120" s="64"/>
      <c r="AX120" s="64"/>
      <c r="BA120" s="57"/>
      <c r="BB120" s="64"/>
    </row>
    <row r="121" spans="47:54" ht="15.95" hidden="1" customHeight="1">
      <c r="AU121" s="57"/>
      <c r="AV121" s="64"/>
      <c r="AW121" s="64"/>
      <c r="AX121" s="64"/>
      <c r="BA121" s="57"/>
      <c r="BB121" s="64"/>
    </row>
    <row r="122" spans="47:54" ht="15.95" hidden="1" customHeight="1">
      <c r="AU122" s="57"/>
      <c r="AV122" s="64"/>
      <c r="AW122" s="64"/>
      <c r="AX122" s="64"/>
      <c r="BA122" s="57"/>
      <c r="BB122" s="64"/>
    </row>
    <row r="123" spans="47:54" ht="15.95" hidden="1" customHeight="1">
      <c r="AU123" s="57"/>
      <c r="AV123" s="64"/>
      <c r="AW123" s="64"/>
      <c r="AX123" s="64"/>
      <c r="BA123" s="57"/>
      <c r="BB123" s="64"/>
    </row>
    <row r="124" spans="47:54" ht="15.95" hidden="1" customHeight="1">
      <c r="AU124" s="57"/>
      <c r="AV124" s="64"/>
      <c r="AW124" s="64"/>
      <c r="AX124" s="64"/>
      <c r="BA124" s="57"/>
      <c r="BB124" s="64"/>
    </row>
    <row r="125" spans="47:54" ht="15.95" hidden="1" customHeight="1">
      <c r="AU125" s="57"/>
      <c r="AV125" s="64"/>
      <c r="AW125" s="64"/>
      <c r="AX125" s="64"/>
      <c r="BA125" s="57"/>
      <c r="BB125" s="64"/>
    </row>
    <row r="126" spans="47:54" ht="15.95" hidden="1" customHeight="1">
      <c r="AU126" s="57"/>
      <c r="AV126" s="64"/>
      <c r="AW126" s="64"/>
      <c r="AX126" s="64"/>
      <c r="BA126" s="57"/>
      <c r="BB126" s="64"/>
    </row>
    <row r="127" spans="47:54" ht="15.95" hidden="1" customHeight="1">
      <c r="AU127" s="57"/>
      <c r="AV127" s="64"/>
      <c r="AW127" s="64"/>
      <c r="AX127" s="64"/>
      <c r="BA127" s="57"/>
      <c r="BB127" s="64"/>
    </row>
    <row r="128" spans="47:54" ht="15.95" hidden="1" customHeight="1">
      <c r="AU128" s="57"/>
      <c r="AV128" s="64"/>
      <c r="AW128" s="64"/>
      <c r="AX128" s="64"/>
      <c r="BA128" s="57"/>
      <c r="BB128" s="64"/>
    </row>
    <row r="129" spans="47:54" ht="15.95" hidden="1" customHeight="1">
      <c r="AU129" s="57"/>
      <c r="AV129" s="64"/>
      <c r="AW129" s="64"/>
      <c r="AX129" s="64"/>
      <c r="BA129" s="57"/>
      <c r="BB129" s="64"/>
    </row>
    <row r="130" spans="47:54" ht="15.95" hidden="1" customHeight="1">
      <c r="AU130" s="57"/>
      <c r="AV130" s="64"/>
      <c r="AW130" s="64"/>
      <c r="AX130" s="64"/>
      <c r="BA130" s="57"/>
      <c r="BB130" s="64"/>
    </row>
    <row r="131" spans="47:54" ht="15.95" hidden="1" customHeight="1">
      <c r="AU131" s="57"/>
      <c r="AV131" s="64"/>
      <c r="AW131" s="64"/>
      <c r="AX131" s="64"/>
      <c r="BA131" s="57"/>
      <c r="BB131" s="64"/>
    </row>
    <row r="132" spans="47:54" ht="15.95" hidden="1" customHeight="1">
      <c r="AU132" s="57"/>
      <c r="AV132" s="64"/>
      <c r="AW132" s="64"/>
      <c r="AX132" s="64"/>
      <c r="BA132" s="57"/>
      <c r="BB132" s="64"/>
    </row>
    <row r="133" spans="47:54" ht="15.95" hidden="1" customHeight="1">
      <c r="AU133" s="57"/>
      <c r="AV133" s="64"/>
      <c r="AW133" s="64"/>
      <c r="AX133" s="64"/>
      <c r="BA133" s="57"/>
      <c r="BB133" s="64"/>
    </row>
    <row r="134" spans="47:54" ht="15.95" hidden="1" customHeight="1">
      <c r="AU134" s="57"/>
      <c r="AV134" s="64"/>
      <c r="AW134" s="64"/>
      <c r="AX134" s="64"/>
      <c r="BA134" s="57"/>
      <c r="BB134" s="64"/>
    </row>
    <row r="135" spans="47:54" ht="15.95" hidden="1" customHeight="1">
      <c r="AU135" s="57"/>
      <c r="AV135" s="64"/>
      <c r="AW135" s="64"/>
      <c r="AX135" s="64"/>
      <c r="BA135" s="57"/>
      <c r="BB135" s="64"/>
    </row>
    <row r="136" spans="47:54" ht="15.95" hidden="1" customHeight="1">
      <c r="AU136" s="57"/>
      <c r="AV136" s="64"/>
      <c r="AW136" s="64"/>
      <c r="AX136" s="64"/>
      <c r="BA136" s="57"/>
      <c r="BB136" s="64"/>
    </row>
    <row r="137" spans="47:54" ht="15.95" hidden="1" customHeight="1">
      <c r="AU137" s="57"/>
      <c r="AV137" s="64"/>
      <c r="AW137" s="64"/>
      <c r="AX137" s="64"/>
      <c r="BA137" s="57"/>
      <c r="BB137" s="64"/>
    </row>
    <row r="138" spans="47:54" ht="15.95" hidden="1" customHeight="1">
      <c r="AU138" s="57"/>
      <c r="AV138" s="64"/>
      <c r="AW138" s="64"/>
      <c r="AX138" s="64"/>
      <c r="BA138" s="57"/>
      <c r="BB138" s="64"/>
    </row>
    <row r="139" spans="47:54" ht="15.95" hidden="1" customHeight="1">
      <c r="AU139" s="57"/>
      <c r="AV139" s="64"/>
      <c r="AW139" s="64"/>
      <c r="AX139" s="64"/>
      <c r="BA139" s="57"/>
      <c r="BB139" s="64"/>
    </row>
    <row r="140" spans="47:54" ht="15.95" hidden="1" customHeight="1">
      <c r="AU140" s="57"/>
      <c r="AV140" s="64"/>
      <c r="AW140" s="64"/>
      <c r="AX140" s="64"/>
      <c r="BA140" s="57"/>
      <c r="BB140" s="64"/>
    </row>
    <row r="141" spans="47:54" ht="15.95" hidden="1" customHeight="1">
      <c r="AU141" s="57"/>
      <c r="AV141" s="64"/>
      <c r="AW141" s="64"/>
      <c r="AX141" s="64"/>
      <c r="BA141" s="57"/>
      <c r="BB141" s="64"/>
    </row>
    <row r="142" spans="47:54" ht="15.95" hidden="1" customHeight="1">
      <c r="AU142" s="57"/>
      <c r="AV142" s="64"/>
      <c r="AW142" s="64"/>
      <c r="AX142" s="64"/>
      <c r="BA142" s="57"/>
      <c r="BB142" s="64"/>
    </row>
    <row r="143" spans="47:54" ht="15.95" hidden="1" customHeight="1">
      <c r="AU143" s="57"/>
      <c r="AV143" s="64"/>
      <c r="AW143" s="64"/>
      <c r="AX143" s="64"/>
      <c r="BA143" s="57"/>
      <c r="BB143" s="64"/>
    </row>
    <row r="144" spans="47:54" ht="15.95" hidden="1" customHeight="1">
      <c r="AU144" s="57"/>
      <c r="AV144" s="64"/>
      <c r="AW144" s="64"/>
      <c r="AX144" s="64"/>
      <c r="BA144" s="57"/>
      <c r="BB144" s="64"/>
    </row>
    <row r="145" spans="47:54" ht="15.95" hidden="1" customHeight="1">
      <c r="AU145" s="57"/>
      <c r="AV145" s="64"/>
      <c r="AW145" s="64"/>
      <c r="AX145" s="64"/>
      <c r="BA145" s="57"/>
      <c r="BB145" s="64"/>
    </row>
    <row r="146" spans="47:54" ht="15.95" hidden="1" customHeight="1">
      <c r="AU146" s="57"/>
      <c r="AV146" s="64"/>
      <c r="AW146" s="64"/>
      <c r="AX146" s="64"/>
      <c r="BA146" s="57"/>
      <c r="BB146" s="64"/>
    </row>
    <row r="147" spans="47:54" ht="15.95" hidden="1" customHeight="1">
      <c r="AU147" s="57"/>
      <c r="AV147" s="64"/>
      <c r="AW147" s="64"/>
      <c r="AX147" s="64"/>
      <c r="BA147" s="57"/>
      <c r="BB147" s="64"/>
    </row>
    <row r="148" spans="47:54" ht="15.95" hidden="1" customHeight="1">
      <c r="AU148" s="57"/>
      <c r="AV148" s="64"/>
      <c r="AW148" s="64"/>
      <c r="AX148" s="64"/>
      <c r="BA148" s="57"/>
      <c r="BB148" s="64"/>
    </row>
    <row r="149" spans="47:54" ht="15.95" hidden="1" customHeight="1">
      <c r="AU149" s="57"/>
      <c r="AV149" s="64"/>
      <c r="AW149" s="64"/>
      <c r="AX149" s="64"/>
      <c r="BA149" s="57"/>
      <c r="BB149" s="64"/>
    </row>
    <row r="150" spans="47:54" ht="15.95" hidden="1" customHeight="1">
      <c r="AU150" s="57"/>
      <c r="AV150" s="64"/>
      <c r="AW150" s="64"/>
      <c r="AX150" s="64"/>
      <c r="BA150" s="57"/>
      <c r="BB150" s="64"/>
    </row>
    <row r="151" spans="47:54" ht="15.95" hidden="1" customHeight="1">
      <c r="AU151" s="57"/>
      <c r="AV151" s="64"/>
      <c r="AW151" s="64"/>
      <c r="AX151" s="64"/>
      <c r="BA151" s="57"/>
      <c r="BB151" s="64"/>
    </row>
    <row r="152" spans="47:54" ht="15.95" hidden="1" customHeight="1">
      <c r="AU152" s="57"/>
      <c r="AV152" s="64"/>
      <c r="AW152" s="64"/>
      <c r="AX152" s="64"/>
      <c r="BA152" s="57"/>
      <c r="BB152" s="64"/>
    </row>
    <row r="153" spans="47:54" ht="15.95" hidden="1" customHeight="1">
      <c r="AU153" s="57"/>
      <c r="AV153" s="64"/>
      <c r="AW153" s="64"/>
      <c r="AX153" s="64"/>
      <c r="BA153" s="57"/>
      <c r="BB153" s="64"/>
    </row>
    <row r="154" spans="47:54" ht="15.95" hidden="1" customHeight="1">
      <c r="AU154" s="57"/>
      <c r="AV154" s="64"/>
      <c r="AW154" s="64"/>
      <c r="AX154" s="64"/>
      <c r="BA154" s="57"/>
      <c r="BB154" s="64"/>
    </row>
    <row r="155" spans="47:54" ht="15.95" hidden="1" customHeight="1">
      <c r="AU155" s="57"/>
      <c r="AV155" s="64"/>
      <c r="AW155" s="64"/>
      <c r="AX155" s="64"/>
      <c r="BA155" s="57"/>
      <c r="BB155" s="64"/>
    </row>
    <row r="156" spans="47:54" ht="15.95" hidden="1" customHeight="1">
      <c r="AU156" s="57"/>
      <c r="AV156" s="64"/>
      <c r="AW156" s="64"/>
      <c r="AX156" s="64"/>
      <c r="BA156" s="57"/>
      <c r="BB156" s="64"/>
    </row>
    <row r="157" spans="47:54" ht="15.95" hidden="1" customHeight="1">
      <c r="AU157" s="57"/>
      <c r="AV157" s="64"/>
      <c r="AW157" s="64"/>
      <c r="AX157" s="64"/>
      <c r="BA157" s="57"/>
      <c r="BB157" s="64"/>
    </row>
    <row r="158" spans="47:54" ht="15.95" hidden="1" customHeight="1">
      <c r="AU158" s="57"/>
      <c r="AV158" s="64"/>
      <c r="AW158" s="64"/>
      <c r="AX158" s="64"/>
      <c r="BA158" s="57"/>
      <c r="BB158" s="64"/>
    </row>
    <row r="159" spans="47:54" ht="15.95" hidden="1" customHeight="1">
      <c r="AU159" s="57"/>
      <c r="AV159" s="64"/>
      <c r="AW159" s="64"/>
      <c r="AX159" s="64"/>
      <c r="BA159" s="57"/>
      <c r="BB159" s="64"/>
    </row>
    <row r="160" spans="47:54" ht="15.95" hidden="1" customHeight="1">
      <c r="AU160" s="57"/>
      <c r="AV160" s="64"/>
      <c r="AW160" s="64"/>
      <c r="AX160" s="64"/>
      <c r="BA160" s="57"/>
      <c r="BB160" s="64"/>
    </row>
    <row r="161" spans="47:54" ht="15.95" hidden="1" customHeight="1">
      <c r="AU161" s="57"/>
      <c r="AV161" s="64"/>
      <c r="AW161" s="64"/>
      <c r="AX161" s="64"/>
      <c r="BA161" s="57"/>
      <c r="BB161" s="64"/>
    </row>
    <row r="162" spans="47:54" ht="15.95" hidden="1" customHeight="1">
      <c r="AU162" s="57"/>
      <c r="AV162" s="64"/>
      <c r="AW162" s="64"/>
      <c r="AX162" s="64"/>
      <c r="BA162" s="57"/>
      <c r="BB162" s="64"/>
    </row>
    <row r="163" spans="47:54" ht="15.95" hidden="1" customHeight="1">
      <c r="AU163" s="57"/>
      <c r="AV163" s="64"/>
      <c r="AW163" s="64"/>
      <c r="AX163" s="64"/>
      <c r="BA163" s="57"/>
      <c r="BB163" s="64"/>
    </row>
    <row r="164" spans="47:54" ht="15.95" hidden="1" customHeight="1">
      <c r="AU164" s="57"/>
      <c r="AV164" s="64"/>
      <c r="AW164" s="64"/>
      <c r="AX164" s="64"/>
      <c r="BA164" s="57"/>
      <c r="BB164" s="64"/>
    </row>
    <row r="165" spans="47:54" ht="15.95" hidden="1" customHeight="1">
      <c r="AU165" s="57"/>
      <c r="AV165" s="64"/>
      <c r="AW165" s="64"/>
      <c r="AX165" s="64"/>
      <c r="BA165" s="57"/>
      <c r="BB165" s="64"/>
    </row>
    <row r="166" spans="47:54" ht="15.95" hidden="1" customHeight="1">
      <c r="AU166" s="57"/>
      <c r="AV166" s="64"/>
      <c r="AW166" s="64"/>
      <c r="AX166" s="64"/>
      <c r="BA166" s="57"/>
      <c r="BB166" s="64"/>
    </row>
    <row r="167" spans="47:54" ht="15.95" hidden="1" customHeight="1">
      <c r="AU167" s="57"/>
      <c r="AV167" s="64"/>
      <c r="AW167" s="64"/>
      <c r="AX167" s="64"/>
      <c r="BA167" s="57"/>
      <c r="BB167" s="64"/>
    </row>
    <row r="168" spans="47:54" ht="15.95" hidden="1" customHeight="1">
      <c r="AU168" s="57"/>
      <c r="AV168" s="64"/>
      <c r="AW168" s="64"/>
      <c r="AX168" s="64"/>
      <c r="BA168" s="57"/>
      <c r="BB168" s="64"/>
    </row>
    <row r="169" spans="47:54" ht="15.95" hidden="1" customHeight="1">
      <c r="AU169" s="57"/>
      <c r="AV169" s="64"/>
      <c r="AW169" s="64"/>
      <c r="AX169" s="64"/>
      <c r="BA169" s="57"/>
      <c r="BB169" s="64"/>
    </row>
    <row r="170" spans="47:54" ht="15.95" hidden="1" customHeight="1">
      <c r="AU170" s="57"/>
      <c r="AV170" s="64"/>
      <c r="AW170" s="64"/>
      <c r="AX170" s="64"/>
      <c r="BA170" s="57"/>
      <c r="BB170" s="64"/>
    </row>
    <row r="171" spans="47:54" ht="15.95" hidden="1" customHeight="1">
      <c r="AU171" s="57"/>
      <c r="AV171" s="64"/>
      <c r="AW171" s="64"/>
      <c r="AX171" s="64"/>
      <c r="BA171" s="57"/>
      <c r="BB171" s="64"/>
    </row>
    <row r="172" spans="47:54" ht="15.95" hidden="1" customHeight="1">
      <c r="AU172" s="57"/>
      <c r="AV172" s="64"/>
      <c r="AW172" s="64"/>
      <c r="AX172" s="64"/>
      <c r="BA172" s="57"/>
      <c r="BB172" s="64"/>
    </row>
    <row r="173" spans="47:54" ht="15.95" hidden="1" customHeight="1">
      <c r="AU173" s="57"/>
      <c r="AV173" s="64"/>
      <c r="AW173" s="64"/>
      <c r="AX173" s="64"/>
      <c r="BA173" s="57"/>
      <c r="BB173" s="64"/>
    </row>
    <row r="174" spans="47:54" ht="15.95" hidden="1" customHeight="1">
      <c r="AU174" s="57"/>
      <c r="AV174" s="64"/>
      <c r="AW174" s="64"/>
      <c r="AX174" s="64"/>
      <c r="BA174" s="57"/>
      <c r="BB174" s="64"/>
    </row>
    <row r="175" spans="47:54" ht="15.95" hidden="1" customHeight="1">
      <c r="AU175" s="57"/>
      <c r="AV175" s="64"/>
      <c r="AW175" s="64"/>
      <c r="AX175" s="64"/>
      <c r="BA175" s="57"/>
      <c r="BB175" s="64"/>
    </row>
    <row r="176" spans="47:54" ht="15.95" hidden="1" customHeight="1">
      <c r="AU176" s="57"/>
      <c r="AV176" s="64"/>
      <c r="AW176" s="64"/>
      <c r="AX176" s="64"/>
      <c r="BA176" s="57"/>
      <c r="BB176" s="64"/>
    </row>
    <row r="177" spans="47:54" ht="15.95" hidden="1" customHeight="1">
      <c r="AU177" s="57"/>
      <c r="AV177" s="64"/>
      <c r="AW177" s="64"/>
      <c r="AX177" s="64"/>
      <c r="BA177" s="57"/>
      <c r="BB177" s="64"/>
    </row>
    <row r="178" spans="47:54" ht="15.95" hidden="1" customHeight="1">
      <c r="AU178" s="57"/>
      <c r="AV178" s="64"/>
      <c r="AW178" s="64"/>
      <c r="AX178" s="64"/>
      <c r="BA178" s="57"/>
      <c r="BB178" s="64"/>
    </row>
    <row r="179" spans="47:54" ht="15.95" hidden="1" customHeight="1">
      <c r="AU179" s="57"/>
      <c r="AV179" s="64"/>
      <c r="AW179" s="64"/>
      <c r="AX179" s="64"/>
      <c r="BA179" s="57"/>
      <c r="BB179" s="64"/>
    </row>
    <row r="180" spans="47:54" ht="15.95" hidden="1" customHeight="1">
      <c r="AU180" s="57"/>
      <c r="AV180" s="64"/>
      <c r="AW180" s="64"/>
      <c r="AX180" s="64"/>
      <c r="BA180" s="57"/>
      <c r="BB180" s="64"/>
    </row>
    <row r="181" spans="47:54" ht="15.95" hidden="1" customHeight="1">
      <c r="AU181" s="57"/>
      <c r="AV181" s="64"/>
      <c r="AW181" s="64"/>
      <c r="AX181" s="64"/>
      <c r="BA181" s="57"/>
      <c r="BB181" s="64"/>
    </row>
    <row r="182" spans="47:54" ht="15.95" hidden="1" customHeight="1">
      <c r="AU182" s="57"/>
      <c r="AV182" s="64"/>
      <c r="AW182" s="64"/>
      <c r="AX182" s="64"/>
      <c r="BA182" s="57"/>
      <c r="BB182" s="64"/>
    </row>
    <row r="183" spans="47:54" ht="15.95" hidden="1" customHeight="1">
      <c r="AU183" s="57"/>
      <c r="AV183" s="64"/>
      <c r="AW183" s="64"/>
      <c r="AX183" s="64"/>
      <c r="BA183" s="57"/>
      <c r="BB183" s="64"/>
    </row>
    <row r="184" spans="47:54" ht="15.95" hidden="1" customHeight="1">
      <c r="AU184" s="57"/>
      <c r="AV184" s="64"/>
      <c r="AW184" s="64"/>
      <c r="AX184" s="64"/>
      <c r="BA184" s="57"/>
      <c r="BB184" s="64"/>
    </row>
    <row r="185" spans="47:54" ht="15.95" hidden="1" customHeight="1">
      <c r="AU185" s="57"/>
      <c r="AV185" s="64"/>
      <c r="AW185" s="64"/>
      <c r="AX185" s="64"/>
      <c r="BA185" s="57"/>
      <c r="BB185" s="64"/>
    </row>
    <row r="186" spans="47:54" ht="15.95" hidden="1" customHeight="1">
      <c r="AU186" s="57"/>
      <c r="AV186" s="64"/>
      <c r="AW186" s="64"/>
      <c r="AX186" s="64"/>
      <c r="BA186" s="57"/>
      <c r="BB186" s="64"/>
    </row>
    <row r="187" spans="47:54" ht="15.95" hidden="1" customHeight="1">
      <c r="AU187" s="57"/>
      <c r="AV187" s="64"/>
      <c r="AW187" s="64"/>
      <c r="AX187" s="64"/>
      <c r="BA187" s="57"/>
      <c r="BB187" s="64"/>
    </row>
    <row r="188" spans="47:54" ht="15.95" hidden="1" customHeight="1">
      <c r="AU188" s="57"/>
      <c r="AV188" s="64"/>
      <c r="AW188" s="64"/>
      <c r="AX188" s="64"/>
      <c r="BA188" s="57"/>
      <c r="BB188" s="64"/>
    </row>
    <row r="189" spans="47:54" ht="15.95" hidden="1" customHeight="1">
      <c r="AU189" s="57"/>
      <c r="AV189" s="64"/>
      <c r="AW189" s="64"/>
      <c r="AX189" s="64"/>
      <c r="BA189" s="57"/>
      <c r="BB189" s="64"/>
    </row>
    <row r="190" spans="47:54" ht="15.95" hidden="1" customHeight="1">
      <c r="AU190" s="57"/>
      <c r="AV190" s="64"/>
      <c r="AW190" s="64"/>
      <c r="AX190" s="64"/>
      <c r="BA190" s="57"/>
      <c r="BB190" s="64"/>
    </row>
    <row r="191" spans="47:54" ht="15.95" hidden="1" customHeight="1">
      <c r="AU191" s="57"/>
      <c r="AV191" s="64"/>
      <c r="AW191" s="64"/>
      <c r="AX191" s="64"/>
      <c r="BA191" s="57"/>
      <c r="BB191" s="64"/>
    </row>
    <row r="192" spans="47:54" ht="15.95" hidden="1" customHeight="1">
      <c r="AU192" s="57"/>
      <c r="AV192" s="64"/>
      <c r="AW192" s="64"/>
      <c r="AX192" s="64"/>
      <c r="BA192" s="57"/>
      <c r="BB192" s="64"/>
    </row>
    <row r="193" spans="1:54" ht="15.95" hidden="1" customHeight="1">
      <c r="AU193" s="57"/>
      <c r="AV193" s="64"/>
      <c r="AW193" s="64"/>
      <c r="AX193" s="64"/>
      <c r="BA193" s="57"/>
      <c r="BB193" s="64"/>
    </row>
    <row r="194" spans="1:54" ht="15.95" hidden="1" customHeight="1">
      <c r="AU194" s="57"/>
      <c r="AV194" s="64"/>
      <c r="AW194" s="64"/>
      <c r="AX194" s="64"/>
      <c r="BA194" s="57"/>
      <c r="BB194" s="64"/>
    </row>
    <row r="195" spans="1:54" ht="15.95" hidden="1" customHeight="1">
      <c r="AU195" s="57"/>
      <c r="AV195" s="64"/>
      <c r="AW195" s="64"/>
      <c r="AX195" s="64"/>
      <c r="BA195" s="57"/>
      <c r="BB195" s="64"/>
    </row>
    <row r="196" spans="1:54" ht="15.95" hidden="1" customHeight="1">
      <c r="AU196" s="57"/>
      <c r="AV196" s="64"/>
      <c r="AW196" s="64"/>
      <c r="AX196" s="64"/>
      <c r="BA196" s="57"/>
      <c r="BB196" s="64"/>
    </row>
    <row r="197" spans="1:54" ht="15.95" hidden="1" customHeight="1">
      <c r="AU197" s="57"/>
      <c r="AV197" s="64"/>
      <c r="AW197" s="64"/>
      <c r="AX197" s="64"/>
      <c r="BA197" s="57"/>
      <c r="BB197" s="64"/>
    </row>
    <row r="198" spans="1:54" ht="15.95" hidden="1" customHeight="1">
      <c r="AU198" s="57"/>
      <c r="AV198" s="64"/>
      <c r="AW198" s="64"/>
      <c r="AX198" s="64"/>
      <c r="BA198" s="57"/>
      <c r="BB198" s="64"/>
    </row>
    <row r="199" spans="1:54" ht="15.95" hidden="1" customHeight="1">
      <c r="AU199" s="57"/>
      <c r="AV199" s="64"/>
      <c r="AW199" s="64"/>
      <c r="AX199" s="64"/>
      <c r="BA199" s="57"/>
      <c r="BB199" s="64"/>
    </row>
    <row r="200" spans="1:54"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U200"/>
      <c r="AV200"/>
      <c r="AW200" s="1025">
        <f>SUM(AW18:AW37)</f>
        <v>0</v>
      </c>
      <c r="AX200" s="1025">
        <f>SUM(AX18:AX37)</f>
        <v>0</v>
      </c>
      <c r="AY200"/>
      <c r="AZ200"/>
      <c r="BA200" s="1026">
        <f>SUM(BA18:BA37)</f>
        <v>0</v>
      </c>
      <c r="BB200"/>
    </row>
    <row r="201" spans="1:54"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U201"/>
      <c r="AV201"/>
      <c r="AW201" s="1025"/>
      <c r="AX201" s="1025"/>
      <c r="AY201"/>
      <c r="AZ201"/>
      <c r="BA201" s="1027"/>
      <c r="BB201"/>
    </row>
    <row r="202" spans="1:54"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4" ht="15.95" hidden="1" customHeight="1"/>
    <row r="204" spans="1:54" ht="15.95" hidden="1" customHeight="1"/>
  </sheetData>
  <sheetProtection algorithmName="SHA-512" hashValue="HwuL9CNxZ7oOyinIehNe/qaq4zMmNmPKqUrwjcrfw84Z1wHeUlmG5X80dMDjWXWTYUgcRalSlIfG6LMeYbC3vw==" saltValue="lP4NXcNLIjbNOkus371NiQ==" spinCount="100000" sheet="1" objects="1" scenarios="1" selectLockedCells="1"/>
  <mergeCells count="387">
    <mergeCell ref="BL34:BL35"/>
    <mergeCell ref="BL36:BL37"/>
    <mergeCell ref="BL16:BL17"/>
    <mergeCell ref="BL18:BL19"/>
    <mergeCell ref="BL20:BL21"/>
    <mergeCell ref="BL22:BL23"/>
    <mergeCell ref="BL24:BL25"/>
    <mergeCell ref="BL26:BL27"/>
    <mergeCell ref="BL28:BL29"/>
    <mergeCell ref="BL30:BL31"/>
    <mergeCell ref="BL32:BL33"/>
    <mergeCell ref="BK34:BK35"/>
    <mergeCell ref="BK36:BK37"/>
    <mergeCell ref="BK16:BK17"/>
    <mergeCell ref="BK18:BK19"/>
    <mergeCell ref="BK20:BK21"/>
    <mergeCell ref="BK22:BK23"/>
    <mergeCell ref="BK24:BK25"/>
    <mergeCell ref="BK26:BK27"/>
    <mergeCell ref="BK28:BK29"/>
    <mergeCell ref="BK30:BK31"/>
    <mergeCell ref="BK32:BK33"/>
    <mergeCell ref="M30:N31"/>
    <mergeCell ref="AA30:AC31"/>
    <mergeCell ref="AA32:AC33"/>
    <mergeCell ref="AA34:AC35"/>
    <mergeCell ref="AA36:AC37"/>
    <mergeCell ref="M36:N37"/>
    <mergeCell ref="T20:V21"/>
    <mergeCell ref="T18:V19"/>
    <mergeCell ref="T22:V23"/>
    <mergeCell ref="T24:V25"/>
    <mergeCell ref="T26:V27"/>
    <mergeCell ref="T28:V29"/>
    <mergeCell ref="T30:V31"/>
    <mergeCell ref="T32:V33"/>
    <mergeCell ref="T34:V35"/>
    <mergeCell ref="T36:V37"/>
    <mergeCell ref="M32:N33"/>
    <mergeCell ref="Q34:S35"/>
    <mergeCell ref="Q36:S37"/>
    <mergeCell ref="W36:Z37"/>
    <mergeCell ref="O36:P37"/>
    <mergeCell ref="O32:P33"/>
    <mergeCell ref="Q20:S21"/>
    <mergeCell ref="Q22:S23"/>
    <mergeCell ref="C30:L31"/>
    <mergeCell ref="C32:L33"/>
    <mergeCell ref="C34:L35"/>
    <mergeCell ref="C36:L37"/>
    <mergeCell ref="AA16:AC17"/>
    <mergeCell ref="AA18:AC19"/>
    <mergeCell ref="AA20:AC21"/>
    <mergeCell ref="AA22:AC23"/>
    <mergeCell ref="AA24:AC25"/>
    <mergeCell ref="AA26:AC27"/>
    <mergeCell ref="AA28:AC29"/>
    <mergeCell ref="Q30:S31"/>
    <mergeCell ref="Q32:S33"/>
    <mergeCell ref="W32:Z33"/>
    <mergeCell ref="W28:Z29"/>
    <mergeCell ref="W26:Z27"/>
    <mergeCell ref="W18:Z19"/>
    <mergeCell ref="T16:V17"/>
    <mergeCell ref="M16:N17"/>
    <mergeCell ref="M18:N19"/>
    <mergeCell ref="M20:N21"/>
    <mergeCell ref="M22:N23"/>
    <mergeCell ref="M24:N25"/>
    <mergeCell ref="M26:N27"/>
    <mergeCell ref="Q24:S25"/>
    <mergeCell ref="Q26:S27"/>
    <mergeCell ref="Q28:S29"/>
    <mergeCell ref="C16:L17"/>
    <mergeCell ref="O28:P29"/>
    <mergeCell ref="O26:P27"/>
    <mergeCell ref="O20:P21"/>
    <mergeCell ref="O18:P19"/>
    <mergeCell ref="C20:L21"/>
    <mergeCell ref="C22:L23"/>
    <mergeCell ref="C24:L25"/>
    <mergeCell ref="C26:L27"/>
    <mergeCell ref="C28:L29"/>
    <mergeCell ref="M28:N29"/>
    <mergeCell ref="O22:P23"/>
    <mergeCell ref="C18:L19"/>
    <mergeCell ref="Q18:S19"/>
    <mergeCell ref="O16:P17"/>
    <mergeCell ref="BF32:BF33"/>
    <mergeCell ref="AO5:AS6"/>
    <mergeCell ref="AO7:AS7"/>
    <mergeCell ref="AO8:AS8"/>
    <mergeCell ref="AX20:AX21"/>
    <mergeCell ref="AX22:AX23"/>
    <mergeCell ref="AX24:AX25"/>
    <mergeCell ref="AX26:AX27"/>
    <mergeCell ref="AX28:AX29"/>
    <mergeCell ref="AX30:AX31"/>
    <mergeCell ref="AN16:AQ17"/>
    <mergeCell ref="AT16:AT17"/>
    <mergeCell ref="AU16:AU17"/>
    <mergeCell ref="AN18:AQ19"/>
    <mergeCell ref="AT18:AT19"/>
    <mergeCell ref="AU18:AU19"/>
    <mergeCell ref="AW20:AW21"/>
    <mergeCell ref="AW22:AW23"/>
    <mergeCell ref="BE26:BE27"/>
    <mergeCell ref="BF26:BF27"/>
    <mergeCell ref="AZ28:AZ29"/>
    <mergeCell ref="BA28:BA29"/>
    <mergeCell ref="BA26:BA27"/>
    <mergeCell ref="BB26:BB27"/>
    <mergeCell ref="BH32:BH33"/>
    <mergeCell ref="BI32:BI33"/>
    <mergeCell ref="BJ32:BJ33"/>
    <mergeCell ref="BG26:BG27"/>
    <mergeCell ref="BG28:BG29"/>
    <mergeCell ref="BG30:BG31"/>
    <mergeCell ref="BG32:BG33"/>
    <mergeCell ref="BG34:BG35"/>
    <mergeCell ref="BG36:BG37"/>
    <mergeCell ref="BJ36:BJ37"/>
    <mergeCell ref="BJ34:BJ35"/>
    <mergeCell ref="BJ26:BJ27"/>
    <mergeCell ref="BH26:BH27"/>
    <mergeCell ref="BI26:BI27"/>
    <mergeCell ref="BH28:BH29"/>
    <mergeCell ref="BI28:BI29"/>
    <mergeCell ref="BJ28:BJ29"/>
    <mergeCell ref="BD36:BD37"/>
    <mergeCell ref="BE36:BE37"/>
    <mergeCell ref="BF36:BF37"/>
    <mergeCell ref="BE34:BE35"/>
    <mergeCell ref="BF34:BF35"/>
    <mergeCell ref="BH34:BH35"/>
    <mergeCell ref="BI34:BI35"/>
    <mergeCell ref="BH36:BH37"/>
    <mergeCell ref="BI36:BI37"/>
    <mergeCell ref="BD34:BD35"/>
    <mergeCell ref="BB34:BB35"/>
    <mergeCell ref="BC34:BC35"/>
    <mergeCell ref="AD36:AE37"/>
    <mergeCell ref="AW36:AW37"/>
    <mergeCell ref="W34:Z35"/>
    <mergeCell ref="O34:P35"/>
    <mergeCell ref="M34:N35"/>
    <mergeCell ref="AD34:AE35"/>
    <mergeCell ref="AF34:AG35"/>
    <mergeCell ref="AH34:AJ35"/>
    <mergeCell ref="AK34:AM35"/>
    <mergeCell ref="AU36:AU37"/>
    <mergeCell ref="AV36:AV37"/>
    <mergeCell ref="AY36:AY37"/>
    <mergeCell ref="AZ36:AZ37"/>
    <mergeCell ref="BA36:BA37"/>
    <mergeCell ref="AX36:AX37"/>
    <mergeCell ref="AF36:AG37"/>
    <mergeCell ref="AH36:AJ37"/>
    <mergeCell ref="AK36:AM37"/>
    <mergeCell ref="AN36:AQ37"/>
    <mergeCell ref="AT36:AT37"/>
    <mergeCell ref="BB36:BB37"/>
    <mergeCell ref="BC36:BC37"/>
    <mergeCell ref="AF32:AG33"/>
    <mergeCell ref="AH32:AJ33"/>
    <mergeCell ref="AK32:AM33"/>
    <mergeCell ref="AN32:AQ33"/>
    <mergeCell ref="AT32:AT33"/>
    <mergeCell ref="AN34:AQ35"/>
    <mergeCell ref="AT34:AT35"/>
    <mergeCell ref="AU34:AU35"/>
    <mergeCell ref="AV34:AV35"/>
    <mergeCell ref="AD32:AE33"/>
    <mergeCell ref="AX32:AX33"/>
    <mergeCell ref="BJ30:BJ31"/>
    <mergeCell ref="AZ30:AZ31"/>
    <mergeCell ref="BA30:BA31"/>
    <mergeCell ref="BB30:BB31"/>
    <mergeCell ref="BC30:BC31"/>
    <mergeCell ref="BD30:BD31"/>
    <mergeCell ref="AN30:AQ31"/>
    <mergeCell ref="AT30:AT31"/>
    <mergeCell ref="AU30:AU31"/>
    <mergeCell ref="AV30:AV31"/>
    <mergeCell ref="AY30:AY31"/>
    <mergeCell ref="BE30:BE31"/>
    <mergeCell ref="BF30:BF31"/>
    <mergeCell ref="BH30:BH31"/>
    <mergeCell ref="BI30:BI31"/>
    <mergeCell ref="AU32:AU33"/>
    <mergeCell ref="AV32:AV33"/>
    <mergeCell ref="AY32:AY33"/>
    <mergeCell ref="BE32:BE33"/>
    <mergeCell ref="BB32:BB33"/>
    <mergeCell ref="BC32:BC33"/>
    <mergeCell ref="BD32:BD33"/>
    <mergeCell ref="W30:Z31"/>
    <mergeCell ref="O30:P31"/>
    <mergeCell ref="AD30:AE31"/>
    <mergeCell ref="AF30:AG31"/>
    <mergeCell ref="AH30:AJ31"/>
    <mergeCell ref="AK30:AM31"/>
    <mergeCell ref="BB28:BB29"/>
    <mergeCell ref="BC28:BC29"/>
    <mergeCell ref="BD28:BD29"/>
    <mergeCell ref="AF28:AG29"/>
    <mergeCell ref="AH28:AJ29"/>
    <mergeCell ref="AK28:AM29"/>
    <mergeCell ref="AN28:AQ29"/>
    <mergeCell ref="AT28:AT29"/>
    <mergeCell ref="BE28:BE29"/>
    <mergeCell ref="BF28:BF29"/>
    <mergeCell ref="AU28:AU29"/>
    <mergeCell ref="AV28:AV29"/>
    <mergeCell ref="AY28:AY29"/>
    <mergeCell ref="AN24:AQ25"/>
    <mergeCell ref="AT24:AT25"/>
    <mergeCell ref="BD22:BD23"/>
    <mergeCell ref="BE22:BE23"/>
    <mergeCell ref="BF22:BF23"/>
    <mergeCell ref="BD26:BD27"/>
    <mergeCell ref="AN26:AQ27"/>
    <mergeCell ref="AT26:AT27"/>
    <mergeCell ref="AU26:AU27"/>
    <mergeCell ref="BB24:BB25"/>
    <mergeCell ref="BC24:BC25"/>
    <mergeCell ref="BD24:BD25"/>
    <mergeCell ref="AV26:AV27"/>
    <mergeCell ref="AW24:AW25"/>
    <mergeCell ref="AW26:AW27"/>
    <mergeCell ref="BC26:BC27"/>
    <mergeCell ref="AZ26:AZ27"/>
    <mergeCell ref="AY26:AY27"/>
    <mergeCell ref="BH24:BH25"/>
    <mergeCell ref="BJ24:BJ25"/>
    <mergeCell ref="BI24:BI25"/>
    <mergeCell ref="BB22:BB23"/>
    <mergeCell ref="BC22:BC23"/>
    <mergeCell ref="AK22:AM23"/>
    <mergeCell ref="AN22:AQ23"/>
    <mergeCell ref="AT22:AT23"/>
    <mergeCell ref="AU22:AU23"/>
    <mergeCell ref="AV22:AV23"/>
    <mergeCell ref="AZ24:AZ25"/>
    <mergeCell ref="BA24:BA25"/>
    <mergeCell ref="BG22:BG23"/>
    <mergeCell ref="BG24:BG25"/>
    <mergeCell ref="BE24:BE25"/>
    <mergeCell ref="BF24:BF25"/>
    <mergeCell ref="AU24:AU25"/>
    <mergeCell ref="AV24:AV25"/>
    <mergeCell ref="AY24:AY25"/>
    <mergeCell ref="BJ22:BJ23"/>
    <mergeCell ref="BH22:BH23"/>
    <mergeCell ref="BI22:BI23"/>
    <mergeCell ref="AZ22:AZ23"/>
    <mergeCell ref="BA22:BA23"/>
    <mergeCell ref="BJ20:BJ21"/>
    <mergeCell ref="BG16:BG17"/>
    <mergeCell ref="BG18:BG19"/>
    <mergeCell ref="AN20:AQ21"/>
    <mergeCell ref="BC18:BC19"/>
    <mergeCell ref="BD18:BD19"/>
    <mergeCell ref="W22:Z23"/>
    <mergeCell ref="AD22:AE23"/>
    <mergeCell ref="AF22:AG23"/>
    <mergeCell ref="AH22:AJ23"/>
    <mergeCell ref="BA20:BA21"/>
    <mergeCell ref="BB20:BB21"/>
    <mergeCell ref="BC20:BC21"/>
    <mergeCell ref="BD20:BD21"/>
    <mergeCell ref="BJ18:BJ19"/>
    <mergeCell ref="BH16:BH17"/>
    <mergeCell ref="AH16:AJ17"/>
    <mergeCell ref="W20:Z21"/>
    <mergeCell ref="AD20:AE21"/>
    <mergeCell ref="AF20:AG21"/>
    <mergeCell ref="AH20:AJ21"/>
    <mergeCell ref="AK20:AM21"/>
    <mergeCell ref="BE20:BE21"/>
    <mergeCell ref="AY22:AY23"/>
    <mergeCell ref="BF20:BF21"/>
    <mergeCell ref="BH20:BH21"/>
    <mergeCell ref="BG20:BG21"/>
    <mergeCell ref="BE18:BE19"/>
    <mergeCell ref="AT20:AT21"/>
    <mergeCell ref="AU20:AU21"/>
    <mergeCell ref="AV20:AV21"/>
    <mergeCell ref="BD16:BD17"/>
    <mergeCell ref="BI20:BI21"/>
    <mergeCell ref="BI18:BI19"/>
    <mergeCell ref="BF18:BF19"/>
    <mergeCell ref="BH18:BH19"/>
    <mergeCell ref="AV18:AV19"/>
    <mergeCell ref="BA16:BA17"/>
    <mergeCell ref="BB16:BB17"/>
    <mergeCell ref="AW18:AW19"/>
    <mergeCell ref="AX18:AX19"/>
    <mergeCell ref="BI16:BI17"/>
    <mergeCell ref="BJ16:BJ17"/>
    <mergeCell ref="AD17:AE17"/>
    <mergeCell ref="AF17:AG17"/>
    <mergeCell ref="Q16:S17"/>
    <mergeCell ref="AP1:AS3"/>
    <mergeCell ref="W16:Z17"/>
    <mergeCell ref="AD16:AG16"/>
    <mergeCell ref="R12:U13"/>
    <mergeCell ref="V12:Y13"/>
    <mergeCell ref="Z12:AC13"/>
    <mergeCell ref="BC16:BC17"/>
    <mergeCell ref="AV16:AV17"/>
    <mergeCell ref="AZ16:AZ17"/>
    <mergeCell ref="AW16:AW17"/>
    <mergeCell ref="AX16:AX17"/>
    <mergeCell ref="F1:I3"/>
    <mergeCell ref="J1:M3"/>
    <mergeCell ref="AH1:AK3"/>
    <mergeCell ref="AL1:AO3"/>
    <mergeCell ref="A4:E6"/>
    <mergeCell ref="A7:E8"/>
    <mergeCell ref="H9:K11"/>
    <mergeCell ref="L9:O11"/>
    <mergeCell ref="P9:S11"/>
    <mergeCell ref="T9:W11"/>
    <mergeCell ref="AF9:AI11"/>
    <mergeCell ref="AJ9:AM11"/>
    <mergeCell ref="O1:AE3"/>
    <mergeCell ref="X9:AA11"/>
    <mergeCell ref="AB9:AE11"/>
    <mergeCell ref="C13:P13"/>
    <mergeCell ref="B34:B35"/>
    <mergeCell ref="B32:B33"/>
    <mergeCell ref="B30:B31"/>
    <mergeCell ref="B18:B19"/>
    <mergeCell ref="AK16:AM17"/>
    <mergeCell ref="AK18:AM19"/>
    <mergeCell ref="V14:Y14"/>
    <mergeCell ref="Z14:AC14"/>
    <mergeCell ref="AD18:AE19"/>
    <mergeCell ref="AF18:AG19"/>
    <mergeCell ref="AH18:AJ19"/>
    <mergeCell ref="AD26:AE27"/>
    <mergeCell ref="AF26:AG27"/>
    <mergeCell ref="AH26:AJ27"/>
    <mergeCell ref="W24:Z25"/>
    <mergeCell ref="O24:P25"/>
    <mergeCell ref="R14:U14"/>
    <mergeCell ref="AD24:AE25"/>
    <mergeCell ref="AF24:AG25"/>
    <mergeCell ref="AH24:AJ25"/>
    <mergeCell ref="AK24:AM25"/>
    <mergeCell ref="AK26:AM27"/>
    <mergeCell ref="AD28:AE29"/>
    <mergeCell ref="BA32:BA33"/>
    <mergeCell ref="AY34:AY35"/>
    <mergeCell ref="AW28:AW29"/>
    <mergeCell ref="AW30:AW31"/>
    <mergeCell ref="AW32:AW33"/>
    <mergeCell ref="AW34:AW35"/>
    <mergeCell ref="AX34:AX35"/>
    <mergeCell ref="AZ34:AZ35"/>
    <mergeCell ref="BA34:BA35"/>
    <mergeCell ref="AZ32:AZ33"/>
    <mergeCell ref="M200:AG201"/>
    <mergeCell ref="B46:B47"/>
    <mergeCell ref="B44:B45"/>
    <mergeCell ref="B42:B43"/>
    <mergeCell ref="B40:B41"/>
    <mergeCell ref="BF16:BF17"/>
    <mergeCell ref="B28:B29"/>
    <mergeCell ref="B26:B27"/>
    <mergeCell ref="B24:B25"/>
    <mergeCell ref="B22:B23"/>
    <mergeCell ref="B20:B21"/>
    <mergeCell ref="B38:B39"/>
    <mergeCell ref="B36:B37"/>
    <mergeCell ref="AY18:AY19"/>
    <mergeCell ref="AZ18:AZ19"/>
    <mergeCell ref="BA18:BA19"/>
    <mergeCell ref="BB18:BB19"/>
    <mergeCell ref="AY20:AY21"/>
    <mergeCell ref="AZ20:AZ21"/>
    <mergeCell ref="AY16:AY17"/>
    <mergeCell ref="BE16:BE17"/>
    <mergeCell ref="AW200:AW201"/>
    <mergeCell ref="AX200:AX201"/>
    <mergeCell ref="BA200:BA201"/>
  </mergeCells>
  <conditionalFormatting sqref="AN18:AQ37">
    <cfRule type="expression" dxfId="83" priority="13">
      <formula>ISNUMBER($AN18)=FALSE</formula>
    </cfRule>
  </conditionalFormatting>
  <conditionalFormatting sqref="AO8:AS8">
    <cfRule type="expression" dxfId="82" priority="11">
      <formula>IF($AO$8=PROJSTATMEASURE,FALSE,TRUE)</formula>
    </cfRule>
  </conditionalFormatting>
  <conditionalFormatting sqref="O18:AG37">
    <cfRule type="expression" dxfId="81" priority="812">
      <formula>AND(ISBLANK($C18)=FALSE,OR(ISBLANK(O18)=TRUE,O18=""))</formula>
    </cfRule>
  </conditionalFormatting>
  <conditionalFormatting sqref="AY18:AY37">
    <cfRule type="expression" dxfId="80" priority="2">
      <formula>AND($AY18="",$C18&lt;&gt;"")</formula>
    </cfRule>
  </conditionalFormatting>
  <conditionalFormatting sqref="AZ18:AZ37">
    <cfRule type="expression" dxfId="79" priority="1">
      <formula>AND($AZ18="",$C18&lt;&gt;"")</formula>
    </cfRule>
  </conditionalFormatting>
  <dataValidations count="8">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F18:AG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D18:AE37" xr:uid="{4F6F4D52-58F2-4D86-B9DA-3087ED2F435C}">
      <formula1>0</formula1>
      <formula2>999999999</formula2>
    </dataValidation>
    <dataValidation type="decimal" allowBlank="1" showInputMessage="1" showErrorMessage="1" sqref="O18:P37" xr:uid="{DD5835BE-B336-4B0E-958B-2B1FA815D567}">
      <formula1>0</formula1>
      <formula2>999999</formula2>
    </dataValidation>
    <dataValidation type="list" allowBlank="1" showInputMessage="1" showErrorMessage="1" sqref="AZ18:AZ37" xr:uid="{CA003099-C941-4354-991D-338094DEFB82}">
      <formula1>ENDUSECAT</formula1>
    </dataValidation>
    <dataValidation type="whole" allowBlank="1" showInputMessage="1" showErrorMessage="1" prompt="Please enter the COMBINED total wattage controlled by all sensors." sqref="Q18:S37" xr:uid="{1563F501-50D5-414A-BCF6-97C19FAB2968}">
      <formula1>0</formula1>
      <formula2>9999999</formula2>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lighting was installed. (Ex: Room 2b)" sqref="AA18:AC37" xr:uid="{1C6E9D7D-598C-446D-99F3-82DB8EF21A09}"/>
  </dataValidations>
  <hyperlinks>
    <hyperlink ref="H9:K11" location="'M03-S02'!C18" tooltip="Lighting" display="'M03-S02'!C18" xr:uid="{2C70B342-A955-4565-8B25-274A43E0095A}"/>
    <hyperlink ref="L9:O11" location="'M03-S03'!C18" tooltip="Lighting Controls" display="'M03-S03'!C18" xr:uid="{D6490B76-05E0-430B-BC2F-86973AF04851}"/>
    <hyperlink ref="P9:S11" location="'M03-S04'!C18" tooltip="Refrigeration" display="'M03-S04'!C18" xr:uid="{C7A64760-2C68-43EE-A966-277F74D44A3D}"/>
    <hyperlink ref="T9:W11" location="'M03-S05'!C18" tooltip="HVAC" display="'M03-S05'!C18" xr:uid="{5369C52E-FB19-4C70-A584-726AD6A11A66}"/>
    <hyperlink ref="AB9:AE11" location="'M03-S06'!C18" tooltip="Compressed Air / Process" display="'M03-S06'!C18" xr:uid="{7855DFBD-E8F0-4FEC-8C1D-4E4FBE141092}"/>
    <hyperlink ref="AF9:AI11" location="'M03-S07'!C18" tooltip="Water Heating / Cooking" display="'M03-S07'!C18" xr:uid="{9D33EAF6-9DF9-4361-8C39-A8DE1F30C97D}"/>
    <hyperlink ref="X9:AA11" location="'M03-S08'!C18" tooltip="Motors and Drives" display="'M03-S08'!C18" xr:uid="{2E39D83C-68F9-4606-91F2-72C572A08603}"/>
    <hyperlink ref="AJ9:AM11" location="'M04-S09'!C18" tooltip="Miscellaneous" display="'M04-S09'!C18" xr:uid="{46C356AA-2035-4C15-B265-094AF86B3CBF}"/>
    <hyperlink ref="J1:M3" location="'M01-S02'!J1" tooltip="Instructions" display="'M01-S02'!J1" xr:uid="{79E64D0C-CABD-49D4-862E-1639354246EB}"/>
    <hyperlink ref="AL1:AO3" location="'M05-S05'!AL1" tooltip=" " display="'M05-S05'!AL1" xr:uid="{105A58CD-F180-4B08-8F75-46FB4B830B02}"/>
    <hyperlink ref="AH1:AK3" location="'M05-S04'!AH1" tooltip=" " display="'M05-S04'!AH1" xr:uid="{9F15CDEC-77A3-41F9-8836-A5947298FF5A}"/>
    <hyperlink ref="AP1:AS3" location="'M01-S03'!AP1" tooltip="Contact" display="'M01-S03'!AP1" xr:uid="{0365651D-C235-490E-8879-B7C59C1F9588}"/>
    <hyperlink ref="B202" r:id="rId1" xr:uid="{CC0D921E-EA48-49E6-97A9-A28E8850FC23}"/>
  </hyperlinks>
  <printOptions horizontalCentered="1"/>
  <pageMargins left="0.25" right="0.25" top="0.25" bottom="0.25" header="0.25" footer="0.25"/>
  <pageSetup scale="62"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pageSetUpPr fitToPage="1"/>
  </sheetPr>
  <dimension ref="A1:BL204"/>
  <sheetViews>
    <sheetView showGridLines="0" showRowColHeaders="0" zoomScale="85" zoomScaleNormal="85" workbookViewId="0">
      <selection activeCell="C18" sqref="C18:E19"/>
    </sheetView>
  </sheetViews>
  <sheetFormatPr defaultColWidth="0" defaultRowHeight="15" customHeight="1" zeroHeight="1"/>
  <cols>
    <col min="1" max="45" width="4.7109375" style="180" customWidth="1"/>
    <col min="46" max="47" width="9.42578125" style="180" hidden="1" customWidth="1"/>
    <col min="48" max="48" width="15.7109375" style="180" hidden="1" customWidth="1"/>
    <col min="49" max="63" width="9.42578125" style="180" hidden="1" customWidth="1"/>
    <col min="64" max="64" width="13.140625" style="180" hidden="1" customWidth="1"/>
    <col min="65" max="71" width="4.7109375" style="180" hidden="1" customWidth="1"/>
    <col min="72" max="16384" width="4.7109375" style="180" hidden="1"/>
  </cols>
  <sheetData>
    <row r="1" spans="1:64" customFormat="1"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row>
    <row r="5" spans="1:64" ht="15.95" customHeight="1">
      <c r="A5" s="1046"/>
      <c r="B5" s="1046"/>
      <c r="C5" s="1046"/>
      <c r="D5" s="1046"/>
      <c r="E5" s="1046"/>
      <c r="AO5" s="1117">
        <f ca="1">PROGRESSSTATUS</f>
        <v>0</v>
      </c>
      <c r="AP5" s="1117"/>
      <c r="AQ5" s="1117"/>
      <c r="AR5" s="1117"/>
      <c r="AS5" s="1117"/>
      <c r="AT5" s="40"/>
      <c r="AU5" s="194" t="s">
        <v>1438</v>
      </c>
      <c r="AV5" s="194" t="s">
        <v>336</v>
      </c>
      <c r="AW5" s="197"/>
      <c r="AX5" s="197"/>
    </row>
    <row r="6" spans="1:64" ht="15.95" customHeight="1">
      <c r="A6" s="1046"/>
      <c r="B6" s="1046"/>
      <c r="C6" s="1046"/>
      <c r="D6" s="1046"/>
      <c r="E6" s="1046"/>
      <c r="AO6" s="1117"/>
      <c r="AP6" s="1117"/>
      <c r="AQ6" s="1117"/>
      <c r="AR6" s="1117"/>
      <c r="AS6" s="1117"/>
      <c r="AT6" s="193" t="s">
        <v>1443</v>
      </c>
      <c r="AU6" s="192" t="str">
        <f>CBPRESE</f>
        <v>NA</v>
      </c>
      <c r="AV6" s="286" t="str">
        <f>PAYPRESE</f>
        <v>NA</v>
      </c>
      <c r="AW6"/>
      <c r="AX6"/>
      <c r="AY6"/>
    </row>
    <row r="7" spans="1:64" ht="15.95" customHeight="1">
      <c r="A7" s="725" t="s">
        <v>83</v>
      </c>
      <c r="B7" s="725"/>
      <c r="C7" s="725"/>
      <c r="D7" s="725"/>
      <c r="E7" s="725"/>
      <c r="AO7" s="725" t="s">
        <v>309</v>
      </c>
      <c r="AP7" s="725"/>
      <c r="AQ7" s="725"/>
      <c r="AR7" s="725"/>
      <c r="AS7" s="725"/>
      <c r="AT7" s="193" t="s">
        <v>144</v>
      </c>
      <c r="AU7" s="192" t="str">
        <f>CBCUSE</f>
        <v>NA</v>
      </c>
      <c r="AV7" s="286" t="str">
        <f>PAYCUSE</f>
        <v>NA</v>
      </c>
      <c r="AW7" s="197"/>
      <c r="AX7" s="197"/>
    </row>
    <row r="8" spans="1:64" ht="15.95" customHeight="1" thickBot="1">
      <c r="A8" s="774"/>
      <c r="B8" s="774"/>
      <c r="C8" s="774"/>
      <c r="D8" s="774"/>
      <c r="E8" s="725"/>
      <c r="AO8" s="749" t="str">
        <f ca="1">PROJSTATUS</f>
        <v>Enter Measures</v>
      </c>
      <c r="AP8" s="749"/>
      <c r="AQ8" s="749"/>
      <c r="AR8" s="749"/>
      <c r="AS8" s="749"/>
      <c r="AT8" s="193" t="s">
        <v>651</v>
      </c>
      <c r="AU8" s="192" t="str">
        <f>CBALL</f>
        <v>NA</v>
      </c>
      <c r="AV8" s="286" t="str">
        <f>PAYALL</f>
        <v>NA</v>
      </c>
      <c r="AW8" s="197"/>
      <c r="AX8" s="197"/>
    </row>
    <row r="9" spans="1:64" s="148" customFormat="1" ht="15.95" customHeight="1">
      <c r="B9" s="152"/>
      <c r="C9" s="152"/>
      <c r="D9" s="152"/>
      <c r="E9" s="181"/>
      <c r="F9" s="181"/>
      <c r="G9" s="181"/>
      <c r="H9" s="910" t="str">
        <f>M3S2</f>
        <v>Lighting</v>
      </c>
      <c r="I9" s="911"/>
      <c r="J9" s="911"/>
      <c r="K9" s="911"/>
      <c r="L9" s="910" t="str">
        <f>M3S3</f>
        <v>Lighting Controls</v>
      </c>
      <c r="M9" s="911"/>
      <c r="N9" s="911"/>
      <c r="O9" s="911"/>
      <c r="P9" s="913" t="str">
        <f>M3S4</f>
        <v>Refrigeration</v>
      </c>
      <c r="Q9" s="913"/>
      <c r="R9" s="913"/>
      <c r="S9" s="913"/>
      <c r="T9" s="910" t="str">
        <f>M3S5</f>
        <v>HVAC</v>
      </c>
      <c r="U9" s="911"/>
      <c r="V9" s="911"/>
      <c r="W9" s="911"/>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235"/>
      <c r="AP9" s="336"/>
      <c r="AQ9" s="344"/>
      <c r="AR9" s="344"/>
      <c r="AS9" s="336"/>
    </row>
    <row r="10" spans="1:64" s="148" customFormat="1" ht="15.95" customHeight="1">
      <c r="B10" s="152"/>
      <c r="C10" s="152"/>
      <c r="D10" s="152"/>
      <c r="E10" s="183"/>
      <c r="F10" s="183"/>
      <c r="G10" s="183"/>
      <c r="H10" s="912"/>
      <c r="I10" s="912"/>
      <c r="J10" s="912"/>
      <c r="K10" s="912"/>
      <c r="L10" s="912"/>
      <c r="M10" s="912"/>
      <c r="N10" s="912"/>
      <c r="O10" s="912"/>
      <c r="P10" s="914"/>
      <c r="Q10" s="914"/>
      <c r="R10" s="914"/>
      <c r="S10" s="914"/>
      <c r="T10" s="912"/>
      <c r="U10" s="912"/>
      <c r="V10" s="912"/>
      <c r="W10" s="912"/>
      <c r="X10" s="912"/>
      <c r="Y10" s="912"/>
      <c r="Z10" s="912"/>
      <c r="AA10" s="912"/>
      <c r="AB10" s="912"/>
      <c r="AC10" s="912"/>
      <c r="AD10" s="912"/>
      <c r="AE10" s="912"/>
      <c r="AF10" s="912"/>
      <c r="AG10" s="912"/>
      <c r="AH10" s="912"/>
      <c r="AI10" s="912"/>
      <c r="AJ10" s="912"/>
      <c r="AK10" s="912"/>
      <c r="AL10" s="912"/>
      <c r="AM10" s="912"/>
      <c r="AN10" s="152"/>
      <c r="AO10" s="235"/>
      <c r="AP10" s="336"/>
      <c r="AQ10" s="344"/>
      <c r="AR10" s="344"/>
      <c r="AS10" s="336"/>
    </row>
    <row r="11" spans="1:64" ht="15.95" customHeight="1">
      <c r="B11" s="295"/>
      <c r="C11" s="295"/>
      <c r="D11" s="295"/>
      <c r="E11" s="13"/>
      <c r="F11" s="13"/>
      <c r="G11" s="13"/>
      <c r="H11" s="912"/>
      <c r="I11" s="912"/>
      <c r="J11" s="912"/>
      <c r="K11" s="912"/>
      <c r="L11" s="912"/>
      <c r="M11" s="912"/>
      <c r="N11" s="912"/>
      <c r="O11" s="912"/>
      <c r="P11" s="914"/>
      <c r="Q11" s="914"/>
      <c r="R11" s="914"/>
      <c r="S11" s="914"/>
      <c r="T11" s="912"/>
      <c r="U11" s="912"/>
      <c r="V11" s="912"/>
      <c r="W11" s="912"/>
      <c r="X11" s="912"/>
      <c r="Y11" s="912"/>
      <c r="Z11" s="912"/>
      <c r="AA11" s="912"/>
      <c r="AB11" s="912"/>
      <c r="AC11" s="912"/>
      <c r="AD11" s="912"/>
      <c r="AE11" s="912"/>
      <c r="AF11" s="912"/>
      <c r="AG11" s="912"/>
      <c r="AH11" s="912"/>
      <c r="AI11" s="912"/>
      <c r="AJ11" s="912"/>
      <c r="AK11" s="912"/>
      <c r="AL11" s="912"/>
      <c r="AM11" s="912"/>
      <c r="AN11" s="394"/>
      <c r="AO11" s="235"/>
      <c r="AP11" s="235"/>
      <c r="AQ11" s="337"/>
      <c r="AR11" s="337"/>
      <c r="AS11" s="235"/>
    </row>
    <row r="12" spans="1:64" ht="15.95" customHeight="1">
      <c r="A12" s="296"/>
      <c r="B12" s="296"/>
      <c r="C12" s="296"/>
      <c r="D12" s="296"/>
      <c r="E12" s="185"/>
      <c r="R12" s="916">
        <f>SUM(AN18:AQ184)</f>
        <v>0</v>
      </c>
      <c r="S12" s="916"/>
      <c r="T12" s="916"/>
      <c r="U12" s="916"/>
      <c r="V12" s="916">
        <f ca="1">SUMIF(AN18:AQ184,"&gt;0",AH18:AJ184)</f>
        <v>0</v>
      </c>
      <c r="W12" s="916"/>
      <c r="X12" s="916"/>
      <c r="Y12" s="916"/>
      <c r="Z12" s="915">
        <f ca="1">SUMIF(AN18:AQ184,"&gt;0",AK18:AM184)</f>
        <v>0</v>
      </c>
      <c r="AA12" s="915"/>
      <c r="AB12" s="915"/>
      <c r="AC12" s="915"/>
      <c r="AO12" s="235"/>
      <c r="AP12" s="333"/>
      <c r="AQ12" s="235"/>
      <c r="AR12" s="235"/>
      <c r="AS12" s="235"/>
    </row>
    <row r="13" spans="1:64" ht="15.95" customHeight="1">
      <c r="A13" s="185"/>
      <c r="B13" s="185"/>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s="860"/>
      <c r="AJ13" s="860"/>
      <c r="AK13" s="860"/>
      <c r="AL13" s="860"/>
      <c r="AM13" s="860"/>
      <c r="AN13" s="860"/>
      <c r="AO13" s="1002"/>
      <c r="AP13" s="1002"/>
      <c r="AQ13" s="1002"/>
      <c r="AR13" s="235"/>
      <c r="AS13" s="235"/>
    </row>
    <row r="14" spans="1:64" ht="15.95" customHeight="1">
      <c r="R14" s="860" t="s">
        <v>1979</v>
      </c>
      <c r="S14" s="860"/>
      <c r="T14" s="860"/>
      <c r="U14" s="860"/>
      <c r="V14" s="860" t="s">
        <v>67</v>
      </c>
      <c r="W14" s="860"/>
      <c r="X14" s="860"/>
      <c r="Y14" s="860"/>
      <c r="Z14" s="860" t="s">
        <v>1248</v>
      </c>
      <c r="AA14" s="860"/>
      <c r="AB14" s="860"/>
      <c r="AC14" s="860"/>
      <c r="AO14" s="235"/>
      <c r="AP14" s="235"/>
      <c r="AQ14" s="235"/>
      <c r="AR14" s="235"/>
      <c r="AS14" s="235"/>
    </row>
    <row r="15" spans="1:64" ht="15.95" customHeight="1">
      <c r="AO15" s="235"/>
      <c r="AP15" s="235"/>
      <c r="AQ15" s="235"/>
      <c r="AR15" s="235"/>
      <c r="AS15" s="235"/>
    </row>
    <row r="16" spans="1:64" ht="15.95" customHeight="1">
      <c r="C16" s="836" t="s">
        <v>1429</v>
      </c>
      <c r="D16" s="836"/>
      <c r="E16" s="836"/>
      <c r="F16" s="836" t="s">
        <v>1350</v>
      </c>
      <c r="G16" s="836"/>
      <c r="H16" s="836"/>
      <c r="I16" s="836"/>
      <c r="J16" s="836"/>
      <c r="K16" s="836"/>
      <c r="L16" s="836" t="s">
        <v>1430</v>
      </c>
      <c r="M16" s="836"/>
      <c r="N16" s="836"/>
      <c r="O16" s="836"/>
      <c r="P16" s="836" t="s">
        <v>74</v>
      </c>
      <c r="Q16" s="836"/>
      <c r="R16" s="836" t="s">
        <v>1431</v>
      </c>
      <c r="S16" s="836"/>
      <c r="T16" s="836" t="s">
        <v>1432</v>
      </c>
      <c r="U16" s="836"/>
      <c r="V16" s="836"/>
      <c r="W16" s="836"/>
      <c r="X16" s="836" t="s">
        <v>74</v>
      </c>
      <c r="Y16" s="836"/>
      <c r="Z16" s="836" t="s">
        <v>1431</v>
      </c>
      <c r="AA16" s="836"/>
      <c r="AB16" s="836" t="s">
        <v>1433</v>
      </c>
      <c r="AC16" s="836"/>
      <c r="AD16" s="1134" t="s">
        <v>1377</v>
      </c>
      <c r="AE16" s="1134"/>
      <c r="AF16" s="1134"/>
      <c r="AG16" s="1134"/>
      <c r="AH16" s="836" t="s">
        <v>1425</v>
      </c>
      <c r="AI16" s="836"/>
      <c r="AJ16" s="836"/>
      <c r="AK16" s="836" t="s">
        <v>1187</v>
      </c>
      <c r="AL16" s="836"/>
      <c r="AM16" s="836"/>
      <c r="AN16" s="836" t="s">
        <v>83</v>
      </c>
      <c r="AO16" s="908"/>
      <c r="AP16" s="908"/>
      <c r="AQ16" s="908"/>
      <c r="AR16" s="354"/>
      <c r="AS16" s="354"/>
      <c r="AT16" s="858" t="s">
        <v>141</v>
      </c>
      <c r="AU16" s="858" t="s">
        <v>336</v>
      </c>
      <c r="AV16" s="858" t="s">
        <v>1195</v>
      </c>
      <c r="AW16" s="858" t="s">
        <v>699</v>
      </c>
      <c r="AX16" s="858" t="s">
        <v>1376</v>
      </c>
      <c r="AY16" s="858" t="s">
        <v>88</v>
      </c>
      <c r="AZ16" s="858" t="s">
        <v>1426</v>
      </c>
      <c r="BA16" s="858" t="s">
        <v>1428</v>
      </c>
      <c r="BB16" s="858" t="s">
        <v>1645</v>
      </c>
      <c r="BC16" s="1030" t="s">
        <v>2495</v>
      </c>
      <c r="BD16" s="1030" t="s">
        <v>780</v>
      </c>
      <c r="BE16" s="1122" t="s">
        <v>1982</v>
      </c>
      <c r="BF16" s="858" t="s">
        <v>1983</v>
      </c>
      <c r="BG16" s="858" t="s">
        <v>2046</v>
      </c>
      <c r="BH16" s="858" t="s">
        <v>85</v>
      </c>
      <c r="BI16" s="1132" t="s">
        <v>1427</v>
      </c>
      <c r="BJ16" s="1132" t="s">
        <v>319</v>
      </c>
      <c r="BK16" s="932" t="s">
        <v>2500</v>
      </c>
      <c r="BL16" s="932" t="s">
        <v>2893</v>
      </c>
    </row>
    <row r="17" spans="1:64" ht="15.95" customHeight="1" thickBot="1">
      <c r="B17" s="36"/>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837"/>
      <c r="AI17" s="837"/>
      <c r="AJ17" s="837"/>
      <c r="AK17" s="837"/>
      <c r="AL17" s="837"/>
      <c r="AM17" s="837"/>
      <c r="AN17" s="837"/>
      <c r="AO17" s="909"/>
      <c r="AP17" s="909"/>
      <c r="AQ17" s="909"/>
      <c r="AR17" s="355"/>
      <c r="AS17" s="355"/>
      <c r="AT17" s="859"/>
      <c r="AU17" s="859"/>
      <c r="AV17" s="859"/>
      <c r="AW17" s="859"/>
      <c r="AX17" s="859"/>
      <c r="AY17" s="859"/>
      <c r="AZ17" s="859"/>
      <c r="BA17" s="859"/>
      <c r="BB17" s="859"/>
      <c r="BC17" s="1031"/>
      <c r="BD17" s="1031"/>
      <c r="BE17" s="1123"/>
      <c r="BF17" s="859"/>
      <c r="BG17" s="859"/>
      <c r="BH17" s="859"/>
      <c r="BI17" s="1133"/>
      <c r="BJ17" s="1133"/>
      <c r="BK17" s="933"/>
      <c r="BL17" s="933"/>
    </row>
    <row r="18" spans="1:64" ht="15.95" customHeight="1">
      <c r="B18" s="905">
        <v>1</v>
      </c>
      <c r="C18" s="1036"/>
      <c r="D18" s="1036"/>
      <c r="E18" s="1036"/>
      <c r="F18" s="1036"/>
      <c r="G18" s="1036"/>
      <c r="H18" s="1036"/>
      <c r="I18" s="1036"/>
      <c r="J18" s="1036"/>
      <c r="K18" s="1038"/>
      <c r="L18" s="1146"/>
      <c r="M18" s="1145"/>
      <c r="N18" s="1145"/>
      <c r="O18" s="1145"/>
      <c r="P18" s="1142"/>
      <c r="Q18" s="1142"/>
      <c r="R18" s="1142"/>
      <c r="S18" s="1151"/>
      <c r="T18" s="1060"/>
      <c r="U18" s="1036"/>
      <c r="V18" s="1036"/>
      <c r="W18" s="1036"/>
      <c r="X18" s="1062"/>
      <c r="Y18" s="1062"/>
      <c r="Z18" s="1062"/>
      <c r="AA18" s="1079"/>
      <c r="AB18" s="1154" t="str">
        <f>IF(OR(C18="New Construction",C18="Replace Failed Equip."),"Incremental",IF(C18="Retrofit","Total",""))</f>
        <v/>
      </c>
      <c r="AC18" s="1155"/>
      <c r="AD18" s="1124"/>
      <c r="AE18" s="1124"/>
      <c r="AF18" s="1125" t="str">
        <f>IF(AB18="Incremental",0,"")</f>
        <v/>
      </c>
      <c r="AG18" s="1126"/>
      <c r="AH18" s="1067" t="str">
        <f>IF(OR(C18="",F18="",L18="",P18="",R18="",T18="",X18="",Z18="",AB18="",AD18="",AF18=""),"",ROUND(AD18+AF18,2))</f>
        <v/>
      </c>
      <c r="AI18" s="1068"/>
      <c r="AJ18" s="1068"/>
      <c r="AK18" s="1081" t="str">
        <f>IF(OR(C18="",F18="",L18="",P18="",R18="",T18="",X18="",Z18="",AB18="",AD18="",AF18=""),"",IF(AW18-AX18&lt;=0,0,ROUND(AW18-AX18,4)))</f>
        <v/>
      </c>
      <c r="AL18" s="1081"/>
      <c r="AM18" s="1081"/>
      <c r="AN18" s="1047" t="str">
        <f>IF(OR(C18="",F18="",L18="",P18="",R18="",T18="",X18="",Z18="",AB18="",AD18="",AF18=""),"",
IF(BJ18&lt;&gt;"",BJ18,IF(BL18&gt;0,BL18,
IF(AB18="Incremental",
IF(ACTIVEBLOCK="Yes",ROUND(MIN(AH18*INCCOSTCAP,AK18*BLOCKBIDRATE),2),
IF(BG18&lt;&gt;"",ROUND(MIN(AH18*INCCOSTCAP,BG18),2),
IF(BD18&lt;KWHRATEMIN,ROUND(MIN(AH18*INCCOSTCAP,BE18),2),
IF(BD18&gt;KWHRATEMAX,ROUND(MIN(AH18*INCCOSTCAP,BF18),2),
ROUND(MIN(AH18*INCCOSTCAP,BC18),2))))),
IF(ACTIVEBLOCK="Yes",ROUND(MIN(AH18*TOTCOSTCAP,AK18*BLOCKBIDRATE),2),
IF(BG18&lt;&gt;"",ROUND(MIN(AH18*TOTCOSTCAP,BG18),2),
IF(BD18&lt;KWHRATEMIN,ROUND(MIN(AH18*TOTCOSTCAP,BE18),2),
IF(BD18&gt;KWHRATEMAX,ROUND(MIN(AH18*TOTCOSTCAP,BF18),2),
ROUND(MIN(AH18*TOTCOSTCAP,BC18),2)))))))))</f>
        <v/>
      </c>
      <c r="AO18" s="1048"/>
      <c r="AP18" s="1048"/>
      <c r="AQ18" s="1048"/>
      <c r="AR18" s="355"/>
      <c r="AS18" s="355"/>
      <c r="AT18" s="1112" t="str">
        <f>IFERROR(IF(OR(C18="",F18="",L18="",P18="",R18="",T18="",X18="",Z18="",AB18="",AD18="",AF18=""),"",
ROUND(((1+ELOSS)*((AK18*INDEX(ELECCB[NPV AEC $/kWh],MATCH(AY18,ELECCB[Year Number],1)))+(BA18*INDEX(ELECCB[NPV ACC $/kW],MATCH(AY18,ELECCB[Year Number],1))))/AH18),2)),0)</f>
        <v/>
      </c>
      <c r="AU18" s="1112" t="str">
        <f>IFERROR(AH18/M02S04F06/AK18,"")</f>
        <v/>
      </c>
      <c r="AV18" s="1108" t="str">
        <f>IF(OR(C18="",F18=""),"",INDEX(CMEREFRI[Unit of Measure],MATCH(F18,CMEREFRI[Proj Desc 1],0)))</f>
        <v/>
      </c>
      <c r="AW18" s="1103" t="str">
        <f>IF(OR(C18="",F18="",L18="",P18="",R18="",T18="",X18="",Z18="",AB18="",AD18="",AF18=""),"",ROUND(P18*R18,4))</f>
        <v/>
      </c>
      <c r="AX18" s="1103" t="str">
        <f>IF(OR(C18="",F18="",L18="",P18="",R18="",T18="",X18="",Z18="",AB18="",AD18="",AF18=""),"",ROUND(X18*Z18,4))</f>
        <v/>
      </c>
      <c r="AY18" s="1113" t="str">
        <f>IF(OR(C18="",F18=""),"",IF(INDEX(CMEREFRI[EUL],MATCH(F18,CMEREFRI[Proj Desc 1],0))="","",INDEX(CMEREFRI[EUL],MATCH(F18,CMEREFRI[Proj Desc 1],0))))</f>
        <v/>
      </c>
      <c r="AZ18" s="1115" t="str">
        <f>IF(OR(C18="",F18=""),"",IF(INDEX(CMEREFRI[End Use Category],MATCH(F18,CMEREFRI[Proj Desc 1],0))="","",INDEX(CMEREFRI[End Use Category],MATCH(F18,CMEREFRI[Proj Desc 1],0))))</f>
        <v/>
      </c>
      <c r="BA18" s="1027" t="str">
        <f>IFERROR(IF(OR(C18="",F18="",L18="",P18="",R18="",T18="",X18="",Z18="",AB18="",AD18="",AF18=""),"",ROUND(AK18*INDEX(ENDUSEALL[Factor],MATCH(AZ18,ENDUSEALL[End Use to Coincident Peak Demand Factors],0)),4)),"")</f>
        <v/>
      </c>
      <c r="BB18" s="1120"/>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IF(OR(C18="",F18="",L18="",P18="",R18="",T18="",X18="",Z18="",AB18="",AD18="",AF18=""),"",IF(BJ18&lt;&gt;"",SPILLOVERNUMBER,INDEX(CMEREFRI[Measure Number],MATCH(F18,CMEREFRI[Proj Desc 1],0))))</f>
        <v/>
      </c>
      <c r="BI18" s="1108" t="str">
        <f>IFERROR(IF(AND(AB18="Total",ROUND(AN18/AH18,2)=TOTCOSTCAP),"75% Total Cost",
IF(AND(AB18="Incremental",AH18=AN18),"100% Incremental Cost",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IF(AND((ISNUMBER(SEARCH("Other",F18))),OR(AY18="",AZ18="")),MEASURESUBMIT,
 IF(PAYCUSE&lt;PAYBACKREQ,PROJECTSTATPAYBACK,
IF(CBCUSE&lt;CBREQ,PROJECTSTATCB,""))))))),MEASURESUBMIT)</f>
        <v>Submit for Review</v>
      </c>
      <c r="BK18" s="930" t="str">
        <f>IFERROR(IF(OR(C18="",F18="",L18="",P18="",R18="",T18="",X18="",Z18="",AB18="",AD18="",AF18=""),"",
ROUND(((1+ELOSS)*((AK18*INDEX(ELECCB[NPV AEC $/kWh],MATCH(AY18,ELECCB[Year Number],1)))+(BA18*INDEX(ELECCB[NPV ACC $/kW],MATCH(AY18,ELECCB[Year Number],1))))),2)),0)</f>
        <v/>
      </c>
      <c r="BL18" s="1118"/>
    </row>
    <row r="19" spans="1:64" ht="15.95" customHeight="1">
      <c r="B19" s="905"/>
      <c r="C19" s="1037"/>
      <c r="D19" s="1037"/>
      <c r="E19" s="1037"/>
      <c r="F19" s="1037"/>
      <c r="G19" s="1037"/>
      <c r="H19" s="1037"/>
      <c r="I19" s="1037"/>
      <c r="J19" s="1037"/>
      <c r="K19" s="1039"/>
      <c r="L19" s="1040"/>
      <c r="M19" s="1037"/>
      <c r="N19" s="1037"/>
      <c r="O19" s="1037"/>
      <c r="P19" s="1041"/>
      <c r="Q19" s="1041"/>
      <c r="R19" s="1041"/>
      <c r="S19" s="1152"/>
      <c r="T19" s="1061"/>
      <c r="U19" s="1037"/>
      <c r="V19" s="1037"/>
      <c r="W19" s="1037"/>
      <c r="X19" s="1041"/>
      <c r="Y19" s="1041"/>
      <c r="Z19" s="1041"/>
      <c r="AA19" s="1153"/>
      <c r="AB19" s="1156"/>
      <c r="AC19" s="1157"/>
      <c r="AD19" s="1054"/>
      <c r="AE19" s="1054"/>
      <c r="AF19" s="1127"/>
      <c r="AG19" s="1128"/>
      <c r="AH19" s="1064"/>
      <c r="AI19" s="1065"/>
      <c r="AJ19" s="1065"/>
      <c r="AK19" s="1066"/>
      <c r="AL19" s="1066"/>
      <c r="AM19" s="1066"/>
      <c r="AN19" s="1049"/>
      <c r="AO19" s="1050"/>
      <c r="AP19" s="1050"/>
      <c r="AQ19" s="1050"/>
      <c r="AR19" s="355"/>
      <c r="AS19" s="355"/>
      <c r="AT19" s="1104"/>
      <c r="AU19" s="1104"/>
      <c r="AV19" s="1105"/>
      <c r="AW19" s="1025"/>
      <c r="AX19" s="1025"/>
      <c r="AY19" s="1114"/>
      <c r="AZ19" s="1116"/>
      <c r="BA19" s="1109"/>
      <c r="BB19" s="1121"/>
      <c r="BC19" s="931"/>
      <c r="BD19" s="931"/>
      <c r="BE19" s="931"/>
      <c r="BF19" s="931"/>
      <c r="BG19" s="931"/>
      <c r="BH19" s="1107"/>
      <c r="BI19" s="1105"/>
      <c r="BJ19" s="1105"/>
      <c r="BK19" s="931"/>
      <c r="BL19" s="1119"/>
    </row>
    <row r="20" spans="1:64" ht="15.95" customHeight="1">
      <c r="A20" s="145"/>
      <c r="B20" s="905">
        <v>2</v>
      </c>
      <c r="C20" s="1037"/>
      <c r="D20" s="1037"/>
      <c r="E20" s="1037"/>
      <c r="F20" s="1037"/>
      <c r="G20" s="1037"/>
      <c r="H20" s="1037"/>
      <c r="I20" s="1037"/>
      <c r="J20" s="1037"/>
      <c r="K20" s="1039"/>
      <c r="L20" s="1040"/>
      <c r="M20" s="1037"/>
      <c r="N20" s="1037"/>
      <c r="O20" s="1037"/>
      <c r="P20" s="1041"/>
      <c r="Q20" s="1041"/>
      <c r="R20" s="1041"/>
      <c r="S20" s="1152"/>
      <c r="T20" s="1061"/>
      <c r="U20" s="1037"/>
      <c r="V20" s="1037"/>
      <c r="W20" s="1037"/>
      <c r="X20" s="1041"/>
      <c r="Y20" s="1041"/>
      <c r="Z20" s="1041"/>
      <c r="AA20" s="1153"/>
      <c r="AB20" s="1156" t="str">
        <f t="shared" ref="AB20" si="0">IF(OR(C20="New Construction",C20="Replace Failed Equip."),"Incremental",IF(C20="Retrofit","Total",""))</f>
        <v/>
      </c>
      <c r="AC20" s="1157"/>
      <c r="AD20" s="1054"/>
      <c r="AE20" s="1054"/>
      <c r="AF20" s="1127" t="str">
        <f>IF(AB20="Incremental",0,"")</f>
        <v/>
      </c>
      <c r="AG20" s="1128"/>
      <c r="AH20" s="1064" t="str">
        <f t="shared" ref="AH20" si="1">IF(OR(C20="",F20="",L20="",P20="",R20="",T20="",X20="",Z20="",AB20="",AD20="",AF20=""),"",ROUND(AD20+AF20,2))</f>
        <v/>
      </c>
      <c r="AI20" s="1065"/>
      <c r="AJ20" s="1065"/>
      <c r="AK20" s="1081" t="str">
        <f t="shared" ref="AK20" si="2">IF(OR(C20="",F20="",L20="",P20="",R20="",T20="",X20="",Z20="",AB20="",AD20="",AF20=""),"",IF(AW20-AX20&lt;=0,0,ROUND(AW20-AX20,4)))</f>
        <v/>
      </c>
      <c r="AL20" s="1081"/>
      <c r="AM20" s="1081"/>
      <c r="AN20" s="1047" t="str">
        <f>IF(OR(C20="",F20="",L20="",P20="",R20="",T20="",X20="",Z20="",AB20="",AD20="",AF20=""),"",
IF(BJ20&lt;&gt;"",BJ20,IF(BL20&gt;0,BL20,
IF(AB20="Incremental",
IF(ACTIVEBLOCK="Yes",ROUND(MIN(AH20*INCCOSTCAP,AK20*BLOCKBIDRATE),2),
IF(BG20&lt;&gt;"",ROUND(MIN(AH20*INCCOSTCAP,BG20),2),
IF(BD20&lt;KWHRATEMIN,ROUND(MIN(AH20*INCCOSTCAP,BE20),2),
IF(BD20&gt;KWHRATEMAX,ROUND(MIN(AH20*INCCOSTCAP,BF20),2),
ROUND(MIN(AH20*INCCOSTCAP,BC20),2))))),
IF(ACTIVEBLOCK="Yes",ROUND(MIN(AH20*TOTCOSTCAP,AK20*BLOCKBIDRATE),2),
IF(BG20&lt;&gt;"",ROUND(MIN(AH20*TOTCOSTCAP,BG20),2),
IF(BD20&lt;KWHRATEMIN,ROUND(MIN(AH20*TOTCOSTCAP,BE20),2),
IF(BD20&gt;KWHRATEMAX,ROUND(MIN(AH20*TOTCOSTCAP,BF20),2),
ROUND(MIN(AH20*TOTCOSTCAP,BC20),2)))))))))</f>
        <v/>
      </c>
      <c r="AO20" s="1048"/>
      <c r="AP20" s="1048"/>
      <c r="AQ20" s="1048"/>
      <c r="AR20" s="355"/>
      <c r="AS20" s="355"/>
      <c r="AT20" s="1104" t="str">
        <f>IFERROR(IF(OR(C20="",F20="",L20="",P20="",R20="",T20="",X20="",Z20="",AB20="",AD20="",AF20=""),"",
ROUND(((1+ELOSS)*((AK20*INDEX(ELECCB[NPV AEC $/kWh],MATCH(AY20,ELECCB[Year Number],1)))+(BA20*INDEX(ELECCB[NPV ACC $/kW],MATCH(AY20,ELECCB[Year Number],1))))/AH20),2)),0)</f>
        <v/>
      </c>
      <c r="AU20" s="1112" t="str">
        <f>IFERROR(AH20/M02S04F06/AK20,"")</f>
        <v/>
      </c>
      <c r="AV20" s="1108" t="str">
        <f>IF(OR(C20="",F20=""),"",INDEX(CMEREFRI[Unit of Measure],MATCH(F20,CMEREFRI[Proj Desc 1],0)))</f>
        <v/>
      </c>
      <c r="AW20" s="1103" t="str">
        <f t="shared" ref="AW20" si="3">IF(OR(C20="",F20="",L20="",P20="",R20="",T20="",X20="",Z20="",AB20="",AD20="",AF20=""),"",ROUND(P20*R20,4))</f>
        <v/>
      </c>
      <c r="AX20" s="1103" t="str">
        <f t="shared" ref="AX20" si="4">IF(OR(C20="",F20="",L20="",P20="",R20="",T20="",X20="",Z20="",AB20="",AD20="",AF20=""),"",ROUND(X20*Z20,4))</f>
        <v/>
      </c>
      <c r="AY20" s="1113" t="str">
        <f>IF(OR(C20="",F20=""),"",IF(INDEX(CMEREFRI[EUL],MATCH(F20,CMEREFRI[Proj Desc 1],0))="","",INDEX(CMEREFRI[EUL],MATCH(F20,CMEREFRI[Proj Desc 1],0))))</f>
        <v/>
      </c>
      <c r="AZ20" s="1115" t="str">
        <f>IF(OR(C20="",F20=""),"",IF(INDEX(CMEREFRI[End Use Category],MATCH(F20,CMEREFRI[Proj Desc 1],0))="","",INDEX(CMEREFRI[End Use Category],MATCH(F20,CMEREFRI[Proj Desc 1],0))))</f>
        <v/>
      </c>
      <c r="BA20" s="1027" t="str">
        <f>IFERROR(IF(OR(C20="",F20="",L20="",P20="",R20="",T20="",X20="",Z20="",AB20="",AD20="",AF20=""),"",ROUND(AK20*INDEX(ENDUSEALL[Factor],MATCH(AZ20,ENDUSEALL[End Use to Coincident Peak Demand Factors],0)),4)),"")</f>
        <v/>
      </c>
      <c r="BB20" s="1120"/>
      <c r="BC20" s="930" t="str">
        <f t="shared" ref="BC20" si="5">IFERROR(ROUND(AK20*BD20,2),"")</f>
        <v/>
      </c>
      <c r="BD20" s="930" t="str">
        <f>IFERROR(INDEX(ENDUSEALL[Rate ($/kWh)],MATCH(AZ20,ENDUSEALL[End Use to Coincident Peak Demand Factors],0)),"")</f>
        <v/>
      </c>
      <c r="BE20" s="931" t="str">
        <f>IFERROR(ROUND(AK20*KWHRATEMIN,2),"")</f>
        <v/>
      </c>
      <c r="BF20" s="931" t="str">
        <f>IFERROR(ROUND(AK20*KWHRATEMAX,2),"")</f>
        <v/>
      </c>
      <c r="BG20" s="930" t="str">
        <f>IFERROR(IF(INDEX(ENDUSEALL[Bonus Rate ($/kWh)],MATCH(AZ20,ENDUSEALL[End Use to Coincident Peak Demand Factors],0))="","",INDEX(ENDUSEALL[Bonus Rate ($/kWh)],MATCH(AZ20,ENDUSEALL[End Use to Coincident Peak Demand Factors],0))*AK20),"")</f>
        <v/>
      </c>
      <c r="BH20" s="1150" t="str">
        <f>IF(OR(C20="",F20="",L20="",P20="",R20="",T20="",X20="",Z20="",AB20="",AD20="",AF20=""),"",IF(BJ20&lt;&gt;"",SPILLOVERNUMBER,INDEX(CMEREFRI[Measure Number],MATCH(F20,CMEREFRI[Proj Desc 1],0))))</f>
        <v/>
      </c>
      <c r="BI20" s="1108" t="str">
        <f>IFERROR(IF(AND(AB20="Total",ROUND(AN20/AH20,2)=TOTCOSTCAP),"75% Total Cost",
IF(AND(AB20="Incremental",AH20=AN20),"100% Incremental Cost",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IF(AND((ISNUMBER(SEARCH("Other",F20))),OR(AY20="",AZ20="")),MEASURESUBMIT,
 IF(PAYCUSE&lt;PAYBACKREQ,PROJECTSTATPAYBACK,
IF(CBCUSE&lt;CBREQ,PROJECTSTATCB,""))))))),MEASURESUBMIT)</f>
        <v>Submit for Review</v>
      </c>
      <c r="BK20" s="930" t="str">
        <f>IFERROR(IF(OR(C20="",F20="",L20="",P20="",R20="",T20="",X20="",Z20="",AB20="",AD20="",AF20=""),"",
ROUND(((1+ELOSS)*((AK20*INDEX(ELECCB[NPV AEC $/kWh],MATCH(AY20,ELECCB[Year Number],1)))+(BA20*INDEX(ELECCB[NPV ACC $/kW],MATCH(AY20,ELECCB[Year Number],1))))),2)),0)</f>
        <v/>
      </c>
      <c r="BL20" s="1118"/>
    </row>
    <row r="21" spans="1:64" ht="15.95" customHeight="1">
      <c r="B21" s="905"/>
      <c r="C21" s="1037"/>
      <c r="D21" s="1037"/>
      <c r="E21" s="1037"/>
      <c r="F21" s="1037"/>
      <c r="G21" s="1037"/>
      <c r="H21" s="1037"/>
      <c r="I21" s="1037"/>
      <c r="J21" s="1037"/>
      <c r="K21" s="1039"/>
      <c r="L21" s="1040"/>
      <c r="M21" s="1037"/>
      <c r="N21" s="1037"/>
      <c r="O21" s="1037"/>
      <c r="P21" s="1041"/>
      <c r="Q21" s="1041"/>
      <c r="R21" s="1041"/>
      <c r="S21" s="1152"/>
      <c r="T21" s="1061"/>
      <c r="U21" s="1037"/>
      <c r="V21" s="1037"/>
      <c r="W21" s="1037"/>
      <c r="X21" s="1041"/>
      <c r="Y21" s="1041"/>
      <c r="Z21" s="1041"/>
      <c r="AA21" s="1153"/>
      <c r="AB21" s="1156"/>
      <c r="AC21" s="1157"/>
      <c r="AD21" s="1054"/>
      <c r="AE21" s="1054"/>
      <c r="AF21" s="1127"/>
      <c r="AG21" s="1128"/>
      <c r="AH21" s="1064"/>
      <c r="AI21" s="1065"/>
      <c r="AJ21" s="1065"/>
      <c r="AK21" s="1066"/>
      <c r="AL21" s="1066"/>
      <c r="AM21" s="1066"/>
      <c r="AN21" s="1049"/>
      <c r="AO21" s="1050"/>
      <c r="AP21" s="1050"/>
      <c r="AQ21" s="1050"/>
      <c r="AR21" s="355"/>
      <c r="AS21" s="355"/>
      <c r="AT21" s="1104"/>
      <c r="AU21" s="1104"/>
      <c r="AV21" s="1105"/>
      <c r="AW21" s="1025"/>
      <c r="AX21" s="1025"/>
      <c r="AY21" s="1114"/>
      <c r="AZ21" s="1116"/>
      <c r="BA21" s="1109"/>
      <c r="BB21" s="1121"/>
      <c r="BC21" s="931"/>
      <c r="BD21" s="931"/>
      <c r="BE21" s="931"/>
      <c r="BF21" s="931"/>
      <c r="BG21" s="931"/>
      <c r="BH21" s="1106"/>
      <c r="BI21" s="1105"/>
      <c r="BJ21" s="1105"/>
      <c r="BK21" s="931"/>
      <c r="BL21" s="1119"/>
    </row>
    <row r="22" spans="1:64" s="36" customFormat="1" ht="15.95" customHeight="1">
      <c r="A22" s="195"/>
      <c r="B22" s="905">
        <v>3</v>
      </c>
      <c r="C22" s="1037"/>
      <c r="D22" s="1037"/>
      <c r="E22" s="1037"/>
      <c r="F22" s="1037"/>
      <c r="G22" s="1037"/>
      <c r="H22" s="1037"/>
      <c r="I22" s="1037"/>
      <c r="J22" s="1037"/>
      <c r="K22" s="1039"/>
      <c r="L22" s="1040"/>
      <c r="M22" s="1037"/>
      <c r="N22" s="1037"/>
      <c r="O22" s="1037"/>
      <c r="P22" s="1041"/>
      <c r="Q22" s="1041"/>
      <c r="R22" s="1041"/>
      <c r="S22" s="1152"/>
      <c r="T22" s="1061"/>
      <c r="U22" s="1037"/>
      <c r="V22" s="1037"/>
      <c r="W22" s="1037"/>
      <c r="X22" s="1041"/>
      <c r="Y22" s="1041"/>
      <c r="Z22" s="1041"/>
      <c r="AA22" s="1153"/>
      <c r="AB22" s="1156" t="str">
        <f t="shared" ref="AB22" si="6">IF(OR(C22="New Construction",C22="Replace Failed Equip."),"Incremental",IF(C22="Retrofit","Total",""))</f>
        <v/>
      </c>
      <c r="AC22" s="1157"/>
      <c r="AD22" s="1054"/>
      <c r="AE22" s="1054"/>
      <c r="AF22" s="1127" t="str">
        <f t="shared" ref="AF22" si="7">IF(AB22="Incremental",0,"")</f>
        <v/>
      </c>
      <c r="AG22" s="1128"/>
      <c r="AH22" s="1064" t="str">
        <f t="shared" ref="AH22" si="8">IF(OR(C22="",F22="",L22="",P22="",R22="",T22="",X22="",Z22="",AB22="",AD22="",AF22=""),"",ROUND(AD22+AF22,2))</f>
        <v/>
      </c>
      <c r="AI22" s="1065"/>
      <c r="AJ22" s="1065"/>
      <c r="AK22" s="1081" t="str">
        <f t="shared" ref="AK22" si="9">IF(OR(C22="",F22="",L22="",P22="",R22="",T22="",X22="",Z22="",AB22="",AD22="",AF22=""),"",IF(AW22-AX22&lt;=0,0,ROUND(AW22-AX22,4)))</f>
        <v/>
      </c>
      <c r="AL22" s="1081"/>
      <c r="AM22" s="1081"/>
      <c r="AN22" s="1047" t="str">
        <f>IF(OR(C22="",F22="",L22="",P22="",R22="",T22="",X22="",Z22="",AB22="",AD22="",AF22=""),"",
IF(BJ22&lt;&gt;"",BJ22,IF(BL22&gt;0,BL22,
IF(AB22="Incremental",
IF(ACTIVEBLOCK="Yes",ROUND(MIN(AH22*INCCOSTCAP,AK22*BLOCKBIDRATE),2),
IF(BG22&lt;&gt;"",ROUND(MIN(AH22*INCCOSTCAP,BG22),2),
IF(BD22&lt;KWHRATEMIN,ROUND(MIN(AH22*INCCOSTCAP,BE22),2),
IF(BD22&gt;KWHRATEMAX,ROUND(MIN(AH22*INCCOSTCAP,BF22),2),
ROUND(MIN(AH22*INCCOSTCAP,BC22),2))))),
IF(ACTIVEBLOCK="Yes",ROUND(MIN(AH22*TOTCOSTCAP,AK22*BLOCKBIDRATE),2),
IF(BG22&lt;&gt;"",ROUND(MIN(AH22*TOTCOSTCAP,BG22),2),
IF(BD22&lt;KWHRATEMIN,ROUND(MIN(AH22*TOTCOSTCAP,BE22),2),
IF(BD22&gt;KWHRATEMAX,ROUND(MIN(AH22*TOTCOSTCAP,BF22),2),
ROUND(MIN(AH22*TOTCOSTCAP,BC22),2)))))))))</f>
        <v/>
      </c>
      <c r="AO22" s="1048"/>
      <c r="AP22" s="1048"/>
      <c r="AQ22" s="1048"/>
      <c r="AR22" s="354"/>
      <c r="AS22" s="354"/>
      <c r="AT22" s="1104" t="str">
        <f>IFERROR(IF(OR(C22="",F22="",L22="",P22="",R22="",T22="",X22="",Z22="",AB22="",AD22="",AF22=""),"",
ROUND(((1+ELOSS)*((AK22*INDEX(ELECCB[NPV AEC $/kWh],MATCH(AY22,ELECCB[Year Number],1)))+(BA22*INDEX(ELECCB[NPV ACC $/kW],MATCH(AY22,ELECCB[Year Number],1))))/AH22),2)),0)</f>
        <v/>
      </c>
      <c r="AU22" s="1112" t="str">
        <f>IFERROR(AH22/M02S04F06/AK22,"")</f>
        <v/>
      </c>
      <c r="AV22" s="1108" t="str">
        <f>IF(OR(C22="",F22=""),"",INDEX(CMEREFRI[Unit of Measure],MATCH(F22,CMEREFRI[Proj Desc 1],0)))</f>
        <v/>
      </c>
      <c r="AW22" s="1103" t="str">
        <f t="shared" ref="AW22" si="10">IF(OR(C22="",F22="",L22="",P22="",R22="",T22="",X22="",Z22="",AB22="",AD22="",AF22=""),"",ROUND(P22*R22,4))</f>
        <v/>
      </c>
      <c r="AX22" s="1103" t="str">
        <f t="shared" ref="AX22" si="11">IF(OR(C22="",F22="",L22="",P22="",R22="",T22="",X22="",Z22="",AB22="",AD22="",AF22=""),"",ROUND(X22*Z22,4))</f>
        <v/>
      </c>
      <c r="AY22" s="1113" t="str">
        <f>IF(OR(C22="",F22=""),"",IF(INDEX(CMEREFRI[EUL],MATCH(F22,CMEREFRI[Proj Desc 1],0))="","",INDEX(CMEREFRI[EUL],MATCH(F22,CMEREFRI[Proj Desc 1],0))))</f>
        <v/>
      </c>
      <c r="AZ22" s="1115" t="str">
        <f>IF(OR(C22="",F22=""),"",IF(INDEX(CMEREFRI[End Use Category],MATCH(F22,CMEREFRI[Proj Desc 1],0))="","",INDEX(CMEREFRI[End Use Category],MATCH(F22,CMEREFRI[Proj Desc 1],0))))</f>
        <v/>
      </c>
      <c r="BA22" s="1027" t="str">
        <f>IFERROR(IF(OR(C22="",F22="",L22="",P22="",R22="",T22="",X22="",Z22="",AB22="",AD22="",AF22=""),"",ROUND(AK22*INDEX(ENDUSEALL[Factor],MATCH(AZ22,ENDUSEALL[End Use to Coincident Peak Demand Factors],0)),4)),"")</f>
        <v/>
      </c>
      <c r="BB22" s="1120"/>
      <c r="BC22" s="930" t="str">
        <f t="shared" ref="BC22" si="12">IFERROR(ROUND(AK22*BD22,2),"")</f>
        <v/>
      </c>
      <c r="BD22" s="930" t="str">
        <f>IFERROR(INDEX(ENDUSEALL[Rate ($/kWh)],MATCH(AZ22,ENDUSEALL[End Use to Coincident Peak Demand Factors],0)),"")</f>
        <v/>
      </c>
      <c r="BE22" s="931" t="str">
        <f>IFERROR(ROUND(AK22*KWHRATEMIN,2),"")</f>
        <v/>
      </c>
      <c r="BF22" s="931" t="str">
        <f>IFERROR(ROUND(AK22*KWHRATEMAX,2),"")</f>
        <v/>
      </c>
      <c r="BG22" s="930" t="str">
        <f>IFERROR(IF(INDEX(ENDUSEALL[Bonus Rate ($/kWh)],MATCH(AZ22,ENDUSEALL[End Use to Coincident Peak Demand Factors],0))="","",INDEX(ENDUSEALL[Bonus Rate ($/kWh)],MATCH(AZ22,ENDUSEALL[End Use to Coincident Peak Demand Factors],0))*AK22),"")</f>
        <v/>
      </c>
      <c r="BH22" s="1150" t="str">
        <f>IF(OR(C22="",F22="",L22="",P22="",R22="",T22="",X22="",Z22="",AB22="",AD22="",AF22=""),"",IF(BJ22&lt;&gt;"",SPILLOVERNUMBER,INDEX(CMEREFRI[Measure Number],MATCH(F22,CMEREFRI[Proj Desc 1],0))))</f>
        <v/>
      </c>
      <c r="BI22" s="1108" t="str">
        <f>IFERROR(IF(AND(AB22="Total",ROUND(AN22/AH22,2)=TOTCOSTCAP),"75% Total Cost",
IF(AND(AB22="Incremental",AH22=AN22),"100% Incremental Cost",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IF(AND((ISNUMBER(SEARCH("Other",F22))),OR(AY22="",AZ22="")),MEASURESUBMIT,
 IF(PAYCUSE&lt;PAYBACKREQ,PROJECTSTATPAYBACK,
IF(CBCUSE&lt;CBREQ,PROJECTSTATCB,""))))))),MEASURESUBMIT)</f>
        <v>Submit for Review</v>
      </c>
      <c r="BK22" s="930" t="str">
        <f>IFERROR(IF(OR(C22="",F22="",L22="",P22="",R22="",T22="",X22="",Z22="",AB22="",AD22="",AF22=""),"",
ROUND(((1+ELOSS)*((AK22*INDEX(ELECCB[NPV AEC $/kWh],MATCH(AY22,ELECCB[Year Number],1)))+(BA22*INDEX(ELECCB[NPV ACC $/kW],MATCH(AY22,ELECCB[Year Number],1))))),2)),0)</f>
        <v/>
      </c>
      <c r="BL22" s="1118"/>
    </row>
    <row r="23" spans="1:64" s="36" customFormat="1" ht="15.95" customHeight="1">
      <c r="A23" s="195"/>
      <c r="B23" s="905"/>
      <c r="C23" s="1037"/>
      <c r="D23" s="1037"/>
      <c r="E23" s="1037"/>
      <c r="F23" s="1037"/>
      <c r="G23" s="1037"/>
      <c r="H23" s="1037"/>
      <c r="I23" s="1037"/>
      <c r="J23" s="1037"/>
      <c r="K23" s="1039"/>
      <c r="L23" s="1040"/>
      <c r="M23" s="1037"/>
      <c r="N23" s="1037"/>
      <c r="O23" s="1037"/>
      <c r="P23" s="1041"/>
      <c r="Q23" s="1041"/>
      <c r="R23" s="1041"/>
      <c r="S23" s="1152"/>
      <c r="T23" s="1061"/>
      <c r="U23" s="1037"/>
      <c r="V23" s="1037"/>
      <c r="W23" s="1037"/>
      <c r="X23" s="1041"/>
      <c r="Y23" s="1041"/>
      <c r="Z23" s="1041"/>
      <c r="AA23" s="1153"/>
      <c r="AB23" s="1156"/>
      <c r="AC23" s="1157"/>
      <c r="AD23" s="1054"/>
      <c r="AE23" s="1054"/>
      <c r="AF23" s="1127"/>
      <c r="AG23" s="1128"/>
      <c r="AH23" s="1064"/>
      <c r="AI23" s="1065"/>
      <c r="AJ23" s="1065"/>
      <c r="AK23" s="1066"/>
      <c r="AL23" s="1066"/>
      <c r="AM23" s="1066"/>
      <c r="AN23" s="1049"/>
      <c r="AO23" s="1050"/>
      <c r="AP23" s="1050"/>
      <c r="AQ23" s="1050"/>
      <c r="AR23" s="354"/>
      <c r="AS23" s="354"/>
      <c r="AT23" s="1104"/>
      <c r="AU23" s="1104"/>
      <c r="AV23" s="1105"/>
      <c r="AW23" s="1025"/>
      <c r="AX23" s="1025"/>
      <c r="AY23" s="1114"/>
      <c r="AZ23" s="1116"/>
      <c r="BA23" s="1109"/>
      <c r="BB23" s="1121"/>
      <c r="BC23" s="931"/>
      <c r="BD23" s="931"/>
      <c r="BE23" s="931"/>
      <c r="BF23" s="931"/>
      <c r="BG23" s="931"/>
      <c r="BH23" s="1106"/>
      <c r="BI23" s="1105"/>
      <c r="BJ23" s="1105"/>
      <c r="BK23" s="931"/>
      <c r="BL23" s="1119"/>
    </row>
    <row r="24" spans="1:64" ht="15.95" customHeight="1">
      <c r="B24" s="905">
        <v>4</v>
      </c>
      <c r="C24" s="1037"/>
      <c r="D24" s="1037"/>
      <c r="E24" s="1037"/>
      <c r="F24" s="1037"/>
      <c r="G24" s="1037"/>
      <c r="H24" s="1037"/>
      <c r="I24" s="1037"/>
      <c r="J24" s="1037"/>
      <c r="K24" s="1039"/>
      <c r="L24" s="1040"/>
      <c r="M24" s="1037"/>
      <c r="N24" s="1037"/>
      <c r="O24" s="1037"/>
      <c r="P24" s="1041"/>
      <c r="Q24" s="1041"/>
      <c r="R24" s="1041"/>
      <c r="S24" s="1152"/>
      <c r="T24" s="1061"/>
      <c r="U24" s="1037"/>
      <c r="V24" s="1037"/>
      <c r="W24" s="1037"/>
      <c r="X24" s="1041"/>
      <c r="Y24" s="1041"/>
      <c r="Z24" s="1041"/>
      <c r="AA24" s="1153"/>
      <c r="AB24" s="1156" t="str">
        <f t="shared" ref="AB24" si="13">IF(OR(C24="New Construction",C24="Replace Failed Equip."),"Incremental",IF(C24="Retrofit","Total",""))</f>
        <v/>
      </c>
      <c r="AC24" s="1157"/>
      <c r="AD24" s="1054"/>
      <c r="AE24" s="1054"/>
      <c r="AF24" s="1127" t="str">
        <f t="shared" ref="AF24" si="14">IF(AB24="Incremental",0,"")</f>
        <v/>
      </c>
      <c r="AG24" s="1128"/>
      <c r="AH24" s="1064" t="str">
        <f t="shared" ref="AH24" si="15">IF(OR(C24="",F24="",L24="",P24="",R24="",T24="",X24="",Z24="",AB24="",AD24="",AF24=""),"",ROUND(AD24+AF24,2))</f>
        <v/>
      </c>
      <c r="AI24" s="1065"/>
      <c r="AJ24" s="1065"/>
      <c r="AK24" s="1081" t="str">
        <f t="shared" ref="AK24" si="16">IF(OR(C24="",F24="",L24="",P24="",R24="",T24="",X24="",Z24="",AB24="",AD24="",AF24=""),"",IF(AW24-AX24&lt;=0,0,ROUND(AW24-AX24,4)))</f>
        <v/>
      </c>
      <c r="AL24" s="1081"/>
      <c r="AM24" s="1081"/>
      <c r="AN24" s="1047" t="str">
        <f>IF(OR(C24="",F24="",L24="",P24="",R24="",T24="",X24="",Z24="",AB24="",AD24="",AF24=""),"",
IF(BJ24&lt;&gt;"",BJ24,IF(BL24&gt;0,BL24,
IF(AB24="Incremental",
IF(ACTIVEBLOCK="Yes",ROUND(MIN(AH24*INCCOSTCAP,AK24*BLOCKBIDRATE),2),
IF(BG24&lt;&gt;"",ROUND(MIN(AH24*INCCOSTCAP,BG24),2),
IF(BD24&lt;KWHRATEMIN,ROUND(MIN(AH24*INCCOSTCAP,BE24),2),
IF(BD24&gt;KWHRATEMAX,ROUND(MIN(AH24*INCCOSTCAP,BF24),2),
ROUND(MIN(AH24*INCCOSTCAP,BC24),2))))),
IF(ACTIVEBLOCK="Yes",ROUND(MIN(AH24*TOTCOSTCAP,AK24*BLOCKBIDRATE),2),
IF(BG24&lt;&gt;"",ROUND(MIN(AH24*TOTCOSTCAP,BG24),2),
IF(BD24&lt;KWHRATEMIN,ROUND(MIN(AH24*TOTCOSTCAP,BE24),2),
IF(BD24&gt;KWHRATEMAX,ROUND(MIN(AH24*TOTCOSTCAP,BF24),2),
ROUND(MIN(AH24*TOTCOSTCAP,BC24),2)))))))))</f>
        <v/>
      </c>
      <c r="AO24" s="1048"/>
      <c r="AP24" s="1048"/>
      <c r="AQ24" s="1048"/>
      <c r="AR24" s="355"/>
      <c r="AS24" s="355"/>
      <c r="AT24" s="1104" t="str">
        <f>IFERROR(IF(OR(C24="",F24="",L24="",P24="",R24="",T24="",X24="",Z24="",AB24="",AD24="",AF24=""),"",
ROUND(((1+ELOSS)*((AK24*INDEX(ELECCB[NPV AEC $/kWh],MATCH(AY24,ELECCB[Year Number],1)))+(BA24*INDEX(ELECCB[NPV ACC $/kW],MATCH(AY24,ELECCB[Year Number],1))))/AH24),2)),0)</f>
        <v/>
      </c>
      <c r="AU24" s="1112" t="str">
        <f>IFERROR(AH24/M02S04F06/AK24,"")</f>
        <v/>
      </c>
      <c r="AV24" s="1108" t="str">
        <f>IF(OR(C24="",F24=""),"",INDEX(CMEREFRI[Unit of Measure],MATCH(F24,CMEREFRI[Proj Desc 1],0)))</f>
        <v/>
      </c>
      <c r="AW24" s="1103" t="str">
        <f t="shared" ref="AW24" si="17">IF(OR(C24="",F24="",L24="",P24="",R24="",T24="",X24="",Z24="",AB24="",AD24="",AF24=""),"",ROUND(P24*R24,4))</f>
        <v/>
      </c>
      <c r="AX24" s="1103" t="str">
        <f t="shared" ref="AX24" si="18">IF(OR(C24="",F24="",L24="",P24="",R24="",T24="",X24="",Z24="",AB24="",AD24="",AF24=""),"",ROUND(X24*Z24,4))</f>
        <v/>
      </c>
      <c r="AY24" s="1113" t="str">
        <f>IF(OR(C24="",F24=""),"",IF(INDEX(CMEREFRI[EUL],MATCH(F24,CMEREFRI[Proj Desc 1],0))="","",INDEX(CMEREFRI[EUL],MATCH(F24,CMEREFRI[Proj Desc 1],0))))</f>
        <v/>
      </c>
      <c r="AZ24" s="1115" t="str">
        <f>IF(OR(C24="",F24=""),"",IF(INDEX(CMEREFRI[End Use Category],MATCH(F24,CMEREFRI[Proj Desc 1],0))="","",INDEX(CMEREFRI[End Use Category],MATCH(F24,CMEREFRI[Proj Desc 1],0))))</f>
        <v/>
      </c>
      <c r="BA24" s="1027" t="str">
        <f>IFERROR(IF(OR(C24="",F24="",L24="",P24="",R24="",T24="",X24="",Z24="",AB24="",AD24="",AF24=""),"",ROUND(AK24*INDEX(ENDUSEALL[Factor],MATCH(AZ24,ENDUSEALL[End Use to Coincident Peak Demand Factors],0)),4)),"")</f>
        <v/>
      </c>
      <c r="BB24" s="1120"/>
      <c r="BC24" s="930" t="str">
        <f t="shared" ref="BC24" si="19">IFERROR(ROUND(AK24*BD24,2),"")</f>
        <v/>
      </c>
      <c r="BD24" s="930" t="str">
        <f>IFERROR(INDEX(ENDUSEALL[Rate ($/kWh)],MATCH(AZ24,ENDUSEALL[End Use to Coincident Peak Demand Factors],0)),"")</f>
        <v/>
      </c>
      <c r="BE24" s="931" t="str">
        <f>IFERROR(ROUND(AK24*KWHRATEMIN,2),"")</f>
        <v/>
      </c>
      <c r="BF24" s="931" t="str">
        <f>IFERROR(ROUND(AK24*KWHRATEMAX,2),"")</f>
        <v/>
      </c>
      <c r="BG24" s="930" t="str">
        <f>IFERROR(IF(INDEX(ENDUSEALL[Bonus Rate ($/kWh)],MATCH(AZ24,ENDUSEALL[End Use to Coincident Peak Demand Factors],0))="","",INDEX(ENDUSEALL[Bonus Rate ($/kWh)],MATCH(AZ24,ENDUSEALL[End Use to Coincident Peak Demand Factors],0))*AK24),"")</f>
        <v/>
      </c>
      <c r="BH24" s="1150" t="str">
        <f>IF(OR(C24="",F24="",L24="",P24="",R24="",T24="",X24="",Z24="",AB24="",AD24="",AF24=""),"",IF(BJ24&lt;&gt;"",SPILLOVERNUMBER,INDEX(CMEREFRI[Measure Number],MATCH(F24,CMEREFRI[Proj Desc 1],0))))</f>
        <v/>
      </c>
      <c r="BI24" s="1108" t="str">
        <f>IFERROR(IF(AND(AB24="Total",ROUND(AN24/AH24,2)=TOTCOSTCAP),"75% Total Cost",
IF(AND(AB24="Incremental",AH24=AN24),"100% Incremental Cost",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IF(AND((ISNUMBER(SEARCH("Other",F24))),OR(AY24="",AZ24="")),MEASURESUBMIT,
 IF(PAYCUSE&lt;PAYBACKREQ,PROJECTSTATPAYBACK,
IF(CBCUSE&lt;CBREQ,PROJECTSTATCB,""))))))),MEASURESUBMIT)</f>
        <v>Submit for Review</v>
      </c>
      <c r="BK24" s="930" t="str">
        <f>IFERROR(IF(OR(C24="",F24="",L24="",P24="",R24="",T24="",X24="",Z24="",AB24="",AD24="",AF24=""),"",
ROUND(((1+ELOSS)*((AK24*INDEX(ELECCB[NPV AEC $/kWh],MATCH(AY24,ELECCB[Year Number],1)))+(BA24*INDEX(ELECCB[NPV ACC $/kW],MATCH(AY24,ELECCB[Year Number],1))))),2)),0)</f>
        <v/>
      </c>
      <c r="BL24" s="1118"/>
    </row>
    <row r="25" spans="1:64" ht="15.95" customHeight="1">
      <c r="A25" s="145"/>
      <c r="B25" s="905"/>
      <c r="C25" s="1037"/>
      <c r="D25" s="1037"/>
      <c r="E25" s="1037"/>
      <c r="F25" s="1037"/>
      <c r="G25" s="1037"/>
      <c r="H25" s="1037"/>
      <c r="I25" s="1037"/>
      <c r="J25" s="1037"/>
      <c r="K25" s="1039"/>
      <c r="L25" s="1040"/>
      <c r="M25" s="1037"/>
      <c r="N25" s="1037"/>
      <c r="O25" s="1037"/>
      <c r="P25" s="1041"/>
      <c r="Q25" s="1041"/>
      <c r="R25" s="1041"/>
      <c r="S25" s="1152"/>
      <c r="T25" s="1061"/>
      <c r="U25" s="1037"/>
      <c r="V25" s="1037"/>
      <c r="W25" s="1037"/>
      <c r="X25" s="1041"/>
      <c r="Y25" s="1041"/>
      <c r="Z25" s="1041"/>
      <c r="AA25" s="1153"/>
      <c r="AB25" s="1156"/>
      <c r="AC25" s="1157"/>
      <c r="AD25" s="1054"/>
      <c r="AE25" s="1054"/>
      <c r="AF25" s="1127"/>
      <c r="AG25" s="1128"/>
      <c r="AH25" s="1064"/>
      <c r="AI25" s="1065"/>
      <c r="AJ25" s="1065"/>
      <c r="AK25" s="1066"/>
      <c r="AL25" s="1066"/>
      <c r="AM25" s="1066"/>
      <c r="AN25" s="1049"/>
      <c r="AO25" s="1050"/>
      <c r="AP25" s="1050"/>
      <c r="AQ25" s="1050"/>
      <c r="AR25" s="355"/>
      <c r="AS25" s="355"/>
      <c r="AT25" s="1104"/>
      <c r="AU25" s="1104"/>
      <c r="AV25" s="1105"/>
      <c r="AW25" s="1025"/>
      <c r="AX25" s="1025"/>
      <c r="AY25" s="1114"/>
      <c r="AZ25" s="1116"/>
      <c r="BA25" s="1109"/>
      <c r="BB25" s="1121"/>
      <c r="BC25" s="931"/>
      <c r="BD25" s="931"/>
      <c r="BE25" s="931"/>
      <c r="BF25" s="931"/>
      <c r="BG25" s="931"/>
      <c r="BH25" s="1106"/>
      <c r="BI25" s="1105"/>
      <c r="BJ25" s="1105"/>
      <c r="BK25" s="931"/>
      <c r="BL25" s="1119"/>
    </row>
    <row r="26" spans="1:64" ht="15.95" customHeight="1">
      <c r="B26" s="905">
        <v>5</v>
      </c>
      <c r="C26" s="1037"/>
      <c r="D26" s="1037"/>
      <c r="E26" s="1037"/>
      <c r="F26" s="1037"/>
      <c r="G26" s="1037"/>
      <c r="H26" s="1037"/>
      <c r="I26" s="1037"/>
      <c r="J26" s="1037"/>
      <c r="K26" s="1039"/>
      <c r="L26" s="1040"/>
      <c r="M26" s="1037"/>
      <c r="N26" s="1037"/>
      <c r="O26" s="1037"/>
      <c r="P26" s="1041"/>
      <c r="Q26" s="1041"/>
      <c r="R26" s="1041"/>
      <c r="S26" s="1152"/>
      <c r="T26" s="1061"/>
      <c r="U26" s="1037"/>
      <c r="V26" s="1037"/>
      <c r="W26" s="1037"/>
      <c r="X26" s="1041"/>
      <c r="Y26" s="1041"/>
      <c r="Z26" s="1041"/>
      <c r="AA26" s="1153"/>
      <c r="AB26" s="1156" t="str">
        <f t="shared" ref="AB26" si="20">IF(OR(C26="New Construction",C26="Replace Failed Equip."),"Incremental",IF(C26="Retrofit","Total",""))</f>
        <v/>
      </c>
      <c r="AC26" s="1157"/>
      <c r="AD26" s="1054"/>
      <c r="AE26" s="1054"/>
      <c r="AF26" s="1127" t="str">
        <f t="shared" ref="AF26" si="21">IF(AB26="Incremental",0,"")</f>
        <v/>
      </c>
      <c r="AG26" s="1128"/>
      <c r="AH26" s="1064" t="str">
        <f t="shared" ref="AH26" si="22">IF(OR(C26="",F26="",L26="",P26="",R26="",T26="",X26="",Z26="",AB26="",AD26="",AF26=""),"",ROUND(AD26+AF26,2))</f>
        <v/>
      </c>
      <c r="AI26" s="1065"/>
      <c r="AJ26" s="1065"/>
      <c r="AK26" s="1081" t="str">
        <f t="shared" ref="AK26" si="23">IF(OR(C26="",F26="",L26="",P26="",R26="",T26="",X26="",Z26="",AB26="",AD26="",AF26=""),"",IF(AW26-AX26&lt;=0,0,ROUND(AW26-AX26,4)))</f>
        <v/>
      </c>
      <c r="AL26" s="1081"/>
      <c r="AM26" s="1081"/>
      <c r="AN26" s="1047" t="str">
        <f>IF(OR(C26="",F26="",L26="",P26="",R26="",T26="",X26="",Z26="",AB26="",AD26="",AF26=""),"",
IF(BJ26&lt;&gt;"",BJ26,IF(BL26&gt;0,BL26,
IF(AB26="Incremental",
IF(ACTIVEBLOCK="Yes",ROUND(MIN(AH26*INCCOSTCAP,AK26*BLOCKBIDRATE),2),
IF(BG26&lt;&gt;"",ROUND(MIN(AH26*INCCOSTCAP,BG26),2),
IF(BD26&lt;KWHRATEMIN,ROUND(MIN(AH26*INCCOSTCAP,BE26),2),
IF(BD26&gt;KWHRATEMAX,ROUND(MIN(AH26*INCCOSTCAP,BF26),2),
ROUND(MIN(AH26*INCCOSTCAP,BC26),2))))),
IF(ACTIVEBLOCK="Yes",ROUND(MIN(AH26*TOTCOSTCAP,AK26*BLOCKBIDRATE),2),
IF(BG26&lt;&gt;"",ROUND(MIN(AH26*TOTCOSTCAP,BG26),2),
IF(BD26&lt;KWHRATEMIN,ROUND(MIN(AH26*TOTCOSTCAP,BE26),2),
IF(BD26&gt;KWHRATEMAX,ROUND(MIN(AH26*TOTCOSTCAP,BF26),2),
ROUND(MIN(AH26*TOTCOSTCAP,BC26),2)))))))))</f>
        <v/>
      </c>
      <c r="AO26" s="1048"/>
      <c r="AP26" s="1048"/>
      <c r="AQ26" s="1048"/>
      <c r="AR26" s="355"/>
      <c r="AS26" s="355"/>
      <c r="AT26" s="1104" t="str">
        <f>IFERROR(IF(OR(C26="",F26="",L26="",P26="",R26="",T26="",X26="",Z26="",AB26="",AD26="",AF26=""),"",
ROUND(((1+ELOSS)*((AK26*INDEX(ELECCB[NPV AEC $/kWh],MATCH(AY26,ELECCB[Year Number],1)))+(BA26*INDEX(ELECCB[NPV ACC $/kW],MATCH(AY26,ELECCB[Year Number],1))))/AH26),2)),0)</f>
        <v/>
      </c>
      <c r="AU26" s="1112" t="str">
        <f>IFERROR(AH26/M02S04F06/AK26,"")</f>
        <v/>
      </c>
      <c r="AV26" s="1108" t="str">
        <f>IF(OR(C26="",F26=""),"",INDEX(CMEREFRI[Unit of Measure],MATCH(F26,CMEREFRI[Proj Desc 1],0)))</f>
        <v/>
      </c>
      <c r="AW26" s="1103" t="str">
        <f t="shared" ref="AW26" si="24">IF(OR(C26="",F26="",L26="",P26="",R26="",T26="",X26="",Z26="",AB26="",AD26="",AF26=""),"",ROUND(P26*R26,4))</f>
        <v/>
      </c>
      <c r="AX26" s="1103" t="str">
        <f t="shared" ref="AX26" si="25">IF(OR(C26="",F26="",L26="",P26="",R26="",T26="",X26="",Z26="",AB26="",AD26="",AF26=""),"",ROUND(X26*Z26,4))</f>
        <v/>
      </c>
      <c r="AY26" s="1113" t="str">
        <f>IF(OR(C26="",F26=""),"",IF(INDEX(CMEREFRI[EUL],MATCH(F26,CMEREFRI[Proj Desc 1],0))="","",INDEX(CMEREFRI[EUL],MATCH(F26,CMEREFRI[Proj Desc 1],0))))</f>
        <v/>
      </c>
      <c r="AZ26" s="1115" t="str">
        <f>IF(OR(C26="",F26=""),"",IF(INDEX(CMEREFRI[End Use Category],MATCH(F26,CMEREFRI[Proj Desc 1],0))="","",INDEX(CMEREFRI[End Use Category],MATCH(F26,CMEREFRI[Proj Desc 1],0))))</f>
        <v/>
      </c>
      <c r="BA26" s="1027" t="str">
        <f>IFERROR(IF(OR(C26="",F26="",L26="",P26="",R26="",T26="",X26="",Z26="",AB26="",AD26="",AF26=""),"",ROUND(AK26*INDEX(ENDUSEALL[Factor],MATCH(AZ26,ENDUSEALL[End Use to Coincident Peak Demand Factors],0)),4)),"")</f>
        <v/>
      </c>
      <c r="BB26" s="1120"/>
      <c r="BC26" s="930" t="str">
        <f t="shared" ref="BC26" si="26">IFERROR(ROUND(AK26*BD26,2),"")</f>
        <v/>
      </c>
      <c r="BD26" s="930" t="str">
        <f>IFERROR(INDEX(ENDUSEALL[Rate ($/kWh)],MATCH(AZ26,ENDUSEALL[End Use to Coincident Peak Demand Factors],0)),"")</f>
        <v/>
      </c>
      <c r="BE26" s="931" t="str">
        <f>IFERROR(ROUND(AK26*KWHRATEMIN,2),"")</f>
        <v/>
      </c>
      <c r="BF26" s="931" t="str">
        <f>IFERROR(ROUND(AK26*KWHRATEMAX,2),"")</f>
        <v/>
      </c>
      <c r="BG26" s="930" t="str">
        <f>IFERROR(IF(INDEX(ENDUSEALL[Bonus Rate ($/kWh)],MATCH(AZ26,ENDUSEALL[End Use to Coincident Peak Demand Factors],0))="","",INDEX(ENDUSEALL[Bonus Rate ($/kWh)],MATCH(AZ26,ENDUSEALL[End Use to Coincident Peak Demand Factors],0))*AK26),"")</f>
        <v/>
      </c>
      <c r="BH26" s="1150" t="str">
        <f>IF(OR(C26="",F26="",L26="",P26="",R26="",T26="",X26="",Z26="",AB26="",AD26="",AF26=""),"",IF(BJ26&lt;&gt;"",SPILLOVERNUMBER,INDEX(CMEREFRI[Measure Number],MATCH(F26,CMEREFRI[Proj Desc 1],0))))</f>
        <v/>
      </c>
      <c r="BI26" s="1108" t="str">
        <f>IFERROR(IF(AND(AB26="Total",ROUND(AN26/AH26,2)=TOTCOSTCAP),"75% Total Cost",
IF(AND(AB26="Incremental",AH26=AN26),"100% Incremental Cost",
IF(BD26&lt;KWHRATEMIN, "kWh Incentive Rate Min",
IF(BD26&gt;KWHRATEMAX,"kWh Incentive Rate Cap",
IF(AN26=BG26,"Bonus Incentive",
"kWh Incentive"))))),"")</f>
        <v/>
      </c>
      <c r="BJ26" s="1108" t="str">
        <f ca="1">IFERROR(IF(EXPIRATION&lt;&gt;"",PROJSTATEXP,
IF(BL26&gt;0,"",
IF(AW26-AX26&lt;=0,MEASURESAVE,
IF(OR(M02S04F06="",M02S04F06="Select Rate Code",M02S04F06=0),MEASURERATE,
IF(AND((ISNUMBER(SEARCH("Other",F26))),OR(AY26="",AZ26="")),MEASURESUBMIT,
 IF(PAYCUSE&lt;PAYBACKREQ,PROJECTSTATPAYBACK,
IF(CBCUSE&lt;CBREQ,PROJECTSTATCB,""))))))),MEASURESUBMIT)</f>
        <v>Submit for Review</v>
      </c>
      <c r="BK26" s="930" t="str">
        <f>IFERROR(IF(OR(C26="",F26="",L26="",P26="",R26="",T26="",X26="",Z26="",AB26="",AD26="",AF26=""),"",
ROUND(((1+ELOSS)*((AK26*INDEX(ELECCB[NPV AEC $/kWh],MATCH(AY26,ELECCB[Year Number],1)))+(BA26*INDEX(ELECCB[NPV ACC $/kW],MATCH(AY26,ELECCB[Year Number],1))))),2)),0)</f>
        <v/>
      </c>
      <c r="BL26" s="1118"/>
    </row>
    <row r="27" spans="1:64" ht="15.95" customHeight="1">
      <c r="B27" s="905"/>
      <c r="C27" s="1037"/>
      <c r="D27" s="1037"/>
      <c r="E27" s="1037"/>
      <c r="F27" s="1037"/>
      <c r="G27" s="1037"/>
      <c r="H27" s="1037"/>
      <c r="I27" s="1037"/>
      <c r="J27" s="1037"/>
      <c r="K27" s="1039"/>
      <c r="L27" s="1040"/>
      <c r="M27" s="1037"/>
      <c r="N27" s="1037"/>
      <c r="O27" s="1037"/>
      <c r="P27" s="1041"/>
      <c r="Q27" s="1041"/>
      <c r="R27" s="1041"/>
      <c r="S27" s="1152"/>
      <c r="T27" s="1061"/>
      <c r="U27" s="1037"/>
      <c r="V27" s="1037"/>
      <c r="W27" s="1037"/>
      <c r="X27" s="1041"/>
      <c r="Y27" s="1041"/>
      <c r="Z27" s="1041"/>
      <c r="AA27" s="1153"/>
      <c r="AB27" s="1156"/>
      <c r="AC27" s="1157"/>
      <c r="AD27" s="1054"/>
      <c r="AE27" s="1054"/>
      <c r="AF27" s="1127"/>
      <c r="AG27" s="1128"/>
      <c r="AH27" s="1064"/>
      <c r="AI27" s="1065"/>
      <c r="AJ27" s="1065"/>
      <c r="AK27" s="1066"/>
      <c r="AL27" s="1066"/>
      <c r="AM27" s="1066"/>
      <c r="AN27" s="1049"/>
      <c r="AO27" s="1050"/>
      <c r="AP27" s="1050"/>
      <c r="AQ27" s="1050"/>
      <c r="AR27" s="355"/>
      <c r="AS27" s="355"/>
      <c r="AT27" s="1104"/>
      <c r="AU27" s="1104"/>
      <c r="AV27" s="1105"/>
      <c r="AW27" s="1025"/>
      <c r="AX27" s="1025"/>
      <c r="AY27" s="1114"/>
      <c r="AZ27" s="1116"/>
      <c r="BA27" s="1109"/>
      <c r="BB27" s="1121"/>
      <c r="BC27" s="931"/>
      <c r="BD27" s="931"/>
      <c r="BE27" s="931"/>
      <c r="BF27" s="931"/>
      <c r="BG27" s="931"/>
      <c r="BH27" s="1106"/>
      <c r="BI27" s="1105"/>
      <c r="BJ27" s="1105"/>
      <c r="BK27" s="931"/>
      <c r="BL27" s="1119"/>
    </row>
    <row r="28" spans="1:64" ht="15.95" customHeight="1">
      <c r="B28" s="905">
        <v>6</v>
      </c>
      <c r="C28" s="1037"/>
      <c r="D28" s="1037"/>
      <c r="E28" s="1037"/>
      <c r="F28" s="1037"/>
      <c r="G28" s="1037"/>
      <c r="H28" s="1037"/>
      <c r="I28" s="1037"/>
      <c r="J28" s="1037"/>
      <c r="K28" s="1039"/>
      <c r="L28" s="1040"/>
      <c r="M28" s="1037"/>
      <c r="N28" s="1037"/>
      <c r="O28" s="1037"/>
      <c r="P28" s="1041"/>
      <c r="Q28" s="1041"/>
      <c r="R28" s="1041"/>
      <c r="S28" s="1152"/>
      <c r="T28" s="1061"/>
      <c r="U28" s="1037"/>
      <c r="V28" s="1037"/>
      <c r="W28" s="1037"/>
      <c r="X28" s="1041"/>
      <c r="Y28" s="1041"/>
      <c r="Z28" s="1041"/>
      <c r="AA28" s="1153"/>
      <c r="AB28" s="1156" t="str">
        <f t="shared" ref="AB28" si="27">IF(OR(C28="New Construction",C28="Replace Failed Equip."),"Incremental",IF(C28="Retrofit","Total",""))</f>
        <v/>
      </c>
      <c r="AC28" s="1157"/>
      <c r="AD28" s="1054"/>
      <c r="AE28" s="1054"/>
      <c r="AF28" s="1127" t="str">
        <f t="shared" ref="AF28" si="28">IF(AB28="Incremental",0,"")</f>
        <v/>
      </c>
      <c r="AG28" s="1128"/>
      <c r="AH28" s="1064" t="str">
        <f t="shared" ref="AH28" si="29">IF(OR(C28="",F28="",L28="",P28="",R28="",T28="",X28="",Z28="",AB28="",AD28="",AF28=""),"",ROUND(AD28+AF28,2))</f>
        <v/>
      </c>
      <c r="AI28" s="1065"/>
      <c r="AJ28" s="1065"/>
      <c r="AK28" s="1081" t="str">
        <f t="shared" ref="AK28" si="30">IF(OR(C28="",F28="",L28="",P28="",R28="",T28="",X28="",Z28="",AB28="",AD28="",AF28=""),"",IF(AW28-AX28&lt;=0,0,ROUND(AW28-AX28,4)))</f>
        <v/>
      </c>
      <c r="AL28" s="1081"/>
      <c r="AM28" s="1081"/>
      <c r="AN28" s="1047" t="str">
        <f>IF(OR(C28="",F28="",L28="",P28="",R28="",T28="",X28="",Z28="",AB28="",AD28="",AF28=""),"",
IF(BJ28&lt;&gt;"",BJ28,IF(BL28&gt;0,BL28,
IF(AB28="Incremental",
IF(ACTIVEBLOCK="Yes",ROUND(MIN(AH28*INCCOSTCAP,AK28*BLOCKBIDRATE),2),
IF(BG28&lt;&gt;"",ROUND(MIN(AH28*INCCOSTCAP,BG28),2),
IF(BD28&lt;KWHRATEMIN,ROUND(MIN(AH28*INCCOSTCAP,BE28),2),
IF(BD28&gt;KWHRATEMAX,ROUND(MIN(AH28*INCCOSTCAP,BF28),2),
ROUND(MIN(AH28*INCCOSTCAP,BC28),2))))),
IF(ACTIVEBLOCK="Yes",ROUND(MIN(AH28*TOTCOSTCAP,AK28*BLOCKBIDRATE),2),
IF(BG28&lt;&gt;"",ROUND(MIN(AH28*TOTCOSTCAP,BG28),2),
IF(BD28&lt;KWHRATEMIN,ROUND(MIN(AH28*TOTCOSTCAP,BE28),2),
IF(BD28&gt;KWHRATEMAX,ROUND(MIN(AH28*TOTCOSTCAP,BF28),2),
ROUND(MIN(AH28*TOTCOSTCAP,BC28),2)))))))))</f>
        <v/>
      </c>
      <c r="AO28" s="1048"/>
      <c r="AP28" s="1048"/>
      <c r="AQ28" s="1048"/>
      <c r="AR28" s="355"/>
      <c r="AS28" s="355"/>
      <c r="AT28" s="1104" t="str">
        <f>IFERROR(IF(OR(C28="",F28="",L28="",P28="",R28="",T28="",X28="",Z28="",AB28="",AD28="",AF28=""),"",
ROUND(((1+ELOSS)*((AK28*INDEX(ELECCB[NPV AEC $/kWh],MATCH(AY28,ELECCB[Year Number],1)))+(BA28*INDEX(ELECCB[NPV ACC $/kW],MATCH(AY28,ELECCB[Year Number],1))))/AH28),2)),0)</f>
        <v/>
      </c>
      <c r="AU28" s="1112" t="str">
        <f>IFERROR(AH28/M02S04F06/AK28,"")</f>
        <v/>
      </c>
      <c r="AV28" s="1108" t="str">
        <f>IF(OR(C28="",F28=""),"",INDEX(CMEREFRI[Unit of Measure],MATCH(F28,CMEREFRI[Proj Desc 1],0)))</f>
        <v/>
      </c>
      <c r="AW28" s="1103" t="str">
        <f t="shared" ref="AW28" si="31">IF(OR(C28="",F28="",L28="",P28="",R28="",T28="",X28="",Z28="",AB28="",AD28="",AF28=""),"",ROUND(P28*R28,4))</f>
        <v/>
      </c>
      <c r="AX28" s="1103" t="str">
        <f t="shared" ref="AX28" si="32">IF(OR(C28="",F28="",L28="",P28="",R28="",T28="",X28="",Z28="",AB28="",AD28="",AF28=""),"",ROUND(X28*Z28,4))</f>
        <v/>
      </c>
      <c r="AY28" s="1113" t="str">
        <f>IF(OR(C28="",F28=""),"",IF(INDEX(CMEREFRI[EUL],MATCH(F28,CMEREFRI[Proj Desc 1],0))="","",INDEX(CMEREFRI[EUL],MATCH(F28,CMEREFRI[Proj Desc 1],0))))</f>
        <v/>
      </c>
      <c r="AZ28" s="1115" t="str">
        <f>IF(OR(C28="",F28=""),"",IF(INDEX(CMEREFRI[End Use Category],MATCH(F28,CMEREFRI[Proj Desc 1],0))="","",INDEX(CMEREFRI[End Use Category],MATCH(F28,CMEREFRI[Proj Desc 1],0))))</f>
        <v/>
      </c>
      <c r="BA28" s="1027" t="str">
        <f>IFERROR(IF(OR(C28="",F28="",L28="",P28="",R28="",T28="",X28="",Z28="",AB28="",AD28="",AF28=""),"",ROUND(AK28*INDEX(ENDUSEALL[Factor],MATCH(AZ28,ENDUSEALL[End Use to Coincident Peak Demand Factors],0)),4)),"")</f>
        <v/>
      </c>
      <c r="BB28" s="1120"/>
      <c r="BC28" s="930" t="str">
        <f t="shared" ref="BC28" si="33">IFERROR(ROUND(AK28*BD28,2),"")</f>
        <v/>
      </c>
      <c r="BD28" s="930" t="str">
        <f>IFERROR(INDEX(ENDUSEALL[Rate ($/kWh)],MATCH(AZ28,ENDUSEALL[End Use to Coincident Peak Demand Factors],0)),"")</f>
        <v/>
      </c>
      <c r="BE28" s="931" t="str">
        <f>IFERROR(ROUND(AK28*KWHRATEMIN,2),"")</f>
        <v/>
      </c>
      <c r="BF28" s="931" t="str">
        <f>IFERROR(ROUND(AK28*KWHRATEMAX,2),"")</f>
        <v/>
      </c>
      <c r="BG28" s="930" t="str">
        <f>IFERROR(IF(INDEX(ENDUSEALL[Bonus Rate ($/kWh)],MATCH(AZ28,ENDUSEALL[End Use to Coincident Peak Demand Factors],0))="","",INDEX(ENDUSEALL[Bonus Rate ($/kWh)],MATCH(AZ28,ENDUSEALL[End Use to Coincident Peak Demand Factors],0))*AK28),"")</f>
        <v/>
      </c>
      <c r="BH28" s="1150" t="str">
        <f>IF(OR(C28="",F28="",L28="",P28="",R28="",T28="",X28="",Z28="",AB28="",AD28="",AF28=""),"",IF(BJ28&lt;&gt;"",SPILLOVERNUMBER,INDEX(CMEREFRI[Measure Number],MATCH(F28,CMEREFRI[Proj Desc 1],0))))</f>
        <v/>
      </c>
      <c r="BI28" s="1108" t="str">
        <f>IFERROR(IF(AND(AB28="Total",ROUND(AN28/AH28,2)=TOTCOSTCAP),"75% Total Cost",
IF(AND(AB28="Incremental",AH28=AN28),"100% Incremental Cost",
IF(BD28&lt;KWHRATEMIN, "kWh Incentive Rate Min",
IF(BD28&gt;KWHRATEMAX,"kWh Incentive Rate Cap",
IF(AN28=BG28,"Bonus Incentive",
"kWh Incentive"))))),"")</f>
        <v/>
      </c>
      <c r="BJ28" s="1108" t="str">
        <f ca="1">IFERROR(IF(EXPIRATION&lt;&gt;"",PROJSTATEXP,
IF(BL28&gt;0,"",
IF(AW28-AX28&lt;=0,MEASURESAVE,
IF(OR(M02S04F06="",M02S04F06="Select Rate Code",M02S04F06=0),MEASURERATE,
IF(AND((ISNUMBER(SEARCH("Other",F28))),OR(AY28="",AZ28="")),MEASURESUBMIT,
 IF(PAYCUSE&lt;PAYBACKREQ,PROJECTSTATPAYBACK,
IF(CBCUSE&lt;CBREQ,PROJECTSTATCB,""))))))),MEASURESUBMIT)</f>
        <v>Submit for Review</v>
      </c>
      <c r="BK28" s="930" t="str">
        <f>IFERROR(IF(OR(C28="",F28="",L28="",P28="",R28="",T28="",X28="",Z28="",AB28="",AD28="",AF28=""),"",
ROUND(((1+ELOSS)*((AK28*INDEX(ELECCB[NPV AEC $/kWh],MATCH(AY28,ELECCB[Year Number],1)))+(BA28*INDEX(ELECCB[NPV ACC $/kW],MATCH(AY28,ELECCB[Year Number],1))))),2)),0)</f>
        <v/>
      </c>
      <c r="BL28" s="1118"/>
    </row>
    <row r="29" spans="1:64" ht="15.95" customHeight="1">
      <c r="B29" s="905"/>
      <c r="C29" s="1037"/>
      <c r="D29" s="1037"/>
      <c r="E29" s="1037"/>
      <c r="F29" s="1037"/>
      <c r="G29" s="1037"/>
      <c r="H29" s="1037"/>
      <c r="I29" s="1037"/>
      <c r="J29" s="1037"/>
      <c r="K29" s="1039"/>
      <c r="L29" s="1040"/>
      <c r="M29" s="1037"/>
      <c r="N29" s="1037"/>
      <c r="O29" s="1037"/>
      <c r="P29" s="1041"/>
      <c r="Q29" s="1041"/>
      <c r="R29" s="1041"/>
      <c r="S29" s="1152"/>
      <c r="T29" s="1061"/>
      <c r="U29" s="1037"/>
      <c r="V29" s="1037"/>
      <c r="W29" s="1037"/>
      <c r="X29" s="1041"/>
      <c r="Y29" s="1041"/>
      <c r="Z29" s="1041"/>
      <c r="AA29" s="1153"/>
      <c r="AB29" s="1156"/>
      <c r="AC29" s="1157"/>
      <c r="AD29" s="1054"/>
      <c r="AE29" s="1054"/>
      <c r="AF29" s="1127"/>
      <c r="AG29" s="1128"/>
      <c r="AH29" s="1064"/>
      <c r="AI29" s="1065"/>
      <c r="AJ29" s="1065"/>
      <c r="AK29" s="1066"/>
      <c r="AL29" s="1066"/>
      <c r="AM29" s="1066"/>
      <c r="AN29" s="1049"/>
      <c r="AO29" s="1050"/>
      <c r="AP29" s="1050"/>
      <c r="AQ29" s="1050"/>
      <c r="AR29" s="355"/>
      <c r="AS29" s="355"/>
      <c r="AT29" s="1104"/>
      <c r="AU29" s="1104"/>
      <c r="AV29" s="1105"/>
      <c r="AW29" s="1025"/>
      <c r="AX29" s="1025"/>
      <c r="AY29" s="1114"/>
      <c r="AZ29" s="1116"/>
      <c r="BA29" s="1109"/>
      <c r="BB29" s="1121"/>
      <c r="BC29" s="931"/>
      <c r="BD29" s="931"/>
      <c r="BE29" s="931"/>
      <c r="BF29" s="931"/>
      <c r="BG29" s="931"/>
      <c r="BH29" s="1106"/>
      <c r="BI29" s="1105"/>
      <c r="BJ29" s="1105"/>
      <c r="BK29" s="931"/>
      <c r="BL29" s="1119"/>
    </row>
    <row r="30" spans="1:64" ht="15.95" customHeight="1">
      <c r="B30" s="905">
        <v>7</v>
      </c>
      <c r="C30" s="1037"/>
      <c r="D30" s="1037"/>
      <c r="E30" s="1037"/>
      <c r="F30" s="1037"/>
      <c r="G30" s="1037"/>
      <c r="H30" s="1037"/>
      <c r="I30" s="1037"/>
      <c r="J30" s="1037"/>
      <c r="K30" s="1039"/>
      <c r="L30" s="1040"/>
      <c r="M30" s="1037"/>
      <c r="N30" s="1037"/>
      <c r="O30" s="1037"/>
      <c r="P30" s="1041"/>
      <c r="Q30" s="1041"/>
      <c r="R30" s="1041"/>
      <c r="S30" s="1152"/>
      <c r="T30" s="1061"/>
      <c r="U30" s="1037"/>
      <c r="V30" s="1037"/>
      <c r="W30" s="1037"/>
      <c r="X30" s="1041"/>
      <c r="Y30" s="1041"/>
      <c r="Z30" s="1041"/>
      <c r="AA30" s="1153"/>
      <c r="AB30" s="1156" t="str">
        <f t="shared" ref="AB30" si="34">IF(OR(C30="New Construction",C30="Replace Failed Equip."),"Incremental",IF(C30="Retrofit","Total",""))</f>
        <v/>
      </c>
      <c r="AC30" s="1157"/>
      <c r="AD30" s="1054"/>
      <c r="AE30" s="1054"/>
      <c r="AF30" s="1127" t="str">
        <f t="shared" ref="AF30" si="35">IF(AB30="Incremental",0,"")</f>
        <v/>
      </c>
      <c r="AG30" s="1128"/>
      <c r="AH30" s="1064" t="str">
        <f t="shared" ref="AH30" si="36">IF(OR(C30="",F30="",L30="",P30="",R30="",T30="",X30="",Z30="",AB30="",AD30="",AF30=""),"",ROUND(AD30+AF30,2))</f>
        <v/>
      </c>
      <c r="AI30" s="1065"/>
      <c r="AJ30" s="1065"/>
      <c r="AK30" s="1081" t="str">
        <f t="shared" ref="AK30" si="37">IF(OR(C30="",F30="",L30="",P30="",R30="",T30="",X30="",Z30="",AB30="",AD30="",AF30=""),"",IF(AW30-AX30&lt;=0,0,ROUND(AW30-AX30,4)))</f>
        <v/>
      </c>
      <c r="AL30" s="1081"/>
      <c r="AM30" s="1081"/>
      <c r="AN30" s="1047" t="str">
        <f>IF(OR(C30="",F30="",L30="",P30="",R30="",T30="",X30="",Z30="",AB30="",AD30="",AF30=""),"",
IF(BJ30&lt;&gt;"",BJ30,IF(BL30&gt;0,BL30,
IF(AB30="Incremental",
IF(ACTIVEBLOCK="Yes",ROUND(MIN(AH30*INCCOSTCAP,AK30*BLOCKBIDRATE),2),
IF(BG30&lt;&gt;"",ROUND(MIN(AH30*INCCOSTCAP,BG30),2),
IF(BD30&lt;KWHRATEMIN,ROUND(MIN(AH30*INCCOSTCAP,BE30),2),
IF(BD30&gt;KWHRATEMAX,ROUND(MIN(AH30*INCCOSTCAP,BF30),2),
ROUND(MIN(AH30*INCCOSTCAP,BC30),2))))),
IF(ACTIVEBLOCK="Yes",ROUND(MIN(AH30*TOTCOSTCAP,AK30*BLOCKBIDRATE),2),
IF(BG30&lt;&gt;"",ROUND(MIN(AH30*TOTCOSTCAP,BG30),2),
IF(BD30&lt;KWHRATEMIN,ROUND(MIN(AH30*TOTCOSTCAP,BE30),2),
IF(BD30&gt;KWHRATEMAX,ROUND(MIN(AH30*TOTCOSTCAP,BF30),2),
ROUND(MIN(AH30*TOTCOSTCAP,BC30),2)))))))))</f>
        <v/>
      </c>
      <c r="AO30" s="1048"/>
      <c r="AP30" s="1048"/>
      <c r="AQ30" s="1048"/>
      <c r="AR30" s="355"/>
      <c r="AS30" s="355"/>
      <c r="AT30" s="1104" t="str">
        <f>IFERROR(IF(OR(C30="",F30="",L30="",P30="",R30="",T30="",X30="",Z30="",AB30="",AD30="",AF30=""),"",
ROUND(((1+ELOSS)*((AK30*INDEX(ELECCB[NPV AEC $/kWh],MATCH(AY30,ELECCB[Year Number],1)))+(BA30*INDEX(ELECCB[NPV ACC $/kW],MATCH(AY30,ELECCB[Year Number],1))))/AH30),2)),0)</f>
        <v/>
      </c>
      <c r="AU30" s="1112" t="str">
        <f>IFERROR(AH30/M02S04F06/AK30,"")</f>
        <v/>
      </c>
      <c r="AV30" s="1108" t="str">
        <f>IF(OR(C30="",F30=""),"",INDEX(CMEREFRI[Unit of Measure],MATCH(F30,CMEREFRI[Proj Desc 1],0)))</f>
        <v/>
      </c>
      <c r="AW30" s="1103" t="str">
        <f t="shared" ref="AW30" si="38">IF(OR(C30="",F30="",L30="",P30="",R30="",T30="",X30="",Z30="",AB30="",AD30="",AF30=""),"",ROUND(P30*R30,4))</f>
        <v/>
      </c>
      <c r="AX30" s="1103" t="str">
        <f t="shared" ref="AX30" si="39">IF(OR(C30="",F30="",L30="",P30="",R30="",T30="",X30="",Z30="",AB30="",AD30="",AF30=""),"",ROUND(X30*Z30,4))</f>
        <v/>
      </c>
      <c r="AY30" s="1113" t="str">
        <f>IF(OR(C30="",F30=""),"",IF(INDEX(CMEREFRI[EUL],MATCH(F30,CMEREFRI[Proj Desc 1],0))="","",INDEX(CMEREFRI[EUL],MATCH(F30,CMEREFRI[Proj Desc 1],0))))</f>
        <v/>
      </c>
      <c r="AZ30" s="1115" t="str">
        <f>IF(OR(C30="",F30=""),"",IF(INDEX(CMEREFRI[End Use Category],MATCH(F30,CMEREFRI[Proj Desc 1],0))="","",INDEX(CMEREFRI[End Use Category],MATCH(F30,CMEREFRI[Proj Desc 1],0))))</f>
        <v/>
      </c>
      <c r="BA30" s="1027" t="str">
        <f>IFERROR(IF(OR(C30="",F30="",L30="",P30="",R30="",T30="",X30="",Z30="",AB30="",AD30="",AF30=""),"",ROUND(AK30*INDEX(ENDUSEALL[Factor],MATCH(AZ30,ENDUSEALL[End Use to Coincident Peak Demand Factors],0)),4)),"")</f>
        <v/>
      </c>
      <c r="BB30" s="1120"/>
      <c r="BC30" s="930" t="str">
        <f t="shared" ref="BC30" si="40">IFERROR(ROUND(AK30*BD30,2),"")</f>
        <v/>
      </c>
      <c r="BD30" s="930" t="str">
        <f>IFERROR(INDEX(ENDUSEALL[Rate ($/kWh)],MATCH(AZ30,ENDUSEALL[End Use to Coincident Peak Demand Factors],0)),"")</f>
        <v/>
      </c>
      <c r="BE30" s="931" t="str">
        <f>IFERROR(ROUND(AK30*KWHRATEMIN,2),"")</f>
        <v/>
      </c>
      <c r="BF30" s="931" t="str">
        <f>IFERROR(ROUND(AK30*KWHRATEMAX,2),"")</f>
        <v/>
      </c>
      <c r="BG30" s="930" t="str">
        <f>IFERROR(IF(INDEX(ENDUSEALL[Bonus Rate ($/kWh)],MATCH(AZ30,ENDUSEALL[End Use to Coincident Peak Demand Factors],0))="","",INDEX(ENDUSEALL[Bonus Rate ($/kWh)],MATCH(AZ30,ENDUSEALL[End Use to Coincident Peak Demand Factors],0))*AK30),"")</f>
        <v/>
      </c>
      <c r="BH30" s="1150" t="str">
        <f>IF(OR(C30="",F30="",L30="",P30="",R30="",T30="",X30="",Z30="",AB30="",AD30="",AF30=""),"",IF(BJ30&lt;&gt;"",SPILLOVERNUMBER,INDEX(CMEREFRI[Measure Number],MATCH(F30,CMEREFRI[Proj Desc 1],0))))</f>
        <v/>
      </c>
      <c r="BI30" s="1108" t="str">
        <f>IFERROR(IF(AND(AB30="Total",ROUND(AN30/AH30,2)=TOTCOSTCAP),"75% Total Cost",
IF(AND(AB30="Incremental",AH30=AN30),"100% Incremental Cost",
IF(BD30&lt;KWHRATEMIN, "kWh Incentive Rate Min",
IF(BD30&gt;KWHRATEMAX,"kWh Incentive Rate Cap",
IF(AN30=BG30,"Bonus Incentive",
"kWh Incentive"))))),"")</f>
        <v/>
      </c>
      <c r="BJ30" s="1108" t="str">
        <f ca="1">IFERROR(IF(EXPIRATION&lt;&gt;"",PROJSTATEXP,
IF(BL30&gt;0,"",
IF(AW30-AX30&lt;=0,MEASURESAVE,
IF(OR(M02S04F06="",M02S04F06="Select Rate Code",M02S04F06=0),MEASURERATE,
IF(AND((ISNUMBER(SEARCH("Other",F30))),OR(AY30="",AZ30="")),MEASURESUBMIT,
 IF(PAYCUSE&lt;PAYBACKREQ,PROJECTSTATPAYBACK,
IF(CBCUSE&lt;CBREQ,PROJECTSTATCB,""))))))),MEASURESUBMIT)</f>
        <v>Submit for Review</v>
      </c>
      <c r="BK30" s="930" t="str">
        <f>IFERROR(IF(OR(C30="",F30="",L30="",P30="",R30="",T30="",X30="",Z30="",AB30="",AD30="",AF30=""),"",
ROUND(((1+ELOSS)*((AK30*INDEX(ELECCB[NPV AEC $/kWh],MATCH(AY30,ELECCB[Year Number],1)))+(BA30*INDEX(ELECCB[NPV ACC $/kW],MATCH(AY30,ELECCB[Year Number],1))))),2)),0)</f>
        <v/>
      </c>
      <c r="BL30" s="1118"/>
    </row>
    <row r="31" spans="1:64" ht="15.95" customHeight="1">
      <c r="B31" s="905"/>
      <c r="C31" s="1037"/>
      <c r="D31" s="1037"/>
      <c r="E31" s="1037"/>
      <c r="F31" s="1037"/>
      <c r="G31" s="1037"/>
      <c r="H31" s="1037"/>
      <c r="I31" s="1037"/>
      <c r="J31" s="1037"/>
      <c r="K31" s="1039"/>
      <c r="L31" s="1040"/>
      <c r="M31" s="1037"/>
      <c r="N31" s="1037"/>
      <c r="O31" s="1037"/>
      <c r="P31" s="1041"/>
      <c r="Q31" s="1041"/>
      <c r="R31" s="1041"/>
      <c r="S31" s="1152"/>
      <c r="T31" s="1061"/>
      <c r="U31" s="1037"/>
      <c r="V31" s="1037"/>
      <c r="W31" s="1037"/>
      <c r="X31" s="1041"/>
      <c r="Y31" s="1041"/>
      <c r="Z31" s="1041"/>
      <c r="AA31" s="1153"/>
      <c r="AB31" s="1156"/>
      <c r="AC31" s="1157"/>
      <c r="AD31" s="1054"/>
      <c r="AE31" s="1054"/>
      <c r="AF31" s="1127"/>
      <c r="AG31" s="1128"/>
      <c r="AH31" s="1064"/>
      <c r="AI31" s="1065"/>
      <c r="AJ31" s="1065"/>
      <c r="AK31" s="1066"/>
      <c r="AL31" s="1066"/>
      <c r="AM31" s="1066"/>
      <c r="AN31" s="1049"/>
      <c r="AO31" s="1050"/>
      <c r="AP31" s="1050"/>
      <c r="AQ31" s="1050"/>
      <c r="AR31" s="355"/>
      <c r="AS31" s="355"/>
      <c r="AT31" s="1104"/>
      <c r="AU31" s="1104"/>
      <c r="AV31" s="1105"/>
      <c r="AW31" s="1025"/>
      <c r="AX31" s="1025"/>
      <c r="AY31" s="1114"/>
      <c r="AZ31" s="1116"/>
      <c r="BA31" s="1109"/>
      <c r="BB31" s="1121"/>
      <c r="BC31" s="931"/>
      <c r="BD31" s="931"/>
      <c r="BE31" s="931"/>
      <c r="BF31" s="931"/>
      <c r="BG31" s="931"/>
      <c r="BH31" s="1106"/>
      <c r="BI31" s="1105"/>
      <c r="BJ31" s="1105"/>
      <c r="BK31" s="931"/>
      <c r="BL31" s="1119"/>
    </row>
    <row r="32" spans="1:64" ht="15.95" customHeight="1">
      <c r="B32" s="905">
        <v>8</v>
      </c>
      <c r="C32" s="1037"/>
      <c r="D32" s="1037"/>
      <c r="E32" s="1037"/>
      <c r="F32" s="1037"/>
      <c r="G32" s="1037"/>
      <c r="H32" s="1037"/>
      <c r="I32" s="1037"/>
      <c r="J32" s="1037"/>
      <c r="K32" s="1039"/>
      <c r="L32" s="1040"/>
      <c r="M32" s="1037"/>
      <c r="N32" s="1037"/>
      <c r="O32" s="1037"/>
      <c r="P32" s="1041"/>
      <c r="Q32" s="1041"/>
      <c r="R32" s="1041"/>
      <c r="S32" s="1152"/>
      <c r="T32" s="1061"/>
      <c r="U32" s="1037"/>
      <c r="V32" s="1037"/>
      <c r="W32" s="1037"/>
      <c r="X32" s="1041"/>
      <c r="Y32" s="1041"/>
      <c r="Z32" s="1041"/>
      <c r="AA32" s="1153"/>
      <c r="AB32" s="1156" t="str">
        <f t="shared" ref="AB32" si="41">IF(OR(C32="New Construction",C32="Replace Failed Equip."),"Incremental",IF(C32="Retrofit","Total",""))</f>
        <v/>
      </c>
      <c r="AC32" s="1157"/>
      <c r="AD32" s="1054"/>
      <c r="AE32" s="1054"/>
      <c r="AF32" s="1127" t="str">
        <f t="shared" ref="AF32" si="42">IF(AB32="Incremental",0,"")</f>
        <v/>
      </c>
      <c r="AG32" s="1128"/>
      <c r="AH32" s="1064" t="str">
        <f t="shared" ref="AH32" si="43">IF(OR(C32="",F32="",L32="",P32="",R32="",T32="",X32="",Z32="",AB32="",AD32="",AF32=""),"",ROUND(AD32+AF32,2))</f>
        <v/>
      </c>
      <c r="AI32" s="1065"/>
      <c r="AJ32" s="1065"/>
      <c r="AK32" s="1081" t="str">
        <f t="shared" ref="AK32" si="44">IF(OR(C32="",F32="",L32="",P32="",R32="",T32="",X32="",Z32="",AB32="",AD32="",AF32=""),"",IF(AW32-AX32&lt;=0,0,ROUND(AW32-AX32,4)))</f>
        <v/>
      </c>
      <c r="AL32" s="1081"/>
      <c r="AM32" s="1081"/>
      <c r="AN32" s="1047" t="str">
        <f>IF(OR(C32="",F32="",L32="",P32="",R32="",T32="",X32="",Z32="",AB32="",AD32="",AF32=""),"",
IF(BJ32&lt;&gt;"",BJ32,IF(BL32&gt;0,BL32,
IF(AB32="Incremental",
IF(ACTIVEBLOCK="Yes",ROUND(MIN(AH32*INCCOSTCAP,AK32*BLOCKBIDRATE),2),
IF(BG32&lt;&gt;"",ROUND(MIN(AH32*INCCOSTCAP,BG32),2),
IF(BD32&lt;KWHRATEMIN,ROUND(MIN(AH32*INCCOSTCAP,BE32),2),
IF(BD32&gt;KWHRATEMAX,ROUND(MIN(AH32*INCCOSTCAP,BF32),2),
ROUND(MIN(AH32*INCCOSTCAP,BC32),2))))),
IF(ACTIVEBLOCK="Yes",ROUND(MIN(AH32*TOTCOSTCAP,AK32*BLOCKBIDRATE),2),
IF(BG32&lt;&gt;"",ROUND(MIN(AH32*TOTCOSTCAP,BG32),2),
IF(BD32&lt;KWHRATEMIN,ROUND(MIN(AH32*TOTCOSTCAP,BE32),2),
IF(BD32&gt;KWHRATEMAX,ROUND(MIN(AH32*TOTCOSTCAP,BF32),2),
ROUND(MIN(AH32*TOTCOSTCAP,BC32),2)))))))))</f>
        <v/>
      </c>
      <c r="AO32" s="1048"/>
      <c r="AP32" s="1048"/>
      <c r="AQ32" s="1048"/>
      <c r="AR32" s="355"/>
      <c r="AS32" s="355"/>
      <c r="AT32" s="1104" t="str">
        <f>IFERROR(IF(OR(C32="",F32="",L32="",P32="",R32="",T32="",X32="",Z32="",AB32="",AD32="",AF32=""),"",
ROUND(((1+ELOSS)*((AK32*INDEX(ELECCB[NPV AEC $/kWh],MATCH(AY32,ELECCB[Year Number],1)))+(BA32*INDEX(ELECCB[NPV ACC $/kW],MATCH(AY32,ELECCB[Year Number],1))))/AH32),2)),0)</f>
        <v/>
      </c>
      <c r="AU32" s="1112" t="str">
        <f>IFERROR(AH32/M02S04F06/AK32,"")</f>
        <v/>
      </c>
      <c r="AV32" s="1108" t="str">
        <f>IF(OR(C32="",F32=""),"",INDEX(CMEREFRI[Unit of Measure],MATCH(F32,CMEREFRI[Proj Desc 1],0)))</f>
        <v/>
      </c>
      <c r="AW32" s="1103" t="str">
        <f t="shared" ref="AW32" si="45">IF(OR(C32="",F32="",L32="",P32="",R32="",T32="",X32="",Z32="",AB32="",AD32="",AF32=""),"",ROUND(P32*R32,4))</f>
        <v/>
      </c>
      <c r="AX32" s="1103" t="str">
        <f t="shared" ref="AX32" si="46">IF(OR(C32="",F32="",L32="",P32="",R32="",T32="",X32="",Z32="",AB32="",AD32="",AF32=""),"",ROUND(X32*Z32,4))</f>
        <v/>
      </c>
      <c r="AY32" s="1113" t="str">
        <f>IF(OR(C32="",F32=""),"",IF(INDEX(CMEREFRI[EUL],MATCH(F32,CMEREFRI[Proj Desc 1],0))="","",INDEX(CMEREFRI[EUL],MATCH(F32,CMEREFRI[Proj Desc 1],0))))</f>
        <v/>
      </c>
      <c r="AZ32" s="1115" t="str">
        <f>IF(OR(C32="",F32=""),"",IF(INDEX(CMEREFRI[End Use Category],MATCH(F32,CMEREFRI[Proj Desc 1],0))="","",INDEX(CMEREFRI[End Use Category],MATCH(F32,CMEREFRI[Proj Desc 1],0))))</f>
        <v/>
      </c>
      <c r="BA32" s="1027" t="str">
        <f>IFERROR(IF(OR(C32="",F32="",L32="",P32="",R32="",T32="",X32="",Z32="",AB32="",AD32="",AF32=""),"",ROUND(AK32*INDEX(ENDUSEALL[Factor],MATCH(AZ32,ENDUSEALL[End Use to Coincident Peak Demand Factors],0)),4)),"")</f>
        <v/>
      </c>
      <c r="BB32" s="1120"/>
      <c r="BC32" s="930" t="str">
        <f t="shared" ref="BC32" si="47">IFERROR(ROUND(AK32*BD32,2),"")</f>
        <v/>
      </c>
      <c r="BD32" s="930" t="str">
        <f>IFERROR(INDEX(ENDUSEALL[Rate ($/kWh)],MATCH(AZ32,ENDUSEALL[End Use to Coincident Peak Demand Factors],0)),"")</f>
        <v/>
      </c>
      <c r="BE32" s="931" t="str">
        <f>IFERROR(ROUND(AK32*KWHRATEMIN,2),"")</f>
        <v/>
      </c>
      <c r="BF32" s="931" t="str">
        <f>IFERROR(ROUND(AK32*KWHRATEMAX,2),"")</f>
        <v/>
      </c>
      <c r="BG32" s="930" t="str">
        <f>IFERROR(IF(INDEX(ENDUSEALL[Bonus Rate ($/kWh)],MATCH(AZ32,ENDUSEALL[End Use to Coincident Peak Demand Factors],0))="","",INDEX(ENDUSEALL[Bonus Rate ($/kWh)],MATCH(AZ32,ENDUSEALL[End Use to Coincident Peak Demand Factors],0))*AK32),"")</f>
        <v/>
      </c>
      <c r="BH32" s="1150" t="str">
        <f>IF(OR(C32="",F32="",L32="",P32="",R32="",T32="",X32="",Z32="",AB32="",AD32="",AF32=""),"",IF(BJ32&lt;&gt;"",SPILLOVERNUMBER,INDEX(CMEREFRI[Measure Number],MATCH(F32,CMEREFRI[Proj Desc 1],0))))</f>
        <v/>
      </c>
      <c r="BI32" s="1108" t="str">
        <f>IFERROR(IF(AND(AB32="Total",ROUND(AN32/AH32,2)=TOTCOSTCAP),"75% Total Cost",
IF(AND(AB32="Incremental",AH32=AN32),"100% Incremental Cost",
IF(BD32&lt;KWHRATEMIN, "kWh Incentive Rate Min",
IF(BD32&gt;KWHRATEMAX,"kWh Incentive Rate Cap",
IF(AN32=BG32,"Bonus Incentive",
"kWh Incentive"))))),"")</f>
        <v/>
      </c>
      <c r="BJ32" s="1108" t="str">
        <f ca="1">IFERROR(IF(EXPIRATION&lt;&gt;"",PROJSTATEXP,
IF(BL32&gt;0,"",
IF(AW32-AX32&lt;=0,MEASURESAVE,
IF(OR(M02S04F06="",M02S04F06="Select Rate Code",M02S04F06=0),MEASURERATE,
IF(AND((ISNUMBER(SEARCH("Other",F32))),OR(AY32="",AZ32="")),MEASURESUBMIT,
 IF(PAYCUSE&lt;PAYBACKREQ,PROJECTSTATPAYBACK,
IF(CBCUSE&lt;CBREQ,PROJECTSTATCB,""))))))),MEASURESUBMIT)</f>
        <v>Submit for Review</v>
      </c>
      <c r="BK32" s="930" t="str">
        <f>IFERROR(IF(OR(C32="",F32="",L32="",P32="",R32="",T32="",X32="",Z32="",AB32="",AD32="",AF32=""),"",
ROUND(((1+ELOSS)*((AK32*INDEX(ELECCB[NPV AEC $/kWh],MATCH(AY32,ELECCB[Year Number],1)))+(BA32*INDEX(ELECCB[NPV ACC $/kW],MATCH(AY32,ELECCB[Year Number],1))))),2)),0)</f>
        <v/>
      </c>
      <c r="BL32" s="1118"/>
    </row>
    <row r="33" spans="2:64" ht="15.95" customHeight="1">
      <c r="B33" s="905"/>
      <c r="C33" s="1037"/>
      <c r="D33" s="1037"/>
      <c r="E33" s="1037"/>
      <c r="F33" s="1037"/>
      <c r="G33" s="1037"/>
      <c r="H33" s="1037"/>
      <c r="I33" s="1037"/>
      <c r="J33" s="1037"/>
      <c r="K33" s="1039"/>
      <c r="L33" s="1040"/>
      <c r="M33" s="1037"/>
      <c r="N33" s="1037"/>
      <c r="O33" s="1037"/>
      <c r="P33" s="1041"/>
      <c r="Q33" s="1041"/>
      <c r="R33" s="1041"/>
      <c r="S33" s="1152"/>
      <c r="T33" s="1061"/>
      <c r="U33" s="1037"/>
      <c r="V33" s="1037"/>
      <c r="W33" s="1037"/>
      <c r="X33" s="1041"/>
      <c r="Y33" s="1041"/>
      <c r="Z33" s="1041"/>
      <c r="AA33" s="1153"/>
      <c r="AB33" s="1156"/>
      <c r="AC33" s="1157"/>
      <c r="AD33" s="1054"/>
      <c r="AE33" s="1054"/>
      <c r="AF33" s="1127"/>
      <c r="AG33" s="1128"/>
      <c r="AH33" s="1064"/>
      <c r="AI33" s="1065"/>
      <c r="AJ33" s="1065"/>
      <c r="AK33" s="1066"/>
      <c r="AL33" s="1066"/>
      <c r="AM33" s="1066"/>
      <c r="AN33" s="1049"/>
      <c r="AO33" s="1050"/>
      <c r="AP33" s="1050"/>
      <c r="AQ33" s="1050"/>
      <c r="AR33" s="355"/>
      <c r="AS33" s="355"/>
      <c r="AT33" s="1104"/>
      <c r="AU33" s="1104"/>
      <c r="AV33" s="1105"/>
      <c r="AW33" s="1025"/>
      <c r="AX33" s="1025"/>
      <c r="AY33" s="1114"/>
      <c r="AZ33" s="1116"/>
      <c r="BA33" s="1109"/>
      <c r="BB33" s="1121"/>
      <c r="BC33" s="931"/>
      <c r="BD33" s="931"/>
      <c r="BE33" s="931"/>
      <c r="BF33" s="931"/>
      <c r="BG33" s="931"/>
      <c r="BH33" s="1106"/>
      <c r="BI33" s="1105"/>
      <c r="BJ33" s="1105"/>
      <c r="BK33" s="931"/>
      <c r="BL33" s="1119"/>
    </row>
    <row r="34" spans="2:64" ht="15.95" customHeight="1">
      <c r="B34" s="905">
        <v>9</v>
      </c>
      <c r="C34" s="1037"/>
      <c r="D34" s="1037"/>
      <c r="E34" s="1037"/>
      <c r="F34" s="1037"/>
      <c r="G34" s="1037"/>
      <c r="H34" s="1037"/>
      <c r="I34" s="1037"/>
      <c r="J34" s="1037"/>
      <c r="K34" s="1039"/>
      <c r="L34" s="1040"/>
      <c r="M34" s="1037"/>
      <c r="N34" s="1037"/>
      <c r="O34" s="1037"/>
      <c r="P34" s="1041"/>
      <c r="Q34" s="1041"/>
      <c r="R34" s="1041"/>
      <c r="S34" s="1152"/>
      <c r="T34" s="1061"/>
      <c r="U34" s="1037"/>
      <c r="V34" s="1037"/>
      <c r="W34" s="1037"/>
      <c r="X34" s="1041"/>
      <c r="Y34" s="1041"/>
      <c r="Z34" s="1041"/>
      <c r="AA34" s="1153"/>
      <c r="AB34" s="1156" t="str">
        <f t="shared" ref="AB34" si="48">IF(OR(C34="New Construction",C34="Replace Failed Equip."),"Incremental",IF(C34="Retrofit","Total",""))</f>
        <v/>
      </c>
      <c r="AC34" s="1157"/>
      <c r="AD34" s="1054"/>
      <c r="AE34" s="1054"/>
      <c r="AF34" s="1127" t="str">
        <f t="shared" ref="AF34" si="49">IF(AB34="Incremental",0,"")</f>
        <v/>
      </c>
      <c r="AG34" s="1128"/>
      <c r="AH34" s="1064" t="str">
        <f t="shared" ref="AH34" si="50">IF(OR(C34="",F34="",L34="",P34="",R34="",T34="",X34="",Z34="",AB34="",AD34="",AF34=""),"",ROUND(AD34+AF34,2))</f>
        <v/>
      </c>
      <c r="AI34" s="1065"/>
      <c r="AJ34" s="1065"/>
      <c r="AK34" s="1081" t="str">
        <f t="shared" ref="AK34" si="51">IF(OR(C34="",F34="",L34="",P34="",R34="",T34="",X34="",Z34="",AB34="",AD34="",AF34=""),"",IF(AW34-AX34&lt;=0,0,ROUND(AW34-AX34,4)))</f>
        <v/>
      </c>
      <c r="AL34" s="1081"/>
      <c r="AM34" s="1081"/>
      <c r="AN34" s="1047" t="str">
        <f>IF(OR(C34="",F34="",L34="",P34="",R34="",T34="",X34="",Z34="",AB34="",AD34="",AF34=""),"",
IF(BJ34&lt;&gt;"",BJ34,IF(BL34&gt;0,BL34,
IF(AB34="Incremental",
IF(ACTIVEBLOCK="Yes",ROUND(MIN(AH34*INCCOSTCAP,AK34*BLOCKBIDRATE),2),
IF(BG34&lt;&gt;"",ROUND(MIN(AH34*INCCOSTCAP,BG34),2),
IF(BD34&lt;KWHRATEMIN,ROUND(MIN(AH34*INCCOSTCAP,BE34),2),
IF(BD34&gt;KWHRATEMAX,ROUND(MIN(AH34*INCCOSTCAP,BF34),2),
ROUND(MIN(AH34*INCCOSTCAP,BC34),2))))),
IF(ACTIVEBLOCK="Yes",ROUND(MIN(AH34*TOTCOSTCAP,AK34*BLOCKBIDRATE),2),
IF(BG34&lt;&gt;"",ROUND(MIN(AH34*TOTCOSTCAP,BG34),2),
IF(BD34&lt;KWHRATEMIN,ROUND(MIN(AH34*TOTCOSTCAP,BE34),2),
IF(BD34&gt;KWHRATEMAX,ROUND(MIN(AH34*TOTCOSTCAP,BF34),2),
ROUND(MIN(AH34*TOTCOSTCAP,BC34),2)))))))))</f>
        <v/>
      </c>
      <c r="AO34" s="1048"/>
      <c r="AP34" s="1048"/>
      <c r="AQ34" s="1048"/>
      <c r="AR34" s="355"/>
      <c r="AS34" s="355"/>
      <c r="AT34" s="1104" t="str">
        <f>IFERROR(IF(OR(C34="",F34="",L34="",P34="",R34="",T34="",X34="",Z34="",AB34="",AD34="",AF34=""),"",
ROUND(((1+ELOSS)*((AK34*INDEX(ELECCB[NPV AEC $/kWh],MATCH(AY34,ELECCB[Year Number],1)))+(BA34*INDEX(ELECCB[NPV ACC $/kW],MATCH(AY34,ELECCB[Year Number],1))))/AH34),2)),0)</f>
        <v/>
      </c>
      <c r="AU34" s="1112" t="str">
        <f>IFERROR(AH34/M02S04F06/AK34,"")</f>
        <v/>
      </c>
      <c r="AV34" s="1108" t="str">
        <f>IF(OR(C34="",F34=""),"",INDEX(CMEREFRI[Unit of Measure],MATCH(F34,CMEREFRI[Proj Desc 1],0)))</f>
        <v/>
      </c>
      <c r="AW34" s="1103" t="str">
        <f t="shared" ref="AW34" si="52">IF(OR(C34="",F34="",L34="",P34="",R34="",T34="",X34="",Z34="",AB34="",AD34="",AF34=""),"",ROUND(P34*R34,4))</f>
        <v/>
      </c>
      <c r="AX34" s="1103" t="str">
        <f t="shared" ref="AX34" si="53">IF(OR(C34="",F34="",L34="",P34="",R34="",T34="",X34="",Z34="",AB34="",AD34="",AF34=""),"",ROUND(X34*Z34,4))</f>
        <v/>
      </c>
      <c r="AY34" s="1113" t="str">
        <f>IF(OR(C34="",F34=""),"",IF(INDEX(CMEREFRI[EUL],MATCH(F34,CMEREFRI[Proj Desc 1],0))="","",INDEX(CMEREFRI[EUL],MATCH(F34,CMEREFRI[Proj Desc 1],0))))</f>
        <v/>
      </c>
      <c r="AZ34" s="1115" t="str">
        <f>IF(OR(C34="",F34=""),"",IF(INDEX(CMEREFRI[End Use Category],MATCH(F34,CMEREFRI[Proj Desc 1],0))="","",INDEX(CMEREFRI[End Use Category],MATCH(F34,CMEREFRI[Proj Desc 1],0))))</f>
        <v/>
      </c>
      <c r="BA34" s="1027" t="str">
        <f>IFERROR(IF(OR(C34="",F34="",L34="",P34="",R34="",T34="",X34="",Z34="",AB34="",AD34="",AF34=""),"",ROUND(AK34*INDEX(ENDUSEALL[Factor],MATCH(AZ34,ENDUSEALL[End Use to Coincident Peak Demand Factors],0)),4)),"")</f>
        <v/>
      </c>
      <c r="BB34" s="1120"/>
      <c r="BC34" s="930" t="str">
        <f t="shared" ref="BC34" si="54">IFERROR(ROUND(AK34*BD34,2),"")</f>
        <v/>
      </c>
      <c r="BD34" s="930" t="str">
        <f>IFERROR(INDEX(ENDUSEALL[Rate ($/kWh)],MATCH(AZ34,ENDUSEALL[End Use to Coincident Peak Demand Factors],0)),"")</f>
        <v/>
      </c>
      <c r="BE34" s="931" t="str">
        <f>IFERROR(ROUND(AK34*KWHRATEMIN,2),"")</f>
        <v/>
      </c>
      <c r="BF34" s="931" t="str">
        <f>IFERROR(ROUND(AK34*KWHRATEMAX,2),"")</f>
        <v/>
      </c>
      <c r="BG34" s="930" t="str">
        <f>IFERROR(IF(INDEX(ENDUSEALL[Bonus Rate ($/kWh)],MATCH(AZ34,ENDUSEALL[End Use to Coincident Peak Demand Factors],0))="","",INDEX(ENDUSEALL[Bonus Rate ($/kWh)],MATCH(AZ34,ENDUSEALL[End Use to Coincident Peak Demand Factors],0))*AK34),"")</f>
        <v/>
      </c>
      <c r="BH34" s="1150" t="str">
        <f>IF(OR(C34="",F34="",L34="",P34="",R34="",T34="",X34="",Z34="",AB34="",AD34="",AF34=""),"",IF(BJ34&lt;&gt;"",SPILLOVERNUMBER,INDEX(CMEREFRI[Measure Number],MATCH(F34,CMEREFRI[Proj Desc 1],0))))</f>
        <v/>
      </c>
      <c r="BI34" s="1108" t="str">
        <f>IFERROR(IF(AND(AB34="Total",ROUND(AN34/AH34,2)=TOTCOSTCAP),"75% Total Cost",
IF(AND(AB34="Incremental",AH34=AN34),"100% Incremental Cost",
IF(BD34&lt;KWHRATEMIN, "kWh Incentive Rate Min",
IF(BD34&gt;KWHRATEMAX,"kWh Incentive Rate Cap",
IF(AN34=BG34,"Bonus Incentive",
"kWh Incentive"))))),"")</f>
        <v/>
      </c>
      <c r="BJ34" s="1108" t="str">
        <f ca="1">IFERROR(IF(EXPIRATION&lt;&gt;"",PROJSTATEXP,
IF(BL34&gt;0,"",
IF(AW34-AX34&lt;=0,MEASURESAVE,
IF(OR(M02S04F06="",M02S04F06="Select Rate Code",M02S04F06=0),MEASURERATE,
IF(AND((ISNUMBER(SEARCH("Other",F34))),OR(AY34="",AZ34="")),MEASURESUBMIT,
 IF(PAYCUSE&lt;PAYBACKREQ,PROJECTSTATPAYBACK,
IF(CBCUSE&lt;CBREQ,PROJECTSTATCB,""))))))),MEASURESUBMIT)</f>
        <v>Submit for Review</v>
      </c>
      <c r="BK34" s="930" t="str">
        <f>IFERROR(IF(OR(C34="",F34="",L34="",P34="",R34="",T34="",X34="",Z34="",AB34="",AD34="",AF34=""),"",
ROUND(((1+ELOSS)*((AK34*INDEX(ELECCB[NPV AEC $/kWh],MATCH(AY34,ELECCB[Year Number],1)))+(BA34*INDEX(ELECCB[NPV ACC $/kW],MATCH(AY34,ELECCB[Year Number],1))))),2)),0)</f>
        <v/>
      </c>
      <c r="BL34" s="1118"/>
    </row>
    <row r="35" spans="2:64" ht="15.95" customHeight="1">
      <c r="B35" s="905"/>
      <c r="C35" s="1037"/>
      <c r="D35" s="1037"/>
      <c r="E35" s="1037"/>
      <c r="F35" s="1037"/>
      <c r="G35" s="1037"/>
      <c r="H35" s="1037"/>
      <c r="I35" s="1037"/>
      <c r="J35" s="1037"/>
      <c r="K35" s="1039"/>
      <c r="L35" s="1040"/>
      <c r="M35" s="1037"/>
      <c r="N35" s="1037"/>
      <c r="O35" s="1037"/>
      <c r="P35" s="1041"/>
      <c r="Q35" s="1041"/>
      <c r="R35" s="1041"/>
      <c r="S35" s="1152"/>
      <c r="T35" s="1061"/>
      <c r="U35" s="1037"/>
      <c r="V35" s="1037"/>
      <c r="W35" s="1037"/>
      <c r="X35" s="1041"/>
      <c r="Y35" s="1041"/>
      <c r="Z35" s="1041"/>
      <c r="AA35" s="1153"/>
      <c r="AB35" s="1156"/>
      <c r="AC35" s="1157"/>
      <c r="AD35" s="1054"/>
      <c r="AE35" s="1054"/>
      <c r="AF35" s="1127"/>
      <c r="AG35" s="1128"/>
      <c r="AH35" s="1064"/>
      <c r="AI35" s="1065"/>
      <c r="AJ35" s="1065"/>
      <c r="AK35" s="1066"/>
      <c r="AL35" s="1066"/>
      <c r="AM35" s="1066"/>
      <c r="AN35" s="1049"/>
      <c r="AO35" s="1050"/>
      <c r="AP35" s="1050"/>
      <c r="AQ35" s="1050"/>
      <c r="AR35" s="355"/>
      <c r="AS35" s="355"/>
      <c r="AT35" s="1104"/>
      <c r="AU35" s="1104"/>
      <c r="AV35" s="1105"/>
      <c r="AW35" s="1025"/>
      <c r="AX35" s="1025"/>
      <c r="AY35" s="1114"/>
      <c r="AZ35" s="1116"/>
      <c r="BA35" s="1109"/>
      <c r="BB35" s="1121"/>
      <c r="BC35" s="931"/>
      <c r="BD35" s="931"/>
      <c r="BE35" s="931"/>
      <c r="BF35" s="931"/>
      <c r="BG35" s="931"/>
      <c r="BH35" s="1106"/>
      <c r="BI35" s="1105"/>
      <c r="BJ35" s="1105"/>
      <c r="BK35" s="931"/>
      <c r="BL35" s="1119"/>
    </row>
    <row r="36" spans="2:64" ht="15.95" customHeight="1">
      <c r="B36" s="905">
        <v>10</v>
      </c>
      <c r="C36" s="1037"/>
      <c r="D36" s="1037"/>
      <c r="E36" s="1037"/>
      <c r="F36" s="1037"/>
      <c r="G36" s="1037"/>
      <c r="H36" s="1037"/>
      <c r="I36" s="1037"/>
      <c r="J36" s="1037"/>
      <c r="K36" s="1039"/>
      <c r="L36" s="1040"/>
      <c r="M36" s="1037"/>
      <c r="N36" s="1037"/>
      <c r="O36" s="1037"/>
      <c r="P36" s="1041"/>
      <c r="Q36" s="1041"/>
      <c r="R36" s="1041"/>
      <c r="S36" s="1152"/>
      <c r="T36" s="1061"/>
      <c r="U36" s="1037"/>
      <c r="V36" s="1037"/>
      <c r="W36" s="1037"/>
      <c r="X36" s="1041"/>
      <c r="Y36" s="1041"/>
      <c r="Z36" s="1041"/>
      <c r="AA36" s="1153"/>
      <c r="AB36" s="1156" t="str">
        <f t="shared" ref="AB36" si="55">IF(OR(C36="New Construction",C36="Replace Failed Equip."),"Incremental",IF(C36="Retrofit","Total",""))</f>
        <v/>
      </c>
      <c r="AC36" s="1157"/>
      <c r="AD36" s="1054"/>
      <c r="AE36" s="1054"/>
      <c r="AF36" s="1127" t="str">
        <f t="shared" ref="AF36" si="56">IF(AB36="Incremental",0,"")</f>
        <v/>
      </c>
      <c r="AG36" s="1128"/>
      <c r="AH36" s="1064" t="str">
        <f t="shared" ref="AH36" si="57">IF(OR(C36="",F36="",L36="",P36="",R36="",T36="",X36="",Z36="",AB36="",AD36="",AF36=""),"",ROUND(AD36+AF36,2))</f>
        <v/>
      </c>
      <c r="AI36" s="1065"/>
      <c r="AJ36" s="1065"/>
      <c r="AK36" s="1081" t="str">
        <f t="shared" ref="AK36" si="58">IF(OR(C36="",F36="",L36="",P36="",R36="",T36="",X36="",Z36="",AB36="",AD36="",AF36=""),"",IF(AW36-AX36&lt;=0,0,ROUND(AW36-AX36,4)))</f>
        <v/>
      </c>
      <c r="AL36" s="1081"/>
      <c r="AM36" s="1081"/>
      <c r="AN36" s="1047" t="str">
        <f>IF(OR(C36="",F36="",L36="",P36="",R36="",T36="",X36="",Z36="",AB36="",AD36="",AF36=""),"",
IF(BJ36&lt;&gt;"",BJ36,IF(BL36&gt;0,BL36,
IF(AB36="Incremental",
IF(ACTIVEBLOCK="Yes",ROUND(MIN(AH36*INCCOSTCAP,AK36*BLOCKBIDRATE),2),
IF(BG36&lt;&gt;"",ROUND(MIN(AH36*INCCOSTCAP,BG36),2),
IF(BD36&lt;KWHRATEMIN,ROUND(MIN(AH36*INCCOSTCAP,BE36),2),
IF(BD36&gt;KWHRATEMAX,ROUND(MIN(AH36*INCCOSTCAP,BF36),2),
ROUND(MIN(AH36*INCCOSTCAP,BC36),2))))),
IF(ACTIVEBLOCK="Yes",ROUND(MIN(AH36*TOTCOSTCAP,AK36*BLOCKBIDRATE),2),
IF(BG36&lt;&gt;"",ROUND(MIN(AH36*TOTCOSTCAP,BG36),2),
IF(BD36&lt;KWHRATEMIN,ROUND(MIN(AH36*TOTCOSTCAP,BE36),2),
IF(BD36&gt;KWHRATEMAX,ROUND(MIN(AH36*TOTCOSTCAP,BF36),2),
ROUND(MIN(AH36*TOTCOSTCAP,BC36),2)))))))))</f>
        <v/>
      </c>
      <c r="AO36" s="1048"/>
      <c r="AP36" s="1048"/>
      <c r="AQ36" s="1048"/>
      <c r="AR36" s="355"/>
      <c r="AS36" s="355"/>
      <c r="AT36" s="1104" t="str">
        <f>IFERROR(IF(OR(C36="",F36="",L36="",P36="",R36="",T36="",X36="",Z36="",AB36="",AD36="",AF36=""),"",
ROUND(((1+ELOSS)*((AK36*INDEX(ELECCB[NPV AEC $/kWh],MATCH(AY36,ELECCB[Year Number],1)))+(BA36*INDEX(ELECCB[NPV ACC $/kW],MATCH(AY36,ELECCB[Year Number],1))))/AH36),2)),0)</f>
        <v/>
      </c>
      <c r="AU36" s="1112" t="str">
        <f>IFERROR(AH36/M02S04F06/AK36,"")</f>
        <v/>
      </c>
      <c r="AV36" s="1108" t="str">
        <f>IF(OR(C36="",F36=""),"",INDEX(CMEREFRI[Unit of Measure],MATCH(F36,CMEREFRI[Proj Desc 1],0)))</f>
        <v/>
      </c>
      <c r="AW36" s="1103" t="str">
        <f t="shared" ref="AW36" si="59">IF(OR(C36="",F36="",L36="",P36="",R36="",T36="",X36="",Z36="",AB36="",AD36="",AF36=""),"",ROUND(P36*R36,4))</f>
        <v/>
      </c>
      <c r="AX36" s="1103" t="str">
        <f t="shared" ref="AX36" si="60">IF(OR(C36="",F36="",L36="",P36="",R36="",T36="",X36="",Z36="",AB36="",AD36="",AF36=""),"",ROUND(X36*Z36,4))</f>
        <v/>
      </c>
      <c r="AY36" s="1113" t="str">
        <f>IF(OR(C36="",F36=""),"",IF(INDEX(CMEREFRI[EUL],MATCH(F36,CMEREFRI[Proj Desc 1],0))="","",INDEX(CMEREFRI[EUL],MATCH(F36,CMEREFRI[Proj Desc 1],0))))</f>
        <v/>
      </c>
      <c r="AZ36" s="1115" t="str">
        <f>IF(OR(C36="",F36=""),"",IF(INDEX(CMEREFRI[End Use Category],MATCH(F36,CMEREFRI[Proj Desc 1],0))="","",INDEX(CMEREFRI[End Use Category],MATCH(F36,CMEREFRI[Proj Desc 1],0))))</f>
        <v/>
      </c>
      <c r="BA36" s="1027" t="str">
        <f>IFERROR(IF(OR(C36="",F36="",L36="",P36="",R36="",T36="",X36="",Z36="",AB36="",AD36="",AF36=""),"",ROUND(AK36*INDEX(ENDUSEALL[Factor],MATCH(AZ36,ENDUSEALL[End Use to Coincident Peak Demand Factors],0)),4)),"")</f>
        <v/>
      </c>
      <c r="BB36" s="1120"/>
      <c r="BC36" s="930" t="str">
        <f t="shared" ref="BC36" si="61">IFERROR(ROUND(AK36*BD36,2),"")</f>
        <v/>
      </c>
      <c r="BD36" s="930" t="str">
        <f>IFERROR(INDEX(ENDUSEALL[Rate ($/kWh)],MATCH(AZ36,ENDUSEALL[End Use to Coincident Peak Demand Factors],0)),"")</f>
        <v/>
      </c>
      <c r="BE36" s="931" t="str">
        <f>IFERROR(ROUND(AK36*KWHRATEMIN,2),"")</f>
        <v/>
      </c>
      <c r="BF36" s="931" t="str">
        <f>IFERROR(ROUND(AK36*KWHRATEMAX,2),"")</f>
        <v/>
      </c>
      <c r="BG36" s="930" t="str">
        <f>IFERROR(IF(INDEX(ENDUSEALL[Bonus Rate ($/kWh)],MATCH(AZ36,ENDUSEALL[End Use to Coincident Peak Demand Factors],0))="","",INDEX(ENDUSEALL[Bonus Rate ($/kWh)],MATCH(AZ36,ENDUSEALL[End Use to Coincident Peak Demand Factors],0))*AK36),"")</f>
        <v/>
      </c>
      <c r="BH36" s="1150" t="str">
        <f>IF(OR(C36="",F36="",L36="",P36="",R36="",T36="",X36="",Z36="",AB36="",AD36="",AF36=""),"",IF(BJ36&lt;&gt;"",SPILLOVERNUMBER,INDEX(CMEREFRI[Measure Number],MATCH(F36,CMEREFRI[Proj Desc 1],0))))</f>
        <v/>
      </c>
      <c r="BI36" s="1108" t="str">
        <f>IFERROR(IF(AND(AB36="Total",ROUND(AN36/AH36,2)=TOTCOSTCAP),"75% Total Cost",
IF(AND(AB36="Incremental",AH36=AN36),"100% Incremental Cost",
IF(BD36&lt;KWHRATEMIN, "kWh Incentive Rate Min",
IF(BD36&gt;KWHRATEMAX,"kWh Incentive Rate Cap",
IF(AN36=BG36,"Bonus Incentive",
"kWh Incentive"))))),"")</f>
        <v/>
      </c>
      <c r="BJ36" s="1108" t="str">
        <f ca="1">IFERROR(IF(EXPIRATION&lt;&gt;"",PROJSTATEXP,
IF(BL36&gt;0,"",
IF(AW36-AX36&lt;=0,MEASURESAVE,
IF(OR(M02S04F06="",M02S04F06="Select Rate Code",M02S04F06=0),MEASURERATE,
IF(AND((ISNUMBER(SEARCH("Other",F36))),OR(AY36="",AZ36="")),MEASURESUBMIT,
 IF(PAYCUSE&lt;PAYBACKREQ,PROJECTSTATPAYBACK,
IF(CBCUSE&lt;CBREQ,PROJECTSTATCB,""))))))),MEASURESUBMIT)</f>
        <v>Submit for Review</v>
      </c>
      <c r="BK36" s="930" t="str">
        <f>IFERROR(IF(OR(C36="",F36="",L36="",P36="",R36="",T36="",X36="",Z36="",AB36="",AD36="",AF36=""),"",
ROUND(((1+ELOSS)*((AK36*INDEX(ELECCB[NPV AEC $/kWh],MATCH(AY36,ELECCB[Year Number],1)))+(BA36*INDEX(ELECCB[NPV ACC $/kW],MATCH(AY36,ELECCB[Year Number],1))))),2)),0)</f>
        <v/>
      </c>
      <c r="BL36" s="1118"/>
    </row>
    <row r="37" spans="2:64" ht="15.95" customHeight="1">
      <c r="B37" s="905"/>
      <c r="C37" s="1037"/>
      <c r="D37" s="1037"/>
      <c r="E37" s="1037"/>
      <c r="F37" s="1037"/>
      <c r="G37" s="1037"/>
      <c r="H37" s="1037"/>
      <c r="I37" s="1037"/>
      <c r="J37" s="1037"/>
      <c r="K37" s="1039"/>
      <c r="L37" s="1040"/>
      <c r="M37" s="1037"/>
      <c r="N37" s="1037"/>
      <c r="O37" s="1037"/>
      <c r="P37" s="1041"/>
      <c r="Q37" s="1041"/>
      <c r="R37" s="1041"/>
      <c r="S37" s="1152"/>
      <c r="T37" s="1061"/>
      <c r="U37" s="1037"/>
      <c r="V37" s="1037"/>
      <c r="W37" s="1037"/>
      <c r="X37" s="1041"/>
      <c r="Y37" s="1041"/>
      <c r="Z37" s="1041"/>
      <c r="AA37" s="1153"/>
      <c r="AB37" s="1156"/>
      <c r="AC37" s="1157"/>
      <c r="AD37" s="1054"/>
      <c r="AE37" s="1054"/>
      <c r="AF37" s="1127"/>
      <c r="AG37" s="1128"/>
      <c r="AH37" s="1064"/>
      <c r="AI37" s="1065"/>
      <c r="AJ37" s="1065"/>
      <c r="AK37" s="1066"/>
      <c r="AL37" s="1066"/>
      <c r="AM37" s="1066"/>
      <c r="AN37" s="1049"/>
      <c r="AO37" s="1050"/>
      <c r="AP37" s="1050"/>
      <c r="AQ37" s="1050"/>
      <c r="AR37" s="355"/>
      <c r="AS37" s="355"/>
      <c r="AT37" s="1104"/>
      <c r="AU37" s="1104"/>
      <c r="AV37" s="1105"/>
      <c r="AW37" s="1025"/>
      <c r="AX37" s="1025"/>
      <c r="AY37" s="1114"/>
      <c r="AZ37" s="1116"/>
      <c r="BA37" s="1109"/>
      <c r="BB37" s="1121"/>
      <c r="BC37" s="931"/>
      <c r="BD37" s="931"/>
      <c r="BE37" s="931"/>
      <c r="BF37" s="931"/>
      <c r="BG37" s="931"/>
      <c r="BH37" s="1106"/>
      <c r="BI37" s="1105"/>
      <c r="BJ37" s="1105"/>
      <c r="BK37" s="931"/>
      <c r="BL37" s="1119"/>
    </row>
    <row r="38" spans="2:64" ht="15.95" customHeight="1">
      <c r="B38" s="905"/>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s="235"/>
      <c r="AP38" s="235"/>
      <c r="AQ38" s="235"/>
      <c r="AR38" s="235"/>
      <c r="AS38" s="235"/>
      <c r="AT38"/>
      <c r="AU38"/>
      <c r="AV38"/>
      <c r="AY38"/>
      <c r="AZ38"/>
      <c r="BA38"/>
      <c r="BB38"/>
      <c r="BC38"/>
    </row>
    <row r="39" spans="2:64" ht="15.95" hidden="1" customHeight="1">
      <c r="B39" s="90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s="235"/>
      <c r="AP39" s="235"/>
      <c r="AQ39" s="235"/>
      <c r="AR39" s="235"/>
      <c r="AS39" s="235"/>
      <c r="AT39"/>
      <c r="AU39"/>
      <c r="AV39"/>
      <c r="AY39"/>
      <c r="AZ39"/>
      <c r="BA39"/>
      <c r="BB39"/>
      <c r="BC39"/>
    </row>
    <row r="40" spans="2:64" ht="15.95" hidden="1" customHeight="1">
      <c r="B40" s="90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s="235"/>
      <c r="AP40" s="235"/>
      <c r="AQ40" s="235"/>
      <c r="AR40" s="235"/>
      <c r="AS40" s="235"/>
      <c r="AT40"/>
      <c r="AU40"/>
      <c r="AV40"/>
      <c r="AY40"/>
      <c r="AZ40"/>
      <c r="BA40"/>
      <c r="BB40"/>
      <c r="BC40"/>
    </row>
    <row r="41" spans="2:64" ht="15.95" hidden="1" customHeight="1">
      <c r="B41" s="905"/>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s="235"/>
      <c r="AP41" s="235"/>
      <c r="AQ41" s="235"/>
      <c r="AR41" s="235"/>
      <c r="AS41" s="235"/>
      <c r="AT41"/>
      <c r="AU41"/>
      <c r="AV41"/>
      <c r="AY41"/>
      <c r="AZ41"/>
      <c r="BA41"/>
      <c r="BB41"/>
      <c r="BC41"/>
    </row>
    <row r="42" spans="2:64" ht="15.95" hidden="1" customHeight="1">
      <c r="B42" s="90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s="235"/>
      <c r="AP42" s="235"/>
      <c r="AQ42" s="235"/>
      <c r="AR42" s="235"/>
      <c r="AS42" s="235"/>
      <c r="AT42"/>
      <c r="AU42"/>
      <c r="AV42"/>
      <c r="AY42"/>
      <c r="AZ42"/>
      <c r="BA42"/>
      <c r="BB42"/>
      <c r="BC42"/>
    </row>
    <row r="43" spans="2:64" ht="15.95" hidden="1" customHeight="1">
      <c r="B43" s="90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s="235"/>
      <c r="AP43" s="235"/>
      <c r="AQ43" s="235"/>
      <c r="AR43" s="235"/>
      <c r="AS43" s="235"/>
      <c r="AT43"/>
      <c r="AU43"/>
      <c r="AV43"/>
      <c r="AY43"/>
      <c r="AZ43"/>
      <c r="BA43"/>
      <c r="BB43"/>
      <c r="BC43"/>
    </row>
    <row r="44" spans="2:64" ht="15.95" hidden="1" customHeight="1">
      <c r="B44" s="905"/>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s="235"/>
      <c r="AP44" s="235"/>
      <c r="AQ44" s="235"/>
      <c r="AR44" s="235"/>
      <c r="AS44" s="235"/>
      <c r="AT44"/>
      <c r="AU44"/>
      <c r="AV44"/>
      <c r="AY44"/>
      <c r="AZ44"/>
      <c r="BA44"/>
      <c r="BB44"/>
      <c r="BC44"/>
    </row>
    <row r="45" spans="2:64" ht="15.95" hidden="1" customHeight="1">
      <c r="B45" s="90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s="235"/>
      <c r="AP45" s="235"/>
      <c r="AQ45" s="235"/>
      <c r="AR45" s="235"/>
      <c r="AS45" s="235"/>
      <c r="AT45"/>
      <c r="AU45"/>
      <c r="AV45"/>
      <c r="AY45"/>
      <c r="AZ45"/>
      <c r="BA45"/>
      <c r="BB45"/>
      <c r="BC45"/>
    </row>
    <row r="46" spans="2:64" ht="15.95" hidden="1" customHeight="1">
      <c r="B46" s="90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s="235"/>
      <c r="AP46" s="235"/>
      <c r="AQ46" s="235"/>
      <c r="AR46" s="235"/>
      <c r="AS46" s="235"/>
      <c r="AT46"/>
      <c r="AU46"/>
      <c r="AV46"/>
      <c r="AY46"/>
      <c r="AZ46"/>
      <c r="BA46"/>
      <c r="BB46"/>
      <c r="BC46"/>
    </row>
    <row r="47" spans="2:64" ht="15.95" hidden="1" customHeight="1">
      <c r="B47" s="905"/>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s="235"/>
      <c r="AP47" s="235"/>
      <c r="AQ47" s="235"/>
      <c r="AR47" s="235"/>
      <c r="AS47" s="235"/>
      <c r="AT47"/>
      <c r="AU47"/>
      <c r="AV47"/>
      <c r="AY47"/>
      <c r="AZ47"/>
      <c r="BA47"/>
      <c r="BB47"/>
      <c r="BC47"/>
    </row>
    <row r="48" spans="2:64" ht="15.95" hidden="1" customHeight="1">
      <c r="AO48" s="235"/>
      <c r="AP48" s="235"/>
      <c r="AQ48" s="235"/>
      <c r="AR48" s="235"/>
      <c r="AS48" s="235"/>
      <c r="AU48" s="57"/>
      <c r="AV48" s="64"/>
      <c r="AW48" s="64"/>
      <c r="AX48" s="64"/>
    </row>
    <row r="49" spans="41:50" ht="15.95" hidden="1" customHeight="1">
      <c r="AO49" s="235"/>
      <c r="AP49" s="235"/>
      <c r="AQ49" s="235"/>
      <c r="AR49" s="235"/>
      <c r="AS49" s="235"/>
      <c r="AU49" s="57"/>
      <c r="AV49" s="64"/>
      <c r="AW49" s="64"/>
      <c r="AX49" s="64"/>
    </row>
    <row r="50" spans="41:50" ht="15.95" hidden="1" customHeight="1">
      <c r="AO50" s="235"/>
      <c r="AP50" s="235"/>
      <c r="AQ50" s="235"/>
      <c r="AR50" s="235"/>
      <c r="AS50" s="235"/>
      <c r="AU50" s="57"/>
      <c r="AV50" s="64"/>
      <c r="AW50" s="64"/>
      <c r="AX50" s="64"/>
    </row>
    <row r="51" spans="41:50" ht="15.95" hidden="1" customHeight="1">
      <c r="AO51" s="235"/>
      <c r="AP51" s="235"/>
      <c r="AQ51" s="235"/>
      <c r="AR51" s="235"/>
      <c r="AS51" s="235"/>
      <c r="AU51" s="57"/>
      <c r="AV51" s="64"/>
      <c r="AW51" s="64"/>
      <c r="AX51" s="64"/>
    </row>
    <row r="52" spans="41:50" ht="15.95" hidden="1" customHeight="1">
      <c r="AO52" s="235"/>
      <c r="AP52" s="235"/>
      <c r="AQ52" s="235"/>
      <c r="AR52" s="235"/>
      <c r="AS52" s="235"/>
      <c r="AU52" s="57"/>
      <c r="AV52" s="64"/>
      <c r="AW52" s="64"/>
      <c r="AX52" s="64"/>
    </row>
    <row r="53" spans="41:50" ht="15.95" hidden="1" customHeight="1">
      <c r="AO53" s="235"/>
      <c r="AP53" s="235"/>
      <c r="AQ53" s="235"/>
      <c r="AR53" s="235"/>
      <c r="AS53" s="235"/>
      <c r="AU53" s="57"/>
      <c r="AV53" s="64"/>
      <c r="AW53" s="64"/>
      <c r="AX53" s="64"/>
    </row>
    <row r="54" spans="41:50" ht="15.95" hidden="1" customHeight="1">
      <c r="AO54" s="235"/>
      <c r="AP54" s="235"/>
      <c r="AQ54" s="235"/>
      <c r="AR54" s="235"/>
      <c r="AS54" s="235"/>
      <c r="AU54" s="57"/>
      <c r="AV54" s="64"/>
      <c r="AW54" s="64"/>
      <c r="AX54" s="64"/>
    </row>
    <row r="55" spans="41:50" ht="15.95" hidden="1" customHeight="1">
      <c r="AO55" s="235"/>
      <c r="AP55" s="235"/>
      <c r="AQ55" s="235"/>
      <c r="AR55" s="235"/>
      <c r="AS55" s="235"/>
      <c r="AU55" s="57"/>
      <c r="AV55" s="64"/>
      <c r="AW55" s="64"/>
      <c r="AX55" s="64"/>
    </row>
    <row r="56" spans="41:50" ht="15.95" hidden="1" customHeight="1">
      <c r="AO56" s="235"/>
      <c r="AP56" s="235"/>
      <c r="AQ56" s="235"/>
      <c r="AR56" s="235"/>
      <c r="AS56" s="235"/>
      <c r="AU56" s="57"/>
      <c r="AV56" s="64"/>
      <c r="AW56" s="64"/>
      <c r="AX56" s="64"/>
    </row>
    <row r="57" spans="41:50" ht="15.95" hidden="1" customHeight="1">
      <c r="AO57" s="235"/>
      <c r="AP57" s="235"/>
      <c r="AQ57" s="235"/>
      <c r="AR57" s="235"/>
      <c r="AS57" s="235"/>
      <c r="AU57" s="57"/>
      <c r="AV57" s="64"/>
      <c r="AW57" s="64"/>
      <c r="AX57" s="64"/>
    </row>
    <row r="58" spans="41:50" ht="15.95" hidden="1" customHeight="1">
      <c r="AO58" s="235"/>
      <c r="AP58" s="235"/>
      <c r="AQ58" s="235"/>
      <c r="AR58" s="235"/>
      <c r="AS58" s="235"/>
      <c r="AU58" s="57"/>
      <c r="AV58" s="64"/>
      <c r="AW58" s="64"/>
      <c r="AX58" s="64"/>
    </row>
    <row r="59" spans="41:50" ht="15.95" hidden="1" customHeight="1">
      <c r="AO59" s="235"/>
      <c r="AP59" s="235"/>
      <c r="AQ59" s="235"/>
      <c r="AR59" s="235"/>
      <c r="AS59" s="235"/>
      <c r="AU59" s="57"/>
      <c r="AV59" s="64"/>
      <c r="AW59" s="64"/>
      <c r="AX59" s="64"/>
    </row>
    <row r="60" spans="41:50" ht="15.95" hidden="1" customHeight="1">
      <c r="AO60" s="235"/>
      <c r="AP60" s="235"/>
      <c r="AQ60" s="235"/>
      <c r="AR60" s="235"/>
      <c r="AS60" s="235"/>
      <c r="AU60" s="57"/>
      <c r="AV60" s="64"/>
      <c r="AW60" s="64"/>
      <c r="AX60" s="64"/>
    </row>
    <row r="61" spans="41:50" ht="15.95" hidden="1" customHeight="1">
      <c r="AO61" s="235"/>
      <c r="AP61" s="235"/>
      <c r="AQ61" s="235"/>
      <c r="AR61" s="235"/>
      <c r="AS61" s="235"/>
      <c r="AU61" s="57"/>
      <c r="AV61" s="64"/>
      <c r="AW61" s="64"/>
      <c r="AX61" s="64"/>
    </row>
    <row r="62" spans="41:50" ht="15.95" hidden="1" customHeight="1">
      <c r="AU62" s="57"/>
      <c r="AV62" s="64"/>
      <c r="AW62" s="64"/>
      <c r="AX62" s="64"/>
    </row>
    <row r="63" spans="41:50" ht="15.95" hidden="1" customHeight="1">
      <c r="AU63" s="57"/>
      <c r="AV63" s="64"/>
      <c r="AW63" s="64"/>
      <c r="AX63" s="64"/>
    </row>
    <row r="64" spans="41:50" ht="15.95" hidden="1" customHeight="1">
      <c r="AU64" s="57"/>
      <c r="AV64" s="64"/>
      <c r="AW64" s="64"/>
      <c r="AX64" s="64"/>
    </row>
    <row r="65" spans="47:50" ht="15.95" hidden="1" customHeight="1">
      <c r="AU65" s="57"/>
      <c r="AV65" s="64"/>
      <c r="AW65" s="64"/>
      <c r="AX65" s="64"/>
    </row>
    <row r="66" spans="47:50" ht="15.95" hidden="1" customHeight="1">
      <c r="AU66" s="57"/>
      <c r="AV66" s="64"/>
      <c r="AW66" s="64"/>
      <c r="AX66" s="64"/>
    </row>
    <row r="67" spans="47:50" ht="15.95" hidden="1" customHeight="1">
      <c r="AU67" s="57"/>
      <c r="AV67" s="64"/>
      <c r="AW67" s="64"/>
      <c r="AX67" s="64"/>
    </row>
    <row r="68" spans="47:50" ht="15.95" hidden="1" customHeight="1">
      <c r="AU68" s="57"/>
      <c r="AV68" s="64"/>
      <c r="AW68" s="64"/>
      <c r="AX68" s="64"/>
    </row>
    <row r="69" spans="47:50" ht="15.95" hidden="1" customHeight="1">
      <c r="AU69" s="57"/>
      <c r="AV69" s="64"/>
      <c r="AW69" s="64"/>
      <c r="AX69" s="64"/>
    </row>
    <row r="70" spans="47:50" ht="15.95" hidden="1" customHeight="1">
      <c r="AU70" s="57"/>
      <c r="AV70" s="64"/>
      <c r="AW70" s="64"/>
      <c r="AX70" s="64"/>
    </row>
    <row r="71" spans="47:50" ht="15.95" hidden="1" customHeight="1">
      <c r="AU71" s="57"/>
      <c r="AV71" s="64"/>
      <c r="AW71" s="64"/>
      <c r="AX71" s="64"/>
    </row>
    <row r="72" spans="47:50" ht="15.95" hidden="1" customHeight="1">
      <c r="AU72" s="57"/>
      <c r="AV72" s="64"/>
      <c r="AW72" s="64"/>
      <c r="AX72" s="64"/>
    </row>
    <row r="73" spans="47:50" ht="15.95" hidden="1" customHeight="1">
      <c r="AU73" s="57"/>
      <c r="AV73" s="64"/>
      <c r="AW73" s="64"/>
      <c r="AX73" s="64"/>
    </row>
    <row r="74" spans="47:50" ht="15.95" hidden="1" customHeight="1">
      <c r="AU74" s="57"/>
      <c r="AV74" s="64"/>
      <c r="AW74" s="64"/>
      <c r="AX74" s="64"/>
    </row>
    <row r="75" spans="47:50" ht="15.95" hidden="1" customHeight="1">
      <c r="AU75" s="57"/>
      <c r="AV75" s="64"/>
      <c r="AW75" s="64"/>
      <c r="AX75" s="64"/>
    </row>
    <row r="76" spans="47:50" ht="15.95" hidden="1" customHeight="1">
      <c r="AU76" s="57"/>
      <c r="AV76" s="64"/>
      <c r="AW76" s="64"/>
      <c r="AX76" s="64"/>
    </row>
    <row r="77" spans="47:50" ht="15.95" hidden="1" customHeight="1">
      <c r="AU77" s="57"/>
      <c r="AV77" s="64"/>
      <c r="AW77" s="64"/>
      <c r="AX77" s="64"/>
    </row>
    <row r="78" spans="47:50" ht="15.95" hidden="1" customHeight="1">
      <c r="AU78" s="57"/>
      <c r="AV78" s="64"/>
      <c r="AW78" s="64"/>
      <c r="AX78" s="64"/>
    </row>
    <row r="79" spans="47:50" ht="15.95" hidden="1" customHeight="1">
      <c r="AU79" s="57"/>
      <c r="AV79" s="64"/>
      <c r="AW79" s="64"/>
      <c r="AX79" s="64"/>
    </row>
    <row r="80" spans="47:50" ht="15.95" hidden="1" customHeight="1">
      <c r="AU80" s="57"/>
      <c r="AV80" s="64"/>
      <c r="AW80" s="64"/>
      <c r="AX80" s="64"/>
    </row>
    <row r="81" spans="47:50" ht="15.95" hidden="1" customHeight="1">
      <c r="AU81" s="57"/>
      <c r="AV81" s="64"/>
      <c r="AW81" s="64"/>
      <c r="AX81" s="64"/>
    </row>
    <row r="82" spans="47:50" ht="15.95" hidden="1" customHeight="1">
      <c r="AU82" s="57"/>
      <c r="AV82" s="64"/>
      <c r="AW82" s="64"/>
      <c r="AX82" s="64"/>
    </row>
    <row r="83" spans="47:50" ht="15.95" hidden="1" customHeight="1">
      <c r="AU83" s="57"/>
      <c r="AV83" s="64"/>
      <c r="AW83" s="64"/>
      <c r="AX83" s="64"/>
    </row>
    <row r="84" spans="47:50" ht="15.95" hidden="1" customHeight="1">
      <c r="AU84" s="57"/>
      <c r="AV84" s="64"/>
      <c r="AW84" s="64"/>
      <c r="AX84" s="64"/>
    </row>
    <row r="85" spans="47:50" ht="15.95" hidden="1" customHeight="1">
      <c r="AU85" s="57"/>
      <c r="AV85" s="64"/>
      <c r="AW85" s="64"/>
      <c r="AX85" s="64"/>
    </row>
    <row r="86" spans="47:50" ht="15.95" hidden="1" customHeight="1">
      <c r="AU86" s="57"/>
      <c r="AV86" s="64"/>
      <c r="AW86" s="64"/>
      <c r="AX86" s="64"/>
    </row>
    <row r="87" spans="47:50" ht="15.95" hidden="1" customHeight="1">
      <c r="AU87" s="57"/>
      <c r="AV87" s="64"/>
      <c r="AW87" s="64"/>
      <c r="AX87" s="64"/>
    </row>
    <row r="88" spans="47:50" ht="15.95" hidden="1" customHeight="1">
      <c r="AU88" s="57"/>
      <c r="AV88" s="64"/>
      <c r="AW88" s="64"/>
      <c r="AX88" s="64"/>
    </row>
    <row r="89" spans="47:50" ht="15.95" hidden="1" customHeight="1">
      <c r="AU89" s="57"/>
      <c r="AV89" s="64"/>
      <c r="AW89" s="64"/>
      <c r="AX89" s="64"/>
    </row>
    <row r="90" spans="47:50" ht="15.95" hidden="1" customHeight="1">
      <c r="AU90" s="57"/>
      <c r="AV90" s="64"/>
      <c r="AW90" s="64"/>
      <c r="AX90" s="64"/>
    </row>
    <row r="91" spans="47:50" ht="15.95" hidden="1" customHeight="1">
      <c r="AU91" s="57"/>
      <c r="AV91" s="64"/>
      <c r="AW91" s="64"/>
      <c r="AX91" s="64"/>
    </row>
    <row r="92" spans="47:50" ht="15.95" hidden="1" customHeight="1">
      <c r="AU92" s="57"/>
      <c r="AV92" s="64"/>
      <c r="AW92" s="64"/>
      <c r="AX92" s="64"/>
    </row>
    <row r="93" spans="47:50" ht="15.95" hidden="1" customHeight="1">
      <c r="AU93" s="57"/>
      <c r="AV93" s="64"/>
      <c r="AW93" s="64"/>
      <c r="AX93" s="64"/>
    </row>
    <row r="94" spans="47:50" ht="15.95" hidden="1" customHeight="1">
      <c r="AU94" s="57"/>
      <c r="AV94" s="64"/>
      <c r="AW94" s="64"/>
      <c r="AX94" s="64"/>
    </row>
    <row r="95" spans="47:50" ht="15.95" hidden="1" customHeight="1">
      <c r="AU95" s="57"/>
      <c r="AV95" s="64"/>
      <c r="AW95" s="64"/>
      <c r="AX95" s="64"/>
    </row>
    <row r="96" spans="47:50" ht="15.95" hidden="1" customHeight="1">
      <c r="AU96" s="57"/>
      <c r="AV96" s="64"/>
      <c r="AW96" s="64"/>
      <c r="AX96" s="64"/>
    </row>
    <row r="97" spans="47:50" ht="15.95" hidden="1" customHeight="1">
      <c r="AU97" s="57"/>
      <c r="AV97" s="64"/>
      <c r="AW97" s="64"/>
      <c r="AX97" s="64"/>
    </row>
    <row r="98" spans="47:50" ht="15.95" hidden="1" customHeight="1">
      <c r="AU98" s="57"/>
      <c r="AV98" s="64"/>
      <c r="AW98" s="64"/>
      <c r="AX98" s="64"/>
    </row>
    <row r="99" spans="47:50" ht="15.95" hidden="1" customHeight="1">
      <c r="AU99" s="57"/>
      <c r="AV99" s="64"/>
      <c r="AW99" s="64"/>
      <c r="AX99" s="64"/>
    </row>
    <row r="100" spans="47:50" ht="15.95" hidden="1" customHeight="1">
      <c r="AU100" s="57"/>
      <c r="AV100" s="64"/>
      <c r="AW100" s="64"/>
      <c r="AX100" s="64"/>
    </row>
    <row r="101" spans="47:50" ht="15.95" hidden="1" customHeight="1">
      <c r="AU101" s="57"/>
      <c r="AV101" s="64"/>
      <c r="AW101" s="64"/>
      <c r="AX101" s="64"/>
    </row>
    <row r="102" spans="47:50" ht="15.95" hidden="1" customHeight="1">
      <c r="AU102" s="57"/>
      <c r="AV102" s="64"/>
      <c r="AW102" s="64"/>
      <c r="AX102" s="64"/>
    </row>
    <row r="103" spans="47:50" ht="15.95" hidden="1" customHeight="1">
      <c r="AU103" s="57"/>
      <c r="AV103" s="64"/>
      <c r="AW103" s="64"/>
      <c r="AX103" s="64"/>
    </row>
    <row r="104" spans="47:50" ht="15.95" hidden="1" customHeight="1">
      <c r="AU104" s="57"/>
      <c r="AV104" s="64"/>
      <c r="AW104" s="64"/>
      <c r="AX104" s="64"/>
    </row>
    <row r="105" spans="47:50" ht="15.95" hidden="1" customHeight="1">
      <c r="AU105" s="57"/>
      <c r="AV105" s="64"/>
      <c r="AW105" s="64"/>
      <c r="AX105" s="64"/>
    </row>
    <row r="106" spans="47:50" ht="15.95" hidden="1" customHeight="1">
      <c r="AU106" s="57"/>
      <c r="AV106" s="64"/>
      <c r="AW106" s="64"/>
      <c r="AX106" s="64"/>
    </row>
    <row r="107" spans="47:50" ht="15.95" hidden="1" customHeight="1">
      <c r="AU107" s="57"/>
      <c r="AV107" s="64"/>
      <c r="AW107" s="64"/>
      <c r="AX107" s="64"/>
    </row>
    <row r="108" spans="47:50" ht="15.95" hidden="1" customHeight="1">
      <c r="AU108" s="57"/>
      <c r="AV108" s="64"/>
      <c r="AW108" s="64"/>
      <c r="AX108" s="64"/>
    </row>
    <row r="109" spans="47:50" ht="15.95" hidden="1" customHeight="1">
      <c r="AU109" s="57"/>
      <c r="AV109" s="64"/>
      <c r="AW109" s="64"/>
      <c r="AX109" s="64"/>
    </row>
    <row r="110" spans="47:50" ht="15.95" hidden="1" customHeight="1">
      <c r="AU110" s="57"/>
      <c r="AV110" s="64"/>
      <c r="AW110" s="64"/>
      <c r="AX110" s="64"/>
    </row>
    <row r="111" spans="47:50" ht="15.95" hidden="1" customHeight="1">
      <c r="AU111" s="57"/>
      <c r="AV111" s="64"/>
      <c r="AW111" s="64"/>
      <c r="AX111" s="64"/>
    </row>
    <row r="112" spans="47:50" ht="15.95" hidden="1" customHeight="1">
      <c r="AU112" s="57"/>
      <c r="AV112" s="64"/>
      <c r="AW112" s="64"/>
      <c r="AX112" s="64"/>
    </row>
    <row r="113" spans="47:50" ht="15.95" hidden="1" customHeight="1">
      <c r="AU113" s="57"/>
      <c r="AV113" s="64"/>
      <c r="AW113" s="64"/>
      <c r="AX113" s="64"/>
    </row>
    <row r="114" spans="47:50" ht="15.95" hidden="1" customHeight="1">
      <c r="AU114" s="57"/>
      <c r="AV114" s="64"/>
      <c r="AW114" s="64"/>
      <c r="AX114" s="64"/>
    </row>
    <row r="115" spans="47:50" ht="15.95" hidden="1" customHeight="1">
      <c r="AU115" s="57"/>
      <c r="AV115" s="64"/>
      <c r="AW115" s="64"/>
      <c r="AX115" s="64"/>
    </row>
    <row r="116" spans="47:50" ht="15.95" hidden="1" customHeight="1">
      <c r="AU116" s="57"/>
      <c r="AV116" s="64"/>
      <c r="AW116" s="64"/>
      <c r="AX116" s="64"/>
    </row>
    <row r="117" spans="47:50" ht="15.95" hidden="1" customHeight="1">
      <c r="AU117" s="57"/>
      <c r="AV117" s="64"/>
      <c r="AW117" s="64"/>
      <c r="AX117" s="64"/>
    </row>
    <row r="118" spans="47:50" ht="15.95" hidden="1" customHeight="1">
      <c r="AU118" s="57"/>
      <c r="AV118" s="64"/>
      <c r="AW118" s="64"/>
      <c r="AX118" s="64"/>
    </row>
    <row r="119" spans="47:50" ht="15.95" hidden="1" customHeight="1">
      <c r="AU119" s="57"/>
      <c r="AV119" s="64"/>
      <c r="AW119" s="64"/>
      <c r="AX119" s="64"/>
    </row>
    <row r="120" spans="47:50" ht="15.95" hidden="1" customHeight="1">
      <c r="AU120" s="57"/>
      <c r="AV120" s="64"/>
      <c r="AW120" s="64"/>
      <c r="AX120" s="64"/>
    </row>
    <row r="121" spans="47:50" ht="15.95" hidden="1" customHeight="1">
      <c r="AU121" s="57"/>
      <c r="AV121" s="64"/>
      <c r="AW121" s="64"/>
      <c r="AX121" s="64"/>
    </row>
    <row r="122" spans="47:50" ht="15.95" hidden="1" customHeight="1">
      <c r="AU122" s="57"/>
      <c r="AV122" s="64"/>
      <c r="AW122" s="64"/>
      <c r="AX122" s="64"/>
    </row>
    <row r="123" spans="47:50" ht="15.95" hidden="1" customHeight="1">
      <c r="AU123" s="57"/>
      <c r="AV123" s="64"/>
      <c r="AW123" s="64"/>
      <c r="AX123" s="64"/>
    </row>
    <row r="124" spans="47:50" ht="15.95" hidden="1" customHeight="1">
      <c r="AU124" s="57"/>
      <c r="AV124" s="64"/>
      <c r="AW124" s="64"/>
      <c r="AX124" s="64"/>
    </row>
    <row r="125" spans="47:50" ht="15.95" hidden="1" customHeight="1">
      <c r="AU125" s="57"/>
      <c r="AV125" s="64"/>
      <c r="AW125" s="64"/>
      <c r="AX125" s="64"/>
    </row>
    <row r="126" spans="47:50" ht="15.95" hidden="1" customHeight="1">
      <c r="AU126" s="57"/>
      <c r="AV126" s="64"/>
      <c r="AW126" s="64"/>
      <c r="AX126" s="64"/>
    </row>
    <row r="127" spans="47:50" ht="15.95" hidden="1" customHeight="1">
      <c r="AU127" s="57"/>
      <c r="AV127" s="64"/>
      <c r="AW127" s="64"/>
      <c r="AX127" s="64"/>
    </row>
    <row r="128" spans="47:50" ht="15.95" hidden="1" customHeight="1">
      <c r="AU128" s="57"/>
      <c r="AV128" s="64"/>
      <c r="AW128" s="64"/>
      <c r="AX128" s="64"/>
    </row>
    <row r="129" spans="47:50" ht="15.95" hidden="1" customHeight="1">
      <c r="AU129" s="57"/>
      <c r="AV129" s="64"/>
      <c r="AW129" s="64"/>
      <c r="AX129" s="64"/>
    </row>
    <row r="130" spans="47:50" ht="15.95" hidden="1" customHeight="1">
      <c r="AU130" s="57"/>
      <c r="AV130" s="64"/>
      <c r="AW130" s="64"/>
      <c r="AX130" s="64"/>
    </row>
    <row r="131" spans="47:50" ht="15.95" hidden="1" customHeight="1">
      <c r="AU131" s="57"/>
      <c r="AV131" s="64"/>
      <c r="AW131" s="64"/>
      <c r="AX131" s="64"/>
    </row>
    <row r="132" spans="47:50" ht="15.95" hidden="1" customHeight="1">
      <c r="AU132" s="57"/>
      <c r="AV132" s="64"/>
      <c r="AW132" s="64"/>
      <c r="AX132" s="64"/>
    </row>
    <row r="133" spans="47:50" ht="15.95" hidden="1" customHeight="1">
      <c r="AU133" s="57"/>
      <c r="AV133" s="64"/>
      <c r="AW133" s="64"/>
      <c r="AX133" s="64"/>
    </row>
    <row r="134" spans="47:50" ht="15.95" hidden="1" customHeight="1">
      <c r="AU134" s="57"/>
      <c r="AV134" s="64"/>
      <c r="AW134" s="64"/>
      <c r="AX134" s="64"/>
    </row>
    <row r="135" spans="47:50" ht="15.95" hidden="1" customHeight="1">
      <c r="AU135" s="57"/>
      <c r="AV135" s="64"/>
      <c r="AW135" s="64"/>
      <c r="AX135" s="64"/>
    </row>
    <row r="136" spans="47:50" ht="15.95" hidden="1" customHeight="1">
      <c r="AU136" s="57"/>
      <c r="AV136" s="64"/>
      <c r="AW136" s="64"/>
      <c r="AX136" s="64"/>
    </row>
    <row r="137" spans="47:50" ht="15.95" hidden="1" customHeight="1">
      <c r="AU137" s="57"/>
      <c r="AV137" s="64"/>
      <c r="AW137" s="64"/>
      <c r="AX137" s="64"/>
    </row>
    <row r="138" spans="47:50" ht="15.95" hidden="1" customHeight="1">
      <c r="AU138" s="57"/>
      <c r="AV138" s="64"/>
      <c r="AW138" s="64"/>
      <c r="AX138" s="64"/>
    </row>
    <row r="139" spans="47:50" ht="15.95" hidden="1" customHeight="1">
      <c r="AU139" s="57"/>
      <c r="AV139" s="64"/>
      <c r="AW139" s="64"/>
      <c r="AX139" s="64"/>
    </row>
    <row r="140" spans="47:50" ht="15.95" hidden="1" customHeight="1">
      <c r="AU140" s="57"/>
      <c r="AV140" s="64"/>
      <c r="AW140" s="64"/>
      <c r="AX140" s="64"/>
    </row>
    <row r="141" spans="47:50" ht="15.95" hidden="1" customHeight="1">
      <c r="AU141" s="57"/>
      <c r="AV141" s="64"/>
      <c r="AW141" s="64"/>
      <c r="AX141" s="64"/>
    </row>
    <row r="142" spans="47:50" ht="15.95" hidden="1" customHeight="1">
      <c r="AU142" s="57"/>
      <c r="AV142" s="64"/>
      <c r="AW142" s="64"/>
      <c r="AX142" s="64"/>
    </row>
    <row r="143" spans="47:50" ht="15.95" hidden="1" customHeight="1">
      <c r="AU143" s="57"/>
      <c r="AV143" s="64"/>
      <c r="AW143" s="64"/>
      <c r="AX143" s="64"/>
    </row>
    <row r="144" spans="47:50" ht="15.95" hidden="1" customHeight="1">
      <c r="AU144" s="57"/>
      <c r="AV144" s="64"/>
      <c r="AW144" s="64"/>
      <c r="AX144" s="64"/>
    </row>
    <row r="145" spans="47:50" ht="15.95" hidden="1" customHeight="1">
      <c r="AU145" s="57"/>
      <c r="AV145" s="64"/>
      <c r="AW145" s="64"/>
      <c r="AX145" s="64"/>
    </row>
    <row r="146" spans="47:50" ht="15.95" hidden="1" customHeight="1">
      <c r="AU146" s="57"/>
      <c r="AV146" s="64"/>
      <c r="AW146" s="64"/>
      <c r="AX146" s="64"/>
    </row>
    <row r="147" spans="47:50" ht="15.95" hidden="1" customHeight="1">
      <c r="AU147" s="57"/>
      <c r="AV147" s="64"/>
      <c r="AW147" s="64"/>
      <c r="AX147" s="64"/>
    </row>
    <row r="148" spans="47:50" ht="15.95" hidden="1" customHeight="1">
      <c r="AU148" s="57"/>
      <c r="AV148" s="64"/>
      <c r="AW148" s="64"/>
      <c r="AX148" s="64"/>
    </row>
    <row r="149" spans="47:50" ht="15.95" hidden="1" customHeight="1">
      <c r="AU149" s="57"/>
      <c r="AV149" s="64"/>
      <c r="AW149" s="64"/>
      <c r="AX149" s="64"/>
    </row>
    <row r="150" spans="47:50" ht="15.95" hidden="1" customHeight="1">
      <c r="AU150" s="57"/>
      <c r="AV150" s="64"/>
      <c r="AW150" s="64"/>
      <c r="AX150" s="64"/>
    </row>
    <row r="151" spans="47:50" ht="15.95" hidden="1" customHeight="1">
      <c r="AU151" s="57"/>
      <c r="AV151" s="64"/>
      <c r="AW151" s="64"/>
      <c r="AX151" s="64"/>
    </row>
    <row r="152" spans="47:50" ht="15.95" hidden="1" customHeight="1">
      <c r="AU152" s="57"/>
      <c r="AV152" s="64"/>
      <c r="AW152" s="64"/>
      <c r="AX152" s="64"/>
    </row>
    <row r="153" spans="47:50" ht="15.95" hidden="1" customHeight="1">
      <c r="AU153" s="57"/>
      <c r="AV153" s="64"/>
      <c r="AW153" s="64"/>
      <c r="AX153" s="64"/>
    </row>
    <row r="154" spans="47:50" ht="15.95" hidden="1" customHeight="1">
      <c r="AU154" s="57"/>
      <c r="AV154" s="64"/>
      <c r="AW154" s="64"/>
      <c r="AX154" s="64"/>
    </row>
    <row r="155" spans="47:50" ht="15.95" hidden="1" customHeight="1">
      <c r="AU155" s="57"/>
      <c r="AV155" s="64"/>
      <c r="AW155" s="64"/>
      <c r="AX155" s="64"/>
    </row>
    <row r="156" spans="47:50" ht="15.95" hidden="1" customHeight="1">
      <c r="AU156" s="57"/>
      <c r="AV156" s="64"/>
      <c r="AW156" s="64"/>
      <c r="AX156" s="64"/>
    </row>
    <row r="157" spans="47:50" ht="15.95" hidden="1" customHeight="1">
      <c r="AU157" s="57"/>
      <c r="AV157" s="64"/>
      <c r="AW157" s="64"/>
      <c r="AX157" s="64"/>
    </row>
    <row r="158" spans="47:50" ht="15.95" hidden="1" customHeight="1">
      <c r="AU158" s="57"/>
      <c r="AV158" s="64"/>
      <c r="AW158" s="64"/>
      <c r="AX158" s="64"/>
    </row>
    <row r="159" spans="47:50" ht="15.95" hidden="1" customHeight="1">
      <c r="AU159" s="57"/>
      <c r="AV159" s="64"/>
      <c r="AW159" s="64"/>
      <c r="AX159" s="64"/>
    </row>
    <row r="160" spans="47:50" ht="15.95" hidden="1" customHeight="1">
      <c r="AU160" s="57"/>
      <c r="AV160" s="64"/>
      <c r="AW160" s="64"/>
      <c r="AX160" s="64"/>
    </row>
    <row r="161" spans="47:50" ht="15.95" hidden="1" customHeight="1">
      <c r="AU161" s="57"/>
      <c r="AV161" s="64"/>
      <c r="AW161" s="64"/>
      <c r="AX161" s="64"/>
    </row>
    <row r="162" spans="47:50" ht="15.95" hidden="1" customHeight="1">
      <c r="AU162" s="57"/>
      <c r="AV162" s="64"/>
      <c r="AW162" s="64"/>
      <c r="AX162" s="64"/>
    </row>
    <row r="163" spans="47:50" ht="15.95" hidden="1" customHeight="1">
      <c r="AU163" s="57"/>
      <c r="AV163" s="64"/>
      <c r="AW163" s="64"/>
      <c r="AX163" s="64"/>
    </row>
    <row r="164" spans="47:50" ht="15.95" hidden="1" customHeight="1">
      <c r="AU164" s="57"/>
      <c r="AV164" s="64"/>
      <c r="AW164" s="64"/>
      <c r="AX164" s="64"/>
    </row>
    <row r="165" spans="47:50" ht="15.95" hidden="1" customHeight="1">
      <c r="AU165" s="57"/>
      <c r="AV165" s="64"/>
      <c r="AW165" s="64"/>
      <c r="AX165" s="64"/>
    </row>
    <row r="166" spans="47:50" ht="15.95" hidden="1" customHeight="1">
      <c r="AU166" s="57"/>
      <c r="AV166" s="64"/>
      <c r="AW166" s="64"/>
      <c r="AX166" s="64"/>
    </row>
    <row r="167" spans="47:50" ht="15.95" hidden="1" customHeight="1">
      <c r="AU167" s="57"/>
      <c r="AV167" s="64"/>
      <c r="AW167" s="64"/>
      <c r="AX167" s="64"/>
    </row>
    <row r="168" spans="47:50" ht="15.95" hidden="1" customHeight="1">
      <c r="AU168" s="57"/>
      <c r="AV168" s="64"/>
      <c r="AW168" s="64"/>
      <c r="AX168" s="64"/>
    </row>
    <row r="169" spans="47:50" ht="15.95" hidden="1" customHeight="1">
      <c r="AU169" s="57"/>
      <c r="AV169" s="64"/>
      <c r="AW169" s="64"/>
      <c r="AX169" s="64"/>
    </row>
    <row r="170" spans="47:50" ht="15.95" hidden="1" customHeight="1">
      <c r="AU170" s="57"/>
      <c r="AV170" s="64"/>
      <c r="AW170" s="64"/>
      <c r="AX170" s="64"/>
    </row>
    <row r="171" spans="47:50" ht="15.95" hidden="1" customHeight="1">
      <c r="AU171" s="57"/>
      <c r="AV171" s="64"/>
      <c r="AW171" s="64"/>
      <c r="AX171" s="64"/>
    </row>
    <row r="172" spans="47:50" ht="15.95" hidden="1" customHeight="1">
      <c r="AU172" s="57"/>
      <c r="AV172" s="64"/>
      <c r="AW172" s="64"/>
      <c r="AX172" s="64"/>
    </row>
    <row r="173" spans="47:50" ht="15.95" hidden="1" customHeight="1">
      <c r="AU173" s="57"/>
      <c r="AV173" s="64"/>
      <c r="AW173" s="64"/>
      <c r="AX173" s="64"/>
    </row>
    <row r="174" spans="47:50" ht="15.95" hidden="1" customHeight="1">
      <c r="AU174" s="57"/>
      <c r="AV174" s="64"/>
      <c r="AW174" s="64"/>
      <c r="AX174" s="64"/>
    </row>
    <row r="175" spans="47:50" ht="15.95" hidden="1" customHeight="1">
      <c r="AU175" s="57"/>
      <c r="AV175" s="64"/>
      <c r="AW175" s="64"/>
      <c r="AX175" s="64"/>
    </row>
    <row r="176" spans="47:50" ht="15.95" hidden="1" customHeight="1">
      <c r="AU176" s="57"/>
      <c r="AV176" s="64"/>
      <c r="AW176" s="64"/>
      <c r="AX176" s="64"/>
    </row>
    <row r="177" spans="47:50" ht="15.95" hidden="1" customHeight="1">
      <c r="AU177" s="57"/>
      <c r="AV177" s="64"/>
      <c r="AW177" s="64"/>
      <c r="AX177" s="64"/>
    </row>
    <row r="178" spans="47:50" ht="15.95" hidden="1" customHeight="1">
      <c r="AU178" s="57"/>
      <c r="AV178" s="64"/>
      <c r="AW178" s="64"/>
      <c r="AX178" s="64"/>
    </row>
    <row r="179" spans="47:50" ht="15.95" hidden="1" customHeight="1">
      <c r="AU179" s="57"/>
      <c r="AV179" s="64"/>
      <c r="AW179" s="64"/>
      <c r="AX179" s="64"/>
    </row>
    <row r="180" spans="47:50" ht="15.95" hidden="1" customHeight="1">
      <c r="AU180" s="57"/>
      <c r="AV180" s="64"/>
      <c r="AW180" s="64"/>
      <c r="AX180" s="64"/>
    </row>
    <row r="181" spans="47:50" ht="15.95" hidden="1" customHeight="1">
      <c r="AU181" s="57"/>
      <c r="AV181" s="64"/>
      <c r="AW181" s="64"/>
      <c r="AX181" s="64"/>
    </row>
    <row r="182" spans="47:50" ht="15.95" hidden="1" customHeight="1">
      <c r="AU182" s="57"/>
      <c r="AV182" s="64"/>
      <c r="AW182" s="64"/>
      <c r="AX182" s="64"/>
    </row>
    <row r="183" spans="47:50" ht="15.95" hidden="1" customHeight="1">
      <c r="AU183" s="57"/>
      <c r="AV183" s="64"/>
      <c r="AW183" s="64"/>
      <c r="AX183" s="64"/>
    </row>
    <row r="184" spans="47:50" ht="15.95" hidden="1" customHeight="1">
      <c r="AU184" s="57"/>
      <c r="AV184" s="64"/>
      <c r="AW184" s="64"/>
      <c r="AX184" s="64"/>
    </row>
    <row r="185" spans="47:50" ht="15.95" hidden="1" customHeight="1">
      <c r="AU185" s="57"/>
      <c r="AV185" s="64"/>
      <c r="AW185" s="64"/>
      <c r="AX185" s="64"/>
    </row>
    <row r="186" spans="47:50" ht="15.95" hidden="1" customHeight="1">
      <c r="AU186" s="57"/>
      <c r="AV186" s="64"/>
      <c r="AW186" s="64"/>
      <c r="AX186" s="64"/>
    </row>
    <row r="187" spans="47:50" ht="15.95" hidden="1" customHeight="1">
      <c r="AU187" s="57"/>
      <c r="AV187" s="64"/>
      <c r="AW187" s="64"/>
      <c r="AX187" s="64"/>
    </row>
    <row r="188" spans="47:50" ht="15.95" hidden="1" customHeight="1">
      <c r="AU188" s="57"/>
      <c r="AV188" s="64"/>
      <c r="AW188" s="64"/>
      <c r="AX188" s="64"/>
    </row>
    <row r="189" spans="47:50" ht="15.95" hidden="1" customHeight="1">
      <c r="AU189" s="57"/>
      <c r="AV189" s="64"/>
      <c r="AW189" s="64"/>
      <c r="AX189" s="64"/>
    </row>
    <row r="190" spans="47:50" ht="15.95" hidden="1" customHeight="1">
      <c r="AU190" s="57"/>
      <c r="AV190" s="64"/>
      <c r="AW190" s="64"/>
      <c r="AX190" s="64"/>
    </row>
    <row r="191" spans="47:50" ht="15.95" hidden="1" customHeight="1">
      <c r="AU191" s="57"/>
      <c r="AV191" s="64"/>
      <c r="AW191" s="64"/>
      <c r="AX191" s="64"/>
    </row>
    <row r="192" spans="47:50" ht="15.95" hidden="1" customHeight="1">
      <c r="AU192" s="57"/>
      <c r="AV192" s="64"/>
      <c r="AW192" s="64"/>
      <c r="AX192" s="64"/>
    </row>
    <row r="193" spans="1:53" ht="15.95" hidden="1" customHeight="1">
      <c r="AU193" s="57"/>
      <c r="AV193" s="64"/>
      <c r="AW193" s="64"/>
      <c r="AX193" s="64"/>
    </row>
    <row r="194" spans="1:53" ht="15.95" hidden="1" customHeight="1">
      <c r="AU194" s="57"/>
      <c r="AV194" s="64"/>
      <c r="AW194" s="64"/>
      <c r="AX194" s="64"/>
    </row>
    <row r="195" spans="1:53" ht="15.95" hidden="1" customHeight="1">
      <c r="AU195" s="57"/>
      <c r="AV195" s="64"/>
      <c r="AW195" s="64"/>
      <c r="AX195" s="64"/>
    </row>
    <row r="196" spans="1:53" ht="15.95" hidden="1" customHeight="1">
      <c r="AU196" s="57"/>
      <c r="AV196" s="64"/>
      <c r="AW196" s="64"/>
      <c r="AX196" s="64"/>
    </row>
    <row r="197" spans="1:53" ht="15.95" hidden="1" customHeight="1">
      <c r="AU197" s="57"/>
      <c r="AV197" s="64"/>
      <c r="AW197" s="64"/>
      <c r="AX197" s="64"/>
    </row>
    <row r="198" spans="1:53" ht="15.95" hidden="1" customHeight="1">
      <c r="AU198" s="57"/>
      <c r="AV198" s="64"/>
      <c r="AW198" s="64"/>
      <c r="AX198" s="64"/>
    </row>
    <row r="199" spans="1:53" ht="15.95" hidden="1" customHeight="1">
      <c r="AU199" s="57"/>
      <c r="AV199" s="64"/>
      <c r="AW199" s="64"/>
      <c r="AX199" s="64"/>
    </row>
    <row r="200" spans="1:53"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U200"/>
      <c r="AV200"/>
      <c r="AW200" s="1025">
        <f>SUM(AW18:AW37)</f>
        <v>0</v>
      </c>
      <c r="AX200" s="1025">
        <f>SUM(AX18:AX37)</f>
        <v>0</v>
      </c>
      <c r="AY200"/>
      <c r="BA200" s="1026">
        <f>SUM(BA18:BA37)</f>
        <v>0</v>
      </c>
    </row>
    <row r="201" spans="1:53"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U201"/>
      <c r="AV201"/>
      <c r="AW201" s="1025"/>
      <c r="AX201" s="1025"/>
      <c r="AY201"/>
      <c r="BA201" s="1027"/>
    </row>
    <row r="202" spans="1:53"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3" ht="15.95" hidden="1" customHeight="1"/>
    <row r="204" spans="1:53" ht="15.95" hidden="1" customHeight="1"/>
  </sheetData>
  <sheetProtection algorithmName="SHA-512" hashValue="ZcQz93FF7FDi+zpOhvb77tgXrLK8g+F9sMZtWTziOQ3cOVi5l5RXATguomSjWhQKPyrkTlqGlxwoEkpX1xtPTQ==" saltValue="9uS6McDVXwpp9ORNDM8roQ==" spinCount="100000" sheet="1" objects="1" scenarios="1" selectLockedCells="1"/>
  <mergeCells count="410">
    <mergeCell ref="BL34:BL35"/>
    <mergeCell ref="BL36:BL37"/>
    <mergeCell ref="BL16:BL17"/>
    <mergeCell ref="BL18:BL19"/>
    <mergeCell ref="BL20:BL21"/>
    <mergeCell ref="BL22:BL23"/>
    <mergeCell ref="BL24:BL25"/>
    <mergeCell ref="BL26:BL27"/>
    <mergeCell ref="BL28:BL29"/>
    <mergeCell ref="BL30:BL31"/>
    <mergeCell ref="BL32:BL33"/>
    <mergeCell ref="BK34:BK35"/>
    <mergeCell ref="BK36:BK37"/>
    <mergeCell ref="BK16:BK17"/>
    <mergeCell ref="BK18:BK19"/>
    <mergeCell ref="BK20:BK21"/>
    <mergeCell ref="BK22:BK23"/>
    <mergeCell ref="BK24:BK25"/>
    <mergeCell ref="BK26:BK27"/>
    <mergeCell ref="BK28:BK29"/>
    <mergeCell ref="BK30:BK31"/>
    <mergeCell ref="BK32:BK33"/>
    <mergeCell ref="BG16:BG17"/>
    <mergeCell ref="BG18:BG19"/>
    <mergeCell ref="BG20:BG21"/>
    <mergeCell ref="BG22:BG23"/>
    <mergeCell ref="BG24:BG25"/>
    <mergeCell ref="BG26:BG27"/>
    <mergeCell ref="BG28:BG29"/>
    <mergeCell ref="BG30:BG31"/>
    <mergeCell ref="BG32:BG33"/>
    <mergeCell ref="BI30:BI31"/>
    <mergeCell ref="BA32:BA33"/>
    <mergeCell ref="BJ28:BJ29"/>
    <mergeCell ref="BJ30:BJ31"/>
    <mergeCell ref="BJ26:BJ27"/>
    <mergeCell ref="BA26:BA27"/>
    <mergeCell ref="BB26:BB27"/>
    <mergeCell ref="BC26:BC27"/>
    <mergeCell ref="AO5:AS6"/>
    <mergeCell ref="AO7:AS7"/>
    <mergeCell ref="AO8:AS8"/>
    <mergeCell ref="AW20:AW21"/>
    <mergeCell ref="AX20:AX21"/>
    <mergeCell ref="AW22:AW23"/>
    <mergeCell ref="AX22:AX23"/>
    <mergeCell ref="AW24:AW25"/>
    <mergeCell ref="AX24:AX25"/>
    <mergeCell ref="BE30:BE31"/>
    <mergeCell ref="BF30:BF31"/>
    <mergeCell ref="BH30:BH31"/>
    <mergeCell ref="BD30:BD31"/>
    <mergeCell ref="AN30:AQ31"/>
    <mergeCell ref="AT30:AT31"/>
    <mergeCell ref="AU30:AU31"/>
    <mergeCell ref="BJ36:BJ37"/>
    <mergeCell ref="BB36:BB37"/>
    <mergeCell ref="BC36:BC37"/>
    <mergeCell ref="BD36:BD37"/>
    <mergeCell ref="BE36:BE37"/>
    <mergeCell ref="BF36:BF37"/>
    <mergeCell ref="BI34:BI35"/>
    <mergeCell ref="BI36:BI37"/>
    <mergeCell ref="BF32:BF33"/>
    <mergeCell ref="BF34:BF35"/>
    <mergeCell ref="BH34:BH35"/>
    <mergeCell ref="BH36:BH37"/>
    <mergeCell ref="BE32:BE33"/>
    <mergeCell ref="BJ34:BJ35"/>
    <mergeCell ref="BJ32:BJ33"/>
    <mergeCell ref="BH32:BH33"/>
    <mergeCell ref="BI32:BI33"/>
    <mergeCell ref="BG34:BG35"/>
    <mergeCell ref="BG36:BG37"/>
    <mergeCell ref="X36:Y37"/>
    <mergeCell ref="Z36:AA37"/>
    <mergeCell ref="AB36:AC37"/>
    <mergeCell ref="AD36:AE37"/>
    <mergeCell ref="AU36:AU37"/>
    <mergeCell ref="AV36:AV37"/>
    <mergeCell ref="AY36:AY37"/>
    <mergeCell ref="AZ36:AZ37"/>
    <mergeCell ref="BA36:BA37"/>
    <mergeCell ref="AW36:AW37"/>
    <mergeCell ref="AX36:AX37"/>
    <mergeCell ref="C36:E37"/>
    <mergeCell ref="F36:K37"/>
    <mergeCell ref="L36:O37"/>
    <mergeCell ref="P36:Q37"/>
    <mergeCell ref="R36:S37"/>
    <mergeCell ref="BE34:BE35"/>
    <mergeCell ref="AW32:AW33"/>
    <mergeCell ref="AX32:AX33"/>
    <mergeCell ref="F34:K35"/>
    <mergeCell ref="L34:O35"/>
    <mergeCell ref="P34:Q35"/>
    <mergeCell ref="R34:S35"/>
    <mergeCell ref="T34:W35"/>
    <mergeCell ref="X34:Y35"/>
    <mergeCell ref="Z34:AA35"/>
    <mergeCell ref="AB34:AC35"/>
    <mergeCell ref="AD34:AE35"/>
    <mergeCell ref="AF36:AG37"/>
    <mergeCell ref="AH36:AJ37"/>
    <mergeCell ref="AK36:AM37"/>
    <mergeCell ref="AN36:AQ37"/>
    <mergeCell ref="AT36:AT37"/>
    <mergeCell ref="T36:W37"/>
    <mergeCell ref="AZ34:AZ35"/>
    <mergeCell ref="C34:E35"/>
    <mergeCell ref="AZ32:AZ33"/>
    <mergeCell ref="AF34:AG35"/>
    <mergeCell ref="AH34:AJ35"/>
    <mergeCell ref="AK34:AM35"/>
    <mergeCell ref="AF32:AG33"/>
    <mergeCell ref="AH32:AJ33"/>
    <mergeCell ref="AK32:AM33"/>
    <mergeCell ref="AN32:AQ33"/>
    <mergeCell ref="AT32:AT33"/>
    <mergeCell ref="C32:E33"/>
    <mergeCell ref="F32:K33"/>
    <mergeCell ref="L32:O33"/>
    <mergeCell ref="P32:Q33"/>
    <mergeCell ref="R32:S33"/>
    <mergeCell ref="T32:W33"/>
    <mergeCell ref="X32:Y33"/>
    <mergeCell ref="Z32:AA33"/>
    <mergeCell ref="AB32:AC33"/>
    <mergeCell ref="BA34:BA35"/>
    <mergeCell ref="BB34:BB35"/>
    <mergeCell ref="AU32:AU33"/>
    <mergeCell ref="AV32:AV33"/>
    <mergeCell ref="AY32:AY33"/>
    <mergeCell ref="BB32:BB33"/>
    <mergeCell ref="BC32:BC33"/>
    <mergeCell ref="BD32:BD33"/>
    <mergeCell ref="AD32:AE33"/>
    <mergeCell ref="BD34:BD35"/>
    <mergeCell ref="AN34:AQ35"/>
    <mergeCell ref="AT34:AT35"/>
    <mergeCell ref="AU34:AU35"/>
    <mergeCell ref="AV34:AV35"/>
    <mergeCell ref="AY34:AY35"/>
    <mergeCell ref="BC34:BC35"/>
    <mergeCell ref="AW34:AW35"/>
    <mergeCell ref="AX34:AX35"/>
    <mergeCell ref="C30:E31"/>
    <mergeCell ref="F30:K31"/>
    <mergeCell ref="L30:O31"/>
    <mergeCell ref="P30:Q31"/>
    <mergeCell ref="R30:S31"/>
    <mergeCell ref="T30:W31"/>
    <mergeCell ref="X30:Y31"/>
    <mergeCell ref="Z30:AA31"/>
    <mergeCell ref="AB30:AC31"/>
    <mergeCell ref="AD30:AE31"/>
    <mergeCell ref="AF30:AG31"/>
    <mergeCell ref="AH30:AJ31"/>
    <mergeCell ref="AK30:AM31"/>
    <mergeCell ref="BB28:BB29"/>
    <mergeCell ref="BC28:BC29"/>
    <mergeCell ref="BD28:BD29"/>
    <mergeCell ref="BE28:BE29"/>
    <mergeCell ref="BF28:BF29"/>
    <mergeCell ref="AU28:AU29"/>
    <mergeCell ref="AV28:AV29"/>
    <mergeCell ref="AY28:AY29"/>
    <mergeCell ref="AZ30:AZ31"/>
    <mergeCell ref="AV30:AV31"/>
    <mergeCell ref="AY30:AY31"/>
    <mergeCell ref="AX30:AX31"/>
    <mergeCell ref="AW28:AW29"/>
    <mergeCell ref="AX28:AX29"/>
    <mergeCell ref="AW30:AW31"/>
    <mergeCell ref="BA30:BA31"/>
    <mergeCell ref="BB30:BB31"/>
    <mergeCell ref="BC30:BC31"/>
    <mergeCell ref="BE26:BE27"/>
    <mergeCell ref="BF26:BF27"/>
    <mergeCell ref="BH26:BH27"/>
    <mergeCell ref="BI26:BI27"/>
    <mergeCell ref="AZ28:AZ29"/>
    <mergeCell ref="BA28:BA29"/>
    <mergeCell ref="AF28:AG29"/>
    <mergeCell ref="AH28:AJ29"/>
    <mergeCell ref="AK28:AM29"/>
    <mergeCell ref="AN28:AQ29"/>
    <mergeCell ref="AT28:AT29"/>
    <mergeCell ref="BH28:BH29"/>
    <mergeCell ref="BI28:BI29"/>
    <mergeCell ref="AZ26:AZ27"/>
    <mergeCell ref="AW26:AW27"/>
    <mergeCell ref="AX26:AX27"/>
    <mergeCell ref="X24:Y25"/>
    <mergeCell ref="Z24:AA25"/>
    <mergeCell ref="AB24:AC25"/>
    <mergeCell ref="AD24:AE25"/>
    <mergeCell ref="C28:E29"/>
    <mergeCell ref="F28:K29"/>
    <mergeCell ref="L28:O29"/>
    <mergeCell ref="P28:Q29"/>
    <mergeCell ref="R28:S29"/>
    <mergeCell ref="T28:W29"/>
    <mergeCell ref="X28:Y29"/>
    <mergeCell ref="Z28:AA29"/>
    <mergeCell ref="AB28:AC29"/>
    <mergeCell ref="AD28:AE29"/>
    <mergeCell ref="P24:Q25"/>
    <mergeCell ref="R24:S25"/>
    <mergeCell ref="L24:O25"/>
    <mergeCell ref="T24:W25"/>
    <mergeCell ref="BI24:BI25"/>
    <mergeCell ref="BJ24:BJ25"/>
    <mergeCell ref="C26:E27"/>
    <mergeCell ref="F26:K27"/>
    <mergeCell ref="L26:O27"/>
    <mergeCell ref="P26:Q27"/>
    <mergeCell ref="R26:S27"/>
    <mergeCell ref="T26:W27"/>
    <mergeCell ref="X26:Y27"/>
    <mergeCell ref="Z26:AA27"/>
    <mergeCell ref="AB26:AC27"/>
    <mergeCell ref="AD26:AE27"/>
    <mergeCell ref="AF26:AG27"/>
    <mergeCell ref="AH26:AJ27"/>
    <mergeCell ref="AK26:AM27"/>
    <mergeCell ref="BB24:BB25"/>
    <mergeCell ref="BC24:BC25"/>
    <mergeCell ref="BD24:BD25"/>
    <mergeCell ref="BD26:BD27"/>
    <mergeCell ref="AN26:AQ27"/>
    <mergeCell ref="AT26:AT27"/>
    <mergeCell ref="AU26:AU27"/>
    <mergeCell ref="AV26:AV27"/>
    <mergeCell ref="AY26:AY27"/>
    <mergeCell ref="BH22:BH23"/>
    <mergeCell ref="BI22:BI23"/>
    <mergeCell ref="AZ24:AZ25"/>
    <mergeCell ref="BA24:BA25"/>
    <mergeCell ref="AF24:AG25"/>
    <mergeCell ref="AH24:AJ25"/>
    <mergeCell ref="AK24:AM25"/>
    <mergeCell ref="AN24:AQ25"/>
    <mergeCell ref="AT24:AT25"/>
    <mergeCell ref="BE24:BE25"/>
    <mergeCell ref="BF24:BF25"/>
    <mergeCell ref="AU24:AU25"/>
    <mergeCell ref="AV24:AV25"/>
    <mergeCell ref="AY24:AY25"/>
    <mergeCell ref="AZ22:AZ23"/>
    <mergeCell ref="BA22:BA23"/>
    <mergeCell ref="BB22:BB23"/>
    <mergeCell ref="BC22:BC23"/>
    <mergeCell ref="BD22:BD23"/>
    <mergeCell ref="AN22:AQ23"/>
    <mergeCell ref="AT22:AT23"/>
    <mergeCell ref="AU22:AU23"/>
    <mergeCell ref="AY22:AY23"/>
    <mergeCell ref="BH24:BH25"/>
    <mergeCell ref="BJ20:BJ21"/>
    <mergeCell ref="C22:E23"/>
    <mergeCell ref="F22:K23"/>
    <mergeCell ref="L22:O23"/>
    <mergeCell ref="P22:Q23"/>
    <mergeCell ref="R22:S23"/>
    <mergeCell ref="T22:W23"/>
    <mergeCell ref="X22:Y23"/>
    <mergeCell ref="Z22:AA23"/>
    <mergeCell ref="AB22:AC23"/>
    <mergeCell ref="AD22:AE23"/>
    <mergeCell ref="AF22:AG23"/>
    <mergeCell ref="AH22:AJ23"/>
    <mergeCell ref="AK22:AM23"/>
    <mergeCell ref="BB20:BB21"/>
    <mergeCell ref="BC20:BC21"/>
    <mergeCell ref="BD20:BD21"/>
    <mergeCell ref="BE20:BE21"/>
    <mergeCell ref="BF20:BF21"/>
    <mergeCell ref="AU20:AU21"/>
    <mergeCell ref="AV20:AV21"/>
    <mergeCell ref="BE22:BE23"/>
    <mergeCell ref="AY20:AY21"/>
    <mergeCell ref="BF22:BF23"/>
    <mergeCell ref="BJ22:BJ23"/>
    <mergeCell ref="AZ20:AZ21"/>
    <mergeCell ref="BA20:BA21"/>
    <mergeCell ref="BJ18:BJ19"/>
    <mergeCell ref="C20:E21"/>
    <mergeCell ref="F20:K21"/>
    <mergeCell ref="L20:O21"/>
    <mergeCell ref="P20:Q21"/>
    <mergeCell ref="R20:S21"/>
    <mergeCell ref="T20:W21"/>
    <mergeCell ref="X20:Y21"/>
    <mergeCell ref="Z20:AA21"/>
    <mergeCell ref="AB20:AC21"/>
    <mergeCell ref="AD20:AE21"/>
    <mergeCell ref="AF20:AG21"/>
    <mergeCell ref="AH20:AJ21"/>
    <mergeCell ref="AK20:AM21"/>
    <mergeCell ref="AN20:AQ21"/>
    <mergeCell ref="AT20:AT21"/>
    <mergeCell ref="BD18:BD19"/>
    <mergeCell ref="BE18:BE19"/>
    <mergeCell ref="BF18:BF19"/>
    <mergeCell ref="BH18:BH19"/>
    <mergeCell ref="BI18:BI19"/>
    <mergeCell ref="BH20:BH21"/>
    <mergeCell ref="BI16:BI17"/>
    <mergeCell ref="BJ16:BJ17"/>
    <mergeCell ref="AD17:AE17"/>
    <mergeCell ref="AF17:AG17"/>
    <mergeCell ref="C18:E19"/>
    <mergeCell ref="F18:K19"/>
    <mergeCell ref="L18:O19"/>
    <mergeCell ref="P18:Q19"/>
    <mergeCell ref="R18:S19"/>
    <mergeCell ref="T18:W19"/>
    <mergeCell ref="X18:Y19"/>
    <mergeCell ref="Z18:AA19"/>
    <mergeCell ref="AB18:AC19"/>
    <mergeCell ref="AD18:AE19"/>
    <mergeCell ref="AF18:AG19"/>
    <mergeCell ref="AH18:AJ19"/>
    <mergeCell ref="BF16:BF17"/>
    <mergeCell ref="BH16:BH17"/>
    <mergeCell ref="BD16:BD17"/>
    <mergeCell ref="BE16:BE17"/>
    <mergeCell ref="AW16:AW17"/>
    <mergeCell ref="AX16:AX17"/>
    <mergeCell ref="BI20:BI21"/>
    <mergeCell ref="AP1:AS3"/>
    <mergeCell ref="C16:E17"/>
    <mergeCell ref="F16:K17"/>
    <mergeCell ref="L16:O17"/>
    <mergeCell ref="P16:Q17"/>
    <mergeCell ref="R16:S17"/>
    <mergeCell ref="T16:W17"/>
    <mergeCell ref="X16:Y17"/>
    <mergeCell ref="Z16:AA17"/>
    <mergeCell ref="AB16:AC17"/>
    <mergeCell ref="AD16:AG16"/>
    <mergeCell ref="F1:I3"/>
    <mergeCell ref="J1:M3"/>
    <mergeCell ref="AH1:AK3"/>
    <mergeCell ref="AL1:AO3"/>
    <mergeCell ref="A4:E6"/>
    <mergeCell ref="A7:E8"/>
    <mergeCell ref="H9:K11"/>
    <mergeCell ref="L9:O11"/>
    <mergeCell ref="P9:S11"/>
    <mergeCell ref="T9:W11"/>
    <mergeCell ref="X9:AA11"/>
    <mergeCell ref="AB9:AE11"/>
    <mergeCell ref="R14:U14"/>
    <mergeCell ref="V14:Y14"/>
    <mergeCell ref="Z14:AC14"/>
    <mergeCell ref="AF9:AI11"/>
    <mergeCell ref="AJ9:AM11"/>
    <mergeCell ref="R12:U13"/>
    <mergeCell ref="V12:Y13"/>
    <mergeCell ref="Z12:AC13"/>
    <mergeCell ref="AI13:AQ13"/>
    <mergeCell ref="C13:P13"/>
    <mergeCell ref="AV22:AV23"/>
    <mergeCell ref="BC16:BC17"/>
    <mergeCell ref="B18:B19"/>
    <mergeCell ref="AK16:AM17"/>
    <mergeCell ref="AN16:AQ17"/>
    <mergeCell ref="AT16:AT17"/>
    <mergeCell ref="AK18:AM19"/>
    <mergeCell ref="AN18:AQ19"/>
    <mergeCell ref="AT18:AT19"/>
    <mergeCell ref="AU18:AU19"/>
    <mergeCell ref="AV18:AV19"/>
    <mergeCell ref="AY18:AY19"/>
    <mergeCell ref="AZ18:AZ19"/>
    <mergeCell ref="BA18:BA19"/>
    <mergeCell ref="BB18:BB19"/>
    <mergeCell ref="BC18:BC19"/>
    <mergeCell ref="AY16:AY17"/>
    <mergeCell ref="AZ16:AZ17"/>
    <mergeCell ref="BA16:BA17"/>
    <mergeCell ref="BB16:BB17"/>
    <mergeCell ref="AW18:AW19"/>
    <mergeCell ref="AX18:AX19"/>
    <mergeCell ref="O1:AE3"/>
    <mergeCell ref="AW200:AW201"/>
    <mergeCell ref="AX200:AX201"/>
    <mergeCell ref="BA200:BA201"/>
    <mergeCell ref="M200:AG201"/>
    <mergeCell ref="AU16:AU17"/>
    <mergeCell ref="AV16:AV17"/>
    <mergeCell ref="B46:B47"/>
    <mergeCell ref="B44:B45"/>
    <mergeCell ref="B42:B43"/>
    <mergeCell ref="B40:B41"/>
    <mergeCell ref="B38:B39"/>
    <mergeCell ref="B36:B37"/>
    <mergeCell ref="B34:B35"/>
    <mergeCell ref="B32:B33"/>
    <mergeCell ref="B30:B31"/>
    <mergeCell ref="B28:B29"/>
    <mergeCell ref="B26:B27"/>
    <mergeCell ref="B24:B25"/>
    <mergeCell ref="B22:B23"/>
    <mergeCell ref="AH16:AJ17"/>
    <mergeCell ref="B20:B21"/>
    <mergeCell ref="C24:E25"/>
    <mergeCell ref="F24:K25"/>
  </mergeCells>
  <conditionalFormatting sqref="F18:AG37">
    <cfRule type="expression" dxfId="78" priority="5">
      <formula>AND(ISBLANK($C18)=FALSE,OR(ISBLANK(F18)=TRUE,F18=""))</formula>
    </cfRule>
  </conditionalFormatting>
  <conditionalFormatting sqref="AO8:AS8">
    <cfRule type="expression" dxfId="77" priority="4">
      <formula>IF($AO$8=PROJSTATMEASURE,FALSE,TRUE)</formula>
    </cfRule>
  </conditionalFormatting>
  <conditionalFormatting sqref="AN18:AQ37">
    <cfRule type="expression" dxfId="76" priority="3">
      <formula>ISNUMBER($AN18)=FALSE</formula>
    </cfRule>
  </conditionalFormatting>
  <conditionalFormatting sqref="AY18:AY37">
    <cfRule type="expression" dxfId="75" priority="2">
      <formula>AND($AY18="",$F18&lt;&gt;"")</formula>
    </cfRule>
  </conditionalFormatting>
  <conditionalFormatting sqref="AZ18:AZ37">
    <cfRule type="expression" dxfId="74" priority="1">
      <formula>AND($AZ18="",$F18&lt;&gt;"")</formula>
    </cfRule>
  </conditionalFormatting>
  <dataValidations count="9">
    <dataValidation type="decimal" allowBlank="1" showInputMessage="1" showErrorMessage="1" prompt="Enter the annual kWh usage per unit of the existing equipment." sqref="R18:S37" xr:uid="{725D57BD-41B2-4F09-A2F2-FAD530FA9F34}">
      <formula1>0</formula1>
      <formula2>999999999</formula2>
    </dataValidation>
    <dataValidation type="decimal" allowBlank="1" showInputMessage="1" showErrorMessage="1" prompt="Enter the annual kWh usage per unit of the new equipment." sqref="Z18:AA37" xr:uid="{16D338F0-4103-4574-9C3B-CEAEB718CF67}">
      <formula1>0</formula1>
      <formula2>999999999</formula2>
    </dataValidation>
    <dataValidation type="list" allowBlank="1" showInputMessage="1" showErrorMessage="1" sqref="AZ18:AZ37" xr:uid="{93961EB2-F72C-48F2-B25A-8978593151CA}">
      <formula1>ENDUSECAT</formula1>
    </dataValidation>
    <dataValidation type="decimal" allowBlank="1" showInputMessage="1" showErrorMessage="1" sqref="P18:Q37 X18:Y37" xr:uid="{55B13BA7-1B13-4FB1-B3DF-29B470D0B048}">
      <formula1>0</formula1>
      <formula2>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D18:AE37" xr:uid="{C5F343EC-69C9-4726-9718-B6CEC55B9278}">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F18:AG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8:AC37" xr:uid="{3B5B8294-39CA-4422-A36C-6FA703997D68}">
      <formula1>COSTTYPELIST</formula1>
    </dataValidation>
    <dataValidation type="list" allowBlank="1" showInputMessage="1" showErrorMessage="1" prompt="Select the project type using the dropdown._x000a__x000a_If you want to change this field, delete the data in the &quot;Measure Type&quot; field first." sqref="C18:E37" xr:uid="{68BAB468-F31B-41FD-B4BE-54715E27A02E}">
      <formula1>IF($F18="",CUSTOMPROJECTTYPE,"")</formula1>
    </dataValidation>
    <dataValidation type="list" allowBlank="1" showInputMessage="1" showErrorMessage="1" sqref="F18:K37" xr:uid="{F2DD47F0-C23D-4703-A46D-7FE99AE8510A}">
      <formula1>CMEREFRIDESC</formula1>
    </dataValidation>
  </dataValidations>
  <hyperlinks>
    <hyperlink ref="H9:K11" location="'M03-S02'!C18" tooltip="Lighting" display="'M03-S02'!C18" xr:uid="{CBF639C3-20F2-453C-95D9-983DF808C76D}"/>
    <hyperlink ref="L9:O11" location="'M03-S03'!C18" tooltip="Lighting Controls" display="'M03-S03'!C18" xr:uid="{81E40026-AB92-474F-843B-D6E1726185D9}"/>
    <hyperlink ref="P9:S11" location="'M03-S04'!C18" tooltip="Refrigeration" display="'M03-S04'!C18" xr:uid="{3150CF49-8558-420B-A333-812575CD4CFB}"/>
    <hyperlink ref="T9:W11" location="'M03-S05'!C18" tooltip="HVAC" display="'M03-S05'!C18" xr:uid="{EF97426B-53F3-4546-B2D8-5208F97B61AF}"/>
    <hyperlink ref="AB9:AE11" location="'M03-S06'!C18" tooltip="Compressed Air / Process" display="'M03-S06'!C18" xr:uid="{73095263-F31B-4F9B-A83E-17E3F375D70A}"/>
    <hyperlink ref="AF9:AI11" location="'M03-S07'!C18" tooltip="Water Heating / Cooking" display="'M03-S07'!C18" xr:uid="{305F1A20-AA4D-4803-823A-95823DCF6B01}"/>
    <hyperlink ref="X9:AA11" location="'M03-S08'!C18" tooltip="Motors and Drives" display="'M03-S08'!C18" xr:uid="{2DB2336B-1483-465B-BD65-835E71D5A4D9}"/>
    <hyperlink ref="AJ9:AM11" location="'M04-S09'!C18" tooltip="Miscellaneous" display="'M04-S09'!C18" xr:uid="{1D9C1DE3-C37E-4EFB-88DC-2ACB1B3A7D53}"/>
    <hyperlink ref="J1:M3" location="'M01-S02'!J1" tooltip="Instructions" display="'M01-S02'!J1" xr:uid="{5D1E3202-F989-424F-B19F-21BE4FE2CDAD}"/>
    <hyperlink ref="AL1:AO3" location="'M05-S05'!AL1" tooltip=" " display="'M05-S05'!AL1" xr:uid="{086C3C63-A966-47E7-80FC-81762D003F7E}"/>
    <hyperlink ref="AH1:AK3" location="'M05-S04'!AH1" tooltip=" " display="'M05-S04'!AH1" xr:uid="{7DA88B5B-4332-453E-9657-DA7AD97CB7AF}"/>
    <hyperlink ref="AP1:AS3" location="'M01-S03'!AP1" tooltip="Contact" display="'M01-S03'!AP1" xr:uid="{5CC38EF2-BA60-4AF2-8FB6-89211881B805}"/>
    <hyperlink ref="B202" r:id="rId1" xr:uid="{1FD07E7E-C3AF-44EB-90FB-87C7B1EDF63D}"/>
  </hyperlinks>
  <printOptions horizontalCentered="1"/>
  <pageMargins left="0.25" right="0.25" top="0.25" bottom="0.25" header="0.25" footer="0.25"/>
  <pageSetup scale="62"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pageSetUpPr fitToPage="1"/>
  </sheetPr>
  <dimension ref="A1:BL204"/>
  <sheetViews>
    <sheetView showGridLines="0" showRowColHeaders="0" zoomScale="85" zoomScaleNormal="85" workbookViewId="0">
      <selection activeCell="C18" sqref="C18:E19"/>
    </sheetView>
  </sheetViews>
  <sheetFormatPr defaultColWidth="0" defaultRowHeight="15" customHeight="1" zeroHeight="1"/>
  <cols>
    <col min="1" max="45" width="4.7109375" style="180" customWidth="1"/>
    <col min="46" max="47" width="9.42578125" style="180" hidden="1" customWidth="1"/>
    <col min="48" max="48" width="15.7109375" style="180" hidden="1" customWidth="1"/>
    <col min="49" max="63" width="9.42578125" style="180" hidden="1" customWidth="1"/>
    <col min="64" max="64" width="10.42578125" style="180" hidden="1" customWidth="1"/>
    <col min="65" max="71" width="4.7109375" style="180" hidden="1" customWidth="1"/>
    <col min="72" max="16384" width="4.7109375" style="180" hidden="1"/>
  </cols>
  <sheetData>
    <row r="1" spans="1:64" customFormat="1"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row>
    <row r="5" spans="1:64" ht="15.95" customHeight="1">
      <c r="A5" s="1046"/>
      <c r="B5" s="1046"/>
      <c r="C5" s="1046"/>
      <c r="D5" s="1046"/>
      <c r="E5" s="1046"/>
      <c r="AO5" s="1117">
        <f ca="1">PROGRESSSTATUS</f>
        <v>0</v>
      </c>
      <c r="AP5" s="1117"/>
      <c r="AQ5" s="1117"/>
      <c r="AR5" s="1117"/>
      <c r="AS5" s="1117"/>
      <c r="AT5" s="40"/>
      <c r="AU5" s="194" t="s">
        <v>1438</v>
      </c>
      <c r="AV5" s="194" t="s">
        <v>336</v>
      </c>
      <c r="AW5" s="197"/>
      <c r="AX5" s="197"/>
    </row>
    <row r="6" spans="1:64" ht="15.95" customHeight="1">
      <c r="A6" s="1046"/>
      <c r="B6" s="1046"/>
      <c r="C6" s="1046"/>
      <c r="D6" s="1046"/>
      <c r="E6" s="1046"/>
      <c r="AO6" s="1117"/>
      <c r="AP6" s="1117"/>
      <c r="AQ6" s="1117"/>
      <c r="AR6" s="1117"/>
      <c r="AS6" s="1117"/>
      <c r="AT6" s="193" t="s">
        <v>1443</v>
      </c>
      <c r="AU6" s="192" t="str">
        <f>CBPRESE</f>
        <v>NA</v>
      </c>
      <c r="AV6" s="286" t="str">
        <f>PAYPRESE</f>
        <v>NA</v>
      </c>
      <c r="AW6" s="197"/>
      <c r="AX6" s="197"/>
    </row>
    <row r="7" spans="1:64" ht="15.95" customHeight="1">
      <c r="A7" s="725" t="s">
        <v>83</v>
      </c>
      <c r="B7" s="725"/>
      <c r="C7" s="725"/>
      <c r="D7" s="725"/>
      <c r="E7" s="725"/>
      <c r="AO7" s="725" t="s">
        <v>309</v>
      </c>
      <c r="AP7" s="725"/>
      <c r="AQ7" s="725"/>
      <c r="AR7" s="725"/>
      <c r="AS7" s="725"/>
      <c r="AT7" s="193" t="s">
        <v>144</v>
      </c>
      <c r="AU7" s="192" t="str">
        <f>CBCUSE</f>
        <v>NA</v>
      </c>
      <c r="AV7" s="286" t="str">
        <f>PAYCUSE</f>
        <v>NA</v>
      </c>
      <c r="AW7" s="197"/>
      <c r="AX7" s="197"/>
    </row>
    <row r="8" spans="1:64" ht="15.95" customHeight="1" thickBot="1">
      <c r="A8" s="774"/>
      <c r="B8" s="774"/>
      <c r="C8" s="774"/>
      <c r="D8" s="774"/>
      <c r="E8" s="725"/>
      <c r="AO8" s="749" t="str">
        <f ca="1">PROJSTATUS</f>
        <v>Enter Measures</v>
      </c>
      <c r="AP8" s="749"/>
      <c r="AQ8" s="749"/>
      <c r="AR8" s="749"/>
      <c r="AS8" s="749"/>
      <c r="AT8" s="193" t="s">
        <v>651</v>
      </c>
      <c r="AU8" s="192" t="str">
        <f>CBALL</f>
        <v>NA</v>
      </c>
      <c r="AV8" s="286" t="str">
        <f>PAYALL</f>
        <v>NA</v>
      </c>
      <c r="AW8" s="197"/>
      <c r="AX8" s="197"/>
    </row>
    <row r="9" spans="1:64" s="148" customFormat="1" ht="15.95" customHeight="1">
      <c r="B9" s="179"/>
      <c r="C9" s="179"/>
      <c r="D9" s="179"/>
      <c r="E9" s="182"/>
      <c r="F9" s="181"/>
      <c r="G9" s="181"/>
      <c r="H9" s="910" t="str">
        <f>M3S2</f>
        <v>Lighting</v>
      </c>
      <c r="I9" s="911"/>
      <c r="J9" s="911"/>
      <c r="K9" s="911"/>
      <c r="L9" s="910" t="str">
        <f>M3S3</f>
        <v>Lighting Controls</v>
      </c>
      <c r="M9" s="911"/>
      <c r="N9" s="911"/>
      <c r="O9" s="911"/>
      <c r="P9" s="910" t="str">
        <f>M3S4</f>
        <v>Refrigeration</v>
      </c>
      <c r="Q9" s="911"/>
      <c r="R9" s="911"/>
      <c r="S9" s="911"/>
      <c r="T9" s="913" t="str">
        <f>M3S5</f>
        <v>HVAC</v>
      </c>
      <c r="U9" s="913"/>
      <c r="V9" s="913"/>
      <c r="W9" s="913"/>
      <c r="X9" s="910" t="str">
        <f>M4S8</f>
        <v>Motors and Drives</v>
      </c>
      <c r="Y9" s="911"/>
      <c r="Z9" s="911"/>
      <c r="AA9" s="911"/>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6"/>
      <c r="AP9" s="336"/>
      <c r="AQ9" s="352"/>
      <c r="AR9" s="352"/>
      <c r="AS9" s="336"/>
    </row>
    <row r="10" spans="1:64" s="148" customFormat="1" ht="15.95" customHeight="1">
      <c r="B10" s="152"/>
      <c r="C10" s="152"/>
      <c r="D10" s="152"/>
      <c r="E10" s="13"/>
      <c r="F10" s="183"/>
      <c r="G10" s="183"/>
      <c r="H10" s="912"/>
      <c r="I10" s="912"/>
      <c r="J10" s="912"/>
      <c r="K10" s="912"/>
      <c r="L10" s="912"/>
      <c r="M10" s="912"/>
      <c r="N10" s="912"/>
      <c r="O10" s="912"/>
      <c r="P10" s="912"/>
      <c r="Q10" s="912"/>
      <c r="R10" s="912"/>
      <c r="S10" s="912"/>
      <c r="T10" s="914"/>
      <c r="U10" s="914"/>
      <c r="V10" s="914"/>
      <c r="W10" s="914"/>
      <c r="X10" s="912"/>
      <c r="Y10" s="912"/>
      <c r="Z10" s="912"/>
      <c r="AA10" s="912"/>
      <c r="AB10" s="912"/>
      <c r="AC10" s="912"/>
      <c r="AD10" s="912"/>
      <c r="AE10" s="912"/>
      <c r="AF10" s="912"/>
      <c r="AG10" s="912"/>
      <c r="AH10" s="912"/>
      <c r="AI10" s="912"/>
      <c r="AJ10" s="912"/>
      <c r="AK10" s="912"/>
      <c r="AL10" s="912"/>
      <c r="AM10" s="912"/>
      <c r="AN10" s="152"/>
      <c r="AO10" s="334"/>
      <c r="AP10" s="336"/>
      <c r="AQ10" s="344"/>
      <c r="AR10" s="344"/>
      <c r="AS10" s="336"/>
    </row>
    <row r="11" spans="1:64" ht="15.95" customHeight="1">
      <c r="B11" s="295"/>
      <c r="C11" s="295"/>
      <c r="D11" s="295"/>
      <c r="E11" s="13"/>
      <c r="F11" s="13"/>
      <c r="G11" s="13"/>
      <c r="H11" s="912"/>
      <c r="I11" s="912"/>
      <c r="J11" s="912"/>
      <c r="K11" s="912"/>
      <c r="L11" s="912"/>
      <c r="M11" s="912"/>
      <c r="N11" s="912"/>
      <c r="O11" s="912"/>
      <c r="P11" s="912"/>
      <c r="Q11" s="912"/>
      <c r="R11" s="912"/>
      <c r="S11" s="912"/>
      <c r="T11" s="914"/>
      <c r="U11" s="914"/>
      <c r="V11" s="914"/>
      <c r="W11" s="914"/>
      <c r="X11" s="912"/>
      <c r="Y11" s="912"/>
      <c r="Z11" s="912"/>
      <c r="AA11" s="912"/>
      <c r="AB11" s="912"/>
      <c r="AC11" s="912"/>
      <c r="AD11" s="912"/>
      <c r="AE11" s="912"/>
      <c r="AF11" s="912"/>
      <c r="AG11" s="912"/>
      <c r="AH11" s="912"/>
      <c r="AI11" s="912"/>
      <c r="AJ11" s="912"/>
      <c r="AK11" s="912"/>
      <c r="AL11" s="912"/>
      <c r="AM11" s="912"/>
      <c r="AN11" s="394"/>
      <c r="AO11" s="334"/>
      <c r="AP11" s="235"/>
      <c r="AQ11" s="337"/>
      <c r="AR11" s="337"/>
      <c r="AS11" s="235"/>
    </row>
    <row r="12" spans="1:64" ht="15.95" customHeight="1">
      <c r="A12" s="185"/>
      <c r="B12" s="185"/>
      <c r="C12" s="185"/>
      <c r="D12" s="185"/>
      <c r="E12" s="185"/>
      <c r="R12" s="916">
        <f>SUM(AN18:AQ184)</f>
        <v>0</v>
      </c>
      <c r="S12" s="916"/>
      <c r="T12" s="916"/>
      <c r="U12" s="916"/>
      <c r="V12" s="916">
        <f ca="1">SUMIF(AN18:AQ184,"&gt;0",AH18:AJ184)</f>
        <v>0</v>
      </c>
      <c r="W12" s="916"/>
      <c r="X12" s="916"/>
      <c r="Y12" s="916"/>
      <c r="Z12" s="915">
        <f ca="1">SUMIF(AN18:AQ184,"&gt;0",AK18:AM184)</f>
        <v>0</v>
      </c>
      <c r="AA12" s="915"/>
      <c r="AB12" s="915"/>
      <c r="AC12" s="915"/>
      <c r="AO12" s="235"/>
      <c r="AP12" s="333"/>
      <c r="AQ12" s="235"/>
      <c r="AR12" s="235"/>
      <c r="AS12" s="235"/>
    </row>
    <row r="13" spans="1:64" ht="15.95" customHeight="1">
      <c r="A13" s="185"/>
      <c r="B13" s="185"/>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s="860"/>
      <c r="AJ13" s="860"/>
      <c r="AK13" s="860"/>
      <c r="AL13" s="860"/>
      <c r="AM13" s="860"/>
      <c r="AN13" s="860"/>
      <c r="AO13" s="1002"/>
      <c r="AP13" s="1002"/>
      <c r="AQ13" s="1002"/>
      <c r="AR13" s="235"/>
      <c r="AS13" s="235"/>
    </row>
    <row r="14" spans="1:64" ht="15.95" customHeight="1">
      <c r="R14" s="860" t="s">
        <v>1979</v>
      </c>
      <c r="S14" s="860"/>
      <c r="T14" s="860"/>
      <c r="U14" s="860"/>
      <c r="V14" s="860" t="s">
        <v>67</v>
      </c>
      <c r="W14" s="860"/>
      <c r="X14" s="860"/>
      <c r="Y14" s="860"/>
      <c r="Z14" s="860" t="s">
        <v>1248</v>
      </c>
      <c r="AA14" s="860"/>
      <c r="AB14" s="860"/>
      <c r="AC14" s="860"/>
      <c r="AO14" s="235"/>
      <c r="AP14" s="235"/>
      <c r="AQ14" s="235"/>
      <c r="AR14" s="235"/>
      <c r="AS14" s="235"/>
    </row>
    <row r="15" spans="1:64" ht="15.95" customHeight="1">
      <c r="AO15" s="235"/>
      <c r="AP15" s="235"/>
      <c r="AQ15" s="235"/>
      <c r="AR15" s="235"/>
      <c r="AS15" s="235"/>
    </row>
    <row r="16" spans="1:64" ht="15.95" customHeight="1">
      <c r="C16" s="836" t="s">
        <v>1429</v>
      </c>
      <c r="D16" s="836"/>
      <c r="E16" s="836"/>
      <c r="F16" s="836" t="s">
        <v>1350</v>
      </c>
      <c r="G16" s="836"/>
      <c r="H16" s="836"/>
      <c r="I16" s="836"/>
      <c r="J16" s="836"/>
      <c r="K16" s="836"/>
      <c r="L16" s="836" t="s">
        <v>1430</v>
      </c>
      <c r="M16" s="836"/>
      <c r="N16" s="836"/>
      <c r="O16" s="836"/>
      <c r="P16" s="836" t="s">
        <v>74</v>
      </c>
      <c r="Q16" s="836"/>
      <c r="R16" s="836" t="s">
        <v>1431</v>
      </c>
      <c r="S16" s="836"/>
      <c r="T16" s="836" t="s">
        <v>1432</v>
      </c>
      <c r="U16" s="836"/>
      <c r="V16" s="836"/>
      <c r="W16" s="836"/>
      <c r="X16" s="836" t="s">
        <v>74</v>
      </c>
      <c r="Y16" s="836"/>
      <c r="Z16" s="836" t="s">
        <v>1431</v>
      </c>
      <c r="AA16" s="836"/>
      <c r="AB16" s="836" t="s">
        <v>1433</v>
      </c>
      <c r="AC16" s="836"/>
      <c r="AD16" s="1134" t="s">
        <v>1377</v>
      </c>
      <c r="AE16" s="1134"/>
      <c r="AF16" s="1134"/>
      <c r="AG16" s="1134"/>
      <c r="AH16" s="836" t="s">
        <v>1425</v>
      </c>
      <c r="AI16" s="836"/>
      <c r="AJ16" s="836"/>
      <c r="AK16" s="836" t="s">
        <v>1187</v>
      </c>
      <c r="AL16" s="836"/>
      <c r="AM16" s="836"/>
      <c r="AN16" s="836" t="s">
        <v>83</v>
      </c>
      <c r="AO16" s="908"/>
      <c r="AP16" s="908"/>
      <c r="AQ16" s="908"/>
      <c r="AR16" s="354"/>
      <c r="AS16" s="354"/>
      <c r="AT16" s="858" t="s">
        <v>141</v>
      </c>
      <c r="AU16" s="858" t="s">
        <v>336</v>
      </c>
      <c r="AV16" s="858" t="s">
        <v>1195</v>
      </c>
      <c r="AW16" s="858" t="s">
        <v>699</v>
      </c>
      <c r="AX16" s="858" t="s">
        <v>1376</v>
      </c>
      <c r="AY16" s="858" t="s">
        <v>88</v>
      </c>
      <c r="AZ16" s="858" t="s">
        <v>1426</v>
      </c>
      <c r="BA16" s="858" t="s">
        <v>1428</v>
      </c>
      <c r="BB16" s="858" t="s">
        <v>1645</v>
      </c>
      <c r="BC16" s="1030" t="s">
        <v>2495</v>
      </c>
      <c r="BD16" s="1030" t="s">
        <v>780</v>
      </c>
      <c r="BE16" s="858" t="s">
        <v>1982</v>
      </c>
      <c r="BF16" s="858" t="s">
        <v>1983</v>
      </c>
      <c r="BG16" s="858" t="s">
        <v>2046</v>
      </c>
      <c r="BH16" s="858" t="s">
        <v>85</v>
      </c>
      <c r="BI16" s="1132" t="s">
        <v>1427</v>
      </c>
      <c r="BJ16" s="1132" t="s">
        <v>319</v>
      </c>
      <c r="BK16" s="932" t="s">
        <v>2500</v>
      </c>
      <c r="BL16" s="932" t="s">
        <v>2893</v>
      </c>
    </row>
    <row r="17" spans="1:64" ht="15.95" customHeight="1" thickBot="1">
      <c r="B17" s="36"/>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837"/>
      <c r="AI17" s="837"/>
      <c r="AJ17" s="837"/>
      <c r="AK17" s="837"/>
      <c r="AL17" s="837"/>
      <c r="AM17" s="837"/>
      <c r="AN17" s="837"/>
      <c r="AO17" s="909"/>
      <c r="AP17" s="909"/>
      <c r="AQ17" s="909"/>
      <c r="AR17" s="355"/>
      <c r="AS17" s="355"/>
      <c r="AT17" s="859"/>
      <c r="AU17" s="859"/>
      <c r="AV17" s="859"/>
      <c r="AW17" s="859"/>
      <c r="AX17" s="859"/>
      <c r="AY17" s="859"/>
      <c r="AZ17" s="859"/>
      <c r="BA17" s="859"/>
      <c r="BB17" s="859"/>
      <c r="BC17" s="1031"/>
      <c r="BD17" s="1031"/>
      <c r="BE17" s="859"/>
      <c r="BF17" s="859"/>
      <c r="BG17" s="859"/>
      <c r="BH17" s="859"/>
      <c r="BI17" s="1133"/>
      <c r="BJ17" s="1133"/>
      <c r="BK17" s="933"/>
      <c r="BL17" s="933"/>
    </row>
    <row r="18" spans="1:64" ht="15.95" customHeight="1">
      <c r="B18" s="905">
        <v>1</v>
      </c>
      <c r="C18" s="1036"/>
      <c r="D18" s="1036"/>
      <c r="E18" s="1036"/>
      <c r="F18" s="1036"/>
      <c r="G18" s="1036"/>
      <c r="H18" s="1036"/>
      <c r="I18" s="1036"/>
      <c r="J18" s="1036"/>
      <c r="K18" s="1038"/>
      <c r="L18" s="1146"/>
      <c r="M18" s="1145"/>
      <c r="N18" s="1145"/>
      <c r="O18" s="1145"/>
      <c r="P18" s="1142"/>
      <c r="Q18" s="1142"/>
      <c r="R18" s="1142"/>
      <c r="S18" s="1151"/>
      <c r="T18" s="1146"/>
      <c r="U18" s="1145"/>
      <c r="V18" s="1145"/>
      <c r="W18" s="1145"/>
      <c r="X18" s="1142"/>
      <c r="Y18" s="1142"/>
      <c r="Z18" s="1142"/>
      <c r="AA18" s="1151"/>
      <c r="AB18" s="1154" t="str">
        <f>IF(OR(C18="New Construction",C18="Replace Failed Equip."),"Incremental",IF(C18="Retrofit","Total",""))</f>
        <v/>
      </c>
      <c r="AC18" s="1155"/>
      <c r="AD18" s="1124"/>
      <c r="AE18" s="1124"/>
      <c r="AF18" s="1127" t="str">
        <f t="shared" ref="AF18" si="0">IF(AB18="Incremental",0,"")</f>
        <v/>
      </c>
      <c r="AG18" s="1128"/>
      <c r="AH18" s="1067" t="str">
        <f>IF(OR(C18="",F18="",L18="",P18="",R18="",T18="",X18="",Z18="",AB18="",AD18="",AF18=""),"",ROUND(AD18+AF18,2))</f>
        <v/>
      </c>
      <c r="AI18" s="1068"/>
      <c r="AJ18" s="1068"/>
      <c r="AK18" s="1081" t="str">
        <f>IF(OR(C18="",F18="",L18="",P18="",R18="",T18="",X18="",Z18="",AB18="",AD18="",AF18=""),"",IF(AW18-AX18&lt;=0,0,ROUND(AW18-AX18,4)))</f>
        <v/>
      </c>
      <c r="AL18" s="1081"/>
      <c r="AM18" s="1081"/>
      <c r="AN18" s="1047" t="str">
        <f>IF(OR(C18="",F18="",L18="",P18="",R18="",T18="",X18="",Z18="",AB18="",AD18="",AF18=""),"",
IF(BJ18&lt;&gt;"",BJ18,IF(BL18&gt;0,BL18,
IF(AB18="Incremental",
IF(ACTIVEBLOCK="Yes",ROUND(MIN(AH18*INCCOSTCAP,AK18*BLOCKBIDRATE),2),
IF(BG18&lt;&gt;"",ROUND(MIN(AH18*INCCOSTCAP,BG18),2),
IF(BD18&lt;KWHRATEMIN,ROUND(MIN(AH18*INCCOSTCAP,BE18),2),
IF(BD18&gt;KWHRATEMAX,ROUND(MIN(AH18*INCCOSTCAP,BF18),2),
ROUND(MIN(AH18*INCCOSTCAP,BC18),2))))),
IF(ACTIVEBLOCK="Yes",ROUND(MIN(AH18*TOTCOSTCAP,AK18*BLOCKBIDRATE),2),
IF(BG18&lt;&gt;"",ROUND(MIN(AH18*TOTCOSTCAP,BG18),2),
IF(BD18&lt;KWHRATEMIN,ROUND(MIN(AH18*TOTCOSTCAP,BE18),2),
IF(BD18&gt;KWHRATEMAX,ROUND(MIN(AH18*TOTCOSTCAP,BF18),2),
ROUND(MIN(AH18*TOTCOSTCAP,BC18),2)))))))))</f>
        <v/>
      </c>
      <c r="AO18" s="1048"/>
      <c r="AP18" s="1048"/>
      <c r="AQ18" s="1048"/>
      <c r="AR18" s="355"/>
      <c r="AS18" s="355"/>
      <c r="AT18" s="1112" t="str">
        <f>IFERROR(IF(OR(C18="",F18="",L18="",P18="",R18="",T18="",X18="",Z18="",AB18="",AD18="",AF18=""),"",
ROUND(((1+ELOSS)*((AK18*INDEX(ELECCB[NPV AEC $/kWh],MATCH(AY18,ELECCB[Year Number],1)))+(BA18*INDEX(ELECCB[NPV ACC $/kW],MATCH(AY18,ELECCB[Year Number],1))))/AH18),2)),0)</f>
        <v/>
      </c>
      <c r="AU18" s="1112" t="str">
        <f>IFERROR(AH18/M02S04F06/AK18,"")</f>
        <v/>
      </c>
      <c r="AV18" s="1108" t="str">
        <f>IF(OR(C18="",F18=""),"",INDEX(CMEHVAC[Unit of Measure],MATCH(F18,CMEHVAC[Proj Desc 1],0)))</f>
        <v/>
      </c>
      <c r="AW18" s="1103" t="str">
        <f>IF(OR(C18="",F18="",L18="",P18="",R18="",T18="",X18="",Z18="",AB18="",AD18="",AF18=""),"",ROUND(P18*R18,4))</f>
        <v/>
      </c>
      <c r="AX18" s="1103" t="str">
        <f>IF(OR(C18="",F18="",L18="",P18="",R18="",T18="",X18="",Z18="",AB18="",AD18="",AF18=""),"",ROUND(X18*Z18,4))</f>
        <v/>
      </c>
      <c r="AY18" s="1113" t="str">
        <f>IF(OR(C18="",F18=""),"",IF(INDEX(CMEHVAC[EUL],MATCH(F18,CMEHVAC[Proj Desc 1],0))="","",INDEX(CMEHVAC[EUL],MATCH(F18,CMEHVAC[Proj Desc 1],0))))</f>
        <v/>
      </c>
      <c r="AZ18" s="1115" t="str">
        <f>IF(OR(C18="",F18=""),"",IF(INDEX(CMEHVAC[End Use Category],MATCH(F18,CMEHVAC[Proj Desc 1],0))="","",INDEX(CMEHVAC[End Use Category],MATCH(F18,CMEHVAC[Proj Desc 1],0))))</f>
        <v/>
      </c>
      <c r="BA18" s="1027" t="str">
        <f>IFERROR(IF(OR(C18="",F18="",L18="",P18="",R18="",T18="",X18="",Z18="",AB18="",AD18="",AF18=""),"",ROUND(AK18*INDEX(ENDUSEALL[Factor],MATCH(AZ18,ENDUSEALL[End Use to Coincident Peak Demand Factors],0)),4)),"")</f>
        <v/>
      </c>
      <c r="BB18" s="1120"/>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IF(OR(C18="",F18="",L18="",P18="",R18="",T18="",X18="",Z18="",AB18="",AD18="",AF18=""),"",IF(BJ18&lt;&gt;"",SPILLOVERNUMBER,INDEX(CMEHVAC[Measure Number],MATCH(F18,CMEHVAC[Proj Desc 1],0))))</f>
        <v/>
      </c>
      <c r="BI18" s="1108" t="str">
        <f>IFERROR(IF(AND(AB18="Total",ROUND(AN18/AH18,2)=TOTCOSTCAP),"75% Total Cost",
IF(AND(AB18="Incremental",AH18=AN18),"100% Incremental Cost",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IF(AND((ISNUMBER(SEARCH("Other",F18))),OR(AY18="",AZ18="")),MEASURESUBMIT,
 IF(PAYCUSE&lt;PAYBACKREQ,PROJECTSTATPAYBACK,
IF(CBCUSE&lt;CBREQ,PROJECTSTATCB,""))))))),MEASURESUBMIT)</f>
        <v>Submit for Review</v>
      </c>
      <c r="BK18" s="930" t="str">
        <f>IFERROR(IF(OR(C18="",F18="",L18="",P18="",R18="",T18="",X18="",Z18="",AB18="",AD18="",AF18=""),"",
ROUND(((1+ELOSS)*((AK18*INDEX(ELECCB[NPV AEC $/kWh],MATCH(AY18,ELECCB[Year Number],1)))+(BA18*INDEX(ELECCB[NPV ACC $/kW],MATCH(AY18,ELECCB[Year Number],1))))),2)),0)</f>
        <v/>
      </c>
      <c r="BL18" s="1118"/>
    </row>
    <row r="19" spans="1:64" ht="15.95" customHeight="1">
      <c r="B19" s="905"/>
      <c r="C19" s="1037"/>
      <c r="D19" s="1037"/>
      <c r="E19" s="1037"/>
      <c r="F19" s="1037"/>
      <c r="G19" s="1037"/>
      <c r="H19" s="1037"/>
      <c r="I19" s="1037"/>
      <c r="J19" s="1037"/>
      <c r="K19" s="1039"/>
      <c r="L19" s="1040"/>
      <c r="M19" s="1037"/>
      <c r="N19" s="1037"/>
      <c r="O19" s="1037"/>
      <c r="P19" s="1041"/>
      <c r="Q19" s="1041"/>
      <c r="R19" s="1041"/>
      <c r="S19" s="1152"/>
      <c r="T19" s="1040"/>
      <c r="U19" s="1037"/>
      <c r="V19" s="1037"/>
      <c r="W19" s="1037"/>
      <c r="X19" s="1041"/>
      <c r="Y19" s="1041"/>
      <c r="Z19" s="1041"/>
      <c r="AA19" s="1152"/>
      <c r="AB19" s="1156"/>
      <c r="AC19" s="1157"/>
      <c r="AD19" s="1054"/>
      <c r="AE19" s="1054"/>
      <c r="AF19" s="1127"/>
      <c r="AG19" s="1128"/>
      <c r="AH19" s="1064"/>
      <c r="AI19" s="1065"/>
      <c r="AJ19" s="1065"/>
      <c r="AK19" s="1066"/>
      <c r="AL19" s="1066"/>
      <c r="AM19" s="1066"/>
      <c r="AN19" s="1049"/>
      <c r="AO19" s="1050"/>
      <c r="AP19" s="1050"/>
      <c r="AQ19" s="1050"/>
      <c r="AR19" s="355"/>
      <c r="AS19" s="355"/>
      <c r="AT19" s="1104"/>
      <c r="AU19" s="1104"/>
      <c r="AV19" s="1105"/>
      <c r="AW19" s="1025"/>
      <c r="AX19" s="1025"/>
      <c r="AY19" s="1114"/>
      <c r="AZ19" s="1116"/>
      <c r="BA19" s="1109"/>
      <c r="BB19" s="1121"/>
      <c r="BC19" s="931"/>
      <c r="BD19" s="931"/>
      <c r="BE19" s="931"/>
      <c r="BF19" s="931"/>
      <c r="BG19" s="931"/>
      <c r="BH19" s="1107"/>
      <c r="BI19" s="1105"/>
      <c r="BJ19" s="1105"/>
      <c r="BK19" s="931"/>
      <c r="BL19" s="1119"/>
    </row>
    <row r="20" spans="1:64" ht="15.95" customHeight="1">
      <c r="A20" s="145"/>
      <c r="B20" s="905">
        <v>2</v>
      </c>
      <c r="C20" s="1036"/>
      <c r="D20" s="1036"/>
      <c r="E20" s="1036"/>
      <c r="F20" s="1036"/>
      <c r="G20" s="1036"/>
      <c r="H20" s="1036"/>
      <c r="I20" s="1036"/>
      <c r="J20" s="1036"/>
      <c r="K20" s="1038"/>
      <c r="L20" s="1063"/>
      <c r="M20" s="1036"/>
      <c r="N20" s="1036"/>
      <c r="O20" s="1036"/>
      <c r="P20" s="1062"/>
      <c r="Q20" s="1062"/>
      <c r="R20" s="1062"/>
      <c r="S20" s="1158"/>
      <c r="T20" s="1063"/>
      <c r="U20" s="1036"/>
      <c r="V20" s="1036"/>
      <c r="W20" s="1036"/>
      <c r="X20" s="1062"/>
      <c r="Y20" s="1062"/>
      <c r="Z20" s="1062"/>
      <c r="AA20" s="1158"/>
      <c r="AB20" s="1156" t="str">
        <f t="shared" ref="AB20" si="1">IF(OR(C20="New Construction",C20="Replace Failed Equip."),"Incremental",IF(C20="Retrofit","Total",""))</f>
        <v/>
      </c>
      <c r="AC20" s="1157"/>
      <c r="AD20" s="1052"/>
      <c r="AE20" s="1052"/>
      <c r="AF20" s="1127" t="str">
        <f t="shared" ref="AF20" si="2">IF(AB20="Incremental",0,"")</f>
        <v/>
      </c>
      <c r="AG20" s="1128"/>
      <c r="AH20" s="1064" t="str">
        <f t="shared" ref="AH20" si="3">IF(OR(C20="",F20="",L20="",P20="",R20="",T20="",X20="",Z20="",AB20="",AD20="",AF20=""),"",ROUND(AD20+AF20,2))</f>
        <v/>
      </c>
      <c r="AI20" s="1065"/>
      <c r="AJ20" s="1065"/>
      <c r="AK20" s="1081" t="str">
        <f t="shared" ref="AK20" si="4">IF(OR(C20="",F20="",L20="",P20="",R20="",T20="",X20="",Z20="",AB20="",AD20="",AF20=""),"",IF(AW20-AX20&lt;=0,0,ROUND(AW20-AX20,4)))</f>
        <v/>
      </c>
      <c r="AL20" s="1081"/>
      <c r="AM20" s="1081"/>
      <c r="AN20" s="1047" t="str">
        <f>IF(OR(C20="",F20="",L20="",P20="",R20="",T20="",X20="",Z20="",AB20="",AD20="",AF20=""),"",
IF(BJ20&lt;&gt;"",BJ20,IF(BL20&gt;0,BL20,
IF(AB20="Incremental",
IF(ACTIVEBLOCK="Yes",ROUND(MIN(AH20*INCCOSTCAP,AK20*BLOCKBIDRATE),2),
IF(BG20&lt;&gt;"",ROUND(MIN(AH20*INCCOSTCAP,BG20),2),
IF(BD20&lt;KWHRATEMIN,ROUND(MIN(AH20*INCCOSTCAP,BE20),2),
IF(BD20&gt;KWHRATEMAX,ROUND(MIN(AH20*INCCOSTCAP,BF20),2),
ROUND(MIN(AH20*INCCOSTCAP,BC20),2))))),
IF(ACTIVEBLOCK="Yes",ROUND(MIN(AH20*TOTCOSTCAP,AK20*BLOCKBIDRATE),2),
IF(BG20&lt;&gt;"",ROUND(MIN(AH20*TOTCOSTCAP,BG20),2),
IF(BD20&lt;KWHRATEMIN,ROUND(MIN(AH20*TOTCOSTCAP,BE20),2),
IF(BD20&gt;KWHRATEMAX,ROUND(MIN(AH20*TOTCOSTCAP,BF20),2),
ROUND(MIN(AH20*TOTCOSTCAP,BC20),2)))))))))</f>
        <v/>
      </c>
      <c r="AO20" s="1048"/>
      <c r="AP20" s="1048"/>
      <c r="AQ20" s="1048"/>
      <c r="AR20" s="355"/>
      <c r="AS20" s="355"/>
      <c r="AT20" s="1104" t="str">
        <f>IFERROR(IF(OR(C20="",F20="",L20="",P20="",R20="",T20="",X20="",Z20="",AB20="",AD20="",AF20=""),"",
ROUND(((1+ELOSS)*((AK20*INDEX(ELECCB[NPV AEC $/kWh],MATCH(AY20,ELECCB[Year Number],1)))+(BA20*INDEX(ELECCB[NPV ACC $/kW],MATCH(AY20,ELECCB[Year Number],1))))/AH20),2)),0)</f>
        <v/>
      </c>
      <c r="AU20" s="1112" t="str">
        <f>IFERROR(AH20/M02S04F06/AK20,"")</f>
        <v/>
      </c>
      <c r="AV20" s="1108" t="str">
        <f>IF(OR(C20="",F20=""),"",INDEX(CMEHVAC[Unit of Measure],MATCH(F20,CMEHVAC[Proj Desc 1],0)))</f>
        <v/>
      </c>
      <c r="AW20" s="1103" t="str">
        <f t="shared" ref="AW20" si="5">IF(OR(C20="",F20="",L20="",P20="",R20="",T20="",X20="",Z20="",AB20="",AD20="",AF20=""),"",ROUND(P20*R20,4))</f>
        <v/>
      </c>
      <c r="AX20" s="1103" t="str">
        <f t="shared" ref="AX20" si="6">IF(OR(C20="",F20="",L20="",P20="",R20="",T20="",X20="",Z20="",AB20="",AD20="",AF20=""),"",ROUND(X20*Z20,4))</f>
        <v/>
      </c>
      <c r="AY20" s="1113" t="str">
        <f>IF(OR(C20="",F20=""),"",IF(INDEX(CMEHVAC[EUL],MATCH(F20,CMEHVAC[Proj Desc 1],0))="","",INDEX(CMEHVAC[EUL],MATCH(F20,CMEHVAC[Proj Desc 1],0))))</f>
        <v/>
      </c>
      <c r="AZ20" s="1115" t="str">
        <f>IF(OR(C20="",F20=""),"",IF(INDEX(CMEHVAC[End Use Category],MATCH(F20,CMEHVAC[Proj Desc 1],0))="","",INDEX(CMEHVAC[End Use Category],MATCH(F20,CMEHVAC[Proj Desc 1],0))))</f>
        <v/>
      </c>
      <c r="BA20" s="1027" t="str">
        <f>IFERROR(IF(OR(C20="",F20="",L20="",P20="",R20="",T20="",X20="",Z20="",AB20="",AD20="",AF20=""),"",ROUND(AK20*INDEX(ENDUSEALL[Factor],MATCH(AZ20,ENDUSEALL[End Use to Coincident Peak Demand Factors],0)),4)),"")</f>
        <v/>
      </c>
      <c r="BB20" s="1120"/>
      <c r="BC20" s="930" t="str">
        <f t="shared" ref="BC20" si="7">IFERROR(ROUND(AK20*BD20,2),"")</f>
        <v/>
      </c>
      <c r="BD20" s="930" t="str">
        <f>IFERROR(INDEX(ENDUSEALL[Rate ($/kWh)],MATCH(AZ20,ENDUSEALL[End Use to Coincident Peak Demand Factors],0)),"")</f>
        <v/>
      </c>
      <c r="BE20" s="931" t="str">
        <f>IFERROR(ROUND(AK20*KWHRATEMIN,2),"")</f>
        <v/>
      </c>
      <c r="BF20" s="931" t="str">
        <f>IFERROR(ROUND(AK20*KWHRATEMAX,2),"")</f>
        <v/>
      </c>
      <c r="BG20" s="930" t="str">
        <f>IFERROR(IF(INDEX(ENDUSEALL[Bonus Rate ($/kWh)],MATCH(AZ20,ENDUSEALL[End Use to Coincident Peak Demand Factors],0))="","",INDEX(ENDUSEALL[Bonus Rate ($/kWh)],MATCH(AZ20,ENDUSEALL[End Use to Coincident Peak Demand Factors],0))*AK20),"")</f>
        <v/>
      </c>
      <c r="BH20" s="1106" t="str">
        <f>IF(OR(C20="",F20="",L20="",P20="",R20="",T20="",X20="",Z20="",AB20="",AD20="",AF20=""),"",IF(BJ20&lt;&gt;"",SPILLOVERNUMBER,INDEX(CMEHVAC[Measure Number],MATCH(F20,CMEHVAC[Proj Desc 1],0))))</f>
        <v/>
      </c>
      <c r="BI20" s="1108" t="str">
        <f>IFERROR(IF(AND(AB20="Total",ROUND(AN20/AH20,2)=TOTCOSTCAP),"75% Total Cost",
IF(AND(AB20="Incremental",AH20=AN20),"100% Incremental Cost",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IF(AND((ISNUMBER(SEARCH("Other",F20))),OR(AY20="",AZ20="")),MEASURESUBMIT,
 IF(PAYCUSE&lt;PAYBACKREQ,PROJECTSTATPAYBACK,
IF(CBCUSE&lt;CBREQ,PROJECTSTATCB,""))))))),MEASURESUBMIT)</f>
        <v>Submit for Review</v>
      </c>
      <c r="BK20" s="930" t="str">
        <f>IFERROR(IF(OR(C20="",F20="",L20="",P20="",R20="",T20="",X20="",Z20="",AB20="",AD20="",AF20=""),"",
ROUND(((1+ELOSS)*((AK20*INDEX(ELECCB[NPV AEC $/kWh],MATCH(AY20,ELECCB[Year Number],1)))+(BA20*INDEX(ELECCB[NPV ACC $/kW],MATCH(AY20,ELECCB[Year Number],1))))),2)),0)</f>
        <v/>
      </c>
      <c r="BL20" s="1118"/>
    </row>
    <row r="21" spans="1:64" ht="15.95" customHeight="1">
      <c r="B21" s="905"/>
      <c r="C21" s="1037"/>
      <c r="D21" s="1037"/>
      <c r="E21" s="1037"/>
      <c r="F21" s="1037"/>
      <c r="G21" s="1037"/>
      <c r="H21" s="1037"/>
      <c r="I21" s="1037"/>
      <c r="J21" s="1037"/>
      <c r="K21" s="1039"/>
      <c r="L21" s="1040"/>
      <c r="M21" s="1037"/>
      <c r="N21" s="1037"/>
      <c r="O21" s="1037"/>
      <c r="P21" s="1041"/>
      <c r="Q21" s="1041"/>
      <c r="R21" s="1041"/>
      <c r="S21" s="1152"/>
      <c r="T21" s="1040"/>
      <c r="U21" s="1037"/>
      <c r="V21" s="1037"/>
      <c r="W21" s="1037"/>
      <c r="X21" s="1041"/>
      <c r="Y21" s="1041"/>
      <c r="Z21" s="1041"/>
      <c r="AA21" s="1152"/>
      <c r="AB21" s="1156"/>
      <c r="AC21" s="1157"/>
      <c r="AD21" s="1054"/>
      <c r="AE21" s="1054"/>
      <c r="AF21" s="1127"/>
      <c r="AG21" s="1128"/>
      <c r="AH21" s="1064"/>
      <c r="AI21" s="1065"/>
      <c r="AJ21" s="1065"/>
      <c r="AK21" s="1066"/>
      <c r="AL21" s="1066"/>
      <c r="AM21" s="1066"/>
      <c r="AN21" s="1049"/>
      <c r="AO21" s="1050"/>
      <c r="AP21" s="1050"/>
      <c r="AQ21" s="1050"/>
      <c r="AR21" s="355"/>
      <c r="AS21" s="355"/>
      <c r="AT21" s="1104"/>
      <c r="AU21" s="1104"/>
      <c r="AV21" s="1105"/>
      <c r="AW21" s="1025"/>
      <c r="AX21" s="1025"/>
      <c r="AY21" s="1114"/>
      <c r="AZ21" s="1116"/>
      <c r="BA21" s="1109"/>
      <c r="BB21" s="1121"/>
      <c r="BC21" s="931"/>
      <c r="BD21" s="931"/>
      <c r="BE21" s="931"/>
      <c r="BF21" s="931"/>
      <c r="BG21" s="931"/>
      <c r="BH21" s="1107"/>
      <c r="BI21" s="1105"/>
      <c r="BJ21" s="1105"/>
      <c r="BK21" s="931"/>
      <c r="BL21" s="1119"/>
    </row>
    <row r="22" spans="1:64" s="36" customFormat="1" ht="15.95" customHeight="1">
      <c r="A22" s="195"/>
      <c r="B22" s="905">
        <v>3</v>
      </c>
      <c r="C22" s="1037"/>
      <c r="D22" s="1037"/>
      <c r="E22" s="1037"/>
      <c r="F22" s="1037"/>
      <c r="G22" s="1037"/>
      <c r="H22" s="1037"/>
      <c r="I22" s="1037"/>
      <c r="J22" s="1037"/>
      <c r="K22" s="1039"/>
      <c r="L22" s="1040"/>
      <c r="M22" s="1037"/>
      <c r="N22" s="1037"/>
      <c r="O22" s="1037"/>
      <c r="P22" s="1041"/>
      <c r="Q22" s="1041"/>
      <c r="R22" s="1041"/>
      <c r="S22" s="1152"/>
      <c r="T22" s="1040"/>
      <c r="U22" s="1037"/>
      <c r="V22" s="1037"/>
      <c r="W22" s="1037"/>
      <c r="X22" s="1041"/>
      <c r="Y22" s="1041"/>
      <c r="Z22" s="1041"/>
      <c r="AA22" s="1152"/>
      <c r="AB22" s="1156" t="str">
        <f t="shared" ref="AB22" si="8">IF(OR(C22="New Construction",C22="Replace Failed Equip."),"Incremental",IF(C22="Retrofit","Total",""))</f>
        <v/>
      </c>
      <c r="AC22" s="1157"/>
      <c r="AD22" s="1054"/>
      <c r="AE22" s="1054"/>
      <c r="AF22" s="1127" t="str">
        <f t="shared" ref="AF22" si="9">IF(AB22="Incremental",0,"")</f>
        <v/>
      </c>
      <c r="AG22" s="1128"/>
      <c r="AH22" s="1064" t="str">
        <f t="shared" ref="AH22" si="10">IF(OR(C22="",F22="",L22="",P22="",R22="",T22="",X22="",Z22="",AB22="",AD22="",AF22=""),"",ROUND(AD22+AF22,2))</f>
        <v/>
      </c>
      <c r="AI22" s="1065"/>
      <c r="AJ22" s="1065"/>
      <c r="AK22" s="1081" t="str">
        <f t="shared" ref="AK22" si="11">IF(OR(C22="",F22="",L22="",P22="",R22="",T22="",X22="",Z22="",AB22="",AD22="",AF22=""),"",IF(AW22-AX22&lt;=0,0,ROUND(AW22-AX22,4)))</f>
        <v/>
      </c>
      <c r="AL22" s="1081"/>
      <c r="AM22" s="1081"/>
      <c r="AN22" s="1047" t="str">
        <f>IF(OR(C22="",F22="",L22="",P22="",R22="",T22="",X22="",Z22="",AB22="",AD22="",AF22=""),"",
IF(BJ22&lt;&gt;"",BJ22,IF(BL22&gt;0,BL22,
IF(AB22="Incremental",
IF(ACTIVEBLOCK="Yes",ROUND(MIN(AH22*INCCOSTCAP,AK22*BLOCKBIDRATE),2),
IF(BG22&lt;&gt;"",ROUND(MIN(AH22*INCCOSTCAP,BG22),2),
IF(BD22&lt;KWHRATEMIN,ROUND(MIN(AH22*INCCOSTCAP,BE22),2),
IF(BD22&gt;KWHRATEMAX,ROUND(MIN(AH22*INCCOSTCAP,BF22),2),
ROUND(MIN(AH22*INCCOSTCAP,BC22),2))))),
IF(ACTIVEBLOCK="Yes",ROUND(MIN(AH22*TOTCOSTCAP,AK22*BLOCKBIDRATE),2),
IF(BG22&lt;&gt;"",ROUND(MIN(AH22*TOTCOSTCAP,BG22),2),
IF(BD22&lt;KWHRATEMIN,ROUND(MIN(AH22*TOTCOSTCAP,BE22),2),
IF(BD22&gt;KWHRATEMAX,ROUND(MIN(AH22*TOTCOSTCAP,BF22),2),
ROUND(MIN(AH22*TOTCOSTCAP,BC22),2)))))))))</f>
        <v/>
      </c>
      <c r="AO22" s="1048"/>
      <c r="AP22" s="1048"/>
      <c r="AQ22" s="1048"/>
      <c r="AR22" s="354"/>
      <c r="AS22" s="354"/>
      <c r="AT22" s="1104" t="str">
        <f>IFERROR(IF(OR(C22="",F22="",L22="",P22="",R22="",T22="",X22="",Z22="",AB22="",AD22="",AF22=""),"",
ROUND(((1+ELOSS)*((AK22*INDEX(ELECCB[NPV AEC $/kWh],MATCH(AY22,ELECCB[Year Number],1)))+(BA22*INDEX(ELECCB[NPV ACC $/kW],MATCH(AY22,ELECCB[Year Number],1))))/AH22),2)),0)</f>
        <v/>
      </c>
      <c r="AU22" s="1112" t="str">
        <f>IFERROR(AH22/M02S04F06/AK22,"")</f>
        <v/>
      </c>
      <c r="AV22" s="1108" t="str">
        <f>IF(OR(C22="",F22=""),"",INDEX(CMEHVAC[Unit of Measure],MATCH(F22,CMEHVAC[Proj Desc 1],0)))</f>
        <v/>
      </c>
      <c r="AW22" s="1103" t="str">
        <f t="shared" ref="AW22" si="12">IF(OR(C22="",F22="",L22="",P22="",R22="",T22="",X22="",Z22="",AB22="",AD22="",AF22=""),"",ROUND(P22*R22,4))</f>
        <v/>
      </c>
      <c r="AX22" s="1103" t="str">
        <f t="shared" ref="AX22" si="13">IF(OR(C22="",F22="",L22="",P22="",R22="",T22="",X22="",Z22="",AB22="",AD22="",AF22=""),"",ROUND(X22*Z22,4))</f>
        <v/>
      </c>
      <c r="AY22" s="1113" t="str">
        <f>IF(OR(C22="",F22=""),"",IF(INDEX(CMEHVAC[EUL],MATCH(F22,CMEHVAC[Proj Desc 1],0))="","",INDEX(CMEHVAC[EUL],MATCH(F22,CMEHVAC[Proj Desc 1],0))))</f>
        <v/>
      </c>
      <c r="AZ22" s="1115" t="str">
        <f>IF(OR(C22="",F22=""),"",IF(INDEX(CMEHVAC[End Use Category],MATCH(F22,CMEHVAC[Proj Desc 1],0))="","",INDEX(CMEHVAC[End Use Category],MATCH(F22,CMEHVAC[Proj Desc 1],0))))</f>
        <v/>
      </c>
      <c r="BA22" s="1027" t="str">
        <f>IFERROR(IF(OR(C22="",F22="",L22="",P22="",R22="",T22="",X22="",Z22="",AB22="",AD22="",AF22=""),"",ROUND(AK22*INDEX(ENDUSEALL[Factor],MATCH(AZ22,ENDUSEALL[End Use to Coincident Peak Demand Factors],0)),4)),"")</f>
        <v/>
      </c>
      <c r="BB22" s="1120"/>
      <c r="BC22" s="930" t="str">
        <f t="shared" ref="BC22" si="14">IFERROR(ROUND(AK22*BD22,2),"")</f>
        <v/>
      </c>
      <c r="BD22" s="930" t="str">
        <f>IFERROR(INDEX(ENDUSEALL[Rate ($/kWh)],MATCH(AZ22,ENDUSEALL[End Use to Coincident Peak Demand Factors],0)),"")</f>
        <v/>
      </c>
      <c r="BE22" s="931" t="str">
        <f>IFERROR(ROUND(AK22*KWHRATEMIN,2),"")</f>
        <v/>
      </c>
      <c r="BF22" s="931" t="str">
        <f>IFERROR(ROUND(AK22*KWHRATEMAX,2),"")</f>
        <v/>
      </c>
      <c r="BG22" s="930" t="str">
        <f>IFERROR(IF(INDEX(ENDUSEALL[Bonus Rate ($/kWh)],MATCH(AZ22,ENDUSEALL[End Use to Coincident Peak Demand Factors],0))="","",INDEX(ENDUSEALL[Bonus Rate ($/kWh)],MATCH(AZ22,ENDUSEALL[End Use to Coincident Peak Demand Factors],0))*AK22),"")</f>
        <v/>
      </c>
      <c r="BH22" s="1106" t="str">
        <f>IF(OR(C22="",F22="",L22="",P22="",R22="",T22="",X22="",Z22="",AB22="",AD22="",AF22=""),"",IF(BJ22&lt;&gt;"",SPILLOVERNUMBER,INDEX(CMEHVAC[Measure Number],MATCH(F22,CMEHVAC[Proj Desc 1],0))))</f>
        <v/>
      </c>
      <c r="BI22" s="1108" t="str">
        <f>IFERROR(IF(AND(AB22="Total",ROUND(AN22/AH22,2)=TOTCOSTCAP),"75% Total Cost",
IF(AND(AB22="Incremental",AH22=AN22),"100% Incremental Cost",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IF(AND((ISNUMBER(SEARCH("Other",F22))),OR(AY22="",AZ22="")),MEASURESUBMIT,
 IF(PAYCUSE&lt;PAYBACKREQ,PROJECTSTATPAYBACK,
IF(CBCUSE&lt;CBREQ,PROJECTSTATCB,""))))))),MEASURESUBMIT)</f>
        <v>Submit for Review</v>
      </c>
      <c r="BK22" s="930" t="str">
        <f>IFERROR(IF(OR(C22="",F22="",L22="",P22="",R22="",T22="",X22="",Z22="",AB22="",AD22="",AF22=""),"",
ROUND(((1+ELOSS)*((AK22*INDEX(ELECCB[NPV AEC $/kWh],MATCH(AY22,ELECCB[Year Number],1)))+(BA22*INDEX(ELECCB[NPV ACC $/kW],MATCH(AY22,ELECCB[Year Number],1))))),2)),0)</f>
        <v/>
      </c>
      <c r="BL22" s="1118"/>
    </row>
    <row r="23" spans="1:64" s="36" customFormat="1" ht="15.95" customHeight="1">
      <c r="A23" s="195"/>
      <c r="B23" s="905"/>
      <c r="C23" s="1037"/>
      <c r="D23" s="1037"/>
      <c r="E23" s="1037"/>
      <c r="F23" s="1037"/>
      <c r="G23" s="1037"/>
      <c r="H23" s="1037"/>
      <c r="I23" s="1037"/>
      <c r="J23" s="1037"/>
      <c r="K23" s="1039"/>
      <c r="L23" s="1040"/>
      <c r="M23" s="1037"/>
      <c r="N23" s="1037"/>
      <c r="O23" s="1037"/>
      <c r="P23" s="1041"/>
      <c r="Q23" s="1041"/>
      <c r="R23" s="1041"/>
      <c r="S23" s="1152"/>
      <c r="T23" s="1040"/>
      <c r="U23" s="1037"/>
      <c r="V23" s="1037"/>
      <c r="W23" s="1037"/>
      <c r="X23" s="1041"/>
      <c r="Y23" s="1041"/>
      <c r="Z23" s="1041"/>
      <c r="AA23" s="1152"/>
      <c r="AB23" s="1156"/>
      <c r="AC23" s="1157"/>
      <c r="AD23" s="1054"/>
      <c r="AE23" s="1054"/>
      <c r="AF23" s="1127"/>
      <c r="AG23" s="1128"/>
      <c r="AH23" s="1064"/>
      <c r="AI23" s="1065"/>
      <c r="AJ23" s="1065"/>
      <c r="AK23" s="1066"/>
      <c r="AL23" s="1066"/>
      <c r="AM23" s="1066"/>
      <c r="AN23" s="1049"/>
      <c r="AO23" s="1050"/>
      <c r="AP23" s="1050"/>
      <c r="AQ23" s="1050"/>
      <c r="AR23" s="354"/>
      <c r="AS23" s="354"/>
      <c r="AT23" s="1104"/>
      <c r="AU23" s="1104"/>
      <c r="AV23" s="1105"/>
      <c r="AW23" s="1025"/>
      <c r="AX23" s="1025"/>
      <c r="AY23" s="1114"/>
      <c r="AZ23" s="1116"/>
      <c r="BA23" s="1109"/>
      <c r="BB23" s="1121"/>
      <c r="BC23" s="931"/>
      <c r="BD23" s="931"/>
      <c r="BE23" s="931"/>
      <c r="BF23" s="931"/>
      <c r="BG23" s="931"/>
      <c r="BH23" s="1107"/>
      <c r="BI23" s="1105"/>
      <c r="BJ23" s="1105"/>
      <c r="BK23" s="931"/>
      <c r="BL23" s="1119"/>
    </row>
    <row r="24" spans="1:64" ht="15.95" customHeight="1">
      <c r="B24" s="905">
        <v>4</v>
      </c>
      <c r="C24" s="1037"/>
      <c r="D24" s="1037"/>
      <c r="E24" s="1037"/>
      <c r="F24" s="1037"/>
      <c r="G24" s="1037"/>
      <c r="H24" s="1037"/>
      <c r="I24" s="1037"/>
      <c r="J24" s="1037"/>
      <c r="K24" s="1039"/>
      <c r="L24" s="1040"/>
      <c r="M24" s="1037"/>
      <c r="N24" s="1037"/>
      <c r="O24" s="1037"/>
      <c r="P24" s="1041"/>
      <c r="Q24" s="1041"/>
      <c r="R24" s="1041"/>
      <c r="S24" s="1152"/>
      <c r="T24" s="1040"/>
      <c r="U24" s="1037"/>
      <c r="V24" s="1037"/>
      <c r="W24" s="1037"/>
      <c r="X24" s="1041"/>
      <c r="Y24" s="1041"/>
      <c r="Z24" s="1041"/>
      <c r="AA24" s="1152"/>
      <c r="AB24" s="1156" t="str">
        <f t="shared" ref="AB24" si="15">IF(OR(C24="New Construction",C24="Replace Failed Equip."),"Incremental",IF(C24="Retrofit","Total",""))</f>
        <v/>
      </c>
      <c r="AC24" s="1157"/>
      <c r="AD24" s="1054"/>
      <c r="AE24" s="1054"/>
      <c r="AF24" s="1127" t="str">
        <f t="shared" ref="AF24" si="16">IF(AB24="Incremental",0,"")</f>
        <v/>
      </c>
      <c r="AG24" s="1128"/>
      <c r="AH24" s="1064" t="str">
        <f t="shared" ref="AH24" si="17">IF(OR(C24="",F24="",L24="",P24="",R24="",T24="",X24="",Z24="",AB24="",AD24="",AF24=""),"",ROUND(AD24+AF24,2))</f>
        <v/>
      </c>
      <c r="AI24" s="1065"/>
      <c r="AJ24" s="1065"/>
      <c r="AK24" s="1081" t="str">
        <f t="shared" ref="AK24" si="18">IF(OR(C24="",F24="",L24="",P24="",R24="",T24="",X24="",Z24="",AB24="",AD24="",AF24=""),"",IF(AW24-AX24&lt;=0,0,ROUND(AW24-AX24,4)))</f>
        <v/>
      </c>
      <c r="AL24" s="1081"/>
      <c r="AM24" s="1081"/>
      <c r="AN24" s="1047" t="str">
        <f>IF(OR(C24="",F24="",L24="",P24="",R24="",T24="",X24="",Z24="",AB24="",AD24="",AF24=""),"",
IF(BJ24&lt;&gt;"",BJ24,IF(BL24&gt;0,BL24,
IF(AB24="Incremental",
IF(ACTIVEBLOCK="Yes",ROUND(MIN(AH24*INCCOSTCAP,AK24*BLOCKBIDRATE),2),
IF(BG24&lt;&gt;"",ROUND(MIN(AH24*INCCOSTCAP,BG24),2),
IF(BD24&lt;KWHRATEMIN,ROUND(MIN(AH24*INCCOSTCAP,BE24),2),
IF(BD24&gt;KWHRATEMAX,ROUND(MIN(AH24*INCCOSTCAP,BF24),2),
ROUND(MIN(AH24*INCCOSTCAP,BC24),2))))),
IF(ACTIVEBLOCK="Yes",ROUND(MIN(AH24*TOTCOSTCAP,AK24*BLOCKBIDRATE),2),
IF(BG24&lt;&gt;"",ROUND(MIN(AH24*TOTCOSTCAP,BG24),2),
IF(BD24&lt;KWHRATEMIN,ROUND(MIN(AH24*TOTCOSTCAP,BE24),2),
IF(BD24&gt;KWHRATEMAX,ROUND(MIN(AH24*TOTCOSTCAP,BF24),2),
ROUND(MIN(AH24*TOTCOSTCAP,BC24),2)))))))))</f>
        <v/>
      </c>
      <c r="AO24" s="1048"/>
      <c r="AP24" s="1048"/>
      <c r="AQ24" s="1048"/>
      <c r="AR24" s="355"/>
      <c r="AS24" s="355"/>
      <c r="AT24" s="1104" t="str">
        <f>IFERROR(IF(OR(C24="",F24="",L24="",P24="",R24="",T24="",X24="",Z24="",AB24="",AD24="",AF24=""),"",
ROUND(((1+ELOSS)*((AK24*INDEX(ELECCB[NPV AEC $/kWh],MATCH(AY24,ELECCB[Year Number],1)))+(BA24*INDEX(ELECCB[NPV ACC $/kW],MATCH(AY24,ELECCB[Year Number],1))))/AH24),2)),0)</f>
        <v/>
      </c>
      <c r="AU24" s="1112" t="str">
        <f>IFERROR(AH24/M02S04F06/AK24,"")</f>
        <v/>
      </c>
      <c r="AV24" s="1108" t="str">
        <f>IF(OR(C24="",F24=""),"",INDEX(CMEHVAC[Unit of Measure],MATCH(F24,CMEHVAC[Proj Desc 1],0)))</f>
        <v/>
      </c>
      <c r="AW24" s="1103" t="str">
        <f t="shared" ref="AW24" si="19">IF(OR(C24="",F24="",L24="",P24="",R24="",T24="",X24="",Z24="",AB24="",AD24="",AF24=""),"",ROUND(P24*R24,4))</f>
        <v/>
      </c>
      <c r="AX24" s="1103" t="str">
        <f t="shared" ref="AX24" si="20">IF(OR(C24="",F24="",L24="",P24="",R24="",T24="",X24="",Z24="",AB24="",AD24="",AF24=""),"",ROUND(X24*Z24,4))</f>
        <v/>
      </c>
      <c r="AY24" s="1113" t="str">
        <f>IF(OR(C24="",F24=""),"",IF(INDEX(CMEHVAC[EUL],MATCH(F24,CMEHVAC[Proj Desc 1],0))="","",INDEX(CMEHVAC[EUL],MATCH(F24,CMEHVAC[Proj Desc 1],0))))</f>
        <v/>
      </c>
      <c r="AZ24" s="1115" t="str">
        <f>IF(OR(C24="",F24=""),"",IF(INDEX(CMEHVAC[End Use Category],MATCH(F24,CMEHVAC[Proj Desc 1],0))="","",INDEX(CMEHVAC[End Use Category],MATCH(F24,CMEHVAC[Proj Desc 1],0))))</f>
        <v/>
      </c>
      <c r="BA24" s="1027" t="str">
        <f>IFERROR(IF(OR(C24="",F24="",L24="",P24="",R24="",T24="",X24="",Z24="",AB24="",AD24="",AF24=""),"",ROUND(AK24*INDEX(ENDUSEALL[Factor],MATCH(AZ24,ENDUSEALL[End Use to Coincident Peak Demand Factors],0)),4)),"")</f>
        <v/>
      </c>
      <c r="BB24" s="1120"/>
      <c r="BC24" s="930" t="str">
        <f t="shared" ref="BC24" si="21">IFERROR(ROUND(AK24*BD24,2),"")</f>
        <v/>
      </c>
      <c r="BD24" s="930" t="str">
        <f>IFERROR(INDEX(ENDUSEALL[Rate ($/kWh)],MATCH(AZ24,ENDUSEALL[End Use to Coincident Peak Demand Factors],0)),"")</f>
        <v/>
      </c>
      <c r="BE24" s="931" t="str">
        <f>IFERROR(ROUND(AK24*KWHRATEMIN,2),"")</f>
        <v/>
      </c>
      <c r="BF24" s="931" t="str">
        <f>IFERROR(ROUND(AK24*KWHRATEMAX,2),"")</f>
        <v/>
      </c>
      <c r="BG24" s="930" t="str">
        <f>IFERROR(IF(INDEX(ENDUSEALL[Bonus Rate ($/kWh)],MATCH(AZ24,ENDUSEALL[End Use to Coincident Peak Demand Factors],0))="","",INDEX(ENDUSEALL[Bonus Rate ($/kWh)],MATCH(AZ24,ENDUSEALL[End Use to Coincident Peak Demand Factors],0))*AK24),"")</f>
        <v/>
      </c>
      <c r="BH24" s="1106" t="str">
        <f>IF(OR(C24="",F24="",L24="",P24="",R24="",T24="",X24="",Z24="",AB24="",AD24="",AF24=""),"",IF(BJ24&lt;&gt;"",SPILLOVERNUMBER,INDEX(CMEHVAC[Measure Number],MATCH(F24,CMEHVAC[Proj Desc 1],0))))</f>
        <v/>
      </c>
      <c r="BI24" s="1108" t="str">
        <f>IFERROR(IF(AND(AB24="Total",ROUND(AN24/AH24,2)=TOTCOSTCAP),"75% Total Cost",
IF(AND(AB24="Incremental",AH24=AN24),"100% Incremental Cost",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IF(AND((ISNUMBER(SEARCH("Other",F24))),OR(AY24="",AZ24="")),MEASURESUBMIT,
 IF(PAYCUSE&lt;PAYBACKREQ,PROJECTSTATPAYBACK,
IF(CBCUSE&lt;CBREQ,PROJECTSTATCB,""))))))),MEASURESUBMIT)</f>
        <v>Submit for Review</v>
      </c>
      <c r="BK24" s="930" t="str">
        <f>IFERROR(IF(OR(C24="",F24="",L24="",P24="",R24="",T24="",X24="",Z24="",AB24="",AD24="",AF24=""),"",
ROUND(((1+ELOSS)*((AK24*INDEX(ELECCB[NPV AEC $/kWh],MATCH(AY24,ELECCB[Year Number],1)))+(BA24*INDEX(ELECCB[NPV ACC $/kW],MATCH(AY24,ELECCB[Year Number],1))))),2)),0)</f>
        <v/>
      </c>
      <c r="BL24" s="1118"/>
    </row>
    <row r="25" spans="1:64" ht="15.95" customHeight="1">
      <c r="A25" s="145"/>
      <c r="B25" s="905"/>
      <c r="C25" s="1037"/>
      <c r="D25" s="1037"/>
      <c r="E25" s="1037"/>
      <c r="F25" s="1037"/>
      <c r="G25" s="1037"/>
      <c r="H25" s="1037"/>
      <c r="I25" s="1037"/>
      <c r="J25" s="1037"/>
      <c r="K25" s="1039"/>
      <c r="L25" s="1040"/>
      <c r="M25" s="1037"/>
      <c r="N25" s="1037"/>
      <c r="O25" s="1037"/>
      <c r="P25" s="1041"/>
      <c r="Q25" s="1041"/>
      <c r="R25" s="1041"/>
      <c r="S25" s="1152"/>
      <c r="T25" s="1040"/>
      <c r="U25" s="1037"/>
      <c r="V25" s="1037"/>
      <c r="W25" s="1037"/>
      <c r="X25" s="1041"/>
      <c r="Y25" s="1041"/>
      <c r="Z25" s="1041"/>
      <c r="AA25" s="1152"/>
      <c r="AB25" s="1156"/>
      <c r="AC25" s="1157"/>
      <c r="AD25" s="1054"/>
      <c r="AE25" s="1054"/>
      <c r="AF25" s="1127"/>
      <c r="AG25" s="1128"/>
      <c r="AH25" s="1064"/>
      <c r="AI25" s="1065"/>
      <c r="AJ25" s="1065"/>
      <c r="AK25" s="1066"/>
      <c r="AL25" s="1066"/>
      <c r="AM25" s="1066"/>
      <c r="AN25" s="1049"/>
      <c r="AO25" s="1050"/>
      <c r="AP25" s="1050"/>
      <c r="AQ25" s="1050"/>
      <c r="AR25" s="355"/>
      <c r="AS25" s="355"/>
      <c r="AT25" s="1104"/>
      <c r="AU25" s="1104"/>
      <c r="AV25" s="1105"/>
      <c r="AW25" s="1025"/>
      <c r="AX25" s="1025"/>
      <c r="AY25" s="1114"/>
      <c r="AZ25" s="1116"/>
      <c r="BA25" s="1109"/>
      <c r="BB25" s="1121"/>
      <c r="BC25" s="931"/>
      <c r="BD25" s="931"/>
      <c r="BE25" s="931"/>
      <c r="BF25" s="931"/>
      <c r="BG25" s="931"/>
      <c r="BH25" s="1107"/>
      <c r="BI25" s="1105"/>
      <c r="BJ25" s="1105"/>
      <c r="BK25" s="931"/>
      <c r="BL25" s="1119"/>
    </row>
    <row r="26" spans="1:64" ht="15.95" customHeight="1">
      <c r="B26" s="905">
        <v>5</v>
      </c>
      <c r="C26" s="1037"/>
      <c r="D26" s="1037"/>
      <c r="E26" s="1037"/>
      <c r="F26" s="1037"/>
      <c r="G26" s="1037"/>
      <c r="H26" s="1037"/>
      <c r="I26" s="1037"/>
      <c r="J26" s="1037"/>
      <c r="K26" s="1039"/>
      <c r="L26" s="1040"/>
      <c r="M26" s="1037"/>
      <c r="N26" s="1037"/>
      <c r="O26" s="1037"/>
      <c r="P26" s="1041"/>
      <c r="Q26" s="1041"/>
      <c r="R26" s="1041"/>
      <c r="S26" s="1152"/>
      <c r="T26" s="1040"/>
      <c r="U26" s="1037"/>
      <c r="V26" s="1037"/>
      <c r="W26" s="1037"/>
      <c r="X26" s="1041"/>
      <c r="Y26" s="1041"/>
      <c r="Z26" s="1041"/>
      <c r="AA26" s="1152"/>
      <c r="AB26" s="1156" t="str">
        <f t="shared" ref="AB26" si="22">IF(OR(C26="New Construction",C26="Replace Failed Equip."),"Incremental",IF(C26="Retrofit","Total",""))</f>
        <v/>
      </c>
      <c r="AC26" s="1157"/>
      <c r="AD26" s="1054"/>
      <c r="AE26" s="1054"/>
      <c r="AF26" s="1127" t="str">
        <f t="shared" ref="AF26" si="23">IF(AB26="Incremental",0,"")</f>
        <v/>
      </c>
      <c r="AG26" s="1128"/>
      <c r="AH26" s="1064" t="str">
        <f t="shared" ref="AH26" si="24">IF(OR(C26="",F26="",L26="",P26="",R26="",T26="",X26="",Z26="",AB26="",AD26="",AF26=""),"",ROUND(AD26+AF26,2))</f>
        <v/>
      </c>
      <c r="AI26" s="1065"/>
      <c r="AJ26" s="1065"/>
      <c r="AK26" s="1081" t="str">
        <f t="shared" ref="AK26" si="25">IF(OR(C26="",F26="",L26="",P26="",R26="",T26="",X26="",Z26="",AB26="",AD26="",AF26=""),"",IF(AW26-AX26&lt;=0,0,ROUND(AW26-AX26,4)))</f>
        <v/>
      </c>
      <c r="AL26" s="1081"/>
      <c r="AM26" s="1081"/>
      <c r="AN26" s="1047" t="str">
        <f>IF(OR(C26="",F26="",L26="",P26="",R26="",T26="",X26="",Z26="",AB26="",AD26="",AF26=""),"",
IF(BJ26&lt;&gt;"",BJ26,IF(BL26&gt;0,BL26,
IF(AB26="Incremental",
IF(ACTIVEBLOCK="Yes",ROUND(MIN(AH26*INCCOSTCAP,AK26*BLOCKBIDRATE),2),
IF(BG26&lt;&gt;"",ROUND(MIN(AH26*INCCOSTCAP,BG26),2),
IF(BD26&lt;KWHRATEMIN,ROUND(MIN(AH26*INCCOSTCAP,BE26),2),
IF(BD26&gt;KWHRATEMAX,ROUND(MIN(AH26*INCCOSTCAP,BF26),2),
ROUND(MIN(AH26*INCCOSTCAP,BC26),2))))),
IF(ACTIVEBLOCK="Yes",ROUND(MIN(AH26*TOTCOSTCAP,AK26*BLOCKBIDRATE),2),
IF(BG26&lt;&gt;"",ROUND(MIN(AH26*TOTCOSTCAP,BG26),2),
IF(BD26&lt;KWHRATEMIN,ROUND(MIN(AH26*TOTCOSTCAP,BE26),2),
IF(BD26&gt;KWHRATEMAX,ROUND(MIN(AH26*TOTCOSTCAP,BF26),2),
ROUND(MIN(AH26*TOTCOSTCAP,BC26),2)))))))))</f>
        <v/>
      </c>
      <c r="AO26" s="1048"/>
      <c r="AP26" s="1048"/>
      <c r="AQ26" s="1048"/>
      <c r="AR26" s="355"/>
      <c r="AS26" s="355"/>
      <c r="AT26" s="1104" t="str">
        <f>IFERROR(IF(OR(C26="",F26="",L26="",P26="",R26="",T26="",X26="",Z26="",AB26="",AD26="",AF26=""),"",
ROUND(((1+ELOSS)*((AK26*INDEX(ELECCB[NPV AEC $/kWh],MATCH(AY26,ELECCB[Year Number],1)))+(BA26*INDEX(ELECCB[NPV ACC $/kW],MATCH(AY26,ELECCB[Year Number],1))))/AH26),2)),0)</f>
        <v/>
      </c>
      <c r="AU26" s="1112" t="str">
        <f>IFERROR(AH26/M02S04F06/AK26,"")</f>
        <v/>
      </c>
      <c r="AV26" s="1108" t="str">
        <f>IF(OR(C26="",F26=""),"",INDEX(CMEHVAC[Unit of Measure],MATCH(F26,CMEHVAC[Proj Desc 1],0)))</f>
        <v/>
      </c>
      <c r="AW26" s="1103" t="str">
        <f t="shared" ref="AW26" si="26">IF(OR(C26="",F26="",L26="",P26="",R26="",T26="",X26="",Z26="",AB26="",AD26="",AF26=""),"",ROUND(P26*R26,4))</f>
        <v/>
      </c>
      <c r="AX26" s="1103" t="str">
        <f t="shared" ref="AX26" si="27">IF(OR(C26="",F26="",L26="",P26="",R26="",T26="",X26="",Z26="",AB26="",AD26="",AF26=""),"",ROUND(X26*Z26,4))</f>
        <v/>
      </c>
      <c r="AY26" s="1113" t="str">
        <f>IF(OR(C26="",F26=""),"",IF(INDEX(CMEHVAC[EUL],MATCH(F26,CMEHVAC[Proj Desc 1],0))="","",INDEX(CMEHVAC[EUL],MATCH(F26,CMEHVAC[Proj Desc 1],0))))</f>
        <v/>
      </c>
      <c r="AZ26" s="1115" t="str">
        <f>IF(OR(C26="",F26=""),"",IF(INDEX(CMEHVAC[End Use Category],MATCH(F26,CMEHVAC[Proj Desc 1],0))="","",INDEX(CMEHVAC[End Use Category],MATCH(F26,CMEHVAC[Proj Desc 1],0))))</f>
        <v/>
      </c>
      <c r="BA26" s="1027" t="str">
        <f>IFERROR(IF(OR(C26="",F26="",L26="",P26="",R26="",T26="",X26="",Z26="",AB26="",AD26="",AF26=""),"",ROUND(AK26*INDEX(ENDUSEALL[Factor],MATCH(AZ26,ENDUSEALL[End Use to Coincident Peak Demand Factors],0)),4)),"")</f>
        <v/>
      </c>
      <c r="BB26" s="1120"/>
      <c r="BC26" s="930" t="str">
        <f t="shared" ref="BC26" si="28">IFERROR(ROUND(AK26*BD26,2),"")</f>
        <v/>
      </c>
      <c r="BD26" s="930" t="str">
        <f>IFERROR(INDEX(ENDUSEALL[Rate ($/kWh)],MATCH(AZ26,ENDUSEALL[End Use to Coincident Peak Demand Factors],0)),"")</f>
        <v/>
      </c>
      <c r="BE26" s="931" t="str">
        <f>IFERROR(ROUND(AK26*KWHRATEMIN,2),"")</f>
        <v/>
      </c>
      <c r="BF26" s="931" t="str">
        <f>IFERROR(ROUND(AK26*KWHRATEMAX,2),"")</f>
        <v/>
      </c>
      <c r="BG26" s="930" t="str">
        <f>IFERROR(IF(INDEX(ENDUSEALL[Bonus Rate ($/kWh)],MATCH(AZ26,ENDUSEALL[End Use to Coincident Peak Demand Factors],0))="","",INDEX(ENDUSEALL[Bonus Rate ($/kWh)],MATCH(AZ26,ENDUSEALL[End Use to Coincident Peak Demand Factors],0))*AK26),"")</f>
        <v/>
      </c>
      <c r="BH26" s="1106" t="str">
        <f>IF(OR(C26="",F26="",L26="",P26="",R26="",T26="",X26="",Z26="",AB26="",AD26="",AF26=""),"",IF(BJ26&lt;&gt;"",SPILLOVERNUMBER,INDEX(CMEHVAC[Measure Number],MATCH(F26,CMEHVAC[Proj Desc 1],0))))</f>
        <v/>
      </c>
      <c r="BI26" s="1108" t="str">
        <f>IFERROR(IF(AND(AB26="Total",ROUND(AN26/AH26,2)=TOTCOSTCAP),"75% Total Cost",
IF(AND(AB26="Incremental",AH26=AN26),"100% Incremental Cost",
IF(BD26&lt;KWHRATEMIN, "kWh Incentive Rate Min",
IF(BD26&gt;KWHRATEMAX,"kWh Incentive Rate Cap",
IF(AN26=BG26,"Bonus Incentive",
"kWh Incentive"))))),"")</f>
        <v/>
      </c>
      <c r="BJ26" s="1108" t="str">
        <f ca="1">IFERROR(IF(EXPIRATION&lt;&gt;"",PROJSTATEXP,
IF(BL26&gt;0,"",
IF(AW26-AX26&lt;=0,MEASURESAVE,
IF(OR(M02S04F06="",M02S04F06="Select Rate Code",M02S04F06=0),MEASURERATE,
IF(AND((ISNUMBER(SEARCH("Other",F26))),OR(AY26="",AZ26="")),MEASURESUBMIT,
 IF(PAYCUSE&lt;PAYBACKREQ,PROJECTSTATPAYBACK,
IF(CBCUSE&lt;CBREQ,PROJECTSTATCB,""))))))),MEASURESUBMIT)</f>
        <v>Submit for Review</v>
      </c>
      <c r="BK26" s="930" t="str">
        <f>IFERROR(IF(OR(C26="",F26="",L26="",P26="",R26="",T26="",X26="",Z26="",AB26="",AD26="",AF26=""),"",
ROUND(((1+ELOSS)*((AK26*INDEX(ELECCB[NPV AEC $/kWh],MATCH(AY26,ELECCB[Year Number],1)))+(BA26*INDEX(ELECCB[NPV ACC $/kW],MATCH(AY26,ELECCB[Year Number],1))))),2)),0)</f>
        <v/>
      </c>
      <c r="BL26" s="1118"/>
    </row>
    <row r="27" spans="1:64" ht="15.95" customHeight="1">
      <c r="B27" s="905"/>
      <c r="C27" s="1037"/>
      <c r="D27" s="1037"/>
      <c r="E27" s="1037"/>
      <c r="F27" s="1037"/>
      <c r="G27" s="1037"/>
      <c r="H27" s="1037"/>
      <c r="I27" s="1037"/>
      <c r="J27" s="1037"/>
      <c r="K27" s="1039"/>
      <c r="L27" s="1040"/>
      <c r="M27" s="1037"/>
      <c r="N27" s="1037"/>
      <c r="O27" s="1037"/>
      <c r="P27" s="1041"/>
      <c r="Q27" s="1041"/>
      <c r="R27" s="1041"/>
      <c r="S27" s="1152"/>
      <c r="T27" s="1040"/>
      <c r="U27" s="1037"/>
      <c r="V27" s="1037"/>
      <c r="W27" s="1037"/>
      <c r="X27" s="1041"/>
      <c r="Y27" s="1041"/>
      <c r="Z27" s="1041"/>
      <c r="AA27" s="1152"/>
      <c r="AB27" s="1156"/>
      <c r="AC27" s="1157"/>
      <c r="AD27" s="1054"/>
      <c r="AE27" s="1054"/>
      <c r="AF27" s="1127"/>
      <c r="AG27" s="1128"/>
      <c r="AH27" s="1064"/>
      <c r="AI27" s="1065"/>
      <c r="AJ27" s="1065"/>
      <c r="AK27" s="1066"/>
      <c r="AL27" s="1066"/>
      <c r="AM27" s="1066"/>
      <c r="AN27" s="1049"/>
      <c r="AO27" s="1050"/>
      <c r="AP27" s="1050"/>
      <c r="AQ27" s="1050"/>
      <c r="AR27" s="355"/>
      <c r="AS27" s="355"/>
      <c r="AT27" s="1104"/>
      <c r="AU27" s="1104"/>
      <c r="AV27" s="1105"/>
      <c r="AW27" s="1025"/>
      <c r="AX27" s="1025"/>
      <c r="AY27" s="1114"/>
      <c r="AZ27" s="1116"/>
      <c r="BA27" s="1109"/>
      <c r="BB27" s="1121"/>
      <c r="BC27" s="931"/>
      <c r="BD27" s="931"/>
      <c r="BE27" s="931"/>
      <c r="BF27" s="931"/>
      <c r="BG27" s="931"/>
      <c r="BH27" s="1107"/>
      <c r="BI27" s="1105"/>
      <c r="BJ27" s="1105"/>
      <c r="BK27" s="931"/>
      <c r="BL27" s="1119"/>
    </row>
    <row r="28" spans="1:64" ht="15.95" customHeight="1">
      <c r="B28" s="905">
        <v>6</v>
      </c>
      <c r="C28" s="1037"/>
      <c r="D28" s="1037"/>
      <c r="E28" s="1037"/>
      <c r="F28" s="1037"/>
      <c r="G28" s="1037"/>
      <c r="H28" s="1037"/>
      <c r="I28" s="1037"/>
      <c r="J28" s="1037"/>
      <c r="K28" s="1039"/>
      <c r="L28" s="1040"/>
      <c r="M28" s="1037"/>
      <c r="N28" s="1037"/>
      <c r="O28" s="1037"/>
      <c r="P28" s="1041"/>
      <c r="Q28" s="1041"/>
      <c r="R28" s="1041"/>
      <c r="S28" s="1152"/>
      <c r="T28" s="1040"/>
      <c r="U28" s="1037"/>
      <c r="V28" s="1037"/>
      <c r="W28" s="1037"/>
      <c r="X28" s="1041"/>
      <c r="Y28" s="1041"/>
      <c r="Z28" s="1041"/>
      <c r="AA28" s="1152"/>
      <c r="AB28" s="1156" t="str">
        <f t="shared" ref="AB28" si="29">IF(OR(C28="New Construction",C28="Replace Failed Equip."),"Incremental",IF(C28="Retrofit","Total",""))</f>
        <v/>
      </c>
      <c r="AC28" s="1157"/>
      <c r="AD28" s="1054"/>
      <c r="AE28" s="1054"/>
      <c r="AF28" s="1127" t="str">
        <f t="shared" ref="AF28" si="30">IF(AB28="Incremental",0,"")</f>
        <v/>
      </c>
      <c r="AG28" s="1128"/>
      <c r="AH28" s="1064" t="str">
        <f t="shared" ref="AH28" si="31">IF(OR(C28="",F28="",L28="",P28="",R28="",T28="",X28="",Z28="",AB28="",AD28="",AF28=""),"",ROUND(AD28+AF28,2))</f>
        <v/>
      </c>
      <c r="AI28" s="1065"/>
      <c r="AJ28" s="1065"/>
      <c r="AK28" s="1081" t="str">
        <f t="shared" ref="AK28" si="32">IF(OR(C28="",F28="",L28="",P28="",R28="",T28="",X28="",Z28="",AB28="",AD28="",AF28=""),"",IF(AW28-AX28&lt;=0,0,ROUND(AW28-AX28,4)))</f>
        <v/>
      </c>
      <c r="AL28" s="1081"/>
      <c r="AM28" s="1081"/>
      <c r="AN28" s="1047" t="str">
        <f>IF(OR(C28="",F28="",L28="",P28="",R28="",T28="",X28="",Z28="",AB28="",AD28="",AF28=""),"",
IF(BJ28&lt;&gt;"",BJ28,IF(BL28&gt;0,BL28,
IF(AB28="Incremental",
IF(ACTIVEBLOCK="Yes",ROUND(MIN(AH28*INCCOSTCAP,AK28*BLOCKBIDRATE),2),
IF(BG28&lt;&gt;"",ROUND(MIN(AH28*INCCOSTCAP,BG28),2),
IF(BD28&lt;KWHRATEMIN,ROUND(MIN(AH28*INCCOSTCAP,BE28),2),
IF(BD28&gt;KWHRATEMAX,ROUND(MIN(AH28*INCCOSTCAP,BF28),2),
ROUND(MIN(AH28*INCCOSTCAP,BC28),2))))),
IF(ACTIVEBLOCK="Yes",ROUND(MIN(AH28*TOTCOSTCAP,AK28*BLOCKBIDRATE),2),
IF(BG28&lt;&gt;"",ROUND(MIN(AH28*TOTCOSTCAP,BG28),2),
IF(BD28&lt;KWHRATEMIN,ROUND(MIN(AH28*TOTCOSTCAP,BE28),2),
IF(BD28&gt;KWHRATEMAX,ROUND(MIN(AH28*TOTCOSTCAP,BF28),2),
ROUND(MIN(AH28*TOTCOSTCAP,BC28),2)))))))))</f>
        <v/>
      </c>
      <c r="AO28" s="1048"/>
      <c r="AP28" s="1048"/>
      <c r="AQ28" s="1048"/>
      <c r="AR28" s="355"/>
      <c r="AS28" s="355"/>
      <c r="AT28" s="1104" t="str">
        <f>IFERROR(IF(OR(C28="",F28="",L28="",P28="",R28="",T28="",X28="",Z28="",AB28="",AD28="",AF28=""),"",
ROUND(((1+ELOSS)*((AK28*INDEX(ELECCB[NPV AEC $/kWh],MATCH(AY28,ELECCB[Year Number],1)))+(BA28*INDEX(ELECCB[NPV ACC $/kW],MATCH(AY28,ELECCB[Year Number],1))))/AH28),2)),0)</f>
        <v/>
      </c>
      <c r="AU28" s="1112" t="str">
        <f>IFERROR(AH28/M02S04F06/AK28,"")</f>
        <v/>
      </c>
      <c r="AV28" s="1108" t="str">
        <f>IF(OR(C28="",F28=""),"",INDEX(CMEHVAC[Unit of Measure],MATCH(F28,CMEHVAC[Proj Desc 1],0)))</f>
        <v/>
      </c>
      <c r="AW28" s="1103" t="str">
        <f t="shared" ref="AW28" si="33">IF(OR(C28="",F28="",L28="",P28="",R28="",T28="",X28="",Z28="",AB28="",AD28="",AF28=""),"",ROUND(P28*R28,4))</f>
        <v/>
      </c>
      <c r="AX28" s="1103" t="str">
        <f t="shared" ref="AX28" si="34">IF(OR(C28="",F28="",L28="",P28="",R28="",T28="",X28="",Z28="",AB28="",AD28="",AF28=""),"",ROUND(X28*Z28,4))</f>
        <v/>
      </c>
      <c r="AY28" s="1113" t="str">
        <f>IF(OR(C28="",F28=""),"",IF(INDEX(CMEHVAC[EUL],MATCH(F28,CMEHVAC[Proj Desc 1],0))="","",INDEX(CMEHVAC[EUL],MATCH(F28,CMEHVAC[Proj Desc 1],0))))</f>
        <v/>
      </c>
      <c r="AZ28" s="1115" t="str">
        <f>IF(OR(C28="",F28=""),"",IF(INDEX(CMEHVAC[End Use Category],MATCH(F28,CMEHVAC[Proj Desc 1],0))="","",INDEX(CMEHVAC[End Use Category],MATCH(F28,CMEHVAC[Proj Desc 1],0))))</f>
        <v/>
      </c>
      <c r="BA28" s="1027" t="str">
        <f>IFERROR(IF(OR(C28="",F28="",L28="",P28="",R28="",T28="",X28="",Z28="",AB28="",AD28="",AF28=""),"",ROUND(AK28*INDEX(ENDUSEALL[Factor],MATCH(AZ28,ENDUSEALL[End Use to Coincident Peak Demand Factors],0)),4)),"")</f>
        <v/>
      </c>
      <c r="BB28" s="1120"/>
      <c r="BC28" s="930" t="str">
        <f t="shared" ref="BC28" si="35">IFERROR(ROUND(AK28*BD28,2),"")</f>
        <v/>
      </c>
      <c r="BD28" s="930" t="str">
        <f>IFERROR(INDEX(ENDUSEALL[Rate ($/kWh)],MATCH(AZ28,ENDUSEALL[End Use to Coincident Peak Demand Factors],0)),"")</f>
        <v/>
      </c>
      <c r="BE28" s="931" t="str">
        <f>IFERROR(ROUND(AK28*KWHRATEMIN,2),"")</f>
        <v/>
      </c>
      <c r="BF28" s="931" t="str">
        <f>IFERROR(ROUND(AK28*KWHRATEMAX,2),"")</f>
        <v/>
      </c>
      <c r="BG28" s="930" t="str">
        <f>IFERROR(IF(INDEX(ENDUSEALL[Bonus Rate ($/kWh)],MATCH(AZ28,ENDUSEALL[End Use to Coincident Peak Demand Factors],0))="","",INDEX(ENDUSEALL[Bonus Rate ($/kWh)],MATCH(AZ28,ENDUSEALL[End Use to Coincident Peak Demand Factors],0))*AK28),"")</f>
        <v/>
      </c>
      <c r="BH28" s="1106" t="str">
        <f>IF(OR(C28="",F28="",L28="",P28="",R28="",T28="",X28="",Z28="",AB28="",AD28="",AF28=""),"",IF(BJ28&lt;&gt;"",SPILLOVERNUMBER,INDEX(CMEHVAC[Measure Number],MATCH(F28,CMEHVAC[Proj Desc 1],0))))</f>
        <v/>
      </c>
      <c r="BI28" s="1108" t="str">
        <f>IFERROR(IF(AND(AB28="Total",ROUND(AN28/AH28,2)=TOTCOSTCAP),"75% Total Cost",
IF(AND(AB28="Incremental",AH28=AN28),"100% Incremental Cost",
IF(BD28&lt;KWHRATEMIN, "kWh Incentive Rate Min",
IF(BD28&gt;KWHRATEMAX,"kWh Incentive Rate Cap",
IF(AN28=BG28,"Bonus Incentive",
"kWh Incentive"))))),"")</f>
        <v/>
      </c>
      <c r="BJ28" s="1108" t="str">
        <f ca="1">IFERROR(IF(EXPIRATION&lt;&gt;"",PROJSTATEXP,
IF(BL28&gt;0,"",
IF(AW28-AX28&lt;=0,MEASURESAVE,
IF(OR(M02S04F06="",M02S04F06="Select Rate Code",M02S04F06=0),MEASURERATE,
IF(AND((ISNUMBER(SEARCH("Other",F28))),OR(AY28="",AZ28="")),MEASURESUBMIT,
 IF(PAYCUSE&lt;PAYBACKREQ,PROJECTSTATPAYBACK,
IF(CBCUSE&lt;CBREQ,PROJECTSTATCB,""))))))),MEASURESUBMIT)</f>
        <v>Submit for Review</v>
      </c>
      <c r="BK28" s="930" t="str">
        <f>IFERROR(IF(OR(C28="",F28="",L28="",P28="",R28="",T28="",X28="",Z28="",AB28="",AD28="",AF28=""),"",
ROUND(((1+ELOSS)*((AK28*INDEX(ELECCB[NPV AEC $/kWh],MATCH(AY28,ELECCB[Year Number],1)))+(BA28*INDEX(ELECCB[NPV ACC $/kW],MATCH(AY28,ELECCB[Year Number],1))))),2)),0)</f>
        <v/>
      </c>
      <c r="BL28" s="1118"/>
    </row>
    <row r="29" spans="1:64" ht="15.95" customHeight="1">
      <c r="B29" s="905"/>
      <c r="C29" s="1037"/>
      <c r="D29" s="1037"/>
      <c r="E29" s="1037"/>
      <c r="F29" s="1037"/>
      <c r="G29" s="1037"/>
      <c r="H29" s="1037"/>
      <c r="I29" s="1037"/>
      <c r="J29" s="1037"/>
      <c r="K29" s="1039"/>
      <c r="L29" s="1040"/>
      <c r="M29" s="1037"/>
      <c r="N29" s="1037"/>
      <c r="O29" s="1037"/>
      <c r="P29" s="1041"/>
      <c r="Q29" s="1041"/>
      <c r="R29" s="1041"/>
      <c r="S29" s="1152"/>
      <c r="T29" s="1040"/>
      <c r="U29" s="1037"/>
      <c r="V29" s="1037"/>
      <c r="W29" s="1037"/>
      <c r="X29" s="1041"/>
      <c r="Y29" s="1041"/>
      <c r="Z29" s="1041"/>
      <c r="AA29" s="1152"/>
      <c r="AB29" s="1156"/>
      <c r="AC29" s="1157"/>
      <c r="AD29" s="1054"/>
      <c r="AE29" s="1054"/>
      <c r="AF29" s="1127"/>
      <c r="AG29" s="1128"/>
      <c r="AH29" s="1064"/>
      <c r="AI29" s="1065"/>
      <c r="AJ29" s="1065"/>
      <c r="AK29" s="1066"/>
      <c r="AL29" s="1066"/>
      <c r="AM29" s="1066"/>
      <c r="AN29" s="1049"/>
      <c r="AO29" s="1050"/>
      <c r="AP29" s="1050"/>
      <c r="AQ29" s="1050"/>
      <c r="AR29" s="355"/>
      <c r="AS29" s="355"/>
      <c r="AT29" s="1104"/>
      <c r="AU29" s="1104"/>
      <c r="AV29" s="1105"/>
      <c r="AW29" s="1025"/>
      <c r="AX29" s="1025"/>
      <c r="AY29" s="1114"/>
      <c r="AZ29" s="1116"/>
      <c r="BA29" s="1109"/>
      <c r="BB29" s="1121"/>
      <c r="BC29" s="931"/>
      <c r="BD29" s="931"/>
      <c r="BE29" s="931"/>
      <c r="BF29" s="931"/>
      <c r="BG29" s="931"/>
      <c r="BH29" s="1107"/>
      <c r="BI29" s="1105"/>
      <c r="BJ29" s="1105"/>
      <c r="BK29" s="931"/>
      <c r="BL29" s="1119"/>
    </row>
    <row r="30" spans="1:64" ht="15.95" customHeight="1">
      <c r="B30" s="905">
        <v>7</v>
      </c>
      <c r="C30" s="1037"/>
      <c r="D30" s="1037"/>
      <c r="E30" s="1037"/>
      <c r="F30" s="1037"/>
      <c r="G30" s="1037"/>
      <c r="H30" s="1037"/>
      <c r="I30" s="1037"/>
      <c r="J30" s="1037"/>
      <c r="K30" s="1039"/>
      <c r="L30" s="1040"/>
      <c r="M30" s="1037"/>
      <c r="N30" s="1037"/>
      <c r="O30" s="1037"/>
      <c r="P30" s="1041"/>
      <c r="Q30" s="1041"/>
      <c r="R30" s="1041"/>
      <c r="S30" s="1152"/>
      <c r="T30" s="1040"/>
      <c r="U30" s="1037"/>
      <c r="V30" s="1037"/>
      <c r="W30" s="1037"/>
      <c r="X30" s="1041"/>
      <c r="Y30" s="1041"/>
      <c r="Z30" s="1041"/>
      <c r="AA30" s="1152"/>
      <c r="AB30" s="1156" t="str">
        <f t="shared" ref="AB30" si="36">IF(OR(C30="New Construction",C30="Replace Failed Equip."),"Incremental",IF(C30="Retrofit","Total",""))</f>
        <v/>
      </c>
      <c r="AC30" s="1157"/>
      <c r="AD30" s="1054"/>
      <c r="AE30" s="1054"/>
      <c r="AF30" s="1127" t="str">
        <f t="shared" ref="AF30" si="37">IF(AB30="Incremental",0,"")</f>
        <v/>
      </c>
      <c r="AG30" s="1128"/>
      <c r="AH30" s="1064" t="str">
        <f t="shared" ref="AH30" si="38">IF(OR(C30="",F30="",L30="",P30="",R30="",T30="",X30="",Z30="",AB30="",AD30="",AF30=""),"",ROUND(AD30+AF30,2))</f>
        <v/>
      </c>
      <c r="AI30" s="1065"/>
      <c r="AJ30" s="1065"/>
      <c r="AK30" s="1081" t="str">
        <f t="shared" ref="AK30" si="39">IF(OR(C30="",F30="",L30="",P30="",R30="",T30="",X30="",Z30="",AB30="",AD30="",AF30=""),"",IF(AW30-AX30&lt;=0,0,ROUND(AW30-AX30,4)))</f>
        <v/>
      </c>
      <c r="AL30" s="1081"/>
      <c r="AM30" s="1081"/>
      <c r="AN30" s="1047" t="str">
        <f>IF(OR(C30="",F30="",L30="",P30="",R30="",T30="",X30="",Z30="",AB30="",AD30="",AF30=""),"",
IF(BJ30&lt;&gt;"",BJ30,IF(BL30&gt;0,BL30,
IF(AB30="Incremental",
IF(ACTIVEBLOCK="Yes",ROUND(MIN(AH30*INCCOSTCAP,AK30*BLOCKBIDRATE),2),
IF(BG30&lt;&gt;"",ROUND(MIN(AH30*INCCOSTCAP,BG30),2),
IF(BD30&lt;KWHRATEMIN,ROUND(MIN(AH30*INCCOSTCAP,BE30),2),
IF(BD30&gt;KWHRATEMAX,ROUND(MIN(AH30*INCCOSTCAP,BF30),2),
ROUND(MIN(AH30*INCCOSTCAP,BC30),2))))),
IF(ACTIVEBLOCK="Yes",ROUND(MIN(AH30*TOTCOSTCAP,AK30*BLOCKBIDRATE),2),
IF(BG30&lt;&gt;"",ROUND(MIN(AH30*TOTCOSTCAP,BG30),2),
IF(BD30&lt;KWHRATEMIN,ROUND(MIN(AH30*TOTCOSTCAP,BE30),2),
IF(BD30&gt;KWHRATEMAX,ROUND(MIN(AH30*TOTCOSTCAP,BF30),2),
ROUND(MIN(AH30*TOTCOSTCAP,BC30),2)))))))))</f>
        <v/>
      </c>
      <c r="AO30" s="1048"/>
      <c r="AP30" s="1048"/>
      <c r="AQ30" s="1048"/>
      <c r="AR30" s="355"/>
      <c r="AS30" s="355"/>
      <c r="AT30" s="1104" t="str">
        <f>IFERROR(IF(OR(C30="",F30="",L30="",P30="",R30="",T30="",X30="",Z30="",AB30="",AD30="",AF30=""),"",
ROUND(((1+ELOSS)*((AK30*INDEX(ELECCB[NPV AEC $/kWh],MATCH(AY30,ELECCB[Year Number],1)))+(BA30*INDEX(ELECCB[NPV ACC $/kW],MATCH(AY30,ELECCB[Year Number],1))))/AH30),2)),0)</f>
        <v/>
      </c>
      <c r="AU30" s="1112" t="str">
        <f>IFERROR(AH30/M02S04F06/AK30,"")</f>
        <v/>
      </c>
      <c r="AV30" s="1108" t="str">
        <f>IF(OR(C30="",F30=""),"",INDEX(CMEHVAC[Unit of Measure],MATCH(F30,CMEHVAC[Proj Desc 1],0)))</f>
        <v/>
      </c>
      <c r="AW30" s="1103" t="str">
        <f t="shared" ref="AW30" si="40">IF(OR(C30="",F30="",L30="",P30="",R30="",T30="",X30="",Z30="",AB30="",AD30="",AF30=""),"",ROUND(P30*R30,4))</f>
        <v/>
      </c>
      <c r="AX30" s="1103" t="str">
        <f t="shared" ref="AX30" si="41">IF(OR(C30="",F30="",L30="",P30="",R30="",T30="",X30="",Z30="",AB30="",AD30="",AF30=""),"",ROUND(X30*Z30,4))</f>
        <v/>
      </c>
      <c r="AY30" s="1113" t="str">
        <f>IF(OR(C30="",F30=""),"",IF(INDEX(CMEHVAC[EUL],MATCH(F30,CMEHVAC[Proj Desc 1],0))="","",INDEX(CMEHVAC[EUL],MATCH(F30,CMEHVAC[Proj Desc 1],0))))</f>
        <v/>
      </c>
      <c r="AZ30" s="1115" t="str">
        <f>IF(OR(C30="",F30=""),"",IF(INDEX(CMEHVAC[End Use Category],MATCH(F30,CMEHVAC[Proj Desc 1],0))="","",INDEX(CMEHVAC[End Use Category],MATCH(F30,CMEHVAC[Proj Desc 1],0))))</f>
        <v/>
      </c>
      <c r="BA30" s="1027" t="str">
        <f>IFERROR(IF(OR(C30="",F30="",L30="",P30="",R30="",T30="",X30="",Z30="",AB30="",AD30="",AF30=""),"",ROUND(AK30*INDEX(ENDUSEALL[Factor],MATCH(AZ30,ENDUSEALL[End Use to Coincident Peak Demand Factors],0)),4)),"")</f>
        <v/>
      </c>
      <c r="BB30" s="1120"/>
      <c r="BC30" s="930" t="str">
        <f t="shared" ref="BC30" si="42">IFERROR(ROUND(AK30*BD30,2),"")</f>
        <v/>
      </c>
      <c r="BD30" s="930" t="str">
        <f>IFERROR(INDEX(ENDUSEALL[Rate ($/kWh)],MATCH(AZ30,ENDUSEALL[End Use to Coincident Peak Demand Factors],0)),"")</f>
        <v/>
      </c>
      <c r="BE30" s="931" t="str">
        <f>IFERROR(ROUND(AK30*KWHRATEMIN,2),"")</f>
        <v/>
      </c>
      <c r="BF30" s="931" t="str">
        <f>IFERROR(ROUND(AK30*KWHRATEMAX,2),"")</f>
        <v/>
      </c>
      <c r="BG30" s="930" t="str">
        <f>IFERROR(IF(INDEX(ENDUSEALL[Bonus Rate ($/kWh)],MATCH(AZ30,ENDUSEALL[End Use to Coincident Peak Demand Factors],0))="","",INDEX(ENDUSEALL[Bonus Rate ($/kWh)],MATCH(AZ30,ENDUSEALL[End Use to Coincident Peak Demand Factors],0))*AK30),"")</f>
        <v/>
      </c>
      <c r="BH30" s="1106" t="str">
        <f>IF(OR(C30="",F30="",L30="",P30="",R30="",T30="",X30="",Z30="",AB30="",AD30="",AF30=""),"",IF(BJ30&lt;&gt;"",SPILLOVERNUMBER,INDEX(CMEHVAC[Measure Number],MATCH(F30,CMEHVAC[Proj Desc 1],0))))</f>
        <v/>
      </c>
      <c r="BI30" s="1108" t="str">
        <f>IFERROR(IF(AND(AB30="Total",ROUND(AN30/AH30,2)=TOTCOSTCAP),"75% Total Cost",
IF(AND(AB30="Incremental",AH30=AN30),"100% Incremental Cost",
IF(BD30&lt;KWHRATEMIN, "kWh Incentive Rate Min",
IF(BD30&gt;KWHRATEMAX,"kWh Incentive Rate Cap",
IF(AN30=BG30,"Bonus Incentive",
"kWh Incentive"))))),"")</f>
        <v/>
      </c>
      <c r="BJ30" s="1108" t="str">
        <f ca="1">IFERROR(IF(EXPIRATION&lt;&gt;"",PROJSTATEXP,
IF(BL30&gt;0,"",
IF(AW30-AX30&lt;=0,MEASURESAVE,
IF(OR(M02S04F06="",M02S04F06="Select Rate Code",M02S04F06=0),MEASURERATE,
IF(AND((ISNUMBER(SEARCH("Other",F30))),OR(AY30="",AZ30="")),MEASURESUBMIT,
 IF(PAYCUSE&lt;PAYBACKREQ,PROJECTSTATPAYBACK,
IF(CBCUSE&lt;CBREQ,PROJECTSTATCB,""))))))),MEASURESUBMIT)</f>
        <v>Submit for Review</v>
      </c>
      <c r="BK30" s="930" t="str">
        <f>IFERROR(IF(OR(C30="",F30="",L30="",P30="",R30="",T30="",X30="",Z30="",AB30="",AD30="",AF30=""),"",
ROUND(((1+ELOSS)*((AK30*INDEX(ELECCB[NPV AEC $/kWh],MATCH(AY30,ELECCB[Year Number],1)))+(BA30*INDEX(ELECCB[NPV ACC $/kW],MATCH(AY30,ELECCB[Year Number],1))))),2)),0)</f>
        <v/>
      </c>
      <c r="BL30" s="1118"/>
    </row>
    <row r="31" spans="1:64" ht="15.95" customHeight="1">
      <c r="B31" s="905"/>
      <c r="C31" s="1037"/>
      <c r="D31" s="1037"/>
      <c r="E31" s="1037"/>
      <c r="F31" s="1037"/>
      <c r="G31" s="1037"/>
      <c r="H31" s="1037"/>
      <c r="I31" s="1037"/>
      <c r="J31" s="1037"/>
      <c r="K31" s="1039"/>
      <c r="L31" s="1040"/>
      <c r="M31" s="1037"/>
      <c r="N31" s="1037"/>
      <c r="O31" s="1037"/>
      <c r="P31" s="1041"/>
      <c r="Q31" s="1041"/>
      <c r="R31" s="1041"/>
      <c r="S31" s="1152"/>
      <c r="T31" s="1040"/>
      <c r="U31" s="1037"/>
      <c r="V31" s="1037"/>
      <c r="W31" s="1037"/>
      <c r="X31" s="1041"/>
      <c r="Y31" s="1041"/>
      <c r="Z31" s="1041"/>
      <c r="AA31" s="1152"/>
      <c r="AB31" s="1156"/>
      <c r="AC31" s="1157"/>
      <c r="AD31" s="1054"/>
      <c r="AE31" s="1054"/>
      <c r="AF31" s="1127"/>
      <c r="AG31" s="1128"/>
      <c r="AH31" s="1064"/>
      <c r="AI31" s="1065"/>
      <c r="AJ31" s="1065"/>
      <c r="AK31" s="1066"/>
      <c r="AL31" s="1066"/>
      <c r="AM31" s="1066"/>
      <c r="AN31" s="1049"/>
      <c r="AO31" s="1050"/>
      <c r="AP31" s="1050"/>
      <c r="AQ31" s="1050"/>
      <c r="AR31" s="355"/>
      <c r="AS31" s="355"/>
      <c r="AT31" s="1104"/>
      <c r="AU31" s="1104"/>
      <c r="AV31" s="1105"/>
      <c r="AW31" s="1025"/>
      <c r="AX31" s="1025"/>
      <c r="AY31" s="1114"/>
      <c r="AZ31" s="1116"/>
      <c r="BA31" s="1109"/>
      <c r="BB31" s="1121"/>
      <c r="BC31" s="931"/>
      <c r="BD31" s="931"/>
      <c r="BE31" s="931"/>
      <c r="BF31" s="931"/>
      <c r="BG31" s="931"/>
      <c r="BH31" s="1107"/>
      <c r="BI31" s="1105"/>
      <c r="BJ31" s="1105"/>
      <c r="BK31" s="931"/>
      <c r="BL31" s="1119"/>
    </row>
    <row r="32" spans="1:64" ht="15.95" customHeight="1">
      <c r="B32" s="905">
        <v>8</v>
      </c>
      <c r="C32" s="1037"/>
      <c r="D32" s="1037"/>
      <c r="E32" s="1037"/>
      <c r="F32" s="1037"/>
      <c r="G32" s="1037"/>
      <c r="H32" s="1037"/>
      <c r="I32" s="1037"/>
      <c r="J32" s="1037"/>
      <c r="K32" s="1039"/>
      <c r="L32" s="1040"/>
      <c r="M32" s="1037"/>
      <c r="N32" s="1037"/>
      <c r="O32" s="1037"/>
      <c r="P32" s="1041"/>
      <c r="Q32" s="1041"/>
      <c r="R32" s="1041"/>
      <c r="S32" s="1152"/>
      <c r="T32" s="1040"/>
      <c r="U32" s="1037"/>
      <c r="V32" s="1037"/>
      <c r="W32" s="1037"/>
      <c r="X32" s="1041"/>
      <c r="Y32" s="1041"/>
      <c r="Z32" s="1041"/>
      <c r="AA32" s="1152"/>
      <c r="AB32" s="1156" t="str">
        <f t="shared" ref="AB32" si="43">IF(OR(C32="New Construction",C32="Replace Failed Equip."),"Incremental",IF(C32="Retrofit","Total",""))</f>
        <v/>
      </c>
      <c r="AC32" s="1157"/>
      <c r="AD32" s="1054"/>
      <c r="AE32" s="1054"/>
      <c r="AF32" s="1127" t="str">
        <f t="shared" ref="AF32" si="44">IF(AB32="Incremental",0,"")</f>
        <v/>
      </c>
      <c r="AG32" s="1128"/>
      <c r="AH32" s="1064" t="str">
        <f t="shared" ref="AH32" si="45">IF(OR(C32="",F32="",L32="",P32="",R32="",T32="",X32="",Z32="",AB32="",AD32="",AF32=""),"",ROUND(AD32+AF32,2))</f>
        <v/>
      </c>
      <c r="AI32" s="1065"/>
      <c r="AJ32" s="1065"/>
      <c r="AK32" s="1081" t="str">
        <f t="shared" ref="AK32" si="46">IF(OR(C32="",F32="",L32="",P32="",R32="",T32="",X32="",Z32="",AB32="",AD32="",AF32=""),"",IF(AW32-AX32&lt;=0,0,ROUND(AW32-AX32,4)))</f>
        <v/>
      </c>
      <c r="AL32" s="1081"/>
      <c r="AM32" s="1081"/>
      <c r="AN32" s="1047" t="str">
        <f>IF(OR(C32="",F32="",L32="",P32="",R32="",T32="",X32="",Z32="",AB32="",AD32="",AF32=""),"",
IF(BJ32&lt;&gt;"",BJ32,IF(BL32&gt;0,BL32,
IF(AB32="Incremental",
IF(ACTIVEBLOCK="Yes",ROUND(MIN(AH32*INCCOSTCAP,AK32*BLOCKBIDRATE),2),
IF(BG32&lt;&gt;"",ROUND(MIN(AH32*INCCOSTCAP,BG32),2),
IF(BD32&lt;KWHRATEMIN,ROUND(MIN(AH32*INCCOSTCAP,BE32),2),
IF(BD32&gt;KWHRATEMAX,ROUND(MIN(AH32*INCCOSTCAP,BF32),2),
ROUND(MIN(AH32*INCCOSTCAP,BC32),2))))),
IF(ACTIVEBLOCK="Yes",ROUND(MIN(AH32*TOTCOSTCAP,AK32*BLOCKBIDRATE),2),
IF(BG32&lt;&gt;"",ROUND(MIN(AH32*TOTCOSTCAP,BG32),2),
IF(BD32&lt;KWHRATEMIN,ROUND(MIN(AH32*TOTCOSTCAP,BE32),2),
IF(BD32&gt;KWHRATEMAX,ROUND(MIN(AH32*TOTCOSTCAP,BF32),2),
ROUND(MIN(AH32*TOTCOSTCAP,BC32),2)))))))))</f>
        <v/>
      </c>
      <c r="AO32" s="1048"/>
      <c r="AP32" s="1048"/>
      <c r="AQ32" s="1048"/>
      <c r="AR32" s="355"/>
      <c r="AS32" s="355"/>
      <c r="AT32" s="1104" t="str">
        <f>IFERROR(IF(OR(C32="",F32="",L32="",P32="",R32="",T32="",X32="",Z32="",AB32="",AD32="",AF32=""),"",
ROUND(((1+ELOSS)*((AK32*INDEX(ELECCB[NPV AEC $/kWh],MATCH(AY32,ELECCB[Year Number],1)))+(BA32*INDEX(ELECCB[NPV ACC $/kW],MATCH(AY32,ELECCB[Year Number],1))))/AH32),2)),0)</f>
        <v/>
      </c>
      <c r="AU32" s="1112" t="str">
        <f>IFERROR(AH32/M02S04F06/AK32,"")</f>
        <v/>
      </c>
      <c r="AV32" s="1108" t="str">
        <f>IF(OR(C32="",F32=""),"",INDEX(CMEHVAC[Unit of Measure],MATCH(F32,CMEHVAC[Proj Desc 1],0)))</f>
        <v/>
      </c>
      <c r="AW32" s="1103" t="str">
        <f t="shared" ref="AW32" si="47">IF(OR(C32="",F32="",L32="",P32="",R32="",T32="",X32="",Z32="",AB32="",AD32="",AF32=""),"",ROUND(P32*R32,4))</f>
        <v/>
      </c>
      <c r="AX32" s="1103" t="str">
        <f t="shared" ref="AX32" si="48">IF(OR(C32="",F32="",L32="",P32="",R32="",T32="",X32="",Z32="",AB32="",AD32="",AF32=""),"",ROUND(X32*Z32,4))</f>
        <v/>
      </c>
      <c r="AY32" s="1113" t="str">
        <f>IF(OR(C32="",F32=""),"",IF(INDEX(CMEHVAC[EUL],MATCH(F32,CMEHVAC[Proj Desc 1],0))="","",INDEX(CMEHVAC[EUL],MATCH(F32,CMEHVAC[Proj Desc 1],0))))</f>
        <v/>
      </c>
      <c r="AZ32" s="1115" t="str">
        <f>IF(OR(C32="",F32=""),"",IF(INDEX(CMEHVAC[End Use Category],MATCH(F32,CMEHVAC[Proj Desc 1],0))="","",INDEX(CMEHVAC[End Use Category],MATCH(F32,CMEHVAC[Proj Desc 1],0))))</f>
        <v/>
      </c>
      <c r="BA32" s="1027" t="str">
        <f>IFERROR(IF(OR(C32="",F32="",L32="",P32="",R32="",T32="",X32="",Z32="",AB32="",AD32="",AF32=""),"",ROUND(AK32*INDEX(ENDUSEALL[Factor],MATCH(AZ32,ENDUSEALL[End Use to Coincident Peak Demand Factors],0)),4)),"")</f>
        <v/>
      </c>
      <c r="BB32" s="1120"/>
      <c r="BC32" s="930" t="str">
        <f t="shared" ref="BC32" si="49">IFERROR(ROUND(AK32*BD32,2),"")</f>
        <v/>
      </c>
      <c r="BD32" s="930" t="str">
        <f>IFERROR(INDEX(ENDUSEALL[Rate ($/kWh)],MATCH(AZ32,ENDUSEALL[End Use to Coincident Peak Demand Factors],0)),"")</f>
        <v/>
      </c>
      <c r="BE32" s="931" t="str">
        <f>IFERROR(ROUND(AK32*KWHRATEMIN,2),"")</f>
        <v/>
      </c>
      <c r="BF32" s="931" t="str">
        <f>IFERROR(ROUND(AK32*KWHRATEMAX,2),"")</f>
        <v/>
      </c>
      <c r="BG32" s="930" t="str">
        <f>IFERROR(IF(INDEX(ENDUSEALL[Bonus Rate ($/kWh)],MATCH(AZ32,ENDUSEALL[End Use to Coincident Peak Demand Factors],0))="","",INDEX(ENDUSEALL[Bonus Rate ($/kWh)],MATCH(AZ32,ENDUSEALL[End Use to Coincident Peak Demand Factors],0))*AK32),"")</f>
        <v/>
      </c>
      <c r="BH32" s="1106" t="str">
        <f>IF(OR(C32="",F32="",L32="",P32="",R32="",T32="",X32="",Z32="",AB32="",AD32="",AF32=""),"",IF(BJ32&lt;&gt;"",SPILLOVERNUMBER,INDEX(CMEHVAC[Measure Number],MATCH(F32,CMEHVAC[Proj Desc 1],0))))</f>
        <v/>
      </c>
      <c r="BI32" s="1108" t="str">
        <f>IFERROR(IF(AND(AB32="Total",ROUND(AN32/AH32,2)=TOTCOSTCAP),"75% Total Cost",
IF(AND(AB32="Incremental",AH32=AN32),"100% Incremental Cost",
IF(BD32&lt;KWHRATEMIN, "kWh Incentive Rate Min",
IF(BD32&gt;KWHRATEMAX,"kWh Incentive Rate Cap",
IF(AN32=BG32,"Bonus Incentive",
"kWh Incentive"))))),"")</f>
        <v/>
      </c>
      <c r="BJ32" s="1108" t="str">
        <f ca="1">IFERROR(IF(EXPIRATION&lt;&gt;"",PROJSTATEXP,
IF(BL32&gt;0,"",
IF(AW32-AX32&lt;=0,MEASURESAVE,
IF(OR(M02S04F06="",M02S04F06="Select Rate Code",M02S04F06=0),MEASURERATE,
IF(AND((ISNUMBER(SEARCH("Other",F32))),OR(AY32="",AZ32="")),MEASURESUBMIT,
 IF(PAYCUSE&lt;PAYBACKREQ,PROJECTSTATPAYBACK,
IF(CBCUSE&lt;CBREQ,PROJECTSTATCB,""))))))),MEASURESUBMIT)</f>
        <v>Submit for Review</v>
      </c>
      <c r="BK32" s="930" t="str">
        <f>IFERROR(IF(OR(C32="",F32="",L32="",P32="",R32="",T32="",X32="",Z32="",AB32="",AD32="",AF32=""),"",
ROUND(((1+ELOSS)*((AK32*INDEX(ELECCB[NPV AEC $/kWh],MATCH(AY32,ELECCB[Year Number],1)))+(BA32*INDEX(ELECCB[NPV ACC $/kW],MATCH(AY32,ELECCB[Year Number],1))))),2)),0)</f>
        <v/>
      </c>
      <c r="BL32" s="1118"/>
    </row>
    <row r="33" spans="2:64" ht="15.95" customHeight="1">
      <c r="B33" s="905"/>
      <c r="C33" s="1037"/>
      <c r="D33" s="1037"/>
      <c r="E33" s="1037"/>
      <c r="F33" s="1037"/>
      <c r="G33" s="1037"/>
      <c r="H33" s="1037"/>
      <c r="I33" s="1037"/>
      <c r="J33" s="1037"/>
      <c r="K33" s="1039"/>
      <c r="L33" s="1040"/>
      <c r="M33" s="1037"/>
      <c r="N33" s="1037"/>
      <c r="O33" s="1037"/>
      <c r="P33" s="1041"/>
      <c r="Q33" s="1041"/>
      <c r="R33" s="1041"/>
      <c r="S33" s="1152"/>
      <c r="T33" s="1040"/>
      <c r="U33" s="1037"/>
      <c r="V33" s="1037"/>
      <c r="W33" s="1037"/>
      <c r="X33" s="1041"/>
      <c r="Y33" s="1041"/>
      <c r="Z33" s="1041"/>
      <c r="AA33" s="1152"/>
      <c r="AB33" s="1156"/>
      <c r="AC33" s="1157"/>
      <c r="AD33" s="1054"/>
      <c r="AE33" s="1054"/>
      <c r="AF33" s="1127"/>
      <c r="AG33" s="1128"/>
      <c r="AH33" s="1064"/>
      <c r="AI33" s="1065"/>
      <c r="AJ33" s="1065"/>
      <c r="AK33" s="1066"/>
      <c r="AL33" s="1066"/>
      <c r="AM33" s="1066"/>
      <c r="AN33" s="1049"/>
      <c r="AO33" s="1050"/>
      <c r="AP33" s="1050"/>
      <c r="AQ33" s="1050"/>
      <c r="AR33" s="355"/>
      <c r="AS33" s="355"/>
      <c r="AT33" s="1104"/>
      <c r="AU33" s="1104"/>
      <c r="AV33" s="1105"/>
      <c r="AW33" s="1025"/>
      <c r="AX33" s="1025"/>
      <c r="AY33" s="1114"/>
      <c r="AZ33" s="1116"/>
      <c r="BA33" s="1109"/>
      <c r="BB33" s="1121"/>
      <c r="BC33" s="931"/>
      <c r="BD33" s="931"/>
      <c r="BE33" s="931"/>
      <c r="BF33" s="931"/>
      <c r="BG33" s="931"/>
      <c r="BH33" s="1107"/>
      <c r="BI33" s="1105"/>
      <c r="BJ33" s="1105"/>
      <c r="BK33" s="931"/>
      <c r="BL33" s="1119"/>
    </row>
    <row r="34" spans="2:64" ht="15.95" customHeight="1">
      <c r="B34" s="905">
        <v>9</v>
      </c>
      <c r="C34" s="1037"/>
      <c r="D34" s="1037"/>
      <c r="E34" s="1037"/>
      <c r="F34" s="1037"/>
      <c r="G34" s="1037"/>
      <c r="H34" s="1037"/>
      <c r="I34" s="1037"/>
      <c r="J34" s="1037"/>
      <c r="K34" s="1039"/>
      <c r="L34" s="1040"/>
      <c r="M34" s="1037"/>
      <c r="N34" s="1037"/>
      <c r="O34" s="1037"/>
      <c r="P34" s="1041"/>
      <c r="Q34" s="1041"/>
      <c r="R34" s="1041"/>
      <c r="S34" s="1152"/>
      <c r="T34" s="1040"/>
      <c r="U34" s="1037"/>
      <c r="V34" s="1037"/>
      <c r="W34" s="1037"/>
      <c r="X34" s="1041"/>
      <c r="Y34" s="1041"/>
      <c r="Z34" s="1041"/>
      <c r="AA34" s="1152"/>
      <c r="AB34" s="1156" t="str">
        <f t="shared" ref="AB34" si="50">IF(OR(C34="New Construction",C34="Replace Failed Equip."),"Incremental",IF(C34="Retrofit","Total",""))</f>
        <v/>
      </c>
      <c r="AC34" s="1157"/>
      <c r="AD34" s="1054"/>
      <c r="AE34" s="1054"/>
      <c r="AF34" s="1127" t="str">
        <f t="shared" ref="AF34" si="51">IF(AB34="Incremental",0,"")</f>
        <v/>
      </c>
      <c r="AG34" s="1128"/>
      <c r="AH34" s="1064" t="str">
        <f t="shared" ref="AH34" si="52">IF(OR(C34="",F34="",L34="",P34="",R34="",T34="",X34="",Z34="",AB34="",AD34="",AF34=""),"",ROUND(AD34+AF34,2))</f>
        <v/>
      </c>
      <c r="AI34" s="1065"/>
      <c r="AJ34" s="1065"/>
      <c r="AK34" s="1081" t="str">
        <f t="shared" ref="AK34" si="53">IF(OR(C34="",F34="",L34="",P34="",R34="",T34="",X34="",Z34="",AB34="",AD34="",AF34=""),"",IF(AW34-AX34&lt;=0,0,ROUND(AW34-AX34,4)))</f>
        <v/>
      </c>
      <c r="AL34" s="1081"/>
      <c r="AM34" s="1081"/>
      <c r="AN34" s="1047" t="str">
        <f>IF(OR(C34="",F34="",L34="",P34="",R34="",T34="",X34="",Z34="",AB34="",AD34="",AF34=""),"",
IF(BJ34&lt;&gt;"",BJ34,IF(BL34&gt;0,BL34,
IF(AB34="Incremental",
IF(ACTIVEBLOCK="Yes",ROUND(MIN(AH34*INCCOSTCAP,AK34*BLOCKBIDRATE),2),
IF(BG34&lt;&gt;"",ROUND(MIN(AH34*INCCOSTCAP,BG34),2),
IF(BD34&lt;KWHRATEMIN,ROUND(MIN(AH34*INCCOSTCAP,BE34),2),
IF(BD34&gt;KWHRATEMAX,ROUND(MIN(AH34*INCCOSTCAP,BF34),2),
ROUND(MIN(AH34*INCCOSTCAP,BC34),2))))),
IF(ACTIVEBLOCK="Yes",ROUND(MIN(AH34*TOTCOSTCAP,AK34*BLOCKBIDRATE),2),
IF(BG34&lt;&gt;"",ROUND(MIN(AH34*TOTCOSTCAP,BG34),2),
IF(BD34&lt;KWHRATEMIN,ROUND(MIN(AH34*TOTCOSTCAP,BE34),2),
IF(BD34&gt;KWHRATEMAX,ROUND(MIN(AH34*TOTCOSTCAP,BF34),2),
ROUND(MIN(AH34*TOTCOSTCAP,BC34),2)))))))))</f>
        <v/>
      </c>
      <c r="AO34" s="1048"/>
      <c r="AP34" s="1048"/>
      <c r="AQ34" s="1048"/>
      <c r="AR34" s="355"/>
      <c r="AS34" s="355"/>
      <c r="AT34" s="1104" t="str">
        <f>IFERROR(IF(OR(C34="",F34="",L34="",P34="",R34="",T34="",X34="",Z34="",AB34="",AD34="",AF34=""),"",
ROUND(((1+ELOSS)*((AK34*INDEX(ELECCB[NPV AEC $/kWh],MATCH(AY34,ELECCB[Year Number],1)))+(BA34*INDEX(ELECCB[NPV ACC $/kW],MATCH(AY34,ELECCB[Year Number],1))))/AH34),2)),0)</f>
        <v/>
      </c>
      <c r="AU34" s="1112" t="str">
        <f>IFERROR(AH34/M02S04F06/AK34,"")</f>
        <v/>
      </c>
      <c r="AV34" s="1108" t="str">
        <f>IF(OR(C34="",F34=""),"",INDEX(CMEHVAC[Unit of Measure],MATCH(F34,CMEHVAC[Proj Desc 1],0)))</f>
        <v/>
      </c>
      <c r="AW34" s="1103" t="str">
        <f t="shared" ref="AW34" si="54">IF(OR(C34="",F34="",L34="",P34="",R34="",T34="",X34="",Z34="",AB34="",AD34="",AF34=""),"",ROUND(P34*R34,4))</f>
        <v/>
      </c>
      <c r="AX34" s="1103" t="str">
        <f t="shared" ref="AX34" si="55">IF(OR(C34="",F34="",L34="",P34="",R34="",T34="",X34="",Z34="",AB34="",AD34="",AF34=""),"",ROUND(X34*Z34,4))</f>
        <v/>
      </c>
      <c r="AY34" s="1113" t="str">
        <f>IF(OR(C34="",F34=""),"",IF(INDEX(CMEHVAC[EUL],MATCH(F34,CMEHVAC[Proj Desc 1],0))="","",INDEX(CMEHVAC[EUL],MATCH(F34,CMEHVAC[Proj Desc 1],0))))</f>
        <v/>
      </c>
      <c r="AZ34" s="1115" t="str">
        <f>IF(OR(C34="",F34=""),"",IF(INDEX(CMEHVAC[End Use Category],MATCH(F34,CMEHVAC[Proj Desc 1],0))="","",INDEX(CMEHVAC[End Use Category],MATCH(F34,CMEHVAC[Proj Desc 1],0))))</f>
        <v/>
      </c>
      <c r="BA34" s="1027" t="str">
        <f>IFERROR(IF(OR(C34="",F34="",L34="",P34="",R34="",T34="",X34="",Z34="",AB34="",AD34="",AF34=""),"",ROUND(AK34*INDEX(ENDUSEALL[Factor],MATCH(AZ34,ENDUSEALL[End Use to Coincident Peak Demand Factors],0)),4)),"")</f>
        <v/>
      </c>
      <c r="BB34" s="1120"/>
      <c r="BC34" s="930" t="str">
        <f t="shared" ref="BC34" si="56">IFERROR(ROUND(AK34*BD34,2),"")</f>
        <v/>
      </c>
      <c r="BD34" s="930" t="str">
        <f>IFERROR(INDEX(ENDUSEALL[Rate ($/kWh)],MATCH(AZ34,ENDUSEALL[End Use to Coincident Peak Demand Factors],0)),"")</f>
        <v/>
      </c>
      <c r="BE34" s="931" t="str">
        <f>IFERROR(ROUND(AK34*KWHRATEMIN,2),"")</f>
        <v/>
      </c>
      <c r="BF34" s="931" t="str">
        <f>IFERROR(ROUND(AK34*KWHRATEMAX,2),"")</f>
        <v/>
      </c>
      <c r="BG34" s="930" t="str">
        <f>IFERROR(IF(INDEX(ENDUSEALL[Bonus Rate ($/kWh)],MATCH(AZ34,ENDUSEALL[End Use to Coincident Peak Demand Factors],0))="","",INDEX(ENDUSEALL[Bonus Rate ($/kWh)],MATCH(AZ34,ENDUSEALL[End Use to Coincident Peak Demand Factors],0))*AK34),"")</f>
        <v/>
      </c>
      <c r="BH34" s="1106" t="str">
        <f>IF(OR(C34="",F34="",L34="",P34="",R34="",T34="",X34="",Z34="",AB34="",AD34="",AF34=""),"",IF(BJ34&lt;&gt;"",SPILLOVERNUMBER,INDEX(CMEHVAC[Measure Number],MATCH(F34,CMEHVAC[Proj Desc 1],0))))</f>
        <v/>
      </c>
      <c r="BI34" s="1108" t="str">
        <f>IFERROR(IF(AND(AB34="Total",ROUND(AN34/AH34,2)=TOTCOSTCAP),"75% Total Cost",
IF(AND(AB34="Incremental",AH34=AN34),"100% Incremental Cost",
IF(BD34&lt;KWHRATEMIN, "kWh Incentive Rate Min",
IF(BD34&gt;KWHRATEMAX,"kWh Incentive Rate Cap",
IF(AN34=BG34,"Bonus Incentive",
"kWh Incentive"))))),"")</f>
        <v/>
      </c>
      <c r="BJ34" s="1108" t="str">
        <f ca="1">IFERROR(IF(EXPIRATION&lt;&gt;"",PROJSTATEXP,
IF(BL34&gt;0,"",
IF(AW34-AX34&lt;=0,MEASURESAVE,
IF(OR(M02S04F06="",M02S04F06="Select Rate Code",M02S04F06=0),MEASURERATE,
IF(AND((ISNUMBER(SEARCH("Other",F34))),OR(AY34="",AZ34="")),MEASURESUBMIT,
 IF(PAYCUSE&lt;PAYBACKREQ,PROJECTSTATPAYBACK,
IF(CBCUSE&lt;CBREQ,PROJECTSTATCB,""))))))),MEASURESUBMIT)</f>
        <v>Submit for Review</v>
      </c>
      <c r="BK34" s="930" t="str">
        <f>IFERROR(IF(OR(C34="",F34="",L34="",P34="",R34="",T34="",X34="",Z34="",AB34="",AD34="",AF34=""),"",
ROUND(((1+ELOSS)*((AK34*INDEX(ELECCB[NPV AEC $/kWh],MATCH(AY34,ELECCB[Year Number],1)))+(BA34*INDEX(ELECCB[NPV ACC $/kW],MATCH(AY34,ELECCB[Year Number],1))))),2)),0)</f>
        <v/>
      </c>
      <c r="BL34" s="1118"/>
    </row>
    <row r="35" spans="2:64" ht="15.95" customHeight="1">
      <c r="B35" s="905"/>
      <c r="C35" s="1037"/>
      <c r="D35" s="1037"/>
      <c r="E35" s="1037"/>
      <c r="F35" s="1037"/>
      <c r="G35" s="1037"/>
      <c r="H35" s="1037"/>
      <c r="I35" s="1037"/>
      <c r="J35" s="1037"/>
      <c r="K35" s="1039"/>
      <c r="L35" s="1040"/>
      <c r="M35" s="1037"/>
      <c r="N35" s="1037"/>
      <c r="O35" s="1037"/>
      <c r="P35" s="1041"/>
      <c r="Q35" s="1041"/>
      <c r="R35" s="1041"/>
      <c r="S35" s="1152"/>
      <c r="T35" s="1040"/>
      <c r="U35" s="1037"/>
      <c r="V35" s="1037"/>
      <c r="W35" s="1037"/>
      <c r="X35" s="1041"/>
      <c r="Y35" s="1041"/>
      <c r="Z35" s="1041"/>
      <c r="AA35" s="1152"/>
      <c r="AB35" s="1156"/>
      <c r="AC35" s="1157"/>
      <c r="AD35" s="1054"/>
      <c r="AE35" s="1054"/>
      <c r="AF35" s="1127"/>
      <c r="AG35" s="1128"/>
      <c r="AH35" s="1064"/>
      <c r="AI35" s="1065"/>
      <c r="AJ35" s="1065"/>
      <c r="AK35" s="1066"/>
      <c r="AL35" s="1066"/>
      <c r="AM35" s="1066"/>
      <c r="AN35" s="1049"/>
      <c r="AO35" s="1050"/>
      <c r="AP35" s="1050"/>
      <c r="AQ35" s="1050"/>
      <c r="AR35" s="355"/>
      <c r="AS35" s="355"/>
      <c r="AT35" s="1104"/>
      <c r="AU35" s="1104"/>
      <c r="AV35" s="1105"/>
      <c r="AW35" s="1025"/>
      <c r="AX35" s="1025"/>
      <c r="AY35" s="1114"/>
      <c r="AZ35" s="1116"/>
      <c r="BA35" s="1109"/>
      <c r="BB35" s="1121"/>
      <c r="BC35" s="931"/>
      <c r="BD35" s="931"/>
      <c r="BE35" s="931"/>
      <c r="BF35" s="931"/>
      <c r="BG35" s="931"/>
      <c r="BH35" s="1107"/>
      <c r="BI35" s="1105"/>
      <c r="BJ35" s="1105"/>
      <c r="BK35" s="931"/>
      <c r="BL35" s="1119"/>
    </row>
    <row r="36" spans="2:64" ht="15.95" customHeight="1">
      <c r="B36" s="905">
        <v>10</v>
      </c>
      <c r="C36" s="1037"/>
      <c r="D36" s="1037"/>
      <c r="E36" s="1037"/>
      <c r="F36" s="1037"/>
      <c r="G36" s="1037"/>
      <c r="H36" s="1037"/>
      <c r="I36" s="1037"/>
      <c r="J36" s="1037"/>
      <c r="K36" s="1039"/>
      <c r="L36" s="1040"/>
      <c r="M36" s="1037"/>
      <c r="N36" s="1037"/>
      <c r="O36" s="1037"/>
      <c r="P36" s="1041"/>
      <c r="Q36" s="1041"/>
      <c r="R36" s="1041"/>
      <c r="S36" s="1152"/>
      <c r="T36" s="1040"/>
      <c r="U36" s="1037"/>
      <c r="V36" s="1037"/>
      <c r="W36" s="1037"/>
      <c r="X36" s="1041"/>
      <c r="Y36" s="1041"/>
      <c r="Z36" s="1041"/>
      <c r="AA36" s="1152"/>
      <c r="AB36" s="1156" t="str">
        <f t="shared" ref="AB36" si="57">IF(OR(C36="New Construction",C36="Replace Failed Equip."),"Incremental",IF(C36="Retrofit","Total",""))</f>
        <v/>
      </c>
      <c r="AC36" s="1157"/>
      <c r="AD36" s="1054"/>
      <c r="AE36" s="1054"/>
      <c r="AF36" s="1127" t="str">
        <f t="shared" ref="AF36" si="58">IF(AB36="Incremental",0,"")</f>
        <v/>
      </c>
      <c r="AG36" s="1128"/>
      <c r="AH36" s="1064" t="str">
        <f t="shared" ref="AH36" si="59">IF(OR(C36="",F36="",L36="",P36="",R36="",T36="",X36="",Z36="",AB36="",AD36="",AF36=""),"",ROUND(AD36+AF36,2))</f>
        <v/>
      </c>
      <c r="AI36" s="1065"/>
      <c r="AJ36" s="1065"/>
      <c r="AK36" s="1081" t="str">
        <f t="shared" ref="AK36" si="60">IF(OR(C36="",F36="",L36="",P36="",R36="",T36="",X36="",Z36="",AB36="",AD36="",AF36=""),"",IF(AW36-AX36&lt;=0,0,ROUND(AW36-AX36,4)))</f>
        <v/>
      </c>
      <c r="AL36" s="1081"/>
      <c r="AM36" s="1081"/>
      <c r="AN36" s="1047" t="str">
        <f>IF(OR(C36="",F36="",L36="",P36="",R36="",T36="",X36="",Z36="",AB36="",AD36="",AF36=""),"",
IF(BJ36&lt;&gt;"",BJ36,IF(BL36&gt;0,BL36,
IF(AB36="Incremental",
IF(ACTIVEBLOCK="Yes",ROUND(MIN(AH36*INCCOSTCAP,AK36*BLOCKBIDRATE),2),
IF(BG36&lt;&gt;"",ROUND(MIN(AH36*INCCOSTCAP,BG36),2),
IF(BD36&lt;KWHRATEMIN,ROUND(MIN(AH36*INCCOSTCAP,BE36),2),
IF(BD36&gt;KWHRATEMAX,ROUND(MIN(AH36*INCCOSTCAP,BF36),2),
ROUND(MIN(AH36*INCCOSTCAP,BC36),2))))),
IF(ACTIVEBLOCK="Yes",ROUND(MIN(AH36*TOTCOSTCAP,AK36*BLOCKBIDRATE),2),
IF(BG36&lt;&gt;"",ROUND(MIN(AH36*TOTCOSTCAP,BG36),2),
IF(BD36&lt;KWHRATEMIN,ROUND(MIN(AH36*TOTCOSTCAP,BE36),2),
IF(BD36&gt;KWHRATEMAX,ROUND(MIN(AH36*TOTCOSTCAP,BF36),2),
ROUND(MIN(AH36*TOTCOSTCAP,BC36),2)))))))))</f>
        <v/>
      </c>
      <c r="AO36" s="1048"/>
      <c r="AP36" s="1048"/>
      <c r="AQ36" s="1048"/>
      <c r="AR36" s="355"/>
      <c r="AS36" s="355"/>
      <c r="AT36" s="1104" t="str">
        <f>IFERROR(IF(OR(C36="",F36="",L36="",P36="",R36="",T36="",X36="",Z36="",AB36="",AD36="",AF36=""),"",
ROUND(((1+ELOSS)*((AK36*INDEX(ELECCB[NPV AEC $/kWh],MATCH(AY36,ELECCB[Year Number],1)))+(BA36*INDEX(ELECCB[NPV ACC $/kW],MATCH(AY36,ELECCB[Year Number],1))))/AH36),2)),0)</f>
        <v/>
      </c>
      <c r="AU36" s="1112" t="str">
        <f>IFERROR(AH36/M02S04F06/AK36,"")</f>
        <v/>
      </c>
      <c r="AV36" s="1108" t="str">
        <f>IF(OR(C36="",F36=""),"",INDEX(CMEHVAC[Unit of Measure],MATCH(F36,CMEHVAC[Proj Desc 1],0)))</f>
        <v/>
      </c>
      <c r="AW36" s="1103" t="str">
        <f t="shared" ref="AW36" si="61">IF(OR(C36="",F36="",L36="",P36="",R36="",T36="",X36="",Z36="",AB36="",AD36="",AF36=""),"",ROUND(P36*R36,4))</f>
        <v/>
      </c>
      <c r="AX36" s="1103" t="str">
        <f t="shared" ref="AX36" si="62">IF(OR(C36="",F36="",L36="",P36="",R36="",T36="",X36="",Z36="",AB36="",AD36="",AF36=""),"",ROUND(X36*Z36,4))</f>
        <v/>
      </c>
      <c r="AY36" s="1113" t="str">
        <f>IF(OR(C36="",F36=""),"",IF(INDEX(CMEHVAC[EUL],MATCH(F36,CMEHVAC[Proj Desc 1],0))="","",INDEX(CMEHVAC[EUL],MATCH(F36,CMEHVAC[Proj Desc 1],0))))</f>
        <v/>
      </c>
      <c r="AZ36" s="1115" t="str">
        <f>IF(OR(C36="",F36=""),"",IF(INDEX(CMEHVAC[End Use Category],MATCH(F36,CMEHVAC[Proj Desc 1],0))="","",INDEX(CMEHVAC[End Use Category],MATCH(F36,CMEHVAC[Proj Desc 1],0))))</f>
        <v/>
      </c>
      <c r="BA36" s="1027" t="str">
        <f>IFERROR(IF(OR(C36="",F36="",L36="",P36="",R36="",T36="",X36="",Z36="",AB36="",AD36="",AF36=""),"",ROUND(AK36*INDEX(ENDUSEALL[Factor],MATCH(AZ36,ENDUSEALL[End Use to Coincident Peak Demand Factors],0)),4)),"")</f>
        <v/>
      </c>
      <c r="BB36" s="1120"/>
      <c r="BC36" s="930" t="str">
        <f t="shared" ref="BC36" si="63">IFERROR(ROUND(AK36*BD36,2),"")</f>
        <v/>
      </c>
      <c r="BD36" s="930" t="str">
        <f>IFERROR(INDEX(ENDUSEALL[Rate ($/kWh)],MATCH(AZ36,ENDUSEALL[End Use to Coincident Peak Demand Factors],0)),"")</f>
        <v/>
      </c>
      <c r="BE36" s="931" t="str">
        <f>IFERROR(ROUND(AK36*KWHRATEMIN,2),"")</f>
        <v/>
      </c>
      <c r="BF36" s="931" t="str">
        <f>IFERROR(ROUND(AK36*KWHRATEMAX,2),"")</f>
        <v/>
      </c>
      <c r="BG36" s="930" t="str">
        <f>IFERROR(IF(INDEX(ENDUSEALL[Bonus Rate ($/kWh)],MATCH(AZ36,ENDUSEALL[End Use to Coincident Peak Demand Factors],0))="","",INDEX(ENDUSEALL[Bonus Rate ($/kWh)],MATCH(AZ36,ENDUSEALL[End Use to Coincident Peak Demand Factors],0))*AK36),"")</f>
        <v/>
      </c>
      <c r="BH36" s="1106" t="str">
        <f>IF(OR(C36="",F36="",L36="",P36="",R36="",T36="",X36="",Z36="",AB36="",AD36="",AF36=""),"",IF(BJ36&lt;&gt;"",SPILLOVERNUMBER,INDEX(CMEHVAC[Measure Number],MATCH(F36,CMEHVAC[Proj Desc 1],0))))</f>
        <v/>
      </c>
      <c r="BI36" s="1108" t="str">
        <f>IFERROR(IF(AND(AB36="Total",ROUND(AN36/AH36,2)=TOTCOSTCAP),"75% Total Cost",
IF(AND(AB36="Incremental",AH36=AN36),"100% Incremental Cost",
IF(BD36&lt;KWHRATEMIN, "kWh Incentive Rate Min",
IF(BD36&gt;KWHRATEMAX,"kWh Incentive Rate Cap",
IF(AN36=BG36,"Bonus Incentive",
"kWh Incentive"))))),"")</f>
        <v/>
      </c>
      <c r="BJ36" s="1108" t="str">
        <f ca="1">IFERROR(IF(EXPIRATION&lt;&gt;"",PROJSTATEXP,
IF(BL36&gt;0,"",
IF(AW36-AX36&lt;=0,MEASURESAVE,
IF(OR(M02S04F06="",M02S04F06="Select Rate Code",M02S04F06=0),MEASURERATE,
IF(AND((ISNUMBER(SEARCH("Other",F36))),OR(AY36="",AZ36="")),MEASURESUBMIT,
 IF(PAYCUSE&lt;PAYBACKREQ,PROJECTSTATPAYBACK,
IF(CBCUSE&lt;CBREQ,PROJECTSTATCB,""))))))),MEASURESUBMIT)</f>
        <v>Submit for Review</v>
      </c>
      <c r="BK36" s="930" t="str">
        <f>IFERROR(IF(OR(C36="",F36="",L36="",P36="",R36="",T36="",X36="",Z36="",AB36="",AD36="",AF36=""),"",
ROUND(((1+ELOSS)*((AK36*INDEX(ELECCB[NPV AEC $/kWh],MATCH(AY36,ELECCB[Year Number],1)))+(BA36*INDEX(ELECCB[NPV ACC $/kW],MATCH(AY36,ELECCB[Year Number],1))))),2)),0)</f>
        <v/>
      </c>
      <c r="BL36" s="1118"/>
    </row>
    <row r="37" spans="2:64" ht="15.95" customHeight="1">
      <c r="B37" s="905"/>
      <c r="C37" s="1037"/>
      <c r="D37" s="1037"/>
      <c r="E37" s="1037"/>
      <c r="F37" s="1037"/>
      <c r="G37" s="1037"/>
      <c r="H37" s="1037"/>
      <c r="I37" s="1037"/>
      <c r="J37" s="1037"/>
      <c r="K37" s="1039"/>
      <c r="L37" s="1040"/>
      <c r="M37" s="1037"/>
      <c r="N37" s="1037"/>
      <c r="O37" s="1037"/>
      <c r="P37" s="1041"/>
      <c r="Q37" s="1041"/>
      <c r="R37" s="1041"/>
      <c r="S37" s="1152"/>
      <c r="T37" s="1040"/>
      <c r="U37" s="1037"/>
      <c r="V37" s="1037"/>
      <c r="W37" s="1037"/>
      <c r="X37" s="1041"/>
      <c r="Y37" s="1041"/>
      <c r="Z37" s="1041"/>
      <c r="AA37" s="1152"/>
      <c r="AB37" s="1156"/>
      <c r="AC37" s="1157"/>
      <c r="AD37" s="1054"/>
      <c r="AE37" s="1054"/>
      <c r="AF37" s="1127"/>
      <c r="AG37" s="1128"/>
      <c r="AH37" s="1064"/>
      <c r="AI37" s="1065"/>
      <c r="AJ37" s="1065"/>
      <c r="AK37" s="1066"/>
      <c r="AL37" s="1066"/>
      <c r="AM37" s="1066"/>
      <c r="AN37" s="1049"/>
      <c r="AO37" s="1050"/>
      <c r="AP37" s="1050"/>
      <c r="AQ37" s="1050"/>
      <c r="AR37" s="355"/>
      <c r="AS37" s="355"/>
      <c r="AT37" s="1104"/>
      <c r="AU37" s="1104"/>
      <c r="AV37" s="1105"/>
      <c r="AW37" s="1025"/>
      <c r="AX37" s="1025"/>
      <c r="AY37" s="1114"/>
      <c r="AZ37" s="1116"/>
      <c r="BA37" s="1109"/>
      <c r="BB37" s="1121"/>
      <c r="BC37" s="931"/>
      <c r="BD37" s="931"/>
      <c r="BE37" s="931"/>
      <c r="BF37" s="931"/>
      <c r="BG37" s="931"/>
      <c r="BH37" s="1107"/>
      <c r="BI37" s="1105"/>
      <c r="BJ37" s="1105"/>
      <c r="BK37" s="931"/>
      <c r="BL37" s="1119"/>
    </row>
    <row r="38" spans="2:64" ht="15.95" customHeight="1">
      <c r="B38" s="905"/>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s="235"/>
      <c r="AP38" s="235"/>
      <c r="AQ38" s="235"/>
      <c r="AR38" s="235"/>
      <c r="AS38" s="235"/>
      <c r="AT38"/>
      <c r="AU38"/>
      <c r="AV38"/>
      <c r="AY38"/>
      <c r="AZ38"/>
      <c r="BA38"/>
      <c r="BB38"/>
      <c r="BC38"/>
    </row>
    <row r="39" spans="2:64" ht="15.95" hidden="1" customHeight="1">
      <c r="B39" s="90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s="235"/>
      <c r="AP39" s="235"/>
      <c r="AQ39" s="235"/>
      <c r="AR39" s="235"/>
      <c r="AS39" s="235"/>
      <c r="AT39"/>
      <c r="AU39"/>
      <c r="AV39"/>
      <c r="AY39"/>
      <c r="AZ39"/>
      <c r="BA39"/>
      <c r="BB39"/>
      <c r="BC39"/>
    </row>
    <row r="40" spans="2:64" ht="15.95" hidden="1" customHeight="1">
      <c r="B40" s="90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s="235"/>
      <c r="AP40" s="235"/>
      <c r="AQ40" s="235"/>
      <c r="AR40" s="235"/>
      <c r="AS40" s="235"/>
      <c r="AT40"/>
      <c r="AU40"/>
      <c r="AV40"/>
      <c r="AY40"/>
      <c r="AZ40"/>
      <c r="BA40"/>
      <c r="BB40"/>
      <c r="BC40"/>
    </row>
    <row r="41" spans="2:64" ht="15.95" hidden="1" customHeight="1">
      <c r="B41" s="905"/>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s="235"/>
      <c r="AP41" s="235"/>
      <c r="AQ41" s="235"/>
      <c r="AR41" s="235"/>
      <c r="AS41" s="235"/>
      <c r="AT41"/>
      <c r="AU41"/>
      <c r="AV41"/>
      <c r="AY41"/>
      <c r="AZ41"/>
      <c r="BA41"/>
      <c r="BB41"/>
      <c r="BC41"/>
    </row>
    <row r="42" spans="2:64" ht="15.95" hidden="1" customHeight="1">
      <c r="B42" s="90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s="235"/>
      <c r="AP42" s="235"/>
      <c r="AQ42" s="235"/>
      <c r="AR42" s="235"/>
      <c r="AS42" s="235"/>
      <c r="AT42"/>
      <c r="AU42"/>
      <c r="AV42"/>
      <c r="AY42"/>
      <c r="AZ42"/>
      <c r="BA42"/>
      <c r="BB42"/>
      <c r="BC42"/>
    </row>
    <row r="43" spans="2:64" ht="15.95" hidden="1" customHeight="1">
      <c r="B43" s="90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s="235"/>
      <c r="AP43" s="235"/>
      <c r="AQ43" s="235"/>
      <c r="AR43" s="235"/>
      <c r="AS43" s="235"/>
      <c r="AT43"/>
      <c r="AU43"/>
      <c r="AV43"/>
      <c r="AY43"/>
      <c r="AZ43"/>
      <c r="BA43"/>
      <c r="BB43"/>
      <c r="BC43"/>
    </row>
    <row r="44" spans="2:64" ht="15.95" hidden="1" customHeight="1">
      <c r="B44" s="905"/>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s="235"/>
      <c r="AP44" s="235"/>
      <c r="AQ44" s="235"/>
      <c r="AR44" s="235"/>
      <c r="AS44" s="235"/>
      <c r="AT44"/>
      <c r="AU44"/>
      <c r="AV44"/>
      <c r="AY44"/>
      <c r="AZ44"/>
      <c r="BA44"/>
      <c r="BB44"/>
      <c r="BC44"/>
    </row>
    <row r="45" spans="2:64" ht="15.95" hidden="1" customHeight="1">
      <c r="B45" s="90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s="235"/>
      <c r="AP45" s="235"/>
      <c r="AQ45" s="235"/>
      <c r="AR45" s="235"/>
      <c r="AS45" s="235"/>
      <c r="AT45"/>
      <c r="AU45"/>
      <c r="AV45"/>
      <c r="AY45"/>
      <c r="AZ45"/>
      <c r="BA45"/>
      <c r="BB45"/>
      <c r="BC45"/>
    </row>
    <row r="46" spans="2:64" ht="15.95" hidden="1" customHeight="1">
      <c r="B46" s="90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s="235"/>
      <c r="AP46" s="235"/>
      <c r="AQ46" s="235"/>
      <c r="AR46" s="235"/>
      <c r="AS46" s="235"/>
      <c r="AT46"/>
      <c r="AU46"/>
      <c r="AV46"/>
      <c r="AY46"/>
      <c r="AZ46"/>
      <c r="BA46"/>
      <c r="BB46"/>
      <c r="BC46"/>
    </row>
    <row r="47" spans="2:64" ht="15.95" hidden="1" customHeight="1">
      <c r="B47" s="905"/>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s="235"/>
      <c r="AP47" s="235"/>
      <c r="AQ47" s="235"/>
      <c r="AR47" s="235"/>
      <c r="AS47" s="235"/>
      <c r="AT47"/>
      <c r="AU47"/>
      <c r="AV47"/>
      <c r="AY47"/>
      <c r="AZ47"/>
      <c r="BA47"/>
      <c r="BB47"/>
      <c r="BC47"/>
    </row>
    <row r="48" spans="2:64" ht="15.95" hidden="1" customHeight="1">
      <c r="AO48" s="235"/>
      <c r="AP48" s="235"/>
      <c r="AQ48" s="235"/>
      <c r="AR48" s="235"/>
      <c r="AS48" s="235"/>
      <c r="AU48" s="57"/>
      <c r="AV48" s="64"/>
      <c r="AW48" s="64"/>
      <c r="AX48" s="64"/>
    </row>
    <row r="49" spans="41:50" ht="15.95" hidden="1" customHeight="1">
      <c r="AO49" s="235"/>
      <c r="AP49" s="235"/>
      <c r="AQ49" s="235"/>
      <c r="AR49" s="235"/>
      <c r="AS49" s="235"/>
      <c r="AU49" s="57"/>
      <c r="AV49" s="64"/>
      <c r="AW49" s="64"/>
      <c r="AX49" s="64"/>
    </row>
    <row r="50" spans="41:50" ht="15.95" hidden="1" customHeight="1">
      <c r="AO50" s="235"/>
      <c r="AP50" s="235"/>
      <c r="AQ50" s="235"/>
      <c r="AR50" s="235"/>
      <c r="AS50" s="235"/>
      <c r="AU50" s="57"/>
      <c r="AV50" s="64"/>
      <c r="AW50" s="64"/>
      <c r="AX50" s="64"/>
    </row>
    <row r="51" spans="41:50" ht="15.95" hidden="1" customHeight="1">
      <c r="AO51" s="235"/>
      <c r="AP51" s="235"/>
      <c r="AQ51" s="235"/>
      <c r="AR51" s="235"/>
      <c r="AS51" s="235"/>
      <c r="AU51" s="57"/>
      <c r="AV51" s="64"/>
      <c r="AW51" s="64"/>
      <c r="AX51" s="64"/>
    </row>
    <row r="52" spans="41:50" ht="15.95" hidden="1" customHeight="1">
      <c r="AO52" s="235"/>
      <c r="AP52" s="235"/>
      <c r="AQ52" s="235"/>
      <c r="AR52" s="235"/>
      <c r="AS52" s="235"/>
      <c r="AU52" s="57"/>
      <c r="AV52" s="64"/>
      <c r="AW52" s="64"/>
      <c r="AX52" s="64"/>
    </row>
    <row r="53" spans="41:50" ht="15.95" hidden="1" customHeight="1">
      <c r="AO53" s="235"/>
      <c r="AP53" s="235"/>
      <c r="AQ53" s="235"/>
      <c r="AR53" s="235"/>
      <c r="AS53" s="235"/>
      <c r="AU53" s="57"/>
      <c r="AV53" s="64"/>
      <c r="AW53" s="64"/>
      <c r="AX53" s="64"/>
    </row>
    <row r="54" spans="41:50" ht="15.95" hidden="1" customHeight="1">
      <c r="AO54" s="235"/>
      <c r="AP54" s="235"/>
      <c r="AQ54" s="235"/>
      <c r="AR54" s="235"/>
      <c r="AS54" s="235"/>
      <c r="AU54" s="57"/>
      <c r="AV54" s="64"/>
      <c r="AW54" s="64"/>
      <c r="AX54" s="64"/>
    </row>
    <row r="55" spans="41:50" ht="15.95" hidden="1" customHeight="1">
      <c r="AO55" s="235"/>
      <c r="AP55" s="235"/>
      <c r="AQ55" s="235"/>
      <c r="AR55" s="235"/>
      <c r="AS55" s="235"/>
      <c r="AU55" s="57"/>
      <c r="AV55" s="64"/>
      <c r="AW55" s="64"/>
      <c r="AX55" s="64"/>
    </row>
    <row r="56" spans="41:50" ht="15.95" hidden="1" customHeight="1">
      <c r="AO56" s="235"/>
      <c r="AP56" s="235"/>
      <c r="AQ56" s="235"/>
      <c r="AR56" s="235"/>
      <c r="AS56" s="235"/>
      <c r="AU56" s="57"/>
      <c r="AV56" s="64"/>
      <c r="AW56" s="64"/>
      <c r="AX56" s="64"/>
    </row>
    <row r="57" spans="41:50" ht="15.95" hidden="1" customHeight="1">
      <c r="AO57" s="235"/>
      <c r="AP57" s="235"/>
      <c r="AQ57" s="235"/>
      <c r="AR57" s="235"/>
      <c r="AS57" s="235"/>
      <c r="AU57" s="57"/>
      <c r="AV57" s="64"/>
      <c r="AW57" s="64"/>
      <c r="AX57" s="64"/>
    </row>
    <row r="58" spans="41:50" ht="15.95" hidden="1" customHeight="1">
      <c r="AO58" s="235"/>
      <c r="AP58" s="235"/>
      <c r="AQ58" s="235"/>
      <c r="AR58" s="235"/>
      <c r="AS58" s="235"/>
      <c r="AU58" s="57"/>
      <c r="AV58" s="64"/>
      <c r="AW58" s="64"/>
      <c r="AX58" s="64"/>
    </row>
    <row r="59" spans="41:50" ht="15.95" hidden="1" customHeight="1">
      <c r="AO59" s="235"/>
      <c r="AP59" s="235"/>
      <c r="AQ59" s="235"/>
      <c r="AR59" s="235"/>
      <c r="AS59" s="235"/>
      <c r="AU59" s="57"/>
      <c r="AV59" s="64"/>
      <c r="AW59" s="64"/>
      <c r="AX59" s="64"/>
    </row>
    <row r="60" spans="41:50" ht="15.95" hidden="1" customHeight="1">
      <c r="AO60" s="235"/>
      <c r="AP60" s="235"/>
      <c r="AQ60" s="235"/>
      <c r="AR60" s="235"/>
      <c r="AS60" s="235"/>
      <c r="AU60" s="57"/>
      <c r="AV60" s="64"/>
      <c r="AW60" s="64"/>
      <c r="AX60" s="64"/>
    </row>
    <row r="61" spans="41:50" ht="15.95" hidden="1" customHeight="1">
      <c r="AO61" s="235"/>
      <c r="AP61" s="235"/>
      <c r="AQ61" s="235"/>
      <c r="AR61" s="235"/>
      <c r="AS61" s="235"/>
      <c r="AU61" s="57"/>
      <c r="AV61" s="64"/>
      <c r="AW61" s="64"/>
      <c r="AX61" s="64"/>
    </row>
    <row r="62" spans="41:50" ht="15.95" hidden="1" customHeight="1">
      <c r="AU62" s="57"/>
      <c r="AV62" s="64"/>
      <c r="AW62" s="64"/>
      <c r="AX62" s="64"/>
    </row>
    <row r="63" spans="41:50" ht="15.95" hidden="1" customHeight="1">
      <c r="AU63" s="57"/>
      <c r="AV63" s="64"/>
      <c r="AW63" s="64"/>
      <c r="AX63" s="64"/>
    </row>
    <row r="64" spans="41:50" ht="15.95" hidden="1" customHeight="1">
      <c r="AU64" s="57"/>
      <c r="AV64" s="64"/>
      <c r="AW64" s="64"/>
      <c r="AX64" s="64"/>
    </row>
    <row r="65" spans="47:50" ht="15.95" hidden="1" customHeight="1">
      <c r="AU65" s="57"/>
      <c r="AV65" s="64"/>
      <c r="AW65" s="64"/>
      <c r="AX65" s="64"/>
    </row>
    <row r="66" spans="47:50" ht="15.95" hidden="1" customHeight="1">
      <c r="AU66" s="57"/>
      <c r="AV66" s="64"/>
      <c r="AW66" s="64"/>
      <c r="AX66" s="64"/>
    </row>
    <row r="67" spans="47:50" ht="15.95" hidden="1" customHeight="1">
      <c r="AU67" s="57"/>
      <c r="AV67" s="64"/>
      <c r="AW67" s="64"/>
      <c r="AX67" s="64"/>
    </row>
    <row r="68" spans="47:50" ht="15.95" hidden="1" customHeight="1">
      <c r="AU68" s="57"/>
      <c r="AV68" s="64"/>
      <c r="AW68" s="64"/>
      <c r="AX68" s="64"/>
    </row>
    <row r="69" spans="47:50" ht="15.95" hidden="1" customHeight="1">
      <c r="AU69" s="57"/>
      <c r="AV69" s="64"/>
      <c r="AW69" s="64"/>
      <c r="AX69" s="64"/>
    </row>
    <row r="70" spans="47:50" ht="15.95" hidden="1" customHeight="1">
      <c r="AU70" s="57"/>
      <c r="AV70" s="64"/>
      <c r="AW70" s="64"/>
      <c r="AX70" s="64"/>
    </row>
    <row r="71" spans="47:50" ht="15.95" hidden="1" customHeight="1">
      <c r="AU71" s="57"/>
      <c r="AV71" s="64"/>
      <c r="AW71" s="64"/>
      <c r="AX71" s="64"/>
    </row>
    <row r="72" spans="47:50" ht="15.95" hidden="1" customHeight="1">
      <c r="AU72" s="57"/>
      <c r="AV72" s="64"/>
      <c r="AW72" s="64"/>
      <c r="AX72" s="64"/>
    </row>
    <row r="73" spans="47:50" ht="15.95" hidden="1" customHeight="1">
      <c r="AU73" s="57"/>
      <c r="AV73" s="64"/>
      <c r="AW73" s="64"/>
      <c r="AX73" s="64"/>
    </row>
    <row r="74" spans="47:50" ht="15.95" hidden="1" customHeight="1">
      <c r="AU74" s="57"/>
      <c r="AV74" s="64"/>
      <c r="AW74" s="64"/>
      <c r="AX74" s="64"/>
    </row>
    <row r="75" spans="47:50" ht="15.95" hidden="1" customHeight="1">
      <c r="AU75" s="57"/>
      <c r="AV75" s="64"/>
      <c r="AW75" s="64"/>
      <c r="AX75" s="64"/>
    </row>
    <row r="76" spans="47:50" ht="15.95" hidden="1" customHeight="1">
      <c r="AU76" s="57"/>
      <c r="AV76" s="64"/>
      <c r="AW76" s="64"/>
      <c r="AX76" s="64"/>
    </row>
    <row r="77" spans="47:50" ht="15.95" hidden="1" customHeight="1">
      <c r="AU77" s="57"/>
      <c r="AV77" s="64"/>
      <c r="AW77" s="64"/>
      <c r="AX77" s="64"/>
    </row>
    <row r="78" spans="47:50" ht="15.95" hidden="1" customHeight="1">
      <c r="AU78" s="57"/>
      <c r="AV78" s="64"/>
      <c r="AW78" s="64"/>
      <c r="AX78" s="64"/>
    </row>
    <row r="79" spans="47:50" ht="15.95" hidden="1" customHeight="1">
      <c r="AU79" s="57"/>
      <c r="AV79" s="64"/>
      <c r="AW79" s="64"/>
      <c r="AX79" s="64"/>
    </row>
    <row r="80" spans="47:50" ht="15.95" hidden="1" customHeight="1">
      <c r="AU80" s="57"/>
      <c r="AV80" s="64"/>
      <c r="AW80" s="64"/>
      <c r="AX80" s="64"/>
    </row>
    <row r="81" spans="47:50" ht="15.95" hidden="1" customHeight="1">
      <c r="AU81" s="57"/>
      <c r="AV81" s="64"/>
      <c r="AW81" s="64"/>
      <c r="AX81" s="64"/>
    </row>
    <row r="82" spans="47:50" ht="15.95" hidden="1" customHeight="1">
      <c r="AU82" s="57"/>
      <c r="AV82" s="64"/>
      <c r="AW82" s="64"/>
      <c r="AX82" s="64"/>
    </row>
    <row r="83" spans="47:50" ht="15.95" hidden="1" customHeight="1">
      <c r="AU83" s="57"/>
      <c r="AV83" s="64"/>
      <c r="AW83" s="64"/>
      <c r="AX83" s="64"/>
    </row>
    <row r="84" spans="47:50" ht="15.95" hidden="1" customHeight="1">
      <c r="AU84" s="57"/>
      <c r="AV84" s="64"/>
      <c r="AW84" s="64"/>
      <c r="AX84" s="64"/>
    </row>
    <row r="85" spans="47:50" ht="15.95" hidden="1" customHeight="1">
      <c r="AU85" s="57"/>
      <c r="AV85" s="64"/>
      <c r="AW85" s="64"/>
      <c r="AX85" s="64"/>
    </row>
    <row r="86" spans="47:50" ht="15.95" hidden="1" customHeight="1">
      <c r="AU86" s="57"/>
      <c r="AV86" s="64"/>
      <c r="AW86" s="64"/>
      <c r="AX86" s="64"/>
    </row>
    <row r="87" spans="47:50" ht="15.95" hidden="1" customHeight="1">
      <c r="AU87" s="57"/>
      <c r="AV87" s="64"/>
      <c r="AW87" s="64"/>
      <c r="AX87" s="64"/>
    </row>
    <row r="88" spans="47:50" ht="15.95" hidden="1" customHeight="1">
      <c r="AU88" s="57"/>
      <c r="AV88" s="64"/>
      <c r="AW88" s="64"/>
      <c r="AX88" s="64"/>
    </row>
    <row r="89" spans="47:50" ht="15.95" hidden="1" customHeight="1">
      <c r="AU89" s="57"/>
      <c r="AV89" s="64"/>
      <c r="AW89" s="64"/>
      <c r="AX89" s="64"/>
    </row>
    <row r="90" spans="47:50" ht="15.95" hidden="1" customHeight="1">
      <c r="AU90" s="57"/>
      <c r="AV90" s="64"/>
      <c r="AW90" s="64"/>
      <c r="AX90" s="64"/>
    </row>
    <row r="91" spans="47:50" ht="15.95" hidden="1" customHeight="1">
      <c r="AU91" s="57"/>
      <c r="AV91" s="64"/>
      <c r="AW91" s="64"/>
      <c r="AX91" s="64"/>
    </row>
    <row r="92" spans="47:50" ht="15.95" hidden="1" customHeight="1">
      <c r="AU92" s="57"/>
      <c r="AV92" s="64"/>
      <c r="AW92" s="64"/>
      <c r="AX92" s="64"/>
    </row>
    <row r="93" spans="47:50" ht="15.95" hidden="1" customHeight="1">
      <c r="AU93" s="57"/>
      <c r="AV93" s="64"/>
      <c r="AW93" s="64"/>
      <c r="AX93" s="64"/>
    </row>
    <row r="94" spans="47:50" ht="15.95" hidden="1" customHeight="1">
      <c r="AU94" s="57"/>
      <c r="AV94" s="64"/>
      <c r="AW94" s="64"/>
      <c r="AX94" s="64"/>
    </row>
    <row r="95" spans="47:50" ht="15.95" hidden="1" customHeight="1">
      <c r="AU95" s="57"/>
      <c r="AV95" s="64"/>
      <c r="AW95" s="64"/>
      <c r="AX95" s="64"/>
    </row>
    <row r="96" spans="47:50" ht="15.95" hidden="1" customHeight="1">
      <c r="AU96" s="57"/>
      <c r="AV96" s="64"/>
      <c r="AW96" s="64"/>
      <c r="AX96" s="64"/>
    </row>
    <row r="97" spans="47:50" ht="15.95" hidden="1" customHeight="1">
      <c r="AU97" s="57"/>
      <c r="AV97" s="64"/>
      <c r="AW97" s="64"/>
      <c r="AX97" s="64"/>
    </row>
    <row r="98" spans="47:50" ht="15.95" hidden="1" customHeight="1">
      <c r="AU98" s="57"/>
      <c r="AV98" s="64"/>
      <c r="AW98" s="64"/>
      <c r="AX98" s="64"/>
    </row>
    <row r="99" spans="47:50" ht="15.95" hidden="1" customHeight="1">
      <c r="AU99" s="57"/>
      <c r="AV99" s="64"/>
      <c r="AW99" s="64"/>
      <c r="AX99" s="64"/>
    </row>
    <row r="100" spans="47:50" ht="15.95" hidden="1" customHeight="1">
      <c r="AU100" s="57"/>
      <c r="AV100" s="64"/>
      <c r="AW100" s="64"/>
      <c r="AX100" s="64"/>
    </row>
    <row r="101" spans="47:50" ht="15.95" hidden="1" customHeight="1">
      <c r="AU101" s="57"/>
      <c r="AV101" s="64"/>
      <c r="AW101" s="64"/>
      <c r="AX101" s="64"/>
    </row>
    <row r="102" spans="47:50" ht="15.95" hidden="1" customHeight="1">
      <c r="AU102" s="57"/>
      <c r="AV102" s="64"/>
      <c r="AW102" s="64"/>
      <c r="AX102" s="64"/>
    </row>
    <row r="103" spans="47:50" ht="15.95" hidden="1" customHeight="1">
      <c r="AU103" s="57"/>
      <c r="AV103" s="64"/>
      <c r="AW103" s="64"/>
      <c r="AX103" s="64"/>
    </row>
    <row r="104" spans="47:50" ht="15.95" hidden="1" customHeight="1">
      <c r="AU104" s="57"/>
      <c r="AV104" s="64"/>
      <c r="AW104" s="64"/>
      <c r="AX104" s="64"/>
    </row>
    <row r="105" spans="47:50" ht="15.95" hidden="1" customHeight="1">
      <c r="AU105" s="57"/>
      <c r="AV105" s="64"/>
      <c r="AW105" s="64"/>
      <c r="AX105" s="64"/>
    </row>
    <row r="106" spans="47:50" ht="15.95" hidden="1" customHeight="1">
      <c r="AU106" s="57"/>
      <c r="AV106" s="64"/>
      <c r="AW106" s="64"/>
      <c r="AX106" s="64"/>
    </row>
    <row r="107" spans="47:50" ht="15.95" hidden="1" customHeight="1">
      <c r="AU107" s="57"/>
      <c r="AV107" s="64"/>
      <c r="AW107" s="64"/>
      <c r="AX107" s="64"/>
    </row>
    <row r="108" spans="47:50" ht="15.95" hidden="1" customHeight="1">
      <c r="AU108" s="57"/>
      <c r="AV108" s="64"/>
      <c r="AW108" s="64"/>
      <c r="AX108" s="64"/>
    </row>
    <row r="109" spans="47:50" ht="15.95" hidden="1" customHeight="1">
      <c r="AU109" s="57"/>
      <c r="AV109" s="64"/>
      <c r="AW109" s="64"/>
      <c r="AX109" s="64"/>
    </row>
    <row r="110" spans="47:50" ht="15.95" hidden="1" customHeight="1">
      <c r="AU110" s="57"/>
      <c r="AV110" s="64"/>
      <c r="AW110" s="64"/>
      <c r="AX110" s="64"/>
    </row>
    <row r="111" spans="47:50" ht="15.95" hidden="1" customHeight="1">
      <c r="AU111" s="57"/>
      <c r="AV111" s="64"/>
      <c r="AW111" s="64"/>
      <c r="AX111" s="64"/>
    </row>
    <row r="112" spans="47:50" ht="15.95" hidden="1" customHeight="1">
      <c r="AU112" s="57"/>
      <c r="AV112" s="64"/>
      <c r="AW112" s="64"/>
      <c r="AX112" s="64"/>
    </row>
    <row r="113" spans="47:50" ht="15.95" hidden="1" customHeight="1">
      <c r="AU113" s="57"/>
      <c r="AV113" s="64"/>
      <c r="AW113" s="64"/>
      <c r="AX113" s="64"/>
    </row>
    <row r="114" spans="47:50" ht="15.95" hidden="1" customHeight="1">
      <c r="AU114" s="57"/>
      <c r="AV114" s="64"/>
      <c r="AW114" s="64"/>
      <c r="AX114" s="64"/>
    </row>
    <row r="115" spans="47:50" ht="15.95" hidden="1" customHeight="1">
      <c r="AU115" s="57"/>
      <c r="AV115" s="64"/>
      <c r="AW115" s="64"/>
      <c r="AX115" s="64"/>
    </row>
    <row r="116" spans="47:50" ht="15.95" hidden="1" customHeight="1">
      <c r="AU116" s="57"/>
      <c r="AV116" s="64"/>
      <c r="AW116" s="64"/>
      <c r="AX116" s="64"/>
    </row>
    <row r="117" spans="47:50" ht="15.95" hidden="1" customHeight="1">
      <c r="AU117" s="57"/>
      <c r="AV117" s="64"/>
      <c r="AW117" s="64"/>
      <c r="AX117" s="64"/>
    </row>
    <row r="118" spans="47:50" ht="15.95" hidden="1" customHeight="1">
      <c r="AU118" s="57"/>
      <c r="AV118" s="64"/>
      <c r="AW118" s="64"/>
      <c r="AX118" s="64"/>
    </row>
    <row r="119" spans="47:50" ht="15.95" hidden="1" customHeight="1">
      <c r="AU119" s="57"/>
      <c r="AV119" s="64"/>
      <c r="AW119" s="64"/>
      <c r="AX119" s="64"/>
    </row>
    <row r="120" spans="47:50" ht="15.95" hidden="1" customHeight="1">
      <c r="AU120" s="57"/>
      <c r="AV120" s="64"/>
      <c r="AW120" s="64"/>
      <c r="AX120" s="64"/>
    </row>
    <row r="121" spans="47:50" ht="15.95" hidden="1" customHeight="1">
      <c r="AU121" s="57"/>
      <c r="AV121" s="64"/>
      <c r="AW121" s="64"/>
      <c r="AX121" s="64"/>
    </row>
    <row r="122" spans="47:50" ht="15.95" hidden="1" customHeight="1">
      <c r="AU122" s="57"/>
      <c r="AV122" s="64"/>
      <c r="AW122" s="64"/>
      <c r="AX122" s="64"/>
    </row>
    <row r="123" spans="47:50" ht="15.95" hidden="1" customHeight="1">
      <c r="AU123" s="57"/>
      <c r="AV123" s="64"/>
      <c r="AW123" s="64"/>
      <c r="AX123" s="64"/>
    </row>
    <row r="124" spans="47:50" ht="15.95" hidden="1" customHeight="1">
      <c r="AU124" s="57"/>
      <c r="AV124" s="64"/>
      <c r="AW124" s="64"/>
      <c r="AX124" s="64"/>
    </row>
    <row r="125" spans="47:50" ht="15.95" hidden="1" customHeight="1">
      <c r="AU125" s="57"/>
      <c r="AV125" s="64"/>
      <c r="AW125" s="64"/>
      <c r="AX125" s="64"/>
    </row>
    <row r="126" spans="47:50" ht="15.95" hidden="1" customHeight="1">
      <c r="AU126" s="57"/>
      <c r="AV126" s="64"/>
      <c r="AW126" s="64"/>
      <c r="AX126" s="64"/>
    </row>
    <row r="127" spans="47:50" ht="15.95" hidden="1" customHeight="1">
      <c r="AU127" s="57"/>
      <c r="AV127" s="64"/>
      <c r="AW127" s="64"/>
      <c r="AX127" s="64"/>
    </row>
    <row r="128" spans="47:50" ht="15.95" hidden="1" customHeight="1">
      <c r="AU128" s="57"/>
      <c r="AV128" s="64"/>
      <c r="AW128" s="64"/>
      <c r="AX128" s="64"/>
    </row>
    <row r="129" spans="47:50" ht="15.95" hidden="1" customHeight="1">
      <c r="AU129" s="57"/>
      <c r="AV129" s="64"/>
      <c r="AW129" s="64"/>
      <c r="AX129" s="64"/>
    </row>
    <row r="130" spans="47:50" ht="15.95" hidden="1" customHeight="1">
      <c r="AU130" s="57"/>
      <c r="AV130" s="64"/>
      <c r="AW130" s="64"/>
      <c r="AX130" s="64"/>
    </row>
    <row r="131" spans="47:50" ht="15.95" hidden="1" customHeight="1">
      <c r="AU131" s="57"/>
      <c r="AV131" s="64"/>
      <c r="AW131" s="64"/>
      <c r="AX131" s="64"/>
    </row>
    <row r="132" spans="47:50" ht="15.95" hidden="1" customHeight="1">
      <c r="AU132" s="57"/>
      <c r="AV132" s="64"/>
      <c r="AW132" s="64"/>
      <c r="AX132" s="64"/>
    </row>
    <row r="133" spans="47:50" ht="15.95" hidden="1" customHeight="1">
      <c r="AU133" s="57"/>
      <c r="AV133" s="64"/>
      <c r="AW133" s="64"/>
      <c r="AX133" s="64"/>
    </row>
    <row r="134" spans="47:50" ht="15.95" hidden="1" customHeight="1">
      <c r="AU134" s="57"/>
      <c r="AV134" s="64"/>
      <c r="AW134" s="64"/>
      <c r="AX134" s="64"/>
    </row>
    <row r="135" spans="47:50" ht="15.95" hidden="1" customHeight="1">
      <c r="AU135" s="57"/>
      <c r="AV135" s="64"/>
      <c r="AW135" s="64"/>
      <c r="AX135" s="64"/>
    </row>
    <row r="136" spans="47:50" ht="15.95" hidden="1" customHeight="1">
      <c r="AU136" s="57"/>
      <c r="AV136" s="64"/>
      <c r="AW136" s="64"/>
      <c r="AX136" s="64"/>
    </row>
    <row r="137" spans="47:50" ht="15.95" hidden="1" customHeight="1">
      <c r="AU137" s="57"/>
      <c r="AV137" s="64"/>
      <c r="AW137" s="64"/>
      <c r="AX137" s="64"/>
    </row>
    <row r="138" spans="47:50" ht="15.95" hidden="1" customHeight="1">
      <c r="AU138" s="57"/>
      <c r="AV138" s="64"/>
      <c r="AW138" s="64"/>
      <c r="AX138" s="64"/>
    </row>
    <row r="139" spans="47:50" ht="15.95" hidden="1" customHeight="1">
      <c r="AU139" s="57"/>
      <c r="AV139" s="64"/>
      <c r="AW139" s="64"/>
      <c r="AX139" s="64"/>
    </row>
    <row r="140" spans="47:50" ht="15.95" hidden="1" customHeight="1">
      <c r="AU140" s="57"/>
      <c r="AV140" s="64"/>
      <c r="AW140" s="64"/>
      <c r="AX140" s="64"/>
    </row>
    <row r="141" spans="47:50" ht="15.95" hidden="1" customHeight="1">
      <c r="AU141" s="57"/>
      <c r="AV141" s="64"/>
      <c r="AW141" s="64"/>
      <c r="AX141" s="64"/>
    </row>
    <row r="142" spans="47:50" ht="15.95" hidden="1" customHeight="1">
      <c r="AU142" s="57"/>
      <c r="AV142" s="64"/>
      <c r="AW142" s="64"/>
      <c r="AX142" s="64"/>
    </row>
    <row r="143" spans="47:50" ht="15.95" hidden="1" customHeight="1">
      <c r="AU143" s="57"/>
      <c r="AV143" s="64"/>
      <c r="AW143" s="64"/>
      <c r="AX143" s="64"/>
    </row>
    <row r="144" spans="47:50" ht="15.95" hidden="1" customHeight="1">
      <c r="AU144" s="57"/>
      <c r="AV144" s="64"/>
      <c r="AW144" s="64"/>
      <c r="AX144" s="64"/>
    </row>
    <row r="145" spans="47:50" ht="15.95" hidden="1" customHeight="1">
      <c r="AU145" s="57"/>
      <c r="AV145" s="64"/>
      <c r="AW145" s="64"/>
      <c r="AX145" s="64"/>
    </row>
    <row r="146" spans="47:50" ht="15.95" hidden="1" customHeight="1">
      <c r="AU146" s="57"/>
      <c r="AV146" s="64"/>
      <c r="AW146" s="64"/>
      <c r="AX146" s="64"/>
    </row>
    <row r="147" spans="47:50" ht="15.95" hidden="1" customHeight="1">
      <c r="AU147" s="57"/>
      <c r="AV147" s="64"/>
      <c r="AW147" s="64"/>
      <c r="AX147" s="64"/>
    </row>
    <row r="148" spans="47:50" ht="15.95" hidden="1" customHeight="1">
      <c r="AU148" s="57"/>
      <c r="AV148" s="64"/>
      <c r="AW148" s="64"/>
      <c r="AX148" s="64"/>
    </row>
    <row r="149" spans="47:50" ht="15.95" hidden="1" customHeight="1">
      <c r="AU149" s="57"/>
      <c r="AV149" s="64"/>
      <c r="AW149" s="64"/>
      <c r="AX149" s="64"/>
    </row>
    <row r="150" spans="47:50" ht="15.95" hidden="1" customHeight="1">
      <c r="AU150" s="57"/>
      <c r="AV150" s="64"/>
      <c r="AW150" s="64"/>
      <c r="AX150" s="64"/>
    </row>
    <row r="151" spans="47:50" ht="15.95" hidden="1" customHeight="1">
      <c r="AU151" s="57"/>
      <c r="AV151" s="64"/>
      <c r="AW151" s="64"/>
      <c r="AX151" s="64"/>
    </row>
    <row r="152" spans="47:50" ht="15.95" hidden="1" customHeight="1">
      <c r="AU152" s="57"/>
      <c r="AV152" s="64"/>
      <c r="AW152" s="64"/>
      <c r="AX152" s="64"/>
    </row>
    <row r="153" spans="47:50" ht="15.95" hidden="1" customHeight="1">
      <c r="AU153" s="57"/>
      <c r="AV153" s="64"/>
      <c r="AW153" s="64"/>
      <c r="AX153" s="64"/>
    </row>
    <row r="154" spans="47:50" ht="15.95" hidden="1" customHeight="1">
      <c r="AU154" s="57"/>
      <c r="AV154" s="64"/>
      <c r="AW154" s="64"/>
      <c r="AX154" s="64"/>
    </row>
    <row r="155" spans="47:50" ht="15.95" hidden="1" customHeight="1">
      <c r="AU155" s="57"/>
      <c r="AV155" s="64"/>
      <c r="AW155" s="64"/>
      <c r="AX155" s="64"/>
    </row>
    <row r="156" spans="47:50" ht="15.95" hidden="1" customHeight="1">
      <c r="AU156" s="57"/>
      <c r="AV156" s="64"/>
      <c r="AW156" s="64"/>
      <c r="AX156" s="64"/>
    </row>
    <row r="157" spans="47:50" ht="15.95" hidden="1" customHeight="1">
      <c r="AU157" s="57"/>
      <c r="AV157" s="64"/>
      <c r="AW157" s="64"/>
      <c r="AX157" s="64"/>
    </row>
    <row r="158" spans="47:50" ht="15.95" hidden="1" customHeight="1">
      <c r="AU158" s="57"/>
      <c r="AV158" s="64"/>
      <c r="AW158" s="64"/>
      <c r="AX158" s="64"/>
    </row>
    <row r="159" spans="47:50" ht="15.95" hidden="1" customHeight="1">
      <c r="AU159" s="57"/>
      <c r="AV159" s="64"/>
      <c r="AW159" s="64"/>
      <c r="AX159" s="64"/>
    </row>
    <row r="160" spans="47:50" ht="15.95" hidden="1" customHeight="1">
      <c r="AU160" s="57"/>
      <c r="AV160" s="64"/>
      <c r="AW160" s="64"/>
      <c r="AX160" s="64"/>
    </row>
    <row r="161" spans="47:50" ht="15.95" hidden="1" customHeight="1">
      <c r="AU161" s="57"/>
      <c r="AV161" s="64"/>
      <c r="AW161" s="64"/>
      <c r="AX161" s="64"/>
    </row>
    <row r="162" spans="47:50" ht="15.95" hidden="1" customHeight="1">
      <c r="AU162" s="57"/>
      <c r="AV162" s="64"/>
      <c r="AW162" s="64"/>
      <c r="AX162" s="64"/>
    </row>
    <row r="163" spans="47:50" ht="15.95" hidden="1" customHeight="1">
      <c r="AU163" s="57"/>
      <c r="AV163" s="64"/>
      <c r="AW163" s="64"/>
      <c r="AX163" s="64"/>
    </row>
    <row r="164" spans="47:50" ht="15.95" hidden="1" customHeight="1">
      <c r="AU164" s="57"/>
      <c r="AV164" s="64"/>
      <c r="AW164" s="64"/>
      <c r="AX164" s="64"/>
    </row>
    <row r="165" spans="47:50" ht="15.95" hidden="1" customHeight="1">
      <c r="AU165" s="57"/>
      <c r="AV165" s="64"/>
      <c r="AW165" s="64"/>
      <c r="AX165" s="64"/>
    </row>
    <row r="166" spans="47:50" ht="15.95" hidden="1" customHeight="1">
      <c r="AU166" s="57"/>
      <c r="AV166" s="64"/>
      <c r="AW166" s="64"/>
      <c r="AX166" s="64"/>
    </row>
    <row r="167" spans="47:50" ht="15.95" hidden="1" customHeight="1">
      <c r="AU167" s="57"/>
      <c r="AV167" s="64"/>
      <c r="AW167" s="64"/>
      <c r="AX167" s="64"/>
    </row>
    <row r="168" spans="47:50" ht="15.95" hidden="1" customHeight="1">
      <c r="AU168" s="57"/>
      <c r="AV168" s="64"/>
      <c r="AW168" s="64"/>
      <c r="AX168" s="64"/>
    </row>
    <row r="169" spans="47:50" ht="15.95" hidden="1" customHeight="1">
      <c r="AU169" s="57"/>
      <c r="AV169" s="64"/>
      <c r="AW169" s="64"/>
      <c r="AX169" s="64"/>
    </row>
    <row r="170" spans="47:50" ht="15.95" hidden="1" customHeight="1">
      <c r="AU170" s="57"/>
      <c r="AV170" s="64"/>
      <c r="AW170" s="64"/>
      <c r="AX170" s="64"/>
    </row>
    <row r="171" spans="47:50" ht="15.95" hidden="1" customHeight="1">
      <c r="AU171" s="57"/>
      <c r="AV171" s="64"/>
      <c r="AW171" s="64"/>
      <c r="AX171" s="64"/>
    </row>
    <row r="172" spans="47:50" ht="15.95" hidden="1" customHeight="1">
      <c r="AU172" s="57"/>
      <c r="AV172" s="64"/>
      <c r="AW172" s="64"/>
      <c r="AX172" s="64"/>
    </row>
    <row r="173" spans="47:50" ht="15.95" hidden="1" customHeight="1">
      <c r="AU173" s="57"/>
      <c r="AV173" s="64"/>
      <c r="AW173" s="64"/>
      <c r="AX173" s="64"/>
    </row>
    <row r="174" spans="47:50" ht="15.95" hidden="1" customHeight="1">
      <c r="AU174" s="57"/>
      <c r="AV174" s="64"/>
      <c r="AW174" s="64"/>
      <c r="AX174" s="64"/>
    </row>
    <row r="175" spans="47:50" ht="15.95" hidden="1" customHeight="1">
      <c r="AU175" s="57"/>
      <c r="AV175" s="64"/>
      <c r="AW175" s="64"/>
      <c r="AX175" s="64"/>
    </row>
    <row r="176" spans="47:50" ht="15.95" hidden="1" customHeight="1">
      <c r="AU176" s="57"/>
      <c r="AV176" s="64"/>
      <c r="AW176" s="64"/>
      <c r="AX176" s="64"/>
    </row>
    <row r="177" spans="47:50" ht="15.95" hidden="1" customHeight="1">
      <c r="AU177" s="57"/>
      <c r="AV177" s="64"/>
      <c r="AW177" s="64"/>
      <c r="AX177" s="64"/>
    </row>
    <row r="178" spans="47:50" ht="15.95" hidden="1" customHeight="1">
      <c r="AU178" s="57"/>
      <c r="AV178" s="64"/>
      <c r="AW178" s="64"/>
      <c r="AX178" s="64"/>
    </row>
    <row r="179" spans="47:50" ht="15.95" hidden="1" customHeight="1">
      <c r="AU179" s="57"/>
      <c r="AV179" s="64"/>
      <c r="AW179" s="64"/>
      <c r="AX179" s="64"/>
    </row>
    <row r="180" spans="47:50" ht="15.95" hidden="1" customHeight="1">
      <c r="AU180" s="57"/>
      <c r="AV180" s="64"/>
      <c r="AW180" s="64"/>
      <c r="AX180" s="64"/>
    </row>
    <row r="181" spans="47:50" ht="15.95" hidden="1" customHeight="1">
      <c r="AU181" s="57"/>
      <c r="AV181" s="64"/>
      <c r="AW181" s="64"/>
      <c r="AX181" s="64"/>
    </row>
    <row r="182" spans="47:50" ht="15.95" hidden="1" customHeight="1">
      <c r="AU182" s="57"/>
      <c r="AV182" s="64"/>
      <c r="AW182" s="64"/>
      <c r="AX182" s="64"/>
    </row>
    <row r="183" spans="47:50" ht="15.95" hidden="1" customHeight="1">
      <c r="AU183" s="57"/>
      <c r="AV183" s="64"/>
      <c r="AW183" s="64"/>
      <c r="AX183" s="64"/>
    </row>
    <row r="184" spans="47:50" ht="15.95" hidden="1" customHeight="1">
      <c r="AU184" s="57"/>
      <c r="AV184" s="64"/>
      <c r="AW184" s="64"/>
      <c r="AX184" s="64"/>
    </row>
    <row r="185" spans="47:50" ht="15.95" hidden="1" customHeight="1">
      <c r="AU185" s="57"/>
      <c r="AV185" s="64"/>
      <c r="AW185" s="64"/>
      <c r="AX185" s="64"/>
    </row>
    <row r="186" spans="47:50" ht="15.95" hidden="1" customHeight="1">
      <c r="AU186" s="57"/>
      <c r="AV186" s="64"/>
      <c r="AW186" s="64"/>
      <c r="AX186" s="64"/>
    </row>
    <row r="187" spans="47:50" ht="15.95" hidden="1" customHeight="1">
      <c r="AU187" s="57"/>
      <c r="AV187" s="64"/>
      <c r="AW187" s="64"/>
      <c r="AX187" s="64"/>
    </row>
    <row r="188" spans="47:50" ht="15.95" hidden="1" customHeight="1">
      <c r="AU188" s="57"/>
      <c r="AV188" s="64"/>
      <c r="AW188" s="64"/>
      <c r="AX188" s="64"/>
    </row>
    <row r="189" spans="47:50" ht="15.95" hidden="1" customHeight="1">
      <c r="AU189" s="57"/>
      <c r="AV189" s="64"/>
      <c r="AW189" s="64"/>
      <c r="AX189" s="64"/>
    </row>
    <row r="190" spans="47:50" ht="15.95" hidden="1" customHeight="1">
      <c r="AU190" s="57"/>
      <c r="AV190" s="64"/>
      <c r="AW190" s="64"/>
      <c r="AX190" s="64"/>
    </row>
    <row r="191" spans="47:50" ht="15.95" hidden="1" customHeight="1">
      <c r="AU191" s="57"/>
      <c r="AV191" s="64"/>
      <c r="AW191" s="64"/>
      <c r="AX191" s="64"/>
    </row>
    <row r="192" spans="47:50" ht="15.95" hidden="1" customHeight="1">
      <c r="AU192" s="57"/>
      <c r="AV192" s="64"/>
      <c r="AW192" s="64"/>
      <c r="AX192" s="64"/>
    </row>
    <row r="193" spans="1:53" ht="15.95" hidden="1" customHeight="1">
      <c r="AU193" s="57"/>
      <c r="AV193" s="64"/>
      <c r="AW193" s="64"/>
      <c r="AX193" s="64"/>
    </row>
    <row r="194" spans="1:53" ht="15.95" hidden="1" customHeight="1">
      <c r="AU194" s="57"/>
      <c r="AV194" s="64"/>
      <c r="AW194" s="64"/>
      <c r="AX194" s="64"/>
    </row>
    <row r="195" spans="1:53" ht="15.95" hidden="1" customHeight="1">
      <c r="AU195" s="57"/>
      <c r="AV195" s="64"/>
      <c r="AW195" s="64"/>
      <c r="AX195" s="64"/>
    </row>
    <row r="196" spans="1:53" ht="15.95" hidden="1" customHeight="1">
      <c r="AU196" s="57"/>
      <c r="AV196" s="64"/>
      <c r="AW196" s="64"/>
      <c r="AX196" s="64"/>
    </row>
    <row r="197" spans="1:53" ht="15.95" hidden="1" customHeight="1">
      <c r="AU197" s="57"/>
      <c r="AV197" s="64"/>
      <c r="AW197" s="64"/>
      <c r="AX197" s="64"/>
    </row>
    <row r="198" spans="1:53" ht="15.95" hidden="1" customHeight="1">
      <c r="AU198" s="57"/>
      <c r="AV198" s="64"/>
      <c r="AW198" s="64"/>
      <c r="AX198" s="64"/>
    </row>
    <row r="199" spans="1:53" ht="15.95" hidden="1" customHeight="1">
      <c r="AU199" s="57"/>
      <c r="AV199" s="64"/>
      <c r="AW199" s="64"/>
      <c r="AX199" s="64"/>
    </row>
    <row r="200" spans="1:53"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U200"/>
      <c r="AV200"/>
      <c r="AW200" s="1025">
        <f>SUM(AW18:AW37)</f>
        <v>0</v>
      </c>
      <c r="AX200" s="1025">
        <f>SUM(AX18:AX37)</f>
        <v>0</v>
      </c>
      <c r="AY200"/>
      <c r="BA200" s="1026">
        <f>SUM(BA18:BA37)</f>
        <v>0</v>
      </c>
    </row>
    <row r="201" spans="1:53"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U201"/>
      <c r="AV201"/>
      <c r="AW201" s="1025"/>
      <c r="AX201" s="1025"/>
      <c r="AY201"/>
      <c r="BA201" s="1027"/>
    </row>
    <row r="202" spans="1:53"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3" ht="15.95" hidden="1" customHeight="1"/>
    <row r="204" spans="1:53" ht="15.95" hidden="1" customHeight="1"/>
  </sheetData>
  <sheetProtection algorithmName="SHA-512" hashValue="V0Y/R+0ft5yytSkhf2iX8d4gJJk3yI1R51M3bqjeGafKOk4/GlFPpqn8NDQBrfCN+n2vNsGEhe1U+AL/6M6N8w==" saltValue="8rRrjvvomWkY3VpSz5dfwg==" spinCount="100000" sheet="1" objects="1" scenarios="1" selectLockedCells="1"/>
  <mergeCells count="410">
    <mergeCell ref="BL34:BL35"/>
    <mergeCell ref="BL36:BL37"/>
    <mergeCell ref="BL16:BL17"/>
    <mergeCell ref="BL18:BL19"/>
    <mergeCell ref="BL20:BL21"/>
    <mergeCell ref="BL22:BL23"/>
    <mergeCell ref="BL24:BL25"/>
    <mergeCell ref="BL26:BL27"/>
    <mergeCell ref="BL28:BL29"/>
    <mergeCell ref="BL30:BL31"/>
    <mergeCell ref="BL32:BL33"/>
    <mergeCell ref="BK34:BK35"/>
    <mergeCell ref="BK36:BK37"/>
    <mergeCell ref="BK16:BK17"/>
    <mergeCell ref="BK18:BK19"/>
    <mergeCell ref="BK20:BK21"/>
    <mergeCell ref="BK22:BK23"/>
    <mergeCell ref="BK24:BK25"/>
    <mergeCell ref="BK26:BK27"/>
    <mergeCell ref="BK28:BK29"/>
    <mergeCell ref="BK30:BK31"/>
    <mergeCell ref="BK32:BK33"/>
    <mergeCell ref="BG16:BG17"/>
    <mergeCell ref="BG18:BG19"/>
    <mergeCell ref="BG20:BG21"/>
    <mergeCell ref="BG22:BG23"/>
    <mergeCell ref="BG24:BG25"/>
    <mergeCell ref="BG26:BG27"/>
    <mergeCell ref="BG28:BG29"/>
    <mergeCell ref="BG30:BG31"/>
    <mergeCell ref="BG32:BG33"/>
    <mergeCell ref="BI30:BI31"/>
    <mergeCell ref="BA32:BA33"/>
    <mergeCell ref="BJ28:BJ29"/>
    <mergeCell ref="BJ30:BJ31"/>
    <mergeCell ref="BJ26:BJ27"/>
    <mergeCell ref="BA26:BA27"/>
    <mergeCell ref="BB26:BB27"/>
    <mergeCell ref="BC26:BC27"/>
    <mergeCell ref="AO5:AS6"/>
    <mergeCell ref="AO7:AS7"/>
    <mergeCell ref="AO8:AS8"/>
    <mergeCell ref="AW20:AW21"/>
    <mergeCell ref="AX20:AX21"/>
    <mergeCell ref="AW22:AW23"/>
    <mergeCell ref="AX22:AX23"/>
    <mergeCell ref="AW24:AW25"/>
    <mergeCell ref="AX24:AX25"/>
    <mergeCell ref="BE30:BE31"/>
    <mergeCell ref="BF30:BF31"/>
    <mergeCell ref="BH30:BH31"/>
    <mergeCell ref="BD30:BD31"/>
    <mergeCell ref="AN30:AQ31"/>
    <mergeCell ref="AT30:AT31"/>
    <mergeCell ref="AU30:AU31"/>
    <mergeCell ref="BJ36:BJ37"/>
    <mergeCell ref="BB36:BB37"/>
    <mergeCell ref="BC36:BC37"/>
    <mergeCell ref="BD36:BD37"/>
    <mergeCell ref="BE36:BE37"/>
    <mergeCell ref="BF36:BF37"/>
    <mergeCell ref="BI34:BI35"/>
    <mergeCell ref="BI36:BI37"/>
    <mergeCell ref="BF32:BF33"/>
    <mergeCell ref="BF34:BF35"/>
    <mergeCell ref="BH34:BH35"/>
    <mergeCell ref="BH36:BH37"/>
    <mergeCell ref="BE32:BE33"/>
    <mergeCell ref="BJ34:BJ35"/>
    <mergeCell ref="BJ32:BJ33"/>
    <mergeCell ref="BH32:BH33"/>
    <mergeCell ref="BI32:BI33"/>
    <mergeCell ref="BG34:BG35"/>
    <mergeCell ref="BG36:BG37"/>
    <mergeCell ref="X36:Y37"/>
    <mergeCell ref="Z36:AA37"/>
    <mergeCell ref="AB36:AC37"/>
    <mergeCell ref="AD36:AE37"/>
    <mergeCell ref="AU36:AU37"/>
    <mergeCell ref="AV36:AV37"/>
    <mergeCell ref="AY36:AY37"/>
    <mergeCell ref="AZ36:AZ37"/>
    <mergeCell ref="BA36:BA37"/>
    <mergeCell ref="AW36:AW37"/>
    <mergeCell ref="AX36:AX37"/>
    <mergeCell ref="C36:E37"/>
    <mergeCell ref="F36:K37"/>
    <mergeCell ref="L36:O37"/>
    <mergeCell ref="P36:Q37"/>
    <mergeCell ref="R36:S37"/>
    <mergeCell ref="BE34:BE35"/>
    <mergeCell ref="AW32:AW33"/>
    <mergeCell ref="AX32:AX33"/>
    <mergeCell ref="F34:K35"/>
    <mergeCell ref="L34:O35"/>
    <mergeCell ref="P34:Q35"/>
    <mergeCell ref="R34:S35"/>
    <mergeCell ref="T34:W35"/>
    <mergeCell ref="X34:Y35"/>
    <mergeCell ref="Z34:AA35"/>
    <mergeCell ref="AB34:AC35"/>
    <mergeCell ref="AD34:AE35"/>
    <mergeCell ref="AF36:AG37"/>
    <mergeCell ref="AH36:AJ37"/>
    <mergeCell ref="AK36:AM37"/>
    <mergeCell ref="AN36:AQ37"/>
    <mergeCell ref="AT36:AT37"/>
    <mergeCell ref="T36:W37"/>
    <mergeCell ref="AZ34:AZ35"/>
    <mergeCell ref="C34:E35"/>
    <mergeCell ref="AZ32:AZ33"/>
    <mergeCell ref="AF34:AG35"/>
    <mergeCell ref="AH34:AJ35"/>
    <mergeCell ref="AK34:AM35"/>
    <mergeCell ref="AF32:AG33"/>
    <mergeCell ref="AH32:AJ33"/>
    <mergeCell ref="AK32:AM33"/>
    <mergeCell ref="AN32:AQ33"/>
    <mergeCell ref="AT32:AT33"/>
    <mergeCell ref="C32:E33"/>
    <mergeCell ref="F32:K33"/>
    <mergeCell ref="L32:O33"/>
    <mergeCell ref="P32:Q33"/>
    <mergeCell ref="R32:S33"/>
    <mergeCell ref="T32:W33"/>
    <mergeCell ref="X32:Y33"/>
    <mergeCell ref="Z32:AA33"/>
    <mergeCell ref="AB32:AC33"/>
    <mergeCell ref="BA34:BA35"/>
    <mergeCell ref="BB34:BB35"/>
    <mergeCell ref="AU32:AU33"/>
    <mergeCell ref="AV32:AV33"/>
    <mergeCell ref="AY32:AY33"/>
    <mergeCell ref="BB32:BB33"/>
    <mergeCell ref="BC32:BC33"/>
    <mergeCell ref="BD32:BD33"/>
    <mergeCell ref="AD32:AE33"/>
    <mergeCell ref="BD34:BD35"/>
    <mergeCell ref="AN34:AQ35"/>
    <mergeCell ref="AT34:AT35"/>
    <mergeCell ref="AU34:AU35"/>
    <mergeCell ref="AV34:AV35"/>
    <mergeCell ref="AY34:AY35"/>
    <mergeCell ref="BC34:BC35"/>
    <mergeCell ref="AW34:AW35"/>
    <mergeCell ref="AX34:AX35"/>
    <mergeCell ref="C30:E31"/>
    <mergeCell ref="F30:K31"/>
    <mergeCell ref="L30:O31"/>
    <mergeCell ref="P30:Q31"/>
    <mergeCell ref="R30:S31"/>
    <mergeCell ref="T30:W31"/>
    <mergeCell ref="X30:Y31"/>
    <mergeCell ref="Z30:AA31"/>
    <mergeCell ref="AB30:AC31"/>
    <mergeCell ref="AD30:AE31"/>
    <mergeCell ref="AF30:AG31"/>
    <mergeCell ref="AH30:AJ31"/>
    <mergeCell ref="AK30:AM31"/>
    <mergeCell ref="BB28:BB29"/>
    <mergeCell ref="BC28:BC29"/>
    <mergeCell ref="BD28:BD29"/>
    <mergeCell ref="BE28:BE29"/>
    <mergeCell ref="BF28:BF29"/>
    <mergeCell ref="AU28:AU29"/>
    <mergeCell ref="AV28:AV29"/>
    <mergeCell ref="AY28:AY29"/>
    <mergeCell ref="AZ30:AZ31"/>
    <mergeCell ref="AV30:AV31"/>
    <mergeCell ref="AY30:AY31"/>
    <mergeCell ref="AX30:AX31"/>
    <mergeCell ref="AW28:AW29"/>
    <mergeCell ref="AX28:AX29"/>
    <mergeCell ref="AW30:AW31"/>
    <mergeCell ref="BA30:BA31"/>
    <mergeCell ref="BB30:BB31"/>
    <mergeCell ref="BC30:BC31"/>
    <mergeCell ref="BE26:BE27"/>
    <mergeCell ref="BF26:BF27"/>
    <mergeCell ref="BH26:BH27"/>
    <mergeCell ref="BI26:BI27"/>
    <mergeCell ref="AZ28:AZ29"/>
    <mergeCell ref="BA28:BA29"/>
    <mergeCell ref="AF28:AG29"/>
    <mergeCell ref="AH28:AJ29"/>
    <mergeCell ref="AK28:AM29"/>
    <mergeCell ref="AN28:AQ29"/>
    <mergeCell ref="AT28:AT29"/>
    <mergeCell ref="BH28:BH29"/>
    <mergeCell ref="BI28:BI29"/>
    <mergeCell ref="AZ26:AZ27"/>
    <mergeCell ref="AW26:AW27"/>
    <mergeCell ref="AX26:AX27"/>
    <mergeCell ref="X24:Y25"/>
    <mergeCell ref="Z24:AA25"/>
    <mergeCell ref="AB24:AC25"/>
    <mergeCell ref="AD24:AE25"/>
    <mergeCell ref="C28:E29"/>
    <mergeCell ref="F28:K29"/>
    <mergeCell ref="L28:O29"/>
    <mergeCell ref="P28:Q29"/>
    <mergeCell ref="R28:S29"/>
    <mergeCell ref="T28:W29"/>
    <mergeCell ref="X28:Y29"/>
    <mergeCell ref="Z28:AA29"/>
    <mergeCell ref="AB28:AC29"/>
    <mergeCell ref="AD28:AE29"/>
    <mergeCell ref="P24:Q25"/>
    <mergeCell ref="R24:S25"/>
    <mergeCell ref="L24:O25"/>
    <mergeCell ref="T24:W25"/>
    <mergeCell ref="BI24:BI25"/>
    <mergeCell ref="BJ24:BJ25"/>
    <mergeCell ref="C26:E27"/>
    <mergeCell ref="F26:K27"/>
    <mergeCell ref="L26:O27"/>
    <mergeCell ref="P26:Q27"/>
    <mergeCell ref="R26:S27"/>
    <mergeCell ref="T26:W27"/>
    <mergeCell ref="X26:Y27"/>
    <mergeCell ref="Z26:AA27"/>
    <mergeCell ref="AB26:AC27"/>
    <mergeCell ref="AD26:AE27"/>
    <mergeCell ref="AF26:AG27"/>
    <mergeCell ref="AH26:AJ27"/>
    <mergeCell ref="AK26:AM27"/>
    <mergeCell ref="BB24:BB25"/>
    <mergeCell ref="BC24:BC25"/>
    <mergeCell ref="BD24:BD25"/>
    <mergeCell ref="BD26:BD27"/>
    <mergeCell ref="AN26:AQ27"/>
    <mergeCell ref="AT26:AT27"/>
    <mergeCell ref="AU26:AU27"/>
    <mergeCell ref="AV26:AV27"/>
    <mergeCell ref="AY26:AY27"/>
    <mergeCell ref="BH22:BH23"/>
    <mergeCell ref="BI22:BI23"/>
    <mergeCell ref="AZ24:AZ25"/>
    <mergeCell ref="BA24:BA25"/>
    <mergeCell ref="AF24:AG25"/>
    <mergeCell ref="AH24:AJ25"/>
    <mergeCell ref="AK24:AM25"/>
    <mergeCell ref="AN24:AQ25"/>
    <mergeCell ref="AT24:AT25"/>
    <mergeCell ref="BE24:BE25"/>
    <mergeCell ref="BF24:BF25"/>
    <mergeCell ref="AU24:AU25"/>
    <mergeCell ref="AV24:AV25"/>
    <mergeCell ref="AY24:AY25"/>
    <mergeCell ref="AZ22:AZ23"/>
    <mergeCell ref="BA22:BA23"/>
    <mergeCell ref="BB22:BB23"/>
    <mergeCell ref="BC22:BC23"/>
    <mergeCell ref="BD22:BD23"/>
    <mergeCell ref="AN22:AQ23"/>
    <mergeCell ref="AT22:AT23"/>
    <mergeCell ref="AU22:AU23"/>
    <mergeCell ref="AY22:AY23"/>
    <mergeCell ref="BH24:BH25"/>
    <mergeCell ref="BJ20:BJ21"/>
    <mergeCell ref="C22:E23"/>
    <mergeCell ref="F22:K23"/>
    <mergeCell ref="L22:O23"/>
    <mergeCell ref="P22:Q23"/>
    <mergeCell ref="R22:S23"/>
    <mergeCell ref="T22:W23"/>
    <mergeCell ref="X22:Y23"/>
    <mergeCell ref="Z22:AA23"/>
    <mergeCell ref="AB22:AC23"/>
    <mergeCell ref="AD22:AE23"/>
    <mergeCell ref="AF22:AG23"/>
    <mergeCell ref="AH22:AJ23"/>
    <mergeCell ref="AK22:AM23"/>
    <mergeCell ref="BB20:BB21"/>
    <mergeCell ref="BC20:BC21"/>
    <mergeCell ref="BD20:BD21"/>
    <mergeCell ref="BE20:BE21"/>
    <mergeCell ref="BF20:BF21"/>
    <mergeCell ref="AU20:AU21"/>
    <mergeCell ref="AV20:AV21"/>
    <mergeCell ref="BE22:BE23"/>
    <mergeCell ref="AY20:AY21"/>
    <mergeCell ref="BF22:BF23"/>
    <mergeCell ref="BJ22:BJ23"/>
    <mergeCell ref="AZ20:AZ21"/>
    <mergeCell ref="BA20:BA21"/>
    <mergeCell ref="BJ18:BJ19"/>
    <mergeCell ref="C20:E21"/>
    <mergeCell ref="F20:K21"/>
    <mergeCell ref="L20:O21"/>
    <mergeCell ref="P20:Q21"/>
    <mergeCell ref="R20:S21"/>
    <mergeCell ref="T20:W21"/>
    <mergeCell ref="X20:Y21"/>
    <mergeCell ref="Z20:AA21"/>
    <mergeCell ref="AB20:AC21"/>
    <mergeCell ref="AD20:AE21"/>
    <mergeCell ref="AF20:AG21"/>
    <mergeCell ref="AH20:AJ21"/>
    <mergeCell ref="AK20:AM21"/>
    <mergeCell ref="AN20:AQ21"/>
    <mergeCell ref="AT20:AT21"/>
    <mergeCell ref="BD18:BD19"/>
    <mergeCell ref="BE18:BE19"/>
    <mergeCell ref="BF18:BF19"/>
    <mergeCell ref="BH18:BH19"/>
    <mergeCell ref="BI18:BI19"/>
    <mergeCell ref="BH20:BH21"/>
    <mergeCell ref="BI16:BI17"/>
    <mergeCell ref="BJ16:BJ17"/>
    <mergeCell ref="AD17:AE17"/>
    <mergeCell ref="AF17:AG17"/>
    <mergeCell ref="C18:E19"/>
    <mergeCell ref="F18:K19"/>
    <mergeCell ref="L18:O19"/>
    <mergeCell ref="P18:Q19"/>
    <mergeCell ref="R18:S19"/>
    <mergeCell ref="T18:W19"/>
    <mergeCell ref="X18:Y19"/>
    <mergeCell ref="Z18:AA19"/>
    <mergeCell ref="AB18:AC19"/>
    <mergeCell ref="AD18:AE19"/>
    <mergeCell ref="AF18:AG19"/>
    <mergeCell ref="AH18:AJ19"/>
    <mergeCell ref="BF16:BF17"/>
    <mergeCell ref="BH16:BH17"/>
    <mergeCell ref="BD16:BD17"/>
    <mergeCell ref="BE16:BE17"/>
    <mergeCell ref="AW16:AW17"/>
    <mergeCell ref="AX16:AX17"/>
    <mergeCell ref="BI20:BI21"/>
    <mergeCell ref="AP1:AS3"/>
    <mergeCell ref="C16:E17"/>
    <mergeCell ref="F16:K17"/>
    <mergeCell ref="L16:O17"/>
    <mergeCell ref="P16:Q17"/>
    <mergeCell ref="R16:S17"/>
    <mergeCell ref="T16:W17"/>
    <mergeCell ref="X16:Y17"/>
    <mergeCell ref="Z16:AA17"/>
    <mergeCell ref="AB16:AC17"/>
    <mergeCell ref="AD16:AG16"/>
    <mergeCell ref="F1:I3"/>
    <mergeCell ref="J1:M3"/>
    <mergeCell ref="AH1:AK3"/>
    <mergeCell ref="AL1:AO3"/>
    <mergeCell ref="A4:E6"/>
    <mergeCell ref="A7:E8"/>
    <mergeCell ref="H9:K11"/>
    <mergeCell ref="L9:O11"/>
    <mergeCell ref="P9:S11"/>
    <mergeCell ref="T9:W11"/>
    <mergeCell ref="X9:AA11"/>
    <mergeCell ref="AB9:AE11"/>
    <mergeCell ref="R14:U14"/>
    <mergeCell ref="V14:Y14"/>
    <mergeCell ref="Z14:AC14"/>
    <mergeCell ref="AF9:AI11"/>
    <mergeCell ref="AJ9:AM11"/>
    <mergeCell ref="R12:U13"/>
    <mergeCell ref="V12:Y13"/>
    <mergeCell ref="Z12:AC13"/>
    <mergeCell ref="AI13:AQ13"/>
    <mergeCell ref="C13:P13"/>
    <mergeCell ref="AV22:AV23"/>
    <mergeCell ref="BC16:BC17"/>
    <mergeCell ref="B18:B19"/>
    <mergeCell ref="AK16:AM17"/>
    <mergeCell ref="AN16:AQ17"/>
    <mergeCell ref="AT16:AT17"/>
    <mergeCell ref="AK18:AM19"/>
    <mergeCell ref="AN18:AQ19"/>
    <mergeCell ref="AT18:AT19"/>
    <mergeCell ref="AU18:AU19"/>
    <mergeCell ref="AV18:AV19"/>
    <mergeCell ref="AY18:AY19"/>
    <mergeCell ref="AZ18:AZ19"/>
    <mergeCell ref="BA18:BA19"/>
    <mergeCell ref="BB18:BB19"/>
    <mergeCell ref="BC18:BC19"/>
    <mergeCell ref="AY16:AY17"/>
    <mergeCell ref="AZ16:AZ17"/>
    <mergeCell ref="BA16:BA17"/>
    <mergeCell ref="BB16:BB17"/>
    <mergeCell ref="AW18:AW19"/>
    <mergeCell ref="AX18:AX19"/>
    <mergeCell ref="O1:AE3"/>
    <mergeCell ref="AW200:AW201"/>
    <mergeCell ref="AX200:AX201"/>
    <mergeCell ref="BA200:BA201"/>
    <mergeCell ref="M200:AG201"/>
    <mergeCell ref="AU16:AU17"/>
    <mergeCell ref="AV16:AV17"/>
    <mergeCell ref="B46:B47"/>
    <mergeCell ref="B44:B45"/>
    <mergeCell ref="B42:B43"/>
    <mergeCell ref="B40:B41"/>
    <mergeCell ref="B38:B39"/>
    <mergeCell ref="B36:B37"/>
    <mergeCell ref="B34:B35"/>
    <mergeCell ref="B32:B33"/>
    <mergeCell ref="B30:B31"/>
    <mergeCell ref="B28:B29"/>
    <mergeCell ref="B26:B27"/>
    <mergeCell ref="B24:B25"/>
    <mergeCell ref="B22:B23"/>
    <mergeCell ref="AH16:AJ17"/>
    <mergeCell ref="B20:B21"/>
    <mergeCell ref="C24:E25"/>
    <mergeCell ref="F24:K25"/>
  </mergeCells>
  <conditionalFormatting sqref="F18:AE19 F22:AG37 AB20:AE21 AF18:AG21">
    <cfRule type="expression" dxfId="73" priority="7">
      <formula>AND(ISBLANK($C18)=FALSE,OR(ISBLANK(F18)=TRUE,F18=""))</formula>
    </cfRule>
  </conditionalFormatting>
  <conditionalFormatting sqref="AO8:AS8">
    <cfRule type="expression" dxfId="72" priority="6">
      <formula>IF($AO$8=PROJSTATMEASURE,FALSE,TRUE)</formula>
    </cfRule>
  </conditionalFormatting>
  <conditionalFormatting sqref="F20:AA21">
    <cfRule type="expression" dxfId="71" priority="5">
      <formula>AND(ISBLANK($C20)=FALSE,OR(ISBLANK(F20)=TRUE,F20=""))</formula>
    </cfRule>
  </conditionalFormatting>
  <conditionalFormatting sqref="AN18:AQ37">
    <cfRule type="expression" dxfId="70" priority="3">
      <formula>ISNUMBER($AN18)=FALSE</formula>
    </cfRule>
  </conditionalFormatting>
  <conditionalFormatting sqref="AY18:AY37">
    <cfRule type="expression" dxfId="69" priority="2">
      <formula>AND($AY18="",$F18&lt;&gt;"")</formula>
    </cfRule>
  </conditionalFormatting>
  <conditionalFormatting sqref="AZ18:AZ37">
    <cfRule type="expression" dxfId="68" priority="1">
      <formula>AND($AZ18="",$F18&lt;&gt;"")</formula>
    </cfRule>
  </conditionalFormatting>
  <dataValidations xWindow="97" yWindow="552" count="9">
    <dataValidation type="list" allowBlank="1" showInputMessage="1" showErrorMessage="1" sqref="F18:K37" xr:uid="{C0E0B906-9C47-40B4-99A5-9B6F9A2C0C3D}">
      <formula1>CMEHVACDESC</formula1>
    </dataValidation>
    <dataValidation type="list" allowBlank="1" showInputMessage="1" showErrorMessage="1" prompt="Select the project type using the dropdown._x000a__x000a_If you want to change this field, delete the data in the &quot;Measure Type&quot; field first." sqref="C18:E37" xr:uid="{008CEA61-CE5D-4731-82BC-061EB5A1721D}">
      <formula1>IF($F18="",CUSTOMPROJECTTYPE,"")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8:AC37" xr:uid="{D2436F6E-13A3-44AB-A9DC-75E8F2E14B16}">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F18:AG37" xr:uid="{33EBCDFE-4C7F-4856-9E9D-6435E7FC030F}">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D18:AE37" xr:uid="{C33E6A7D-2070-4FBE-A067-477D6C6C2945}">
      <formula1>0</formula1>
      <formula2>999999999</formula2>
    </dataValidation>
    <dataValidation type="decimal" allowBlank="1" showInputMessage="1" showErrorMessage="1" sqref="X18:Y37 P18:Q37" xr:uid="{1BED2017-0A0C-4C12-9B81-7FF82C7DCA45}">
      <formula1>0</formula1>
      <formula2>999999</formula2>
    </dataValidation>
    <dataValidation type="list" allowBlank="1" showInputMessage="1" showErrorMessage="1" sqref="AZ18:AZ37" xr:uid="{54F632A3-9BE4-4B7B-8248-D7F645AD754A}">
      <formula1>ENDUSECAT</formula1>
    </dataValidation>
    <dataValidation type="decimal" allowBlank="1" showInputMessage="1" showErrorMessage="1" prompt="Enter the annual kWh usage per unit of the new equipment." sqref="Z18:AA37" xr:uid="{39AE5176-A2BB-4CF6-8F01-6008E85D9465}">
      <formula1>0</formula1>
      <formula2>999999999</formula2>
    </dataValidation>
    <dataValidation type="decimal" allowBlank="1" showInputMessage="1" showErrorMessage="1" prompt="Enter the annual kWh usage per unit of the existing equipment." sqref="R18:S37" xr:uid="{A4AE7C5A-DFBB-4A4F-82F6-08AA5801576B}">
      <formula1>0</formula1>
      <formula2>999999999</formula2>
    </dataValidation>
  </dataValidations>
  <hyperlinks>
    <hyperlink ref="H9:K11" location="'M03-S02'!C18" tooltip="Lighting" display="'M03-S02'!C18" xr:uid="{B222A761-C796-4AC0-8659-CF588C4015EA}"/>
    <hyperlink ref="L9:O11" location="'M03-S03'!C18" tooltip="Lighting Controls" display="'M03-S03'!C18" xr:uid="{EA3B20A2-5C45-4F42-A7A6-D4E8282D6BEA}"/>
    <hyperlink ref="P9:S11" location="'M03-S04'!C18" tooltip="Refrigeration" display="'M03-S04'!C18" xr:uid="{AEE46043-5207-4A53-AFA3-EFDBAE6FA3E1}"/>
    <hyperlink ref="T9:W11" location="'M03-S05'!C18" tooltip="HVAC" display="'M03-S05'!C18" xr:uid="{2944E948-58F9-4D15-B434-9BA88832A0DD}"/>
    <hyperlink ref="AB9:AE11" location="'M03-S06'!C18" tooltip="Compressed Air / Process" display="'M03-S06'!C18" xr:uid="{DE425450-8085-4AD5-8158-CE44DE9C108F}"/>
    <hyperlink ref="AF9:AI11" location="'M03-S07'!C18" tooltip="Water Heating / Cooking" display="'M03-S07'!C18" xr:uid="{147422F6-92FD-4E86-92E4-C18170485FE0}"/>
    <hyperlink ref="X9:AA11" location="'M03-S08'!C18" tooltip="Motors and Drives" display="'M03-S08'!C18" xr:uid="{590AA77C-B4F3-4553-897F-BDD64C50142C}"/>
    <hyperlink ref="AJ9:AM11" location="'M04-S09'!C18" tooltip="Miscellaneous" display="'M04-S09'!C18" xr:uid="{CBAF0899-C8A5-4AD8-B09A-5293ED0539E0}"/>
    <hyperlink ref="J1:M3" location="'M01-S02'!J1" tooltip="Instructions" display="'M01-S02'!J1" xr:uid="{FF0DDA3C-5C71-442C-98E5-2E7C23BBB2AF}"/>
    <hyperlink ref="AL1:AO3" location="'M05-S05'!AL1" tooltip=" " display="'M05-S05'!AL1" xr:uid="{7D56C2D0-82D2-4D90-88A2-6F4ECA355854}"/>
    <hyperlink ref="AH1:AK3" location="'M05-S04'!AH1" tooltip=" " display="'M05-S04'!AH1" xr:uid="{52518F45-762F-4060-8AE9-90DBE6CDF076}"/>
    <hyperlink ref="AP1:AS3" location="'M01-S03'!AP1" tooltip="Contact" display="'M01-S03'!AP1" xr:uid="{8F869F70-F4D8-4541-865D-0FECE771DBB7}"/>
    <hyperlink ref="B202" r:id="rId1" xr:uid="{E161FF75-DF57-4AAB-A341-33CF655E6513}"/>
  </hyperlinks>
  <printOptions horizontalCentered="1"/>
  <pageMargins left="0.25" right="0.25" top="0.25" bottom="0.25" header="0.25" footer="0.25"/>
  <pageSetup scale="62"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pageSetUpPr fitToPage="1"/>
  </sheetPr>
  <dimension ref="A1:BL204"/>
  <sheetViews>
    <sheetView showGridLines="0" showRowColHeaders="0" zoomScale="85" zoomScaleNormal="85" workbookViewId="0">
      <selection activeCell="C18" sqref="C18:E19"/>
    </sheetView>
  </sheetViews>
  <sheetFormatPr defaultColWidth="0" defaultRowHeight="0" customHeight="1" zeroHeight="1"/>
  <cols>
    <col min="1" max="45" width="4.7109375" style="180" customWidth="1"/>
    <col min="46" max="47" width="9.42578125" style="180" hidden="1" customWidth="1"/>
    <col min="48" max="48" width="15.7109375" style="180" hidden="1" customWidth="1"/>
    <col min="49" max="64" width="9.42578125" style="180" hidden="1" customWidth="1"/>
    <col min="65" max="71" width="4.7109375" style="180" hidden="1" customWidth="1"/>
    <col min="72" max="16384" width="4.7109375" style="180" hidden="1"/>
  </cols>
  <sheetData>
    <row r="1" spans="1:64" customFormat="1"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row>
    <row r="5" spans="1:64" ht="15.95" customHeight="1">
      <c r="A5" s="1046"/>
      <c r="B5" s="1046"/>
      <c r="C5" s="1046"/>
      <c r="D5" s="1046"/>
      <c r="E5" s="1046"/>
      <c r="AO5" s="1117">
        <f ca="1">PROGRESSSTATUS</f>
        <v>0</v>
      </c>
      <c r="AP5" s="1117"/>
      <c r="AQ5" s="1117"/>
      <c r="AR5" s="1117"/>
      <c r="AS5" s="1117"/>
      <c r="AT5" s="40"/>
      <c r="AU5" s="194" t="s">
        <v>1438</v>
      </c>
      <c r="AV5" s="194" t="s">
        <v>336</v>
      </c>
      <c r="AW5" s="197"/>
      <c r="AX5" s="197"/>
    </row>
    <row r="6" spans="1:64" ht="15.95" customHeight="1">
      <c r="A6" s="1046"/>
      <c r="B6" s="1046"/>
      <c r="C6" s="1046"/>
      <c r="D6" s="1046"/>
      <c r="E6" s="1046"/>
      <c r="AO6" s="1117"/>
      <c r="AP6" s="1117"/>
      <c r="AQ6" s="1117"/>
      <c r="AR6" s="1117"/>
      <c r="AS6" s="1117"/>
      <c r="AT6" s="193" t="s">
        <v>1443</v>
      </c>
      <c r="AU6" s="192" t="str">
        <f>CBPRESE</f>
        <v>NA</v>
      </c>
      <c r="AV6" s="286" t="str">
        <f>PAYPRESE</f>
        <v>NA</v>
      </c>
      <c r="AW6" s="197"/>
      <c r="AX6" s="197"/>
    </row>
    <row r="7" spans="1:64" ht="15.95" customHeight="1">
      <c r="A7" s="725" t="s">
        <v>83</v>
      </c>
      <c r="B7" s="725"/>
      <c r="C7" s="725"/>
      <c r="D7" s="725"/>
      <c r="E7" s="725"/>
      <c r="AO7" s="725" t="s">
        <v>309</v>
      </c>
      <c r="AP7" s="725"/>
      <c r="AQ7" s="725"/>
      <c r="AR7" s="725"/>
      <c r="AS7" s="725"/>
      <c r="AT7" s="193" t="s">
        <v>144</v>
      </c>
      <c r="AU7" s="192" t="str">
        <f>CBCUSE</f>
        <v>NA</v>
      </c>
      <c r="AV7" s="286" t="str">
        <f>PAYCUSE</f>
        <v>NA</v>
      </c>
      <c r="AW7" s="197"/>
      <c r="AX7" s="197"/>
    </row>
    <row r="8" spans="1:64" ht="15.95" customHeight="1" thickBot="1">
      <c r="A8" s="774"/>
      <c r="B8" s="774"/>
      <c r="C8" s="774"/>
      <c r="D8" s="774"/>
      <c r="E8" s="725"/>
      <c r="AO8" s="749" t="str">
        <f ca="1">PROJSTATUS</f>
        <v>Enter Measures</v>
      </c>
      <c r="AP8" s="749"/>
      <c r="AQ8" s="749"/>
      <c r="AR8" s="749"/>
      <c r="AS8" s="749"/>
      <c r="AT8" s="193" t="s">
        <v>651</v>
      </c>
      <c r="AU8" s="192" t="str">
        <f>CBALL</f>
        <v>NA</v>
      </c>
      <c r="AV8" s="286" t="str">
        <f>PAYALL</f>
        <v>NA</v>
      </c>
      <c r="AW8" s="197"/>
      <c r="AX8" s="197"/>
    </row>
    <row r="9" spans="1:64" s="148" customFormat="1" ht="15.95" customHeight="1">
      <c r="B9" s="179"/>
      <c r="C9" s="179"/>
      <c r="D9" s="179"/>
      <c r="E9" s="181"/>
      <c r="F9" s="181"/>
      <c r="G9" s="181"/>
      <c r="H9" s="910" t="str">
        <f>M3S2</f>
        <v>Lighting</v>
      </c>
      <c r="I9" s="911"/>
      <c r="J9" s="911"/>
      <c r="K9" s="911"/>
      <c r="L9" s="910" t="str">
        <f>M3S3</f>
        <v>Lighting Controls</v>
      </c>
      <c r="M9" s="911"/>
      <c r="N9" s="911"/>
      <c r="O9" s="911"/>
      <c r="P9" s="910" t="str">
        <f>M3S4</f>
        <v>Refrigeration</v>
      </c>
      <c r="Q9" s="911"/>
      <c r="R9" s="911"/>
      <c r="S9" s="911"/>
      <c r="T9" s="910" t="str">
        <f>M3S5</f>
        <v>HVAC</v>
      </c>
      <c r="U9" s="911"/>
      <c r="V9" s="911"/>
      <c r="W9" s="911"/>
      <c r="X9" s="913" t="str">
        <f>M4S8</f>
        <v>Motors and Drives</v>
      </c>
      <c r="Y9" s="913"/>
      <c r="Z9" s="913"/>
      <c r="AA9" s="913"/>
      <c r="AB9" s="910" t="str">
        <f>M3S6</f>
        <v>Compressed Air / Process</v>
      </c>
      <c r="AC9" s="911"/>
      <c r="AD9" s="911"/>
      <c r="AE9" s="911"/>
      <c r="AF9" s="910" t="str">
        <f>M3S7</f>
        <v>Water Heating / Food Services</v>
      </c>
      <c r="AG9" s="911"/>
      <c r="AH9" s="911"/>
      <c r="AI9" s="911"/>
      <c r="AJ9" s="910" t="str">
        <f>M4S9</f>
        <v>Miscellaneous</v>
      </c>
      <c r="AK9" s="911"/>
      <c r="AL9" s="911"/>
      <c r="AM9" s="911"/>
      <c r="AN9" s="179"/>
      <c r="AO9" s="357"/>
      <c r="AP9" s="235"/>
      <c r="AQ9" s="352"/>
      <c r="AR9" s="352"/>
      <c r="AS9" s="336"/>
    </row>
    <row r="10" spans="1:64" s="148" customFormat="1" ht="15.95" customHeight="1">
      <c r="B10" s="152"/>
      <c r="C10" s="152"/>
      <c r="D10" s="152"/>
      <c r="E10" s="183"/>
      <c r="F10" s="183"/>
      <c r="G10" s="183"/>
      <c r="H10" s="912"/>
      <c r="I10" s="912"/>
      <c r="J10" s="912"/>
      <c r="K10" s="912"/>
      <c r="L10" s="912"/>
      <c r="M10" s="912"/>
      <c r="N10" s="912"/>
      <c r="O10" s="912"/>
      <c r="P10" s="912"/>
      <c r="Q10" s="912"/>
      <c r="R10" s="912"/>
      <c r="S10" s="912"/>
      <c r="T10" s="912"/>
      <c r="U10" s="912"/>
      <c r="V10" s="912"/>
      <c r="W10" s="912"/>
      <c r="X10" s="914"/>
      <c r="Y10" s="914"/>
      <c r="Z10" s="914"/>
      <c r="AA10" s="914"/>
      <c r="AB10" s="912"/>
      <c r="AC10" s="912"/>
      <c r="AD10" s="912"/>
      <c r="AE10" s="912"/>
      <c r="AF10" s="912"/>
      <c r="AG10" s="912"/>
      <c r="AH10" s="912"/>
      <c r="AI10" s="912"/>
      <c r="AJ10" s="912"/>
      <c r="AK10" s="912"/>
      <c r="AL10" s="912"/>
      <c r="AM10" s="912"/>
      <c r="AN10" s="152"/>
      <c r="AO10" s="334"/>
      <c r="AP10" s="235"/>
      <c r="AQ10" s="344"/>
      <c r="AR10" s="344"/>
      <c r="AS10" s="336"/>
    </row>
    <row r="11" spans="1:64" ht="15.95" customHeight="1">
      <c r="B11" s="295"/>
      <c r="C11" s="295"/>
      <c r="D11" s="184"/>
      <c r="E11" s="13"/>
      <c r="F11" s="13"/>
      <c r="G11" s="13"/>
      <c r="H11" s="912"/>
      <c r="I11" s="912"/>
      <c r="J11" s="912"/>
      <c r="K11" s="912"/>
      <c r="L11" s="912"/>
      <c r="M11" s="912"/>
      <c r="N11" s="912"/>
      <c r="O11" s="912"/>
      <c r="P11" s="912"/>
      <c r="Q11" s="912"/>
      <c r="R11" s="912"/>
      <c r="S11" s="912"/>
      <c r="T11" s="912"/>
      <c r="U11" s="912"/>
      <c r="V11" s="912"/>
      <c r="W11" s="912"/>
      <c r="X11" s="914"/>
      <c r="Y11" s="914"/>
      <c r="Z11" s="914"/>
      <c r="AA11" s="914"/>
      <c r="AB11" s="912"/>
      <c r="AC11" s="912"/>
      <c r="AD11" s="912"/>
      <c r="AE11" s="912"/>
      <c r="AF11" s="912"/>
      <c r="AG11" s="912"/>
      <c r="AH11" s="912"/>
      <c r="AI11" s="912"/>
      <c r="AJ11" s="912"/>
      <c r="AK11" s="912"/>
      <c r="AL11" s="912"/>
      <c r="AM11" s="912"/>
      <c r="AN11" s="394"/>
      <c r="AO11" s="334"/>
      <c r="AP11" s="235"/>
      <c r="AQ11" s="337"/>
      <c r="AR11" s="337"/>
      <c r="AS11" s="235"/>
    </row>
    <row r="12" spans="1:64" ht="15.95" customHeight="1">
      <c r="A12" s="185"/>
      <c r="B12" s="185"/>
      <c r="C12" s="196"/>
      <c r="D12" s="196"/>
      <c r="E12" s="196"/>
      <c r="R12" s="916">
        <f>SUM(AN18:AQ184)</f>
        <v>0</v>
      </c>
      <c r="S12" s="916"/>
      <c r="T12" s="916"/>
      <c r="U12" s="916"/>
      <c r="V12" s="916">
        <f ca="1">SUMIF(AN18:AQ184,"&gt;0",AH18:AJ184)</f>
        <v>0</v>
      </c>
      <c r="W12" s="916"/>
      <c r="X12" s="916"/>
      <c r="Y12" s="916"/>
      <c r="Z12" s="915">
        <f ca="1">SUMIF(AN18:AQ184,"&gt;0",AK18:AM184)</f>
        <v>0</v>
      </c>
      <c r="AA12" s="915"/>
      <c r="AB12" s="915"/>
      <c r="AC12" s="915"/>
      <c r="AO12" s="235"/>
      <c r="AP12" s="333"/>
      <c r="AQ12" s="235"/>
      <c r="AR12" s="235"/>
      <c r="AS12" s="235"/>
    </row>
    <row r="13" spans="1:64" ht="15.95" customHeight="1">
      <c r="A13" s="185"/>
      <c r="B13" s="185"/>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s="860"/>
      <c r="AJ13" s="860"/>
      <c r="AK13" s="860"/>
      <c r="AL13" s="860"/>
      <c r="AM13" s="860"/>
      <c r="AN13" s="860"/>
      <c r="AO13" s="1002"/>
      <c r="AP13" s="1002"/>
      <c r="AQ13" s="1002"/>
      <c r="AR13" s="235"/>
      <c r="AS13" s="235"/>
    </row>
    <row r="14" spans="1:64" ht="15.95" customHeight="1">
      <c r="R14" s="860" t="s">
        <v>1979</v>
      </c>
      <c r="S14" s="860"/>
      <c r="T14" s="860"/>
      <c r="U14" s="860"/>
      <c r="V14" s="860" t="s">
        <v>67</v>
      </c>
      <c r="W14" s="860"/>
      <c r="X14" s="860"/>
      <c r="Y14" s="860"/>
      <c r="Z14" s="860" t="s">
        <v>1248</v>
      </c>
      <c r="AA14" s="860"/>
      <c r="AB14" s="860"/>
      <c r="AC14" s="860"/>
      <c r="AO14" s="235"/>
      <c r="AP14" s="235"/>
      <c r="AQ14" s="235"/>
      <c r="AR14" s="235"/>
      <c r="AS14" s="235"/>
    </row>
    <row r="15" spans="1:64" ht="15.95" customHeight="1">
      <c r="AO15" s="235"/>
      <c r="AP15" s="235"/>
      <c r="AQ15" s="235"/>
      <c r="AR15" s="235"/>
      <c r="AS15" s="235"/>
    </row>
    <row r="16" spans="1:64" ht="15.95" customHeight="1">
      <c r="B16" s="36"/>
      <c r="C16" s="836" t="s">
        <v>1429</v>
      </c>
      <c r="D16" s="836"/>
      <c r="E16" s="836"/>
      <c r="F16" s="836" t="s">
        <v>1350</v>
      </c>
      <c r="G16" s="836"/>
      <c r="H16" s="836"/>
      <c r="I16" s="836"/>
      <c r="J16" s="836"/>
      <c r="K16" s="836"/>
      <c r="L16" s="836" t="s">
        <v>1430</v>
      </c>
      <c r="M16" s="836"/>
      <c r="N16" s="836"/>
      <c r="O16" s="836"/>
      <c r="P16" s="836" t="s">
        <v>74</v>
      </c>
      <c r="Q16" s="836"/>
      <c r="R16" s="836" t="s">
        <v>1431</v>
      </c>
      <c r="S16" s="836"/>
      <c r="T16" s="836" t="s">
        <v>1432</v>
      </c>
      <c r="U16" s="836"/>
      <c r="V16" s="836"/>
      <c r="W16" s="836"/>
      <c r="X16" s="836" t="s">
        <v>74</v>
      </c>
      <c r="Y16" s="836"/>
      <c r="Z16" s="836" t="s">
        <v>1431</v>
      </c>
      <c r="AA16" s="836"/>
      <c r="AB16" s="836" t="s">
        <v>1433</v>
      </c>
      <c r="AC16" s="836"/>
      <c r="AD16" s="1134" t="s">
        <v>1377</v>
      </c>
      <c r="AE16" s="1134"/>
      <c r="AF16" s="1134"/>
      <c r="AG16" s="1134"/>
      <c r="AH16" s="836" t="s">
        <v>1425</v>
      </c>
      <c r="AI16" s="836"/>
      <c r="AJ16" s="836"/>
      <c r="AK16" s="836" t="s">
        <v>1187</v>
      </c>
      <c r="AL16" s="836"/>
      <c r="AM16" s="836"/>
      <c r="AN16" s="836" t="s">
        <v>83</v>
      </c>
      <c r="AO16" s="908"/>
      <c r="AP16" s="908"/>
      <c r="AQ16" s="908"/>
      <c r="AR16" s="354"/>
      <c r="AS16" s="354"/>
      <c r="AT16" s="858" t="s">
        <v>141</v>
      </c>
      <c r="AU16" s="858" t="s">
        <v>336</v>
      </c>
      <c r="AV16" s="858" t="s">
        <v>1195</v>
      </c>
      <c r="AW16" s="858" t="s">
        <v>699</v>
      </c>
      <c r="AX16" s="858" t="s">
        <v>1376</v>
      </c>
      <c r="AY16" s="858" t="s">
        <v>88</v>
      </c>
      <c r="AZ16" s="858" t="s">
        <v>1426</v>
      </c>
      <c r="BA16" s="858" t="s">
        <v>1428</v>
      </c>
      <c r="BB16" s="858" t="s">
        <v>1645</v>
      </c>
      <c r="BC16" s="1030" t="s">
        <v>2495</v>
      </c>
      <c r="BD16" s="1030" t="s">
        <v>780</v>
      </c>
      <c r="BE16" s="858" t="s">
        <v>1982</v>
      </c>
      <c r="BF16" s="858" t="s">
        <v>1983</v>
      </c>
      <c r="BG16" s="858" t="s">
        <v>2046</v>
      </c>
      <c r="BH16" s="858" t="s">
        <v>85</v>
      </c>
      <c r="BI16" s="1132" t="s">
        <v>1427</v>
      </c>
      <c r="BJ16" s="1132" t="s">
        <v>319</v>
      </c>
      <c r="BK16" s="932" t="s">
        <v>2500</v>
      </c>
      <c r="BL16" s="932" t="s">
        <v>2893</v>
      </c>
    </row>
    <row r="17" spans="1:64" ht="15.95" customHeight="1" thickBot="1">
      <c r="B17" s="36"/>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837"/>
      <c r="AI17" s="837"/>
      <c r="AJ17" s="837"/>
      <c r="AK17" s="837"/>
      <c r="AL17" s="837"/>
      <c r="AM17" s="837"/>
      <c r="AN17" s="837"/>
      <c r="AO17" s="909"/>
      <c r="AP17" s="909"/>
      <c r="AQ17" s="909"/>
      <c r="AR17" s="355"/>
      <c r="AS17" s="355"/>
      <c r="AT17" s="859"/>
      <c r="AU17" s="859"/>
      <c r="AV17" s="859"/>
      <c r="AW17" s="859"/>
      <c r="AX17" s="859"/>
      <c r="AY17" s="859"/>
      <c r="AZ17" s="859"/>
      <c r="BA17" s="859"/>
      <c r="BB17" s="859"/>
      <c r="BC17" s="1031"/>
      <c r="BD17" s="1031"/>
      <c r="BE17" s="859"/>
      <c r="BF17" s="859"/>
      <c r="BG17" s="859"/>
      <c r="BH17" s="859"/>
      <c r="BI17" s="1133"/>
      <c r="BJ17" s="1133"/>
      <c r="BK17" s="933"/>
      <c r="BL17" s="933"/>
    </row>
    <row r="18" spans="1:64" ht="15.95" customHeight="1">
      <c r="B18" s="905">
        <v>1</v>
      </c>
      <c r="C18" s="1036"/>
      <c r="D18" s="1036"/>
      <c r="E18" s="1036"/>
      <c r="F18" s="1036"/>
      <c r="G18" s="1036"/>
      <c r="H18" s="1036"/>
      <c r="I18" s="1036"/>
      <c r="J18" s="1036"/>
      <c r="K18" s="1038"/>
      <c r="L18" s="1146"/>
      <c r="M18" s="1145"/>
      <c r="N18" s="1145"/>
      <c r="O18" s="1145"/>
      <c r="P18" s="1142"/>
      <c r="Q18" s="1142"/>
      <c r="R18" s="1142"/>
      <c r="S18" s="1151"/>
      <c r="T18" s="1146"/>
      <c r="U18" s="1145"/>
      <c r="V18" s="1145"/>
      <c r="W18" s="1145"/>
      <c r="X18" s="1142"/>
      <c r="Y18" s="1142"/>
      <c r="Z18" s="1142"/>
      <c r="AA18" s="1151"/>
      <c r="AB18" s="1154" t="str">
        <f t="shared" ref="AB18" si="0">IF(OR(C18="New Construction",C18="Replace Failed Equip."),"Incremental",IF(C18="Retrofit","Total",""))</f>
        <v/>
      </c>
      <c r="AC18" s="1155"/>
      <c r="AD18" s="1124"/>
      <c r="AE18" s="1124"/>
      <c r="AF18" s="1125" t="str">
        <f>IF(AB18="Incremental",0,"")</f>
        <v/>
      </c>
      <c r="AG18" s="1126"/>
      <c r="AH18" s="1067" t="str">
        <f>IF(OR(C18="",F18="",L18="",P18="",R18="",T18="",X18="",Z18="",AB18="",AD18="",AF18=""),"",ROUND(AD18+AF18,2))</f>
        <v/>
      </c>
      <c r="AI18" s="1068"/>
      <c r="AJ18" s="1068"/>
      <c r="AK18" s="1081" t="str">
        <f>IF(OR(C18="",F18="",L18="",P18="",R18="",T18="",X18="",Z18="",AB18="",AD18="",AF18=""),"",IF(AW18-AX18&lt;=0,0,ROUND(AW18-AX18,4)))</f>
        <v/>
      </c>
      <c r="AL18" s="1081"/>
      <c r="AM18" s="1081"/>
      <c r="AN18" s="1047" t="str">
        <f>IF(OR(C18="",F18="",L18="",P18="",R18="",T18="",X18="",Z18="",AB18="",AD18="",AF18=""),"",
IF(BJ18&lt;&gt;"",BJ18,IF(BL18&gt;0,BL18,
IF(AB18="Incremental",
IF(ACTIVEBLOCK="Yes",ROUND(MIN(AH18*INCCOSTCAP,AK18*BLOCKBIDRATE),2),
IF(BG18&lt;&gt;"",ROUND(MIN(AH18*INCCOSTCAP,BG18),2),
IF(BD18&lt;KWHRATEMIN,ROUND(MIN(AH18*INCCOSTCAP,BE18),2),
IF(BD18&gt;KWHRATEMAX,ROUND(MIN(AH18*INCCOSTCAP,BF18),2),
ROUND(MIN(AH18*INCCOSTCAP,BC18),2))))),
IF(ACTIVEBLOCK="Yes",ROUND(MIN(AH18*TOTCOSTCAP,AK18*BLOCKBIDRATE),2),
IF(BG18&lt;&gt;"",ROUND(MIN(AH18*TOTCOSTCAP,BG18),2),
IF(BD18&lt;KWHRATEMIN,ROUND(MIN(AH18*TOTCOSTCAP,BE18),2),
IF(BD18&gt;KWHRATEMAX,ROUND(MIN(AH18*TOTCOSTCAP,BF18),2),
ROUND(MIN(AH18*TOTCOSTCAP,BC18),2)))))))))</f>
        <v/>
      </c>
      <c r="AO18" s="1048"/>
      <c r="AP18" s="1048"/>
      <c r="AQ18" s="1048"/>
      <c r="AR18" s="355"/>
      <c r="AS18" s="355"/>
      <c r="AT18" s="1112" t="str">
        <f>IFERROR(IF(OR(C18="",F18="",L18="",P18="",R18="",T18="",X18="",Z18="",AB18="",AD18="",AF18=""),"",
ROUND(((1+ELOSS)*((AK18*INDEX(ELECCB[NPV AEC $/kWh],MATCH(AY18,ELECCB[Year Number],1)))+(BA18*INDEX(ELECCB[NPV ACC $/kW],MATCH(AY18,ELECCB[Year Number],1))))/AH18),2)),0)</f>
        <v/>
      </c>
      <c r="AU18" s="1112" t="str">
        <f>IFERROR(AH18/M02S04F06/AK18,"")</f>
        <v/>
      </c>
      <c r="AV18" s="1108" t="str">
        <f>IF(OR(C18="",F18=""),"",INDEX(CMEMOTOR[Unit of Measure],MATCH(F18,CMEMOTOR[Proj Desc 1],0)))</f>
        <v/>
      </c>
      <c r="AW18" s="1103" t="str">
        <f>IF(OR(C18="",F18="",L18="",P18="",R18="",T18="",X18="",Z18="",AB18="",AD18="",AF18=""),"",ROUND(P18*R18,4))</f>
        <v/>
      </c>
      <c r="AX18" s="1103" t="str">
        <f>IF(OR(C18="",F18="",L18="",P18="",R18="",T18="",X18="",Z18="",AB18="",AD18="",AF18=""),"",ROUND(X18*Z18,4))</f>
        <v/>
      </c>
      <c r="AY18" s="1113" t="str">
        <f>IF(OR(C18="",F18=""),"",IF(INDEX(CMEMOTOR[EUL],MATCH(F18,CMEMOTOR[Proj Desc 1],0))="","",INDEX(CMEMOTOR[EUL],MATCH(F18,CMEMOTOR[Proj Desc 1],0))))</f>
        <v/>
      </c>
      <c r="AZ18" s="1115" t="str">
        <f>IF(OR(C18="",F18=""),"",IF(INDEX(CMEMOTOR[End Use Category],MATCH(F18,CMEMOTOR[Proj Desc 1],0))="","",INDEX(CMEMOTOR[End Use Category],MATCH(F18,CMEMOTOR[Proj Desc 1],0))))</f>
        <v/>
      </c>
      <c r="BA18" s="1027" t="str">
        <f>IFERROR(IF(OR(C18="",F18="",L18="",P18="",R18="",T18="",X18="",Z18="",AB18="",AD18="",AF18=""),"",ROUND(AK18*INDEX(ENDUSEALL[Factor],MATCH(AZ18,ENDUSEALL[End Use to Coincident Peak Demand Factors],0)),4)),"")</f>
        <v/>
      </c>
      <c r="BB18" s="1120"/>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IF(OR(C18="",F18="",L18="",P18="",R18="",T18="",X18="",Z18="",AB18="",AD18="",AF18=""),"",IF(BJ18&lt;&gt;"",SPILLOVERNUMBER,INDEX(CMEMOTOR[Measure Number],MATCH(F18,CMEMOTOR[Proj Desc 1],0))))</f>
        <v/>
      </c>
      <c r="BI18" s="1108" t="str">
        <f>IFERROR(IF(AND(AB18="Total",ROUND(AN18/AH18,2)=TOTCOSTCAP),"75% Total Cost",
IF(AND(AB18="Incremental",AH18=AN18),"100% Incremental Cost",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IF(AND((ISNUMBER(SEARCH("Other",F18))),OR(AY18="",AZ18="")),MEASURESUBMIT,
 IF(PAYCUSE&lt;PAYBACKREQ,PROJECTSTATPAYBACK,
IF(CBCUSE&lt;CBREQ,PROJECTSTATCB,""))))))),MEASURESUBMIT)</f>
        <v>Submit for Review</v>
      </c>
      <c r="BK18" s="930" t="str">
        <f>IFERROR(IF(OR(C18="",F18="",L18="",P18="",R18="",T18="",X18="",Z18="",AB18="",AD18="",AF18=""),"",
ROUND(((1+ELOSS)*((AK18*INDEX(ELECCB[NPV AEC $/kWh],MATCH(AY18,ELECCB[Year Number],1)))+(BA18*INDEX(ELECCB[NPV ACC $/kW],MATCH(AY18,ELECCB[Year Number],1))))),2)),0)</f>
        <v/>
      </c>
      <c r="BL18" s="1118"/>
    </row>
    <row r="19" spans="1:64" ht="15.95" customHeight="1">
      <c r="B19" s="905"/>
      <c r="C19" s="1037"/>
      <c r="D19" s="1037"/>
      <c r="E19" s="1037"/>
      <c r="F19" s="1037"/>
      <c r="G19" s="1037"/>
      <c r="H19" s="1037"/>
      <c r="I19" s="1037"/>
      <c r="J19" s="1037"/>
      <c r="K19" s="1039"/>
      <c r="L19" s="1040"/>
      <c r="M19" s="1037"/>
      <c r="N19" s="1037"/>
      <c r="O19" s="1037"/>
      <c r="P19" s="1041"/>
      <c r="Q19" s="1041"/>
      <c r="R19" s="1041"/>
      <c r="S19" s="1152"/>
      <c r="T19" s="1040"/>
      <c r="U19" s="1037"/>
      <c r="V19" s="1037"/>
      <c r="W19" s="1037"/>
      <c r="X19" s="1041"/>
      <c r="Y19" s="1041"/>
      <c r="Z19" s="1041"/>
      <c r="AA19" s="1152"/>
      <c r="AB19" s="1156"/>
      <c r="AC19" s="1157"/>
      <c r="AD19" s="1054"/>
      <c r="AE19" s="1054"/>
      <c r="AF19" s="1127"/>
      <c r="AG19" s="1128"/>
      <c r="AH19" s="1064"/>
      <c r="AI19" s="1065"/>
      <c r="AJ19" s="1065"/>
      <c r="AK19" s="1066"/>
      <c r="AL19" s="1066"/>
      <c r="AM19" s="1066"/>
      <c r="AN19" s="1049"/>
      <c r="AO19" s="1050"/>
      <c r="AP19" s="1050"/>
      <c r="AQ19" s="1050"/>
      <c r="AR19" s="355"/>
      <c r="AS19" s="355"/>
      <c r="AT19" s="1104"/>
      <c r="AU19" s="1104"/>
      <c r="AV19" s="1105"/>
      <c r="AW19" s="1025"/>
      <c r="AX19" s="1025"/>
      <c r="AY19" s="1114"/>
      <c r="AZ19" s="1116"/>
      <c r="BA19" s="1109"/>
      <c r="BB19" s="1121"/>
      <c r="BC19" s="931"/>
      <c r="BD19" s="931"/>
      <c r="BE19" s="931"/>
      <c r="BF19" s="931"/>
      <c r="BG19" s="931"/>
      <c r="BH19" s="1107"/>
      <c r="BI19" s="1105"/>
      <c r="BJ19" s="1105"/>
      <c r="BK19" s="931"/>
      <c r="BL19" s="1119"/>
    </row>
    <row r="20" spans="1:64" ht="15.95" customHeight="1">
      <c r="A20" s="145"/>
      <c r="B20" s="905">
        <v>2</v>
      </c>
      <c r="C20" s="1037"/>
      <c r="D20" s="1037"/>
      <c r="E20" s="1037"/>
      <c r="F20" s="1037"/>
      <c r="G20" s="1037"/>
      <c r="H20" s="1037"/>
      <c r="I20" s="1037"/>
      <c r="J20" s="1037"/>
      <c r="K20" s="1039"/>
      <c r="L20" s="1040"/>
      <c r="M20" s="1037"/>
      <c r="N20" s="1037"/>
      <c r="O20" s="1037"/>
      <c r="P20" s="1041"/>
      <c r="Q20" s="1041"/>
      <c r="R20" s="1041"/>
      <c r="S20" s="1152"/>
      <c r="T20" s="1040"/>
      <c r="U20" s="1037"/>
      <c r="V20" s="1037"/>
      <c r="W20" s="1037"/>
      <c r="X20" s="1041"/>
      <c r="Y20" s="1041"/>
      <c r="Z20" s="1041"/>
      <c r="AA20" s="1152"/>
      <c r="AB20" s="1156" t="str">
        <f t="shared" ref="AB20" si="1">IF(OR(C20="New Construction",C20="Replace Failed Equip."),"Incremental",IF(C20="Retrofit","Total",""))</f>
        <v/>
      </c>
      <c r="AC20" s="1157"/>
      <c r="AD20" s="1054"/>
      <c r="AE20" s="1054"/>
      <c r="AF20" s="1127" t="str">
        <f>IF(AB20="Incremental",0,"")</f>
        <v/>
      </c>
      <c r="AG20" s="1128"/>
      <c r="AH20" s="1064" t="str">
        <f t="shared" ref="AH20" si="2">IF(OR(C20="",F20="",L20="",P20="",R20="",T20="",X20="",Z20="",AB20="",AD20="",AF20=""),"",ROUND(AD20+AF20,2))</f>
        <v/>
      </c>
      <c r="AI20" s="1065"/>
      <c r="AJ20" s="1065"/>
      <c r="AK20" s="1081" t="str">
        <f t="shared" ref="AK20" si="3">IF(OR(C20="",F20="",L20="",P20="",R20="",T20="",X20="",Z20="",AB20="",AD20="",AF20=""),"",IF(AW20-AX20&lt;=0,0,ROUND(AW20-AX20,4)))</f>
        <v/>
      </c>
      <c r="AL20" s="1081"/>
      <c r="AM20" s="1081"/>
      <c r="AN20" s="1047" t="str">
        <f>IF(OR(C20="",F20="",L20="",P20="",R20="",T20="",X20="",Z20="",AB20="",AD20="",AF20=""),"",
IF(BJ20&lt;&gt;"",BJ20,IF(BL20&gt;0,BL20,
IF(AB20="Incremental",
IF(ACTIVEBLOCK="Yes",ROUND(MIN(AH20*INCCOSTCAP,AK20*BLOCKBIDRATE),2),
IF(BG20&lt;&gt;"",ROUND(MIN(AH20*INCCOSTCAP,BG20),2),
IF(BD20&lt;KWHRATEMIN,ROUND(MIN(AH20*INCCOSTCAP,BE20),2),
IF(BD20&gt;KWHRATEMAX,ROUND(MIN(AH20*INCCOSTCAP,BF20),2),
ROUND(MIN(AH20*INCCOSTCAP,BC20),2))))),
IF(ACTIVEBLOCK="Yes",ROUND(MIN(AH20*TOTCOSTCAP,AK20*BLOCKBIDRATE),2),
IF(BG20&lt;&gt;"",ROUND(MIN(AH20*TOTCOSTCAP,BG20),2),
IF(BD20&lt;KWHRATEMIN,ROUND(MIN(AH20*TOTCOSTCAP,BE20),2),
IF(BD20&gt;KWHRATEMAX,ROUND(MIN(AH20*TOTCOSTCAP,BF20),2),
ROUND(MIN(AH20*TOTCOSTCAP,BC20),2)))))))))</f>
        <v/>
      </c>
      <c r="AO20" s="1048"/>
      <c r="AP20" s="1048"/>
      <c r="AQ20" s="1048"/>
      <c r="AR20" s="355"/>
      <c r="AS20" s="355"/>
      <c r="AT20" s="1104" t="str">
        <f>IFERROR(IF(OR(C20="",F20="",L20="",P20="",R20="",T20="",X20="",Z20="",AB20="",AD20="",AF20=""),"",
ROUND(((1+ELOSS)*((AK20*INDEX(ELECCB[NPV AEC $/kWh],MATCH(AY20,ELECCB[Year Number],1)))+(BA20*INDEX(ELECCB[NPV ACC $/kW],MATCH(AY20,ELECCB[Year Number],1))))/AH20),2)),0)</f>
        <v/>
      </c>
      <c r="AU20" s="1112" t="str">
        <f>IFERROR(AH20/M02S04F06/AK20,"")</f>
        <v/>
      </c>
      <c r="AV20" s="1108" t="str">
        <f>IF(OR(C20="",F20=""),"",INDEX(CMEMOTOR[Unit of Measure],MATCH(F20,CMEMOTOR[Proj Desc 1],0)))</f>
        <v/>
      </c>
      <c r="AW20" s="1103" t="str">
        <f t="shared" ref="AW20" si="4">IF(OR(C20="",F20="",L20="",P20="",R20="",T20="",X20="",Z20="",AB20="",AD20="",AF20=""),"",ROUND(P20*R20,4))</f>
        <v/>
      </c>
      <c r="AX20" s="1103" t="str">
        <f t="shared" ref="AX20" si="5">IF(OR(C20="",F20="",L20="",P20="",R20="",T20="",X20="",Z20="",AB20="",AD20="",AF20=""),"",ROUND(X20*Z20,4))</f>
        <v/>
      </c>
      <c r="AY20" s="1113" t="str">
        <f>IF(OR(C20="",F20=""),"",IF(INDEX(CMEMOTOR[EUL],MATCH(F20,CMEMOTOR[Proj Desc 1],0))="","",INDEX(CMEMOTOR[EUL],MATCH(F20,CMEMOTOR[Proj Desc 1],0))))</f>
        <v/>
      </c>
      <c r="AZ20" s="1115" t="str">
        <f>IF(OR(C20="",F20=""),"",IF(INDEX(CMEMOTOR[End Use Category],MATCH(F20,CMEMOTOR[Proj Desc 1],0))="","",INDEX(CMEMOTOR[End Use Category],MATCH(F20,CMEMOTOR[Proj Desc 1],0))))</f>
        <v/>
      </c>
      <c r="BA20" s="1027" t="str">
        <f>IFERROR(IF(OR(C20="",F20="",L20="",P20="",R20="",T20="",X20="",Z20="",AB20="",AD20="",AF20=""),"",ROUND(AK20*INDEX(ENDUSEALL[Factor],MATCH(AZ20,ENDUSEALL[End Use to Coincident Peak Demand Factors],0)),4)),"")</f>
        <v/>
      </c>
      <c r="BB20" s="1120"/>
      <c r="BC20" s="930" t="str">
        <f t="shared" ref="BC20" si="6">IFERROR(ROUND(AK20*BD20,2),"")</f>
        <v/>
      </c>
      <c r="BD20" s="930" t="str">
        <f>IFERROR(INDEX(ENDUSEALL[Rate ($/kWh)],MATCH(AZ20,ENDUSEALL[End Use to Coincident Peak Demand Factors],0)),"")</f>
        <v/>
      </c>
      <c r="BE20" s="931" t="str">
        <f>IFERROR(ROUND(AK20*KWHRATEMIN,2),"")</f>
        <v/>
      </c>
      <c r="BF20" s="931" t="str">
        <f>IFERROR(ROUND(AK20*KWHRATEMAX,2),"")</f>
        <v/>
      </c>
      <c r="BG20" s="930" t="str">
        <f>IFERROR(IF(INDEX(ENDUSEALL[Bonus Rate ($/kWh)],MATCH(AZ20,ENDUSEALL[End Use to Coincident Peak Demand Factors],0))="","",INDEX(ENDUSEALL[Bonus Rate ($/kWh)],MATCH(AZ20,ENDUSEALL[End Use to Coincident Peak Demand Factors],0))*AK20),"")</f>
        <v/>
      </c>
      <c r="BH20" s="1106" t="str">
        <f>IF(OR(C20="",F20="",L20="",P20="",R20="",T20="",X20="",Z20="",AB20="",AD20="",AF20=""),"",IF(BJ20&lt;&gt;"",SPILLOVERNUMBER,INDEX(CMEMOTOR[Measure Number],MATCH(F20,CMEMOTOR[Proj Desc 1],0))))</f>
        <v/>
      </c>
      <c r="BI20" s="1108" t="str">
        <f>IFERROR(IF(AND(AB20="Total",ROUND(AN20/AH20,2)=TOTCOSTCAP),"75% Total Cost",
IF(AND(AB20="Incremental",AH20=AN20),"100% Incremental Cost",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IF(AND((ISNUMBER(SEARCH("Other",F20))),OR(AY20="",AZ20="")),MEASURESUBMIT,
 IF(PAYCUSE&lt;PAYBACKREQ,PROJECTSTATPAYBACK,
IF(CBCUSE&lt;CBREQ,PROJECTSTATCB,""))))))),MEASURESUBMIT)</f>
        <v>Submit for Review</v>
      </c>
      <c r="BK20" s="930" t="str">
        <f>IFERROR(IF(OR(C20="",F20="",L20="",P20="",R20="",T20="",X20="",Z20="",AB20="",AD20="",AF20=""),"",
ROUND(((1+ELOSS)*((AK20*INDEX(ELECCB[NPV AEC $/kWh],MATCH(AY20,ELECCB[Year Number],1)))+(BA20*INDEX(ELECCB[NPV ACC $/kW],MATCH(AY20,ELECCB[Year Number],1))))),2)),0)</f>
        <v/>
      </c>
      <c r="BL20" s="1118"/>
    </row>
    <row r="21" spans="1:64" ht="15.95" customHeight="1">
      <c r="B21" s="905"/>
      <c r="C21" s="1037"/>
      <c r="D21" s="1037"/>
      <c r="E21" s="1037"/>
      <c r="F21" s="1037"/>
      <c r="G21" s="1037"/>
      <c r="H21" s="1037"/>
      <c r="I21" s="1037"/>
      <c r="J21" s="1037"/>
      <c r="K21" s="1039"/>
      <c r="L21" s="1040"/>
      <c r="M21" s="1037"/>
      <c r="N21" s="1037"/>
      <c r="O21" s="1037"/>
      <c r="P21" s="1041"/>
      <c r="Q21" s="1041"/>
      <c r="R21" s="1041"/>
      <c r="S21" s="1152"/>
      <c r="T21" s="1040"/>
      <c r="U21" s="1037"/>
      <c r="V21" s="1037"/>
      <c r="W21" s="1037"/>
      <c r="X21" s="1041"/>
      <c r="Y21" s="1041"/>
      <c r="Z21" s="1041"/>
      <c r="AA21" s="1152"/>
      <c r="AB21" s="1156"/>
      <c r="AC21" s="1157"/>
      <c r="AD21" s="1054"/>
      <c r="AE21" s="1054"/>
      <c r="AF21" s="1127"/>
      <c r="AG21" s="1128"/>
      <c r="AH21" s="1064"/>
      <c r="AI21" s="1065"/>
      <c r="AJ21" s="1065"/>
      <c r="AK21" s="1066"/>
      <c r="AL21" s="1066"/>
      <c r="AM21" s="1066"/>
      <c r="AN21" s="1049"/>
      <c r="AO21" s="1050"/>
      <c r="AP21" s="1050"/>
      <c r="AQ21" s="1050"/>
      <c r="AR21" s="355"/>
      <c r="AS21" s="355"/>
      <c r="AT21" s="1104"/>
      <c r="AU21" s="1104"/>
      <c r="AV21" s="1105"/>
      <c r="AW21" s="1025"/>
      <c r="AX21" s="1025"/>
      <c r="AY21" s="1114"/>
      <c r="AZ21" s="1116"/>
      <c r="BA21" s="1109"/>
      <c r="BB21" s="1121"/>
      <c r="BC21" s="931"/>
      <c r="BD21" s="931"/>
      <c r="BE21" s="931"/>
      <c r="BF21" s="931"/>
      <c r="BG21" s="931"/>
      <c r="BH21" s="1107"/>
      <c r="BI21" s="1105"/>
      <c r="BJ21" s="1105"/>
      <c r="BK21" s="931"/>
      <c r="BL21" s="1119"/>
    </row>
    <row r="22" spans="1:64" s="36" customFormat="1" ht="15.95" customHeight="1">
      <c r="A22" s="195"/>
      <c r="B22" s="905">
        <v>3</v>
      </c>
      <c r="C22" s="1037"/>
      <c r="D22" s="1037"/>
      <c r="E22" s="1037"/>
      <c r="F22" s="1037"/>
      <c r="G22" s="1037"/>
      <c r="H22" s="1037"/>
      <c r="I22" s="1037"/>
      <c r="J22" s="1037"/>
      <c r="K22" s="1039"/>
      <c r="L22" s="1040"/>
      <c r="M22" s="1037"/>
      <c r="N22" s="1037"/>
      <c r="O22" s="1037"/>
      <c r="P22" s="1041"/>
      <c r="Q22" s="1041"/>
      <c r="R22" s="1041"/>
      <c r="S22" s="1152"/>
      <c r="T22" s="1040"/>
      <c r="U22" s="1037"/>
      <c r="V22" s="1037"/>
      <c r="W22" s="1037"/>
      <c r="X22" s="1041"/>
      <c r="Y22" s="1041"/>
      <c r="Z22" s="1041"/>
      <c r="AA22" s="1152"/>
      <c r="AB22" s="1156" t="str">
        <f t="shared" ref="AB22" si="7">IF(OR(C22="New Construction",C22="Replace Failed Equip."),"Incremental",IF(C22="Retrofit","Total",""))</f>
        <v/>
      </c>
      <c r="AC22" s="1157"/>
      <c r="AD22" s="1054"/>
      <c r="AE22" s="1054"/>
      <c r="AF22" s="1127" t="str">
        <f t="shared" ref="AF22" si="8">IF(AB22="Incremental",0,"")</f>
        <v/>
      </c>
      <c r="AG22" s="1128"/>
      <c r="AH22" s="1064" t="str">
        <f t="shared" ref="AH22" si="9">IF(OR(C22="",F22="",L22="",P22="",R22="",T22="",X22="",Z22="",AB22="",AD22="",AF22=""),"",ROUND(AD22+AF22,2))</f>
        <v/>
      </c>
      <c r="AI22" s="1065"/>
      <c r="AJ22" s="1065"/>
      <c r="AK22" s="1081" t="str">
        <f t="shared" ref="AK22" si="10">IF(OR(C22="",F22="",L22="",P22="",R22="",T22="",X22="",Z22="",AB22="",AD22="",AF22=""),"",IF(AW22-AX22&lt;=0,0,ROUND(AW22-AX22,4)))</f>
        <v/>
      </c>
      <c r="AL22" s="1081"/>
      <c r="AM22" s="1081"/>
      <c r="AN22" s="1047" t="str">
        <f>IF(OR(C22="",F22="",L22="",P22="",R22="",T22="",X22="",Z22="",AB22="",AD22="",AF22=""),"",
IF(BJ22&lt;&gt;"",BJ22,IF(BL22&gt;0,BL22,
IF(AB22="Incremental",
IF(ACTIVEBLOCK="Yes",ROUND(MIN(AH22*INCCOSTCAP,AK22*BLOCKBIDRATE),2),
IF(BG22&lt;&gt;"",ROUND(MIN(AH22*INCCOSTCAP,BG22),2),
IF(BD22&lt;KWHRATEMIN,ROUND(MIN(AH22*INCCOSTCAP,BE22),2),
IF(BD22&gt;KWHRATEMAX,ROUND(MIN(AH22*INCCOSTCAP,BF22),2),
ROUND(MIN(AH22*INCCOSTCAP,BC22),2))))),
IF(ACTIVEBLOCK="Yes",ROUND(MIN(AH22*TOTCOSTCAP,AK22*BLOCKBIDRATE),2),
IF(BG22&lt;&gt;"",ROUND(MIN(AH22*TOTCOSTCAP,BG22),2),
IF(BD22&lt;KWHRATEMIN,ROUND(MIN(AH22*TOTCOSTCAP,BE22),2),
IF(BD22&gt;KWHRATEMAX,ROUND(MIN(AH22*TOTCOSTCAP,BF22),2),
ROUND(MIN(AH22*TOTCOSTCAP,BC22),2)))))))))</f>
        <v/>
      </c>
      <c r="AO22" s="1048"/>
      <c r="AP22" s="1048"/>
      <c r="AQ22" s="1048"/>
      <c r="AR22" s="354"/>
      <c r="AS22" s="354"/>
      <c r="AT22" s="1104" t="str">
        <f>IFERROR(IF(OR(C22="",F22="",L22="",P22="",R22="",T22="",X22="",Z22="",AB22="",AD22="",AF22=""),"",
ROUND(((1+ELOSS)*((AK22*INDEX(ELECCB[NPV AEC $/kWh],MATCH(AY22,ELECCB[Year Number],1)))+(BA22*INDEX(ELECCB[NPV ACC $/kW],MATCH(AY22,ELECCB[Year Number],1))))/AH22),2)),0)</f>
        <v/>
      </c>
      <c r="AU22" s="1112" t="str">
        <f>IFERROR(AH22/M02S04F06/AK22,"")</f>
        <v/>
      </c>
      <c r="AV22" s="1108" t="str">
        <f>IF(OR(C22="",F22=""),"",INDEX(CMEMOTOR[Unit of Measure],MATCH(F22,CMEMOTOR[Proj Desc 1],0)))</f>
        <v/>
      </c>
      <c r="AW22" s="1103" t="str">
        <f t="shared" ref="AW22" si="11">IF(OR(C22="",F22="",L22="",P22="",R22="",T22="",X22="",Z22="",AB22="",AD22="",AF22=""),"",ROUND(P22*R22,4))</f>
        <v/>
      </c>
      <c r="AX22" s="1103" t="str">
        <f t="shared" ref="AX22" si="12">IF(OR(C22="",F22="",L22="",P22="",R22="",T22="",X22="",Z22="",AB22="",AD22="",AF22=""),"",ROUND(X22*Z22,4))</f>
        <v/>
      </c>
      <c r="AY22" s="1113" t="str">
        <f>IF(OR(C22="",F22=""),"",IF(INDEX(CMEMOTOR[EUL],MATCH(F22,CMEMOTOR[Proj Desc 1],0))="","",INDEX(CMEMOTOR[EUL],MATCH(F22,CMEMOTOR[Proj Desc 1],0))))</f>
        <v/>
      </c>
      <c r="AZ22" s="1115" t="str">
        <f>IF(OR(C22="",F22=""),"",IF(INDEX(CMEMOTOR[End Use Category],MATCH(F22,CMEMOTOR[Proj Desc 1],0))="","",INDEX(CMEMOTOR[End Use Category],MATCH(F22,CMEMOTOR[Proj Desc 1],0))))</f>
        <v/>
      </c>
      <c r="BA22" s="1027" t="str">
        <f>IFERROR(IF(OR(C22="",F22="",L22="",P22="",R22="",T22="",X22="",Z22="",AB22="",AD22="",AF22=""),"",ROUND(AK22*INDEX(ENDUSEALL[Factor],MATCH(AZ22,ENDUSEALL[End Use to Coincident Peak Demand Factors],0)),4)),"")</f>
        <v/>
      </c>
      <c r="BB22" s="1120"/>
      <c r="BC22" s="930" t="str">
        <f t="shared" ref="BC22" si="13">IFERROR(ROUND(AK22*BD22,2),"")</f>
        <v/>
      </c>
      <c r="BD22" s="930" t="str">
        <f>IFERROR(INDEX(ENDUSEALL[Rate ($/kWh)],MATCH(AZ22,ENDUSEALL[End Use to Coincident Peak Demand Factors],0)),"")</f>
        <v/>
      </c>
      <c r="BE22" s="931" t="str">
        <f>IFERROR(ROUND(AK22*KWHRATEMIN,2),"")</f>
        <v/>
      </c>
      <c r="BF22" s="931" t="str">
        <f>IFERROR(ROUND(AK22*KWHRATEMAX,2),"")</f>
        <v/>
      </c>
      <c r="BG22" s="930" t="str">
        <f>IFERROR(IF(INDEX(ENDUSEALL[Bonus Rate ($/kWh)],MATCH(AZ22,ENDUSEALL[End Use to Coincident Peak Demand Factors],0))="","",INDEX(ENDUSEALL[Bonus Rate ($/kWh)],MATCH(AZ22,ENDUSEALL[End Use to Coincident Peak Demand Factors],0))*AK22),"")</f>
        <v/>
      </c>
      <c r="BH22" s="1106" t="str">
        <f>IF(OR(C22="",F22="",L22="",P22="",R22="",T22="",X22="",Z22="",AB22="",AD22="",AF22=""),"",IF(BJ22&lt;&gt;"",SPILLOVERNUMBER,INDEX(CMEMOTOR[Measure Number],MATCH(F22,CMEMOTOR[Proj Desc 1],0))))</f>
        <v/>
      </c>
      <c r="BI22" s="1108" t="str">
        <f>IFERROR(IF(AND(AB22="Total",ROUND(AN22/AH22,2)=TOTCOSTCAP),"75% Total Cost",
IF(AND(AB22="Incremental",AH22=AN22),"100% Incremental Cost",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IF(AND((ISNUMBER(SEARCH("Other",F22))),OR(AY22="",AZ22="")),MEASURESUBMIT,
 IF(PAYCUSE&lt;PAYBACKREQ,PROJECTSTATPAYBACK,
IF(CBCUSE&lt;CBREQ,PROJECTSTATCB,""))))))),MEASURESUBMIT)</f>
        <v>Submit for Review</v>
      </c>
      <c r="BK22" s="930" t="str">
        <f>IFERROR(IF(OR(C22="",F22="",L22="",P22="",R22="",T22="",X22="",Z22="",AB22="",AD22="",AF22=""),"",
ROUND(((1+ELOSS)*((AK22*INDEX(ELECCB[NPV AEC $/kWh],MATCH(AY22,ELECCB[Year Number],1)))+(BA22*INDEX(ELECCB[NPV ACC $/kW],MATCH(AY22,ELECCB[Year Number],1))))),2)),0)</f>
        <v/>
      </c>
      <c r="BL22" s="1118"/>
    </row>
    <row r="23" spans="1:64" s="36" customFormat="1" ht="15.95" customHeight="1">
      <c r="A23" s="195"/>
      <c r="B23" s="905"/>
      <c r="C23" s="1037"/>
      <c r="D23" s="1037"/>
      <c r="E23" s="1037"/>
      <c r="F23" s="1037"/>
      <c r="G23" s="1037"/>
      <c r="H23" s="1037"/>
      <c r="I23" s="1037"/>
      <c r="J23" s="1037"/>
      <c r="K23" s="1039"/>
      <c r="L23" s="1040"/>
      <c r="M23" s="1037"/>
      <c r="N23" s="1037"/>
      <c r="O23" s="1037"/>
      <c r="P23" s="1041"/>
      <c r="Q23" s="1041"/>
      <c r="R23" s="1041"/>
      <c r="S23" s="1152"/>
      <c r="T23" s="1040"/>
      <c r="U23" s="1037"/>
      <c r="V23" s="1037"/>
      <c r="W23" s="1037"/>
      <c r="X23" s="1041"/>
      <c r="Y23" s="1041"/>
      <c r="Z23" s="1041"/>
      <c r="AA23" s="1152"/>
      <c r="AB23" s="1156"/>
      <c r="AC23" s="1157"/>
      <c r="AD23" s="1054"/>
      <c r="AE23" s="1054"/>
      <c r="AF23" s="1127"/>
      <c r="AG23" s="1128"/>
      <c r="AH23" s="1064"/>
      <c r="AI23" s="1065"/>
      <c r="AJ23" s="1065"/>
      <c r="AK23" s="1066"/>
      <c r="AL23" s="1066"/>
      <c r="AM23" s="1066"/>
      <c r="AN23" s="1049"/>
      <c r="AO23" s="1050"/>
      <c r="AP23" s="1050"/>
      <c r="AQ23" s="1050"/>
      <c r="AR23" s="354"/>
      <c r="AS23" s="354"/>
      <c r="AT23" s="1104"/>
      <c r="AU23" s="1104"/>
      <c r="AV23" s="1105"/>
      <c r="AW23" s="1025"/>
      <c r="AX23" s="1025"/>
      <c r="AY23" s="1114"/>
      <c r="AZ23" s="1116"/>
      <c r="BA23" s="1109"/>
      <c r="BB23" s="1121"/>
      <c r="BC23" s="931"/>
      <c r="BD23" s="931"/>
      <c r="BE23" s="931"/>
      <c r="BF23" s="931"/>
      <c r="BG23" s="931"/>
      <c r="BH23" s="1107"/>
      <c r="BI23" s="1105"/>
      <c r="BJ23" s="1105"/>
      <c r="BK23" s="931"/>
      <c r="BL23" s="1119"/>
    </row>
    <row r="24" spans="1:64" ht="15.95" customHeight="1">
      <c r="B24" s="905">
        <v>4</v>
      </c>
      <c r="C24" s="1037"/>
      <c r="D24" s="1037"/>
      <c r="E24" s="1037"/>
      <c r="F24" s="1037"/>
      <c r="G24" s="1037"/>
      <c r="H24" s="1037"/>
      <c r="I24" s="1037"/>
      <c r="J24" s="1037"/>
      <c r="K24" s="1039"/>
      <c r="L24" s="1040"/>
      <c r="M24" s="1037"/>
      <c r="N24" s="1037"/>
      <c r="O24" s="1037"/>
      <c r="P24" s="1041"/>
      <c r="Q24" s="1041"/>
      <c r="R24" s="1041"/>
      <c r="S24" s="1152"/>
      <c r="T24" s="1040"/>
      <c r="U24" s="1037"/>
      <c r="V24" s="1037"/>
      <c r="W24" s="1037"/>
      <c r="X24" s="1041"/>
      <c r="Y24" s="1041"/>
      <c r="Z24" s="1041"/>
      <c r="AA24" s="1152"/>
      <c r="AB24" s="1156" t="str">
        <f t="shared" ref="AB24" si="14">IF(OR(C24="New Construction",C24="Replace Failed Equip."),"Incremental",IF(C24="Retrofit","Total",""))</f>
        <v/>
      </c>
      <c r="AC24" s="1157"/>
      <c r="AD24" s="1054"/>
      <c r="AE24" s="1054"/>
      <c r="AF24" s="1127" t="str">
        <f t="shared" ref="AF24" si="15">IF(AB24="Incremental",0,"")</f>
        <v/>
      </c>
      <c r="AG24" s="1128"/>
      <c r="AH24" s="1064" t="str">
        <f t="shared" ref="AH24" si="16">IF(OR(C24="",F24="",L24="",P24="",R24="",T24="",X24="",Z24="",AB24="",AD24="",AF24=""),"",ROUND(AD24+AF24,2))</f>
        <v/>
      </c>
      <c r="AI24" s="1065"/>
      <c r="AJ24" s="1065"/>
      <c r="AK24" s="1081" t="str">
        <f t="shared" ref="AK24" si="17">IF(OR(C24="",F24="",L24="",P24="",R24="",T24="",X24="",Z24="",AB24="",AD24="",AF24=""),"",IF(AW24-AX24&lt;=0,0,ROUND(AW24-AX24,4)))</f>
        <v/>
      </c>
      <c r="AL24" s="1081"/>
      <c r="AM24" s="1081"/>
      <c r="AN24" s="1047" t="str">
        <f>IF(OR(C24="",F24="",L24="",P24="",R24="",T24="",X24="",Z24="",AB24="",AD24="",AF24=""),"",
IF(BJ24&lt;&gt;"",BJ24,IF(BL24&gt;0,BL24,
IF(AB24="Incremental",
IF(ACTIVEBLOCK="Yes",ROUND(MIN(AH24*INCCOSTCAP,AK24*BLOCKBIDRATE),2),
IF(BG24&lt;&gt;"",ROUND(MIN(AH24*INCCOSTCAP,BG24),2),
IF(BD24&lt;KWHRATEMIN,ROUND(MIN(AH24*INCCOSTCAP,BE24),2),
IF(BD24&gt;KWHRATEMAX,ROUND(MIN(AH24*INCCOSTCAP,BF24),2),
ROUND(MIN(AH24*INCCOSTCAP,BC24),2))))),
IF(ACTIVEBLOCK="Yes",ROUND(MIN(AH24*TOTCOSTCAP,AK24*BLOCKBIDRATE),2),
IF(BG24&lt;&gt;"",ROUND(MIN(AH24*TOTCOSTCAP,BG24),2),
IF(BD24&lt;KWHRATEMIN,ROUND(MIN(AH24*TOTCOSTCAP,BE24),2),
IF(BD24&gt;KWHRATEMAX,ROUND(MIN(AH24*TOTCOSTCAP,BF24),2),
ROUND(MIN(AH24*TOTCOSTCAP,BC24),2)))))))))</f>
        <v/>
      </c>
      <c r="AO24" s="1048"/>
      <c r="AP24" s="1048"/>
      <c r="AQ24" s="1048"/>
      <c r="AR24" s="355"/>
      <c r="AS24" s="355"/>
      <c r="AT24" s="1104" t="str">
        <f>IFERROR(IF(OR(C24="",F24="",L24="",P24="",R24="",T24="",X24="",Z24="",AB24="",AD24="",AF24=""),"",
ROUND(((1+ELOSS)*((AK24*INDEX(ELECCB[NPV AEC $/kWh],MATCH(AY24,ELECCB[Year Number],1)))+(BA24*INDEX(ELECCB[NPV ACC $/kW],MATCH(AY24,ELECCB[Year Number],1))))/AH24),2)),0)</f>
        <v/>
      </c>
      <c r="AU24" s="1112" t="str">
        <f>IFERROR(AH24/M02S04F06/AK24,"")</f>
        <v/>
      </c>
      <c r="AV24" s="1108" t="str">
        <f>IF(OR(C24="",F24=""),"",INDEX(CMEMOTOR[Unit of Measure],MATCH(F24,CMEMOTOR[Proj Desc 1],0)))</f>
        <v/>
      </c>
      <c r="AW24" s="1103" t="str">
        <f t="shared" ref="AW24" si="18">IF(OR(C24="",F24="",L24="",P24="",R24="",T24="",X24="",Z24="",AB24="",AD24="",AF24=""),"",ROUND(P24*R24,4))</f>
        <v/>
      </c>
      <c r="AX24" s="1103" t="str">
        <f t="shared" ref="AX24" si="19">IF(OR(C24="",F24="",L24="",P24="",R24="",T24="",X24="",Z24="",AB24="",AD24="",AF24=""),"",ROUND(X24*Z24,4))</f>
        <v/>
      </c>
      <c r="AY24" s="1113" t="str">
        <f>IF(OR(C24="",F24=""),"",IF(INDEX(CMEMOTOR[EUL],MATCH(F24,CMEMOTOR[Proj Desc 1],0))="","",INDEX(CMEMOTOR[EUL],MATCH(F24,CMEMOTOR[Proj Desc 1],0))))</f>
        <v/>
      </c>
      <c r="AZ24" s="1115" t="str">
        <f>IF(OR(C24="",F24=""),"",IF(INDEX(CMEMOTOR[End Use Category],MATCH(F24,CMEMOTOR[Proj Desc 1],0))="","",INDEX(CMEMOTOR[End Use Category],MATCH(F24,CMEMOTOR[Proj Desc 1],0))))</f>
        <v/>
      </c>
      <c r="BA24" s="1027" t="str">
        <f>IFERROR(IF(OR(C24="",F24="",L24="",P24="",R24="",T24="",X24="",Z24="",AB24="",AD24="",AF24=""),"",ROUND(AK24*INDEX(ENDUSEALL[Factor],MATCH(AZ24,ENDUSEALL[End Use to Coincident Peak Demand Factors],0)),4)),"")</f>
        <v/>
      </c>
      <c r="BB24" s="1120"/>
      <c r="BC24" s="930" t="str">
        <f t="shared" ref="BC24" si="20">IFERROR(ROUND(AK24*BD24,2),"")</f>
        <v/>
      </c>
      <c r="BD24" s="930" t="str">
        <f>IFERROR(INDEX(ENDUSEALL[Rate ($/kWh)],MATCH(AZ24,ENDUSEALL[End Use to Coincident Peak Demand Factors],0)),"")</f>
        <v/>
      </c>
      <c r="BE24" s="931" t="str">
        <f>IFERROR(ROUND(AK24*KWHRATEMIN,2),"")</f>
        <v/>
      </c>
      <c r="BF24" s="931" t="str">
        <f>IFERROR(ROUND(AK24*KWHRATEMAX,2),"")</f>
        <v/>
      </c>
      <c r="BG24" s="930" t="str">
        <f>IFERROR(IF(INDEX(ENDUSEALL[Bonus Rate ($/kWh)],MATCH(AZ24,ENDUSEALL[End Use to Coincident Peak Demand Factors],0))="","",INDEX(ENDUSEALL[Bonus Rate ($/kWh)],MATCH(AZ24,ENDUSEALL[End Use to Coincident Peak Demand Factors],0))*AK24),"")</f>
        <v/>
      </c>
      <c r="BH24" s="1106" t="str">
        <f>IF(OR(C24="",F24="",L24="",P24="",R24="",T24="",X24="",Z24="",AB24="",AD24="",AF24=""),"",IF(BJ24&lt;&gt;"",SPILLOVERNUMBER,INDEX(CMEMOTOR[Measure Number],MATCH(F24,CMEMOTOR[Proj Desc 1],0))))</f>
        <v/>
      </c>
      <c r="BI24" s="1108" t="str">
        <f>IFERROR(IF(AND(AB24="Total",ROUND(AN24/AH24,2)=TOTCOSTCAP),"75% Total Cost",
IF(AND(AB24="Incremental",AH24=AN24),"100% Incremental Cost",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IF(AND((ISNUMBER(SEARCH("Other",F24))),OR(AY24="",AZ24="")),MEASURESUBMIT,
 IF(PAYCUSE&lt;PAYBACKREQ,PROJECTSTATPAYBACK,
IF(CBCUSE&lt;CBREQ,PROJECTSTATCB,""))))))),MEASURESUBMIT)</f>
        <v>Submit for Review</v>
      </c>
      <c r="BK24" s="930" t="str">
        <f>IFERROR(IF(OR(C24="",F24="",L24="",P24="",R24="",T24="",X24="",Z24="",AB24="",AD24="",AF24=""),"",
ROUND(((1+ELOSS)*((AK24*INDEX(ELECCB[NPV AEC $/kWh],MATCH(AY24,ELECCB[Year Number],1)))+(BA24*INDEX(ELECCB[NPV ACC $/kW],MATCH(AY24,ELECCB[Year Number],1))))),2)),0)</f>
        <v/>
      </c>
      <c r="BL24" s="1118"/>
    </row>
    <row r="25" spans="1:64" ht="15.95" customHeight="1">
      <c r="A25" s="145"/>
      <c r="B25" s="905"/>
      <c r="C25" s="1037"/>
      <c r="D25" s="1037"/>
      <c r="E25" s="1037"/>
      <c r="F25" s="1037"/>
      <c r="G25" s="1037"/>
      <c r="H25" s="1037"/>
      <c r="I25" s="1037"/>
      <c r="J25" s="1037"/>
      <c r="K25" s="1039"/>
      <c r="L25" s="1040"/>
      <c r="M25" s="1037"/>
      <c r="N25" s="1037"/>
      <c r="O25" s="1037"/>
      <c r="P25" s="1041"/>
      <c r="Q25" s="1041"/>
      <c r="R25" s="1041"/>
      <c r="S25" s="1152"/>
      <c r="T25" s="1040"/>
      <c r="U25" s="1037"/>
      <c r="V25" s="1037"/>
      <c r="W25" s="1037"/>
      <c r="X25" s="1041"/>
      <c r="Y25" s="1041"/>
      <c r="Z25" s="1041"/>
      <c r="AA25" s="1152"/>
      <c r="AB25" s="1156"/>
      <c r="AC25" s="1157"/>
      <c r="AD25" s="1054"/>
      <c r="AE25" s="1054"/>
      <c r="AF25" s="1127"/>
      <c r="AG25" s="1128"/>
      <c r="AH25" s="1064"/>
      <c r="AI25" s="1065"/>
      <c r="AJ25" s="1065"/>
      <c r="AK25" s="1066"/>
      <c r="AL25" s="1066"/>
      <c r="AM25" s="1066"/>
      <c r="AN25" s="1049"/>
      <c r="AO25" s="1050"/>
      <c r="AP25" s="1050"/>
      <c r="AQ25" s="1050"/>
      <c r="AR25" s="355"/>
      <c r="AS25" s="355"/>
      <c r="AT25" s="1104"/>
      <c r="AU25" s="1104"/>
      <c r="AV25" s="1105"/>
      <c r="AW25" s="1025"/>
      <c r="AX25" s="1025"/>
      <c r="AY25" s="1114"/>
      <c r="AZ25" s="1116"/>
      <c r="BA25" s="1109"/>
      <c r="BB25" s="1121"/>
      <c r="BC25" s="931"/>
      <c r="BD25" s="931"/>
      <c r="BE25" s="931"/>
      <c r="BF25" s="931"/>
      <c r="BG25" s="931"/>
      <c r="BH25" s="1107"/>
      <c r="BI25" s="1105"/>
      <c r="BJ25" s="1105"/>
      <c r="BK25" s="931"/>
      <c r="BL25" s="1119"/>
    </row>
    <row r="26" spans="1:64" ht="15.95" customHeight="1">
      <c r="B26" s="905">
        <v>5</v>
      </c>
      <c r="C26" s="1037"/>
      <c r="D26" s="1037"/>
      <c r="E26" s="1037"/>
      <c r="F26" s="1037"/>
      <c r="G26" s="1037"/>
      <c r="H26" s="1037"/>
      <c r="I26" s="1037"/>
      <c r="J26" s="1037"/>
      <c r="K26" s="1039"/>
      <c r="L26" s="1040"/>
      <c r="M26" s="1037"/>
      <c r="N26" s="1037"/>
      <c r="O26" s="1037"/>
      <c r="P26" s="1041"/>
      <c r="Q26" s="1041"/>
      <c r="R26" s="1041"/>
      <c r="S26" s="1152"/>
      <c r="T26" s="1040"/>
      <c r="U26" s="1037"/>
      <c r="V26" s="1037"/>
      <c r="W26" s="1037"/>
      <c r="X26" s="1041"/>
      <c r="Y26" s="1041"/>
      <c r="Z26" s="1041"/>
      <c r="AA26" s="1152"/>
      <c r="AB26" s="1156" t="str">
        <f t="shared" ref="AB26" si="21">IF(OR(C26="New Construction",C26="Replace Failed Equip."),"Incremental",IF(C26="Retrofit","Total",""))</f>
        <v/>
      </c>
      <c r="AC26" s="1157"/>
      <c r="AD26" s="1054"/>
      <c r="AE26" s="1054"/>
      <c r="AF26" s="1127" t="str">
        <f t="shared" ref="AF26" si="22">IF(AB26="Incremental",0,"")</f>
        <v/>
      </c>
      <c r="AG26" s="1128"/>
      <c r="AH26" s="1064" t="str">
        <f t="shared" ref="AH26" si="23">IF(OR(C26="",F26="",L26="",P26="",R26="",T26="",X26="",Z26="",AB26="",AD26="",AF26=""),"",ROUND(AD26+AF26,2))</f>
        <v/>
      </c>
      <c r="AI26" s="1065"/>
      <c r="AJ26" s="1065"/>
      <c r="AK26" s="1081" t="str">
        <f t="shared" ref="AK26" si="24">IF(OR(C26="",F26="",L26="",P26="",R26="",T26="",X26="",Z26="",AB26="",AD26="",AF26=""),"",IF(AW26-AX26&lt;=0,0,ROUND(AW26-AX26,4)))</f>
        <v/>
      </c>
      <c r="AL26" s="1081"/>
      <c r="AM26" s="1081"/>
      <c r="AN26" s="1047" t="str">
        <f>IF(OR(C26="",F26="",L26="",P26="",R26="",T26="",X26="",Z26="",AB26="",AD26="",AF26=""),"",
IF(BJ26&lt;&gt;"",BJ26,IF(BL26&gt;0,BL26,
IF(AB26="Incremental",
IF(ACTIVEBLOCK="Yes",ROUND(MIN(AH26*INCCOSTCAP,AK26*BLOCKBIDRATE),2),
IF(BG26&lt;&gt;"",ROUND(MIN(AH26*INCCOSTCAP,BG26),2),
IF(BD26&lt;KWHRATEMIN,ROUND(MIN(AH26*INCCOSTCAP,BE26),2),
IF(BD26&gt;KWHRATEMAX,ROUND(MIN(AH26*INCCOSTCAP,BF26),2),
ROUND(MIN(AH26*INCCOSTCAP,BC26),2))))),
IF(ACTIVEBLOCK="Yes",ROUND(MIN(AH26*TOTCOSTCAP,AK26*BLOCKBIDRATE),2),
IF(BG26&lt;&gt;"",ROUND(MIN(AH26*TOTCOSTCAP,BG26),2),
IF(BD26&lt;KWHRATEMIN,ROUND(MIN(AH26*TOTCOSTCAP,BE26),2),
IF(BD26&gt;KWHRATEMAX,ROUND(MIN(AH26*TOTCOSTCAP,BF26),2),
ROUND(MIN(AH26*TOTCOSTCAP,BC26),2)))))))))</f>
        <v/>
      </c>
      <c r="AO26" s="1048"/>
      <c r="AP26" s="1048"/>
      <c r="AQ26" s="1048"/>
      <c r="AR26" s="355"/>
      <c r="AS26" s="355"/>
      <c r="AT26" s="1104" t="str">
        <f>IFERROR(IF(OR(C26="",F26="",L26="",P26="",R26="",T26="",X26="",Z26="",AB26="",AD26="",AF26=""),"",
ROUND(((1+ELOSS)*((AK26*INDEX(ELECCB[NPV AEC $/kWh],MATCH(AY26,ELECCB[Year Number],1)))+(BA26*INDEX(ELECCB[NPV ACC $/kW],MATCH(AY26,ELECCB[Year Number],1))))/AH26),2)),0)</f>
        <v/>
      </c>
      <c r="AU26" s="1112" t="str">
        <f>IFERROR(AH26/M02S04F06/AK26,"")</f>
        <v/>
      </c>
      <c r="AV26" s="1108" t="str">
        <f>IF(OR(C26="",F26=""),"",INDEX(CMEMOTOR[Unit of Measure],MATCH(F26,CMEMOTOR[Proj Desc 1],0)))</f>
        <v/>
      </c>
      <c r="AW26" s="1103" t="str">
        <f t="shared" ref="AW26" si="25">IF(OR(C26="",F26="",L26="",P26="",R26="",T26="",X26="",Z26="",AB26="",AD26="",AF26=""),"",ROUND(P26*R26,4))</f>
        <v/>
      </c>
      <c r="AX26" s="1103" t="str">
        <f t="shared" ref="AX26" si="26">IF(OR(C26="",F26="",L26="",P26="",R26="",T26="",X26="",Z26="",AB26="",AD26="",AF26=""),"",ROUND(X26*Z26,4))</f>
        <v/>
      </c>
      <c r="AY26" s="1113" t="str">
        <f>IF(OR(C26="",F26=""),"",IF(INDEX(CMEMOTOR[EUL],MATCH(F26,CMEMOTOR[Proj Desc 1],0))="","",INDEX(CMEMOTOR[EUL],MATCH(F26,CMEMOTOR[Proj Desc 1],0))))</f>
        <v/>
      </c>
      <c r="AZ26" s="1115" t="str">
        <f>IF(OR(C26="",F26=""),"",IF(INDEX(CMEMOTOR[End Use Category],MATCH(F26,CMEMOTOR[Proj Desc 1],0))="","",INDEX(CMEMOTOR[End Use Category],MATCH(F26,CMEMOTOR[Proj Desc 1],0))))</f>
        <v/>
      </c>
      <c r="BA26" s="1027" t="str">
        <f>IFERROR(IF(OR(C26="",F26="",L26="",P26="",R26="",T26="",X26="",Z26="",AB26="",AD26="",AF26=""),"",ROUND(AK26*INDEX(ENDUSEALL[Factor],MATCH(AZ26,ENDUSEALL[End Use to Coincident Peak Demand Factors],0)),4)),"")</f>
        <v/>
      </c>
      <c r="BB26" s="1120"/>
      <c r="BC26" s="930" t="str">
        <f t="shared" ref="BC26" si="27">IFERROR(ROUND(AK26*BD26,2),"")</f>
        <v/>
      </c>
      <c r="BD26" s="930" t="str">
        <f>IFERROR(INDEX(ENDUSEALL[Rate ($/kWh)],MATCH(AZ26,ENDUSEALL[End Use to Coincident Peak Demand Factors],0)),"")</f>
        <v/>
      </c>
      <c r="BE26" s="931" t="str">
        <f>IFERROR(ROUND(AK26*KWHRATEMIN,2),"")</f>
        <v/>
      </c>
      <c r="BF26" s="931" t="str">
        <f>IFERROR(ROUND(AK26*KWHRATEMAX,2),"")</f>
        <v/>
      </c>
      <c r="BG26" s="930" t="str">
        <f>IFERROR(IF(INDEX(ENDUSEALL[Bonus Rate ($/kWh)],MATCH(AZ26,ENDUSEALL[End Use to Coincident Peak Demand Factors],0))="","",INDEX(ENDUSEALL[Bonus Rate ($/kWh)],MATCH(AZ26,ENDUSEALL[End Use to Coincident Peak Demand Factors],0))*AK26),"")</f>
        <v/>
      </c>
      <c r="BH26" s="1106" t="str">
        <f>IF(OR(C26="",F26="",L26="",P26="",R26="",T26="",X26="",Z26="",AB26="",AD26="",AF26=""),"",IF(BJ26&lt;&gt;"",SPILLOVERNUMBER,INDEX(CMEMOTOR[Measure Number],MATCH(F26,CMEMOTOR[Proj Desc 1],0))))</f>
        <v/>
      </c>
      <c r="BI26" s="1108" t="str">
        <f>IFERROR(IF(AND(AB26="Total",ROUND(AN26/AH26,2)=TOTCOSTCAP),"75% Total Cost",
IF(AND(AB26="Incremental",AH26=AN26),"100% Incremental Cost",
IF(BD26&lt;KWHRATEMIN, "kWh Incentive Rate Min",
IF(BD26&gt;KWHRATEMAX,"kWh Incentive Rate Cap",
IF(AN26=BG26,"Bonus Incentive",
"kWh Incentive"))))),"")</f>
        <v/>
      </c>
      <c r="BJ26" s="1108" t="str">
        <f ca="1">IFERROR(IF(EXPIRATION&lt;&gt;"",PROJSTATEXP,
IF(BL26&gt;0,"",
IF(AW26-AX26&lt;=0,MEASURESAVE,
IF(OR(M02S04F06="",M02S04F06="Select Rate Code",M02S04F06=0),MEASURERATE,
IF(AND((ISNUMBER(SEARCH("Other",F26))),OR(AY26="",AZ26="")),MEASURESUBMIT,
 IF(PAYCUSE&lt;PAYBACKREQ,PROJECTSTATPAYBACK,
IF(CBCUSE&lt;CBREQ,PROJECTSTATCB,""))))))),MEASURESUBMIT)</f>
        <v>Submit for Review</v>
      </c>
      <c r="BK26" s="930" t="str">
        <f>IFERROR(IF(OR(C26="",F26="",L26="",P26="",R26="",T26="",X26="",Z26="",AB26="",AD26="",AF26=""),"",
ROUND(((1+ELOSS)*((AK26*INDEX(ELECCB[NPV AEC $/kWh],MATCH(AY26,ELECCB[Year Number],1)))+(BA26*INDEX(ELECCB[NPV ACC $/kW],MATCH(AY26,ELECCB[Year Number],1))))),2)),0)</f>
        <v/>
      </c>
      <c r="BL26" s="1118"/>
    </row>
    <row r="27" spans="1:64" ht="15.95" customHeight="1">
      <c r="B27" s="905"/>
      <c r="C27" s="1037"/>
      <c r="D27" s="1037"/>
      <c r="E27" s="1037"/>
      <c r="F27" s="1037"/>
      <c r="G27" s="1037"/>
      <c r="H27" s="1037"/>
      <c r="I27" s="1037"/>
      <c r="J27" s="1037"/>
      <c r="K27" s="1039"/>
      <c r="L27" s="1040"/>
      <c r="M27" s="1037"/>
      <c r="N27" s="1037"/>
      <c r="O27" s="1037"/>
      <c r="P27" s="1041"/>
      <c r="Q27" s="1041"/>
      <c r="R27" s="1041"/>
      <c r="S27" s="1152"/>
      <c r="T27" s="1040"/>
      <c r="U27" s="1037"/>
      <c r="V27" s="1037"/>
      <c r="W27" s="1037"/>
      <c r="X27" s="1041"/>
      <c r="Y27" s="1041"/>
      <c r="Z27" s="1041"/>
      <c r="AA27" s="1152"/>
      <c r="AB27" s="1156"/>
      <c r="AC27" s="1157"/>
      <c r="AD27" s="1054"/>
      <c r="AE27" s="1054"/>
      <c r="AF27" s="1127"/>
      <c r="AG27" s="1128"/>
      <c r="AH27" s="1064"/>
      <c r="AI27" s="1065"/>
      <c r="AJ27" s="1065"/>
      <c r="AK27" s="1066"/>
      <c r="AL27" s="1066"/>
      <c r="AM27" s="1066"/>
      <c r="AN27" s="1049"/>
      <c r="AO27" s="1050"/>
      <c r="AP27" s="1050"/>
      <c r="AQ27" s="1050"/>
      <c r="AR27" s="355"/>
      <c r="AS27" s="355"/>
      <c r="AT27" s="1104"/>
      <c r="AU27" s="1104"/>
      <c r="AV27" s="1105"/>
      <c r="AW27" s="1025"/>
      <c r="AX27" s="1025"/>
      <c r="AY27" s="1114"/>
      <c r="AZ27" s="1116"/>
      <c r="BA27" s="1109"/>
      <c r="BB27" s="1121"/>
      <c r="BC27" s="931"/>
      <c r="BD27" s="931"/>
      <c r="BE27" s="931"/>
      <c r="BF27" s="931"/>
      <c r="BG27" s="931"/>
      <c r="BH27" s="1107"/>
      <c r="BI27" s="1105"/>
      <c r="BJ27" s="1105"/>
      <c r="BK27" s="931"/>
      <c r="BL27" s="1119"/>
    </row>
    <row r="28" spans="1:64" ht="15.95" customHeight="1">
      <c r="B28" s="905">
        <v>6</v>
      </c>
      <c r="C28" s="1037"/>
      <c r="D28" s="1037"/>
      <c r="E28" s="1037"/>
      <c r="F28" s="1037"/>
      <c r="G28" s="1037"/>
      <c r="H28" s="1037"/>
      <c r="I28" s="1037"/>
      <c r="J28" s="1037"/>
      <c r="K28" s="1039"/>
      <c r="L28" s="1040"/>
      <c r="M28" s="1037"/>
      <c r="N28" s="1037"/>
      <c r="O28" s="1037"/>
      <c r="P28" s="1041"/>
      <c r="Q28" s="1041"/>
      <c r="R28" s="1041"/>
      <c r="S28" s="1152"/>
      <c r="T28" s="1040"/>
      <c r="U28" s="1037"/>
      <c r="V28" s="1037"/>
      <c r="W28" s="1037"/>
      <c r="X28" s="1041"/>
      <c r="Y28" s="1041"/>
      <c r="Z28" s="1041"/>
      <c r="AA28" s="1152"/>
      <c r="AB28" s="1156" t="str">
        <f t="shared" ref="AB28" si="28">IF(OR(C28="New Construction",C28="Replace Failed Equip."),"Incremental",IF(C28="Retrofit","Total",""))</f>
        <v/>
      </c>
      <c r="AC28" s="1157"/>
      <c r="AD28" s="1054"/>
      <c r="AE28" s="1054"/>
      <c r="AF28" s="1127" t="str">
        <f t="shared" ref="AF28" si="29">IF(AB28="Incremental",0,"")</f>
        <v/>
      </c>
      <c r="AG28" s="1128"/>
      <c r="AH28" s="1064" t="str">
        <f t="shared" ref="AH28" si="30">IF(OR(C28="",F28="",L28="",P28="",R28="",T28="",X28="",Z28="",AB28="",AD28="",AF28=""),"",ROUND(AD28+AF28,2))</f>
        <v/>
      </c>
      <c r="AI28" s="1065"/>
      <c r="AJ28" s="1065"/>
      <c r="AK28" s="1081" t="str">
        <f t="shared" ref="AK28" si="31">IF(OR(C28="",F28="",L28="",P28="",R28="",T28="",X28="",Z28="",AB28="",AD28="",AF28=""),"",IF(AW28-AX28&lt;=0,0,ROUND(AW28-AX28,4)))</f>
        <v/>
      </c>
      <c r="AL28" s="1081"/>
      <c r="AM28" s="1081"/>
      <c r="AN28" s="1047" t="str">
        <f>IF(OR(C28="",F28="",L28="",P28="",R28="",T28="",X28="",Z28="",AB28="",AD28="",AF28=""),"",
IF(BJ28&lt;&gt;"",BJ28,IF(BL28&gt;0,BL28,
IF(AB28="Incremental",
IF(ACTIVEBLOCK="Yes",ROUND(MIN(AH28*INCCOSTCAP,AK28*BLOCKBIDRATE),2),
IF(BG28&lt;&gt;"",ROUND(MIN(AH28*INCCOSTCAP,BG28),2),
IF(BD28&lt;KWHRATEMIN,ROUND(MIN(AH28*INCCOSTCAP,BE28),2),
IF(BD28&gt;KWHRATEMAX,ROUND(MIN(AH28*INCCOSTCAP,BF28),2),
ROUND(MIN(AH28*INCCOSTCAP,BC28),2))))),
IF(ACTIVEBLOCK="Yes",ROUND(MIN(AH28*TOTCOSTCAP,AK28*BLOCKBIDRATE),2),
IF(BG28&lt;&gt;"",ROUND(MIN(AH28*TOTCOSTCAP,BG28),2),
IF(BD28&lt;KWHRATEMIN,ROUND(MIN(AH28*TOTCOSTCAP,BE28),2),
IF(BD28&gt;KWHRATEMAX,ROUND(MIN(AH28*TOTCOSTCAP,BF28),2),
ROUND(MIN(AH28*TOTCOSTCAP,BC28),2)))))))))</f>
        <v/>
      </c>
      <c r="AO28" s="1048"/>
      <c r="AP28" s="1048"/>
      <c r="AQ28" s="1048"/>
      <c r="AR28" s="355"/>
      <c r="AS28" s="355"/>
      <c r="AT28" s="1104" t="str">
        <f>IFERROR(IF(OR(C28="",F28="",L28="",P28="",R28="",T28="",X28="",Z28="",AB28="",AD28="",AF28=""),"",
ROUND(((1+ELOSS)*((AK28*INDEX(ELECCB[NPV AEC $/kWh],MATCH(AY28,ELECCB[Year Number],1)))+(BA28*INDEX(ELECCB[NPV ACC $/kW],MATCH(AY28,ELECCB[Year Number],1))))/AH28),2)),0)</f>
        <v/>
      </c>
      <c r="AU28" s="1112" t="str">
        <f>IFERROR(AH28/M02S04F06/AK28,"")</f>
        <v/>
      </c>
      <c r="AV28" s="1108" t="str">
        <f>IF(OR(C28="",F28=""),"",INDEX(CMEMOTOR[Unit of Measure],MATCH(F28,CMEMOTOR[Proj Desc 1],0)))</f>
        <v/>
      </c>
      <c r="AW28" s="1103" t="str">
        <f t="shared" ref="AW28" si="32">IF(OR(C28="",F28="",L28="",P28="",R28="",T28="",X28="",Z28="",AB28="",AD28="",AF28=""),"",ROUND(P28*R28,4))</f>
        <v/>
      </c>
      <c r="AX28" s="1103" t="str">
        <f t="shared" ref="AX28" si="33">IF(OR(C28="",F28="",L28="",P28="",R28="",T28="",X28="",Z28="",AB28="",AD28="",AF28=""),"",ROUND(X28*Z28,4))</f>
        <v/>
      </c>
      <c r="AY28" s="1113" t="str">
        <f>IF(OR(C28="",F28=""),"",IF(INDEX(CMEMOTOR[EUL],MATCH(F28,CMEMOTOR[Proj Desc 1],0))="","",INDEX(CMEMOTOR[EUL],MATCH(F28,CMEMOTOR[Proj Desc 1],0))))</f>
        <v/>
      </c>
      <c r="AZ28" s="1115" t="str">
        <f>IF(OR(C28="",F28=""),"",IF(INDEX(CMEMOTOR[End Use Category],MATCH(F28,CMEMOTOR[Proj Desc 1],0))="","",INDEX(CMEMOTOR[End Use Category],MATCH(F28,CMEMOTOR[Proj Desc 1],0))))</f>
        <v/>
      </c>
      <c r="BA28" s="1027" t="str">
        <f>IFERROR(IF(OR(C28="",F28="",L28="",P28="",R28="",T28="",X28="",Z28="",AB28="",AD28="",AF28=""),"",ROUND(AK28*INDEX(ENDUSEALL[Factor],MATCH(AZ28,ENDUSEALL[End Use to Coincident Peak Demand Factors],0)),4)),"")</f>
        <v/>
      </c>
      <c r="BB28" s="1120"/>
      <c r="BC28" s="930" t="str">
        <f t="shared" ref="BC28" si="34">IFERROR(ROUND(AK28*BD28,2),"")</f>
        <v/>
      </c>
      <c r="BD28" s="930" t="str">
        <f>IFERROR(INDEX(ENDUSEALL[Rate ($/kWh)],MATCH(AZ28,ENDUSEALL[End Use to Coincident Peak Demand Factors],0)),"")</f>
        <v/>
      </c>
      <c r="BE28" s="931" t="str">
        <f>IFERROR(ROUND(AK28*KWHRATEMIN,2),"")</f>
        <v/>
      </c>
      <c r="BF28" s="931" t="str">
        <f>IFERROR(ROUND(AK28*KWHRATEMAX,2),"")</f>
        <v/>
      </c>
      <c r="BG28" s="930" t="str">
        <f>IFERROR(IF(INDEX(ENDUSEALL[Bonus Rate ($/kWh)],MATCH(AZ28,ENDUSEALL[End Use to Coincident Peak Demand Factors],0))="","",INDEX(ENDUSEALL[Bonus Rate ($/kWh)],MATCH(AZ28,ENDUSEALL[End Use to Coincident Peak Demand Factors],0))*AK28),"")</f>
        <v/>
      </c>
      <c r="BH28" s="1106" t="str">
        <f>IF(OR(C28="",F28="",L28="",P28="",R28="",T28="",X28="",Z28="",AB28="",AD28="",AF28=""),"",IF(BJ28&lt;&gt;"",SPILLOVERNUMBER,INDEX(CMEMOTOR[Measure Number],MATCH(F28,CMEMOTOR[Proj Desc 1],0))))</f>
        <v/>
      </c>
      <c r="BI28" s="1108" t="str">
        <f>IFERROR(IF(AND(AB28="Total",ROUND(AN28/AH28,2)=TOTCOSTCAP),"75% Total Cost",
IF(AND(AB28="Incremental",AH28=AN28),"100% Incremental Cost",
IF(BD28&lt;KWHRATEMIN, "kWh Incentive Rate Min",
IF(BD28&gt;KWHRATEMAX,"kWh Incentive Rate Cap",
IF(AN28=BG28,"Bonus Incentive",
"kWh Incentive"))))),"")</f>
        <v/>
      </c>
      <c r="BJ28" s="1108" t="str">
        <f ca="1">IFERROR(IF(EXPIRATION&lt;&gt;"",PROJSTATEXP,
IF(BL28&gt;0,"",
IF(AW28-AX28&lt;=0,MEASURESAVE,
IF(OR(M02S04F06="",M02S04F06="Select Rate Code",M02S04F06=0),MEASURERATE,
IF(AND((ISNUMBER(SEARCH("Other",F28))),OR(AY28="",AZ28="")),MEASURESUBMIT,
 IF(PAYCUSE&lt;PAYBACKREQ,PROJECTSTATPAYBACK,
IF(CBCUSE&lt;CBREQ,PROJECTSTATCB,""))))))),MEASURESUBMIT)</f>
        <v>Submit for Review</v>
      </c>
      <c r="BK28" s="930" t="str">
        <f>IFERROR(IF(OR(C28="",F28="",L28="",P28="",R28="",T28="",X28="",Z28="",AB28="",AD28="",AF28=""),"",
ROUND(((1+ELOSS)*((AK28*INDEX(ELECCB[NPV AEC $/kWh],MATCH(AY28,ELECCB[Year Number],1)))+(BA28*INDEX(ELECCB[NPV ACC $/kW],MATCH(AY28,ELECCB[Year Number],1))))),2)),0)</f>
        <v/>
      </c>
      <c r="BL28" s="1118"/>
    </row>
    <row r="29" spans="1:64" ht="15.95" customHeight="1">
      <c r="B29" s="905"/>
      <c r="C29" s="1037"/>
      <c r="D29" s="1037"/>
      <c r="E29" s="1037"/>
      <c r="F29" s="1037"/>
      <c r="G29" s="1037"/>
      <c r="H29" s="1037"/>
      <c r="I29" s="1037"/>
      <c r="J29" s="1037"/>
      <c r="K29" s="1039"/>
      <c r="L29" s="1040"/>
      <c r="M29" s="1037"/>
      <c r="N29" s="1037"/>
      <c r="O29" s="1037"/>
      <c r="P29" s="1041"/>
      <c r="Q29" s="1041"/>
      <c r="R29" s="1041"/>
      <c r="S29" s="1152"/>
      <c r="T29" s="1040"/>
      <c r="U29" s="1037"/>
      <c r="V29" s="1037"/>
      <c r="W29" s="1037"/>
      <c r="X29" s="1041"/>
      <c r="Y29" s="1041"/>
      <c r="Z29" s="1041"/>
      <c r="AA29" s="1152"/>
      <c r="AB29" s="1156"/>
      <c r="AC29" s="1157"/>
      <c r="AD29" s="1054"/>
      <c r="AE29" s="1054"/>
      <c r="AF29" s="1127"/>
      <c r="AG29" s="1128"/>
      <c r="AH29" s="1064"/>
      <c r="AI29" s="1065"/>
      <c r="AJ29" s="1065"/>
      <c r="AK29" s="1066"/>
      <c r="AL29" s="1066"/>
      <c r="AM29" s="1066"/>
      <c r="AN29" s="1049"/>
      <c r="AO29" s="1050"/>
      <c r="AP29" s="1050"/>
      <c r="AQ29" s="1050"/>
      <c r="AR29" s="355"/>
      <c r="AS29" s="355"/>
      <c r="AT29" s="1104"/>
      <c r="AU29" s="1104"/>
      <c r="AV29" s="1105"/>
      <c r="AW29" s="1025"/>
      <c r="AX29" s="1025"/>
      <c r="AY29" s="1114"/>
      <c r="AZ29" s="1116"/>
      <c r="BA29" s="1109"/>
      <c r="BB29" s="1121"/>
      <c r="BC29" s="931"/>
      <c r="BD29" s="931"/>
      <c r="BE29" s="931"/>
      <c r="BF29" s="931"/>
      <c r="BG29" s="931"/>
      <c r="BH29" s="1107"/>
      <c r="BI29" s="1105"/>
      <c r="BJ29" s="1105"/>
      <c r="BK29" s="931"/>
      <c r="BL29" s="1119"/>
    </row>
    <row r="30" spans="1:64" ht="15.95" customHeight="1">
      <c r="B30" s="905">
        <v>7</v>
      </c>
      <c r="C30" s="1037"/>
      <c r="D30" s="1037"/>
      <c r="E30" s="1037"/>
      <c r="F30" s="1037"/>
      <c r="G30" s="1037"/>
      <c r="H30" s="1037"/>
      <c r="I30" s="1037"/>
      <c r="J30" s="1037"/>
      <c r="K30" s="1039"/>
      <c r="L30" s="1040"/>
      <c r="M30" s="1037"/>
      <c r="N30" s="1037"/>
      <c r="O30" s="1037"/>
      <c r="P30" s="1041"/>
      <c r="Q30" s="1041"/>
      <c r="R30" s="1041"/>
      <c r="S30" s="1152"/>
      <c r="T30" s="1040"/>
      <c r="U30" s="1037"/>
      <c r="V30" s="1037"/>
      <c r="W30" s="1037"/>
      <c r="X30" s="1041"/>
      <c r="Y30" s="1041"/>
      <c r="Z30" s="1041"/>
      <c r="AA30" s="1152"/>
      <c r="AB30" s="1156" t="str">
        <f t="shared" ref="AB30" si="35">IF(OR(C30="New Construction",C30="Replace Failed Equip."),"Incremental",IF(C30="Retrofit","Total",""))</f>
        <v/>
      </c>
      <c r="AC30" s="1157"/>
      <c r="AD30" s="1054"/>
      <c r="AE30" s="1054"/>
      <c r="AF30" s="1127" t="str">
        <f t="shared" ref="AF30" si="36">IF(AB30="Incremental",0,"")</f>
        <v/>
      </c>
      <c r="AG30" s="1128"/>
      <c r="AH30" s="1064" t="str">
        <f t="shared" ref="AH30" si="37">IF(OR(C30="",F30="",L30="",P30="",R30="",T30="",X30="",Z30="",AB30="",AD30="",AF30=""),"",ROUND(AD30+AF30,2))</f>
        <v/>
      </c>
      <c r="AI30" s="1065"/>
      <c r="AJ30" s="1065"/>
      <c r="AK30" s="1081" t="str">
        <f t="shared" ref="AK30" si="38">IF(OR(C30="",F30="",L30="",P30="",R30="",T30="",X30="",Z30="",AB30="",AD30="",AF30=""),"",IF(AW30-AX30&lt;=0,0,ROUND(AW30-AX30,4)))</f>
        <v/>
      </c>
      <c r="AL30" s="1081"/>
      <c r="AM30" s="1081"/>
      <c r="AN30" s="1047" t="str">
        <f>IF(OR(C30="",F30="",L30="",P30="",R30="",T30="",X30="",Z30="",AB30="",AD30="",AF30=""),"",
IF(BJ30&lt;&gt;"",BJ30,IF(BL30&gt;0,BL30,
IF(AB30="Incremental",
IF(ACTIVEBLOCK="Yes",ROUND(MIN(AH30*INCCOSTCAP,AK30*BLOCKBIDRATE),2),
IF(BG30&lt;&gt;"",ROUND(MIN(AH30*INCCOSTCAP,BG30),2),
IF(BD30&lt;KWHRATEMIN,ROUND(MIN(AH30*INCCOSTCAP,BE30),2),
IF(BD30&gt;KWHRATEMAX,ROUND(MIN(AH30*INCCOSTCAP,BF30),2),
ROUND(MIN(AH30*INCCOSTCAP,BC30),2))))),
IF(ACTIVEBLOCK="Yes",ROUND(MIN(AH30*TOTCOSTCAP,AK30*BLOCKBIDRATE),2),
IF(BG30&lt;&gt;"",ROUND(MIN(AH30*TOTCOSTCAP,BG30),2),
IF(BD30&lt;KWHRATEMIN,ROUND(MIN(AH30*TOTCOSTCAP,BE30),2),
IF(BD30&gt;KWHRATEMAX,ROUND(MIN(AH30*TOTCOSTCAP,BF30),2),
ROUND(MIN(AH30*TOTCOSTCAP,BC30),2)))))))))</f>
        <v/>
      </c>
      <c r="AO30" s="1048"/>
      <c r="AP30" s="1048"/>
      <c r="AQ30" s="1048"/>
      <c r="AR30" s="355"/>
      <c r="AS30" s="355"/>
      <c r="AT30" s="1104" t="str">
        <f>IFERROR(IF(OR(C30="",F30="",L30="",P30="",R30="",T30="",X30="",Z30="",AB30="",AD30="",AF30=""),"",
ROUND(((1+ELOSS)*((AK30*INDEX(ELECCB[NPV AEC $/kWh],MATCH(AY30,ELECCB[Year Number],1)))+(BA30*INDEX(ELECCB[NPV ACC $/kW],MATCH(AY30,ELECCB[Year Number],1))))/AH30),2)),0)</f>
        <v/>
      </c>
      <c r="AU30" s="1112" t="str">
        <f>IFERROR(AH30/M02S04F06/AK30,"")</f>
        <v/>
      </c>
      <c r="AV30" s="1108" t="str">
        <f>IF(OR(C30="",F30=""),"",INDEX(CMEMOTOR[Unit of Measure],MATCH(F30,CMEMOTOR[Proj Desc 1],0)))</f>
        <v/>
      </c>
      <c r="AW30" s="1103" t="str">
        <f t="shared" ref="AW30" si="39">IF(OR(C30="",F30="",L30="",P30="",R30="",T30="",X30="",Z30="",AB30="",AD30="",AF30=""),"",ROUND(P30*R30,4))</f>
        <v/>
      </c>
      <c r="AX30" s="1103" t="str">
        <f t="shared" ref="AX30" si="40">IF(OR(C30="",F30="",L30="",P30="",R30="",T30="",X30="",Z30="",AB30="",AD30="",AF30=""),"",ROUND(X30*Z30,4))</f>
        <v/>
      </c>
      <c r="AY30" s="1113" t="str">
        <f>IF(OR(C30="",F30=""),"",IF(INDEX(CMEMOTOR[EUL],MATCH(F30,CMEMOTOR[Proj Desc 1],0))="","",INDEX(CMEMOTOR[EUL],MATCH(F30,CMEMOTOR[Proj Desc 1],0))))</f>
        <v/>
      </c>
      <c r="AZ30" s="1115" t="str">
        <f>IF(OR(C30="",F30=""),"",IF(INDEX(CMEMOTOR[End Use Category],MATCH(F30,CMEMOTOR[Proj Desc 1],0))="","",INDEX(CMEMOTOR[End Use Category],MATCH(F30,CMEMOTOR[Proj Desc 1],0))))</f>
        <v/>
      </c>
      <c r="BA30" s="1027" t="str">
        <f>IFERROR(IF(OR(C30="",F30="",L30="",P30="",R30="",T30="",X30="",Z30="",AB30="",AD30="",AF30=""),"",ROUND(AK30*INDEX(ENDUSEALL[Factor],MATCH(AZ30,ENDUSEALL[End Use to Coincident Peak Demand Factors],0)),4)),"")</f>
        <v/>
      </c>
      <c r="BB30" s="1120"/>
      <c r="BC30" s="930" t="str">
        <f t="shared" ref="BC30" si="41">IFERROR(ROUND(AK30*BD30,2),"")</f>
        <v/>
      </c>
      <c r="BD30" s="930" t="str">
        <f>IFERROR(INDEX(ENDUSEALL[Rate ($/kWh)],MATCH(AZ30,ENDUSEALL[End Use to Coincident Peak Demand Factors],0)),"")</f>
        <v/>
      </c>
      <c r="BE30" s="931" t="str">
        <f>IFERROR(ROUND(AK30*KWHRATEMIN,2),"")</f>
        <v/>
      </c>
      <c r="BF30" s="931" t="str">
        <f>IFERROR(ROUND(AK30*KWHRATEMAX,2),"")</f>
        <v/>
      </c>
      <c r="BG30" s="930" t="str">
        <f>IFERROR(IF(INDEX(ENDUSEALL[Bonus Rate ($/kWh)],MATCH(AZ30,ENDUSEALL[End Use to Coincident Peak Demand Factors],0))="","",INDEX(ENDUSEALL[Bonus Rate ($/kWh)],MATCH(AZ30,ENDUSEALL[End Use to Coincident Peak Demand Factors],0))*AK30),"")</f>
        <v/>
      </c>
      <c r="BH30" s="1106" t="str">
        <f>IF(OR(C30="",F30="",L30="",P30="",R30="",T30="",X30="",Z30="",AB30="",AD30="",AF30=""),"",IF(BJ30&lt;&gt;"",SPILLOVERNUMBER,INDEX(CMEMOTOR[Measure Number],MATCH(F30,CMEMOTOR[Proj Desc 1],0))))</f>
        <v/>
      </c>
      <c r="BI30" s="1108" t="str">
        <f>IFERROR(IF(AND(AB30="Total",ROUND(AN30/AH30,2)=TOTCOSTCAP),"75% Total Cost",
IF(AND(AB30="Incremental",AH30=AN30),"100% Incremental Cost",
IF(BD30&lt;KWHRATEMIN, "kWh Incentive Rate Min",
IF(BD30&gt;KWHRATEMAX,"kWh Incentive Rate Cap",
IF(AN30=BG30,"Bonus Incentive",
"kWh Incentive"))))),"")</f>
        <v/>
      </c>
      <c r="BJ30" s="1108" t="str">
        <f ca="1">IFERROR(IF(EXPIRATION&lt;&gt;"",PROJSTATEXP,
IF(BL30&gt;0,"",
IF(AW30-AX30&lt;=0,MEASURESAVE,
IF(OR(M02S04F06="",M02S04F06="Select Rate Code",M02S04F06=0),MEASURERATE,
IF(AND((ISNUMBER(SEARCH("Other",F30))),OR(AY30="",AZ30="")),MEASURESUBMIT,
 IF(PAYCUSE&lt;PAYBACKREQ,PROJECTSTATPAYBACK,
IF(CBCUSE&lt;CBREQ,PROJECTSTATCB,""))))))),MEASURESUBMIT)</f>
        <v>Submit for Review</v>
      </c>
      <c r="BK30" s="930" t="str">
        <f>IFERROR(IF(OR(C30="",F30="",L30="",P30="",R30="",T30="",X30="",Z30="",AB30="",AD30="",AF30=""),"",
ROUND(((1+ELOSS)*((AK30*INDEX(ELECCB[NPV AEC $/kWh],MATCH(AY30,ELECCB[Year Number],1)))+(BA30*INDEX(ELECCB[NPV ACC $/kW],MATCH(AY30,ELECCB[Year Number],1))))),2)),0)</f>
        <v/>
      </c>
      <c r="BL30" s="1118"/>
    </row>
    <row r="31" spans="1:64" ht="15.95" customHeight="1">
      <c r="B31" s="905"/>
      <c r="C31" s="1037"/>
      <c r="D31" s="1037"/>
      <c r="E31" s="1037"/>
      <c r="F31" s="1037"/>
      <c r="G31" s="1037"/>
      <c r="H31" s="1037"/>
      <c r="I31" s="1037"/>
      <c r="J31" s="1037"/>
      <c r="K31" s="1039"/>
      <c r="L31" s="1040"/>
      <c r="M31" s="1037"/>
      <c r="N31" s="1037"/>
      <c r="O31" s="1037"/>
      <c r="P31" s="1041"/>
      <c r="Q31" s="1041"/>
      <c r="R31" s="1041"/>
      <c r="S31" s="1152"/>
      <c r="T31" s="1040"/>
      <c r="U31" s="1037"/>
      <c r="V31" s="1037"/>
      <c r="W31" s="1037"/>
      <c r="X31" s="1041"/>
      <c r="Y31" s="1041"/>
      <c r="Z31" s="1041"/>
      <c r="AA31" s="1152"/>
      <c r="AB31" s="1156"/>
      <c r="AC31" s="1157"/>
      <c r="AD31" s="1054"/>
      <c r="AE31" s="1054"/>
      <c r="AF31" s="1127"/>
      <c r="AG31" s="1128"/>
      <c r="AH31" s="1064"/>
      <c r="AI31" s="1065"/>
      <c r="AJ31" s="1065"/>
      <c r="AK31" s="1066"/>
      <c r="AL31" s="1066"/>
      <c r="AM31" s="1066"/>
      <c r="AN31" s="1049"/>
      <c r="AO31" s="1050"/>
      <c r="AP31" s="1050"/>
      <c r="AQ31" s="1050"/>
      <c r="AR31" s="355"/>
      <c r="AS31" s="355"/>
      <c r="AT31" s="1104"/>
      <c r="AU31" s="1104"/>
      <c r="AV31" s="1105"/>
      <c r="AW31" s="1025"/>
      <c r="AX31" s="1025"/>
      <c r="AY31" s="1114"/>
      <c r="AZ31" s="1116"/>
      <c r="BA31" s="1109"/>
      <c r="BB31" s="1121"/>
      <c r="BC31" s="931"/>
      <c r="BD31" s="931"/>
      <c r="BE31" s="931"/>
      <c r="BF31" s="931"/>
      <c r="BG31" s="931"/>
      <c r="BH31" s="1107"/>
      <c r="BI31" s="1105"/>
      <c r="BJ31" s="1105"/>
      <c r="BK31" s="931"/>
      <c r="BL31" s="1119"/>
    </row>
    <row r="32" spans="1:64" ht="15.95" customHeight="1">
      <c r="B32" s="905">
        <v>8</v>
      </c>
      <c r="C32" s="1037"/>
      <c r="D32" s="1037"/>
      <c r="E32" s="1037"/>
      <c r="F32" s="1037"/>
      <c r="G32" s="1037"/>
      <c r="H32" s="1037"/>
      <c r="I32" s="1037"/>
      <c r="J32" s="1037"/>
      <c r="K32" s="1039"/>
      <c r="L32" s="1040"/>
      <c r="M32" s="1037"/>
      <c r="N32" s="1037"/>
      <c r="O32" s="1037"/>
      <c r="P32" s="1041"/>
      <c r="Q32" s="1041"/>
      <c r="R32" s="1041"/>
      <c r="S32" s="1152"/>
      <c r="T32" s="1040"/>
      <c r="U32" s="1037"/>
      <c r="V32" s="1037"/>
      <c r="W32" s="1037"/>
      <c r="X32" s="1041"/>
      <c r="Y32" s="1041"/>
      <c r="Z32" s="1041"/>
      <c r="AA32" s="1152"/>
      <c r="AB32" s="1156" t="str">
        <f t="shared" ref="AB32" si="42">IF(OR(C32="New Construction",C32="Replace Failed Equip."),"Incremental",IF(C32="Retrofit","Total",""))</f>
        <v/>
      </c>
      <c r="AC32" s="1157"/>
      <c r="AD32" s="1054"/>
      <c r="AE32" s="1054"/>
      <c r="AF32" s="1127" t="str">
        <f t="shared" ref="AF32" si="43">IF(AB32="Incremental",0,"")</f>
        <v/>
      </c>
      <c r="AG32" s="1128"/>
      <c r="AH32" s="1064" t="str">
        <f t="shared" ref="AH32" si="44">IF(OR(C32="",F32="",L32="",P32="",R32="",T32="",X32="",Z32="",AB32="",AD32="",AF32=""),"",ROUND(AD32+AF32,2))</f>
        <v/>
      </c>
      <c r="AI32" s="1065"/>
      <c r="AJ32" s="1065"/>
      <c r="AK32" s="1081" t="str">
        <f t="shared" ref="AK32" si="45">IF(OR(C32="",F32="",L32="",P32="",R32="",T32="",X32="",Z32="",AB32="",AD32="",AF32=""),"",IF(AW32-AX32&lt;=0,0,ROUND(AW32-AX32,4)))</f>
        <v/>
      </c>
      <c r="AL32" s="1081"/>
      <c r="AM32" s="1081"/>
      <c r="AN32" s="1047" t="str">
        <f>IF(OR(C32="",F32="",L32="",P32="",R32="",T32="",X32="",Z32="",AB32="",AD32="",AF32=""),"",
IF(BJ32&lt;&gt;"",BJ32,IF(BL32&gt;0,BL32,
IF(AB32="Incremental",
IF(ACTIVEBLOCK="Yes",ROUND(MIN(AH32*INCCOSTCAP,AK32*BLOCKBIDRATE),2),
IF(BG32&lt;&gt;"",ROUND(MIN(AH32*INCCOSTCAP,BG32),2),
IF(BD32&lt;KWHRATEMIN,ROUND(MIN(AH32*INCCOSTCAP,BE32),2),
IF(BD32&gt;KWHRATEMAX,ROUND(MIN(AH32*INCCOSTCAP,BF32),2),
ROUND(MIN(AH32*INCCOSTCAP,BC32),2))))),
IF(ACTIVEBLOCK="Yes",ROUND(MIN(AH32*TOTCOSTCAP,AK32*BLOCKBIDRATE),2),
IF(BG32&lt;&gt;"",ROUND(MIN(AH32*TOTCOSTCAP,BG32),2),
IF(BD32&lt;KWHRATEMIN,ROUND(MIN(AH32*TOTCOSTCAP,BE32),2),
IF(BD32&gt;KWHRATEMAX,ROUND(MIN(AH32*TOTCOSTCAP,BF32),2),
ROUND(MIN(AH32*TOTCOSTCAP,BC32),2)))))))))</f>
        <v/>
      </c>
      <c r="AO32" s="1048"/>
      <c r="AP32" s="1048"/>
      <c r="AQ32" s="1048"/>
      <c r="AR32" s="355"/>
      <c r="AS32" s="355"/>
      <c r="AT32" s="1104" t="str">
        <f>IFERROR(IF(OR(C32="",F32="",L32="",P32="",R32="",T32="",X32="",Z32="",AB32="",AD32="",AF32=""),"",
ROUND(((1+ELOSS)*((AK32*INDEX(ELECCB[NPV AEC $/kWh],MATCH(AY32,ELECCB[Year Number],1)))+(BA32*INDEX(ELECCB[NPV ACC $/kW],MATCH(AY32,ELECCB[Year Number],1))))/AH32),2)),0)</f>
        <v/>
      </c>
      <c r="AU32" s="1112" t="str">
        <f>IFERROR(AH32/M02S04F06/AK32,"")</f>
        <v/>
      </c>
      <c r="AV32" s="1108" t="str">
        <f>IF(OR(C32="",F32=""),"",INDEX(CMEMOTOR[Unit of Measure],MATCH(F32,CMEMOTOR[Proj Desc 1],0)))</f>
        <v/>
      </c>
      <c r="AW32" s="1103" t="str">
        <f t="shared" ref="AW32" si="46">IF(OR(C32="",F32="",L32="",P32="",R32="",T32="",X32="",Z32="",AB32="",AD32="",AF32=""),"",ROUND(P32*R32,4))</f>
        <v/>
      </c>
      <c r="AX32" s="1103" t="str">
        <f t="shared" ref="AX32" si="47">IF(OR(C32="",F32="",L32="",P32="",R32="",T32="",X32="",Z32="",AB32="",AD32="",AF32=""),"",ROUND(X32*Z32,4))</f>
        <v/>
      </c>
      <c r="AY32" s="1113" t="str">
        <f>IF(OR(C32="",F32=""),"",IF(INDEX(CMEMOTOR[EUL],MATCH(F32,CMEMOTOR[Proj Desc 1],0))="","",INDEX(CMEMOTOR[EUL],MATCH(F32,CMEMOTOR[Proj Desc 1],0))))</f>
        <v/>
      </c>
      <c r="AZ32" s="1115" t="str">
        <f>IF(OR(C32="",F32=""),"",IF(INDEX(CMEMOTOR[End Use Category],MATCH(F32,CMEMOTOR[Proj Desc 1],0))="","",INDEX(CMEMOTOR[End Use Category],MATCH(F32,CMEMOTOR[Proj Desc 1],0))))</f>
        <v/>
      </c>
      <c r="BA32" s="1027" t="str">
        <f>IFERROR(IF(OR(C32="",F32="",L32="",P32="",R32="",T32="",X32="",Z32="",AB32="",AD32="",AF32=""),"",ROUND(AK32*INDEX(ENDUSEALL[Factor],MATCH(AZ32,ENDUSEALL[End Use to Coincident Peak Demand Factors],0)),4)),"")</f>
        <v/>
      </c>
      <c r="BB32" s="1120"/>
      <c r="BC32" s="930" t="str">
        <f t="shared" ref="BC32" si="48">IFERROR(ROUND(AK32*BD32,2),"")</f>
        <v/>
      </c>
      <c r="BD32" s="930" t="str">
        <f>IFERROR(INDEX(ENDUSEALL[Rate ($/kWh)],MATCH(AZ32,ENDUSEALL[End Use to Coincident Peak Demand Factors],0)),"")</f>
        <v/>
      </c>
      <c r="BE32" s="931" t="str">
        <f>IFERROR(ROUND(AK32*KWHRATEMIN,2),"")</f>
        <v/>
      </c>
      <c r="BF32" s="931" t="str">
        <f>IFERROR(ROUND(AK32*KWHRATEMAX,2),"")</f>
        <v/>
      </c>
      <c r="BG32" s="930" t="str">
        <f>IFERROR(IF(INDEX(ENDUSEALL[Bonus Rate ($/kWh)],MATCH(AZ32,ENDUSEALL[End Use to Coincident Peak Demand Factors],0))="","",INDEX(ENDUSEALL[Bonus Rate ($/kWh)],MATCH(AZ32,ENDUSEALL[End Use to Coincident Peak Demand Factors],0))*AK32),"")</f>
        <v/>
      </c>
      <c r="BH32" s="1106" t="str">
        <f>IF(OR(C32="",F32="",L32="",P32="",R32="",T32="",X32="",Z32="",AB32="",AD32="",AF32=""),"",IF(BJ32&lt;&gt;"",SPILLOVERNUMBER,INDEX(CMEMOTOR[Measure Number],MATCH(F32,CMEMOTOR[Proj Desc 1],0))))</f>
        <v/>
      </c>
      <c r="BI32" s="1108" t="str">
        <f>IFERROR(IF(AND(AB32="Total",ROUND(AN32/AH32,2)=TOTCOSTCAP),"75% Total Cost",
IF(AND(AB32="Incremental",AH32=AN32),"100% Incremental Cost",
IF(BD32&lt;KWHRATEMIN, "kWh Incentive Rate Min",
IF(BD32&gt;KWHRATEMAX,"kWh Incentive Rate Cap",
IF(AN32=BG32,"Bonus Incentive",
"kWh Incentive"))))),"")</f>
        <v/>
      </c>
      <c r="BJ32" s="1108" t="str">
        <f ca="1">IFERROR(IF(EXPIRATION&lt;&gt;"",PROJSTATEXP,
IF(BL32&gt;0,"",
IF(AW32-AX32&lt;=0,MEASURESAVE,
IF(OR(M02S04F06="",M02S04F06="Select Rate Code",M02S04F06=0),MEASURERATE,
IF(AND((ISNUMBER(SEARCH("Other",F32))),OR(AY32="",AZ32="")),MEASURESUBMIT,
 IF(PAYCUSE&lt;PAYBACKREQ,PROJECTSTATPAYBACK,
IF(CBCUSE&lt;CBREQ,PROJECTSTATCB,""))))))),MEASURESUBMIT)</f>
        <v>Submit for Review</v>
      </c>
      <c r="BK32" s="930" t="str">
        <f>IFERROR(IF(OR(C32="",F32="",L32="",P32="",R32="",T32="",X32="",Z32="",AB32="",AD32="",AF32=""),"",
ROUND(((1+ELOSS)*((AK32*INDEX(ELECCB[NPV AEC $/kWh],MATCH(AY32,ELECCB[Year Number],1)))+(BA32*INDEX(ELECCB[NPV ACC $/kW],MATCH(AY32,ELECCB[Year Number],1))))),2)),0)</f>
        <v/>
      </c>
      <c r="BL32" s="1118"/>
    </row>
    <row r="33" spans="2:64" ht="15.95" customHeight="1">
      <c r="B33" s="905"/>
      <c r="C33" s="1037"/>
      <c r="D33" s="1037"/>
      <c r="E33" s="1037"/>
      <c r="F33" s="1037"/>
      <c r="G33" s="1037"/>
      <c r="H33" s="1037"/>
      <c r="I33" s="1037"/>
      <c r="J33" s="1037"/>
      <c r="K33" s="1039"/>
      <c r="L33" s="1040"/>
      <c r="M33" s="1037"/>
      <c r="N33" s="1037"/>
      <c r="O33" s="1037"/>
      <c r="P33" s="1041"/>
      <c r="Q33" s="1041"/>
      <c r="R33" s="1041"/>
      <c r="S33" s="1152"/>
      <c r="T33" s="1040"/>
      <c r="U33" s="1037"/>
      <c r="V33" s="1037"/>
      <c r="W33" s="1037"/>
      <c r="X33" s="1041"/>
      <c r="Y33" s="1041"/>
      <c r="Z33" s="1041"/>
      <c r="AA33" s="1152"/>
      <c r="AB33" s="1156"/>
      <c r="AC33" s="1157"/>
      <c r="AD33" s="1054"/>
      <c r="AE33" s="1054"/>
      <c r="AF33" s="1127"/>
      <c r="AG33" s="1128"/>
      <c r="AH33" s="1064"/>
      <c r="AI33" s="1065"/>
      <c r="AJ33" s="1065"/>
      <c r="AK33" s="1066"/>
      <c r="AL33" s="1066"/>
      <c r="AM33" s="1066"/>
      <c r="AN33" s="1049"/>
      <c r="AO33" s="1050"/>
      <c r="AP33" s="1050"/>
      <c r="AQ33" s="1050"/>
      <c r="AR33" s="355"/>
      <c r="AS33" s="355"/>
      <c r="AT33" s="1104"/>
      <c r="AU33" s="1104"/>
      <c r="AV33" s="1105"/>
      <c r="AW33" s="1025"/>
      <c r="AX33" s="1025"/>
      <c r="AY33" s="1114"/>
      <c r="AZ33" s="1116"/>
      <c r="BA33" s="1109"/>
      <c r="BB33" s="1121"/>
      <c r="BC33" s="931"/>
      <c r="BD33" s="931"/>
      <c r="BE33" s="931"/>
      <c r="BF33" s="931"/>
      <c r="BG33" s="931"/>
      <c r="BH33" s="1107"/>
      <c r="BI33" s="1105"/>
      <c r="BJ33" s="1105"/>
      <c r="BK33" s="931"/>
      <c r="BL33" s="1119"/>
    </row>
    <row r="34" spans="2:64" ht="15.95" customHeight="1">
      <c r="B34" s="905">
        <v>9</v>
      </c>
      <c r="C34" s="1037"/>
      <c r="D34" s="1037"/>
      <c r="E34" s="1037"/>
      <c r="F34" s="1037"/>
      <c r="G34" s="1037"/>
      <c r="H34" s="1037"/>
      <c r="I34" s="1037"/>
      <c r="J34" s="1037"/>
      <c r="K34" s="1039"/>
      <c r="L34" s="1040"/>
      <c r="M34" s="1037"/>
      <c r="N34" s="1037"/>
      <c r="O34" s="1037"/>
      <c r="P34" s="1041"/>
      <c r="Q34" s="1041"/>
      <c r="R34" s="1041"/>
      <c r="S34" s="1152"/>
      <c r="T34" s="1040"/>
      <c r="U34" s="1037"/>
      <c r="V34" s="1037"/>
      <c r="W34" s="1037"/>
      <c r="X34" s="1041"/>
      <c r="Y34" s="1041"/>
      <c r="Z34" s="1041"/>
      <c r="AA34" s="1152"/>
      <c r="AB34" s="1156" t="str">
        <f t="shared" ref="AB34" si="49">IF(OR(C34="New Construction",C34="Replace Failed Equip."),"Incremental",IF(C34="Retrofit","Total",""))</f>
        <v/>
      </c>
      <c r="AC34" s="1157"/>
      <c r="AD34" s="1054"/>
      <c r="AE34" s="1054"/>
      <c r="AF34" s="1127" t="str">
        <f t="shared" ref="AF34" si="50">IF(AB34="Incremental",0,"")</f>
        <v/>
      </c>
      <c r="AG34" s="1128"/>
      <c r="AH34" s="1064" t="str">
        <f t="shared" ref="AH34" si="51">IF(OR(C34="",F34="",L34="",P34="",R34="",T34="",X34="",Z34="",AB34="",AD34="",AF34=""),"",ROUND(AD34+AF34,2))</f>
        <v/>
      </c>
      <c r="AI34" s="1065"/>
      <c r="AJ34" s="1065"/>
      <c r="AK34" s="1081" t="str">
        <f t="shared" ref="AK34" si="52">IF(OR(C34="",F34="",L34="",P34="",R34="",T34="",X34="",Z34="",AB34="",AD34="",AF34=""),"",IF(AW34-AX34&lt;=0,0,ROUND(AW34-AX34,4)))</f>
        <v/>
      </c>
      <c r="AL34" s="1081"/>
      <c r="AM34" s="1081"/>
      <c r="AN34" s="1047" t="str">
        <f>IF(OR(C34="",F34="",L34="",P34="",R34="",T34="",X34="",Z34="",AB34="",AD34="",AF34=""),"",
IF(BJ34&lt;&gt;"",BJ34,IF(BL34&gt;0,BL34,
IF(AB34="Incremental",
IF(ACTIVEBLOCK="Yes",ROUND(MIN(AH34*INCCOSTCAP,AK34*BLOCKBIDRATE),2),
IF(BG34&lt;&gt;"",ROUND(MIN(AH34*INCCOSTCAP,BG34),2),
IF(BD34&lt;KWHRATEMIN,ROUND(MIN(AH34*INCCOSTCAP,BE34),2),
IF(BD34&gt;KWHRATEMAX,ROUND(MIN(AH34*INCCOSTCAP,BF34),2),
ROUND(MIN(AH34*INCCOSTCAP,BC34),2))))),
IF(ACTIVEBLOCK="Yes",ROUND(MIN(AH34*TOTCOSTCAP,AK34*BLOCKBIDRATE),2),
IF(BG34&lt;&gt;"",ROUND(MIN(AH34*TOTCOSTCAP,BG34),2),
IF(BD34&lt;KWHRATEMIN,ROUND(MIN(AH34*TOTCOSTCAP,BE34),2),
IF(BD34&gt;KWHRATEMAX,ROUND(MIN(AH34*TOTCOSTCAP,BF34),2),
ROUND(MIN(AH34*TOTCOSTCAP,BC34),2)))))))))</f>
        <v/>
      </c>
      <c r="AO34" s="1048"/>
      <c r="AP34" s="1048"/>
      <c r="AQ34" s="1048"/>
      <c r="AR34" s="355"/>
      <c r="AS34" s="355"/>
      <c r="AT34" s="1104" t="str">
        <f>IFERROR(IF(OR(C34="",F34="",L34="",P34="",R34="",T34="",X34="",Z34="",AB34="",AD34="",AF34=""),"",
ROUND(((1+ELOSS)*((AK34*INDEX(ELECCB[NPV AEC $/kWh],MATCH(AY34,ELECCB[Year Number],1)))+(BA34*INDEX(ELECCB[NPV ACC $/kW],MATCH(AY34,ELECCB[Year Number],1))))/AH34),2)),0)</f>
        <v/>
      </c>
      <c r="AU34" s="1112" t="str">
        <f>IFERROR(AH34/M02S04F06/AK34,"")</f>
        <v/>
      </c>
      <c r="AV34" s="1108" t="str">
        <f>IF(OR(C34="",F34=""),"",INDEX(CMEMOTOR[Unit of Measure],MATCH(F34,CMEMOTOR[Proj Desc 1],0)))</f>
        <v/>
      </c>
      <c r="AW34" s="1103" t="str">
        <f t="shared" ref="AW34" si="53">IF(OR(C34="",F34="",L34="",P34="",R34="",T34="",X34="",Z34="",AB34="",AD34="",AF34=""),"",ROUND(P34*R34,4))</f>
        <v/>
      </c>
      <c r="AX34" s="1103" t="str">
        <f t="shared" ref="AX34" si="54">IF(OR(C34="",F34="",L34="",P34="",R34="",T34="",X34="",Z34="",AB34="",AD34="",AF34=""),"",ROUND(X34*Z34,4))</f>
        <v/>
      </c>
      <c r="AY34" s="1113" t="str">
        <f>IF(OR(C34="",F34=""),"",IF(INDEX(CMEMOTOR[EUL],MATCH(F34,CMEMOTOR[Proj Desc 1],0))="","",INDEX(CMEMOTOR[EUL],MATCH(F34,CMEMOTOR[Proj Desc 1],0))))</f>
        <v/>
      </c>
      <c r="AZ34" s="1115" t="str">
        <f>IF(OR(C34="",F34=""),"",IF(INDEX(CMEMOTOR[End Use Category],MATCH(F34,CMEMOTOR[Proj Desc 1],0))="","",INDEX(CMEMOTOR[End Use Category],MATCH(F34,CMEMOTOR[Proj Desc 1],0))))</f>
        <v/>
      </c>
      <c r="BA34" s="1027" t="str">
        <f>IFERROR(IF(OR(C34="",F34="",L34="",P34="",R34="",T34="",X34="",Z34="",AB34="",AD34="",AF34=""),"",ROUND(AK34*INDEX(ENDUSEALL[Factor],MATCH(AZ34,ENDUSEALL[End Use to Coincident Peak Demand Factors],0)),4)),"")</f>
        <v/>
      </c>
      <c r="BB34" s="1120"/>
      <c r="BC34" s="930" t="str">
        <f t="shared" ref="BC34" si="55">IFERROR(ROUND(AK34*BD34,2),"")</f>
        <v/>
      </c>
      <c r="BD34" s="930" t="str">
        <f>IFERROR(INDEX(ENDUSEALL[Rate ($/kWh)],MATCH(AZ34,ENDUSEALL[End Use to Coincident Peak Demand Factors],0)),"")</f>
        <v/>
      </c>
      <c r="BE34" s="931" t="str">
        <f>IFERROR(ROUND(AK34*KWHRATEMIN,2),"")</f>
        <v/>
      </c>
      <c r="BF34" s="931" t="str">
        <f>IFERROR(ROUND(AK34*KWHRATEMAX,2),"")</f>
        <v/>
      </c>
      <c r="BG34" s="930" t="str">
        <f>IFERROR(IF(INDEX(ENDUSEALL[Bonus Rate ($/kWh)],MATCH(AZ34,ENDUSEALL[End Use to Coincident Peak Demand Factors],0))="","",INDEX(ENDUSEALL[Bonus Rate ($/kWh)],MATCH(AZ34,ENDUSEALL[End Use to Coincident Peak Demand Factors],0))*AK34),"")</f>
        <v/>
      </c>
      <c r="BH34" s="1106" t="str">
        <f>IF(OR(C34="",F34="",L34="",P34="",R34="",T34="",X34="",Z34="",AB34="",AD34="",AF34=""),"",IF(BJ34&lt;&gt;"",SPILLOVERNUMBER,INDEX(CMEMOTOR[Measure Number],MATCH(F34,CMEMOTOR[Proj Desc 1],0))))</f>
        <v/>
      </c>
      <c r="BI34" s="1108" t="str">
        <f>IFERROR(IF(AND(AB34="Total",ROUND(AN34/AH34,2)=TOTCOSTCAP),"75% Total Cost",
IF(AND(AB34="Incremental",AH34=AN34),"100% Incremental Cost",
IF(BD34&lt;KWHRATEMIN, "kWh Incentive Rate Min",
IF(BD34&gt;KWHRATEMAX,"kWh Incentive Rate Cap",
IF(AN34=BG34,"Bonus Incentive",
"kWh Incentive"))))),"")</f>
        <v/>
      </c>
      <c r="BJ34" s="1108" t="str">
        <f ca="1">IFERROR(IF(EXPIRATION&lt;&gt;"",PROJSTATEXP,
IF(BL34&gt;0,"",
IF(AW34-AX34&lt;=0,MEASURESAVE,
IF(OR(M02S04F06="",M02S04F06="Select Rate Code",M02S04F06=0),MEASURERATE,
IF(AND((ISNUMBER(SEARCH("Other",F34))),OR(AY34="",AZ34="")),MEASURESUBMIT,
 IF(PAYCUSE&lt;PAYBACKREQ,PROJECTSTATPAYBACK,
IF(CBCUSE&lt;CBREQ,PROJECTSTATCB,""))))))),MEASURESUBMIT)</f>
        <v>Submit for Review</v>
      </c>
      <c r="BK34" s="930" t="str">
        <f>IFERROR(IF(OR(C34="",F34="",L34="",P34="",R34="",T34="",X34="",Z34="",AB34="",AD34="",AF34=""),"",
ROUND(((1+ELOSS)*((AK34*INDEX(ELECCB[NPV AEC $/kWh],MATCH(AY34,ELECCB[Year Number],1)))+(BA34*INDEX(ELECCB[NPV ACC $/kW],MATCH(AY34,ELECCB[Year Number],1))))),2)),0)</f>
        <v/>
      </c>
      <c r="BL34" s="1118"/>
    </row>
    <row r="35" spans="2:64" ht="15.95" customHeight="1">
      <c r="B35" s="905"/>
      <c r="C35" s="1037"/>
      <c r="D35" s="1037"/>
      <c r="E35" s="1037"/>
      <c r="F35" s="1037"/>
      <c r="G35" s="1037"/>
      <c r="H35" s="1037"/>
      <c r="I35" s="1037"/>
      <c r="J35" s="1037"/>
      <c r="K35" s="1039"/>
      <c r="L35" s="1040"/>
      <c r="M35" s="1037"/>
      <c r="N35" s="1037"/>
      <c r="O35" s="1037"/>
      <c r="P35" s="1041"/>
      <c r="Q35" s="1041"/>
      <c r="R35" s="1041"/>
      <c r="S35" s="1152"/>
      <c r="T35" s="1040"/>
      <c r="U35" s="1037"/>
      <c r="V35" s="1037"/>
      <c r="W35" s="1037"/>
      <c r="X35" s="1041"/>
      <c r="Y35" s="1041"/>
      <c r="Z35" s="1041"/>
      <c r="AA35" s="1152"/>
      <c r="AB35" s="1156"/>
      <c r="AC35" s="1157"/>
      <c r="AD35" s="1054"/>
      <c r="AE35" s="1054"/>
      <c r="AF35" s="1127"/>
      <c r="AG35" s="1128"/>
      <c r="AH35" s="1064"/>
      <c r="AI35" s="1065"/>
      <c r="AJ35" s="1065"/>
      <c r="AK35" s="1066"/>
      <c r="AL35" s="1066"/>
      <c r="AM35" s="1066"/>
      <c r="AN35" s="1049"/>
      <c r="AO35" s="1050"/>
      <c r="AP35" s="1050"/>
      <c r="AQ35" s="1050"/>
      <c r="AR35" s="355"/>
      <c r="AS35" s="355"/>
      <c r="AT35" s="1104"/>
      <c r="AU35" s="1104"/>
      <c r="AV35" s="1105"/>
      <c r="AW35" s="1025"/>
      <c r="AX35" s="1025"/>
      <c r="AY35" s="1114"/>
      <c r="AZ35" s="1116"/>
      <c r="BA35" s="1109"/>
      <c r="BB35" s="1121"/>
      <c r="BC35" s="931"/>
      <c r="BD35" s="931"/>
      <c r="BE35" s="931"/>
      <c r="BF35" s="931"/>
      <c r="BG35" s="931"/>
      <c r="BH35" s="1107"/>
      <c r="BI35" s="1105"/>
      <c r="BJ35" s="1105"/>
      <c r="BK35" s="931"/>
      <c r="BL35" s="1119"/>
    </row>
    <row r="36" spans="2:64" ht="15.95" customHeight="1">
      <c r="B36" s="905">
        <v>10</v>
      </c>
      <c r="C36" s="1037"/>
      <c r="D36" s="1037"/>
      <c r="E36" s="1037"/>
      <c r="F36" s="1037"/>
      <c r="G36" s="1037"/>
      <c r="H36" s="1037"/>
      <c r="I36" s="1037"/>
      <c r="J36" s="1037"/>
      <c r="K36" s="1039"/>
      <c r="L36" s="1040"/>
      <c r="M36" s="1037"/>
      <c r="N36" s="1037"/>
      <c r="O36" s="1037"/>
      <c r="P36" s="1041"/>
      <c r="Q36" s="1041"/>
      <c r="R36" s="1041"/>
      <c r="S36" s="1152"/>
      <c r="T36" s="1040"/>
      <c r="U36" s="1037"/>
      <c r="V36" s="1037"/>
      <c r="W36" s="1037"/>
      <c r="X36" s="1041"/>
      <c r="Y36" s="1041"/>
      <c r="Z36" s="1041"/>
      <c r="AA36" s="1152"/>
      <c r="AB36" s="1156" t="str">
        <f t="shared" ref="AB36" si="56">IF(OR(C36="New Construction",C36="Replace Failed Equip."),"Incremental",IF(C36="Retrofit","Total",""))</f>
        <v/>
      </c>
      <c r="AC36" s="1157"/>
      <c r="AD36" s="1054"/>
      <c r="AE36" s="1054"/>
      <c r="AF36" s="1127" t="str">
        <f t="shared" ref="AF36" si="57">IF(AB36="Incremental",0,"")</f>
        <v/>
      </c>
      <c r="AG36" s="1128"/>
      <c r="AH36" s="1064" t="str">
        <f t="shared" ref="AH36" si="58">IF(OR(C36="",F36="",L36="",P36="",R36="",T36="",X36="",Z36="",AB36="",AD36="",AF36=""),"",ROUND(AD36+AF36,2))</f>
        <v/>
      </c>
      <c r="AI36" s="1065"/>
      <c r="AJ36" s="1065"/>
      <c r="AK36" s="1081" t="str">
        <f t="shared" ref="AK36" si="59">IF(OR(C36="",F36="",L36="",P36="",R36="",T36="",X36="",Z36="",AB36="",AD36="",AF36=""),"",IF(AW36-AX36&lt;=0,0,ROUND(AW36-AX36,4)))</f>
        <v/>
      </c>
      <c r="AL36" s="1081"/>
      <c r="AM36" s="1081"/>
      <c r="AN36" s="1047" t="str">
        <f>IF(OR(C36="",F36="",L36="",P36="",R36="",T36="",X36="",Z36="",AB36="",AD36="",AF36=""),"",
IF(BJ36&lt;&gt;"",BJ36,IF(BL36&gt;0,BL36,
IF(AB36="Incremental",
IF(ACTIVEBLOCK="Yes",ROUND(MIN(AH36*INCCOSTCAP,AK36*BLOCKBIDRATE),2),
IF(BG36&lt;&gt;"",ROUND(MIN(AH36*INCCOSTCAP,BG36),2),
IF(BD36&lt;KWHRATEMIN,ROUND(MIN(AH36*INCCOSTCAP,BE36),2),
IF(BD36&gt;KWHRATEMAX,ROUND(MIN(AH36*INCCOSTCAP,BF36),2),
ROUND(MIN(AH36*INCCOSTCAP,BC36),2))))),
IF(ACTIVEBLOCK="Yes",ROUND(MIN(AH36*TOTCOSTCAP,AK36*BLOCKBIDRATE),2),
IF(BG36&lt;&gt;"",ROUND(MIN(AH36*TOTCOSTCAP,BG36),2),
IF(BD36&lt;KWHRATEMIN,ROUND(MIN(AH36*TOTCOSTCAP,BE36),2),
IF(BD36&gt;KWHRATEMAX,ROUND(MIN(AH36*TOTCOSTCAP,BF36),2),
ROUND(MIN(AH36*TOTCOSTCAP,BC36),2)))))))))</f>
        <v/>
      </c>
      <c r="AO36" s="1048"/>
      <c r="AP36" s="1048"/>
      <c r="AQ36" s="1048"/>
      <c r="AR36" s="355"/>
      <c r="AS36" s="355"/>
      <c r="AT36" s="1104" t="str">
        <f>IFERROR(IF(OR(C36="",F36="",L36="",P36="",R36="",T36="",X36="",Z36="",AB36="",AD36="",AF36=""),"",
ROUND(((1+ELOSS)*((AK36*INDEX(ELECCB[NPV AEC $/kWh],MATCH(AY36,ELECCB[Year Number],1)))+(BA36*INDEX(ELECCB[NPV ACC $/kW],MATCH(AY36,ELECCB[Year Number],1))))/AH36),2)),0)</f>
        <v/>
      </c>
      <c r="AU36" s="1112" t="str">
        <f>IFERROR(AH36/M02S04F06/AK36,"")</f>
        <v/>
      </c>
      <c r="AV36" s="1108" t="str">
        <f>IF(OR(C36="",F36=""),"",INDEX(CMEMOTOR[Unit of Measure],MATCH(F36,CMEMOTOR[Proj Desc 1],0)))</f>
        <v/>
      </c>
      <c r="AW36" s="1103" t="str">
        <f t="shared" ref="AW36" si="60">IF(OR(C36="",F36="",L36="",P36="",R36="",T36="",X36="",Z36="",AB36="",AD36="",AF36=""),"",ROUND(P36*R36,4))</f>
        <v/>
      </c>
      <c r="AX36" s="1103" t="str">
        <f t="shared" ref="AX36" si="61">IF(OR(C36="",F36="",L36="",P36="",R36="",T36="",X36="",Z36="",AB36="",AD36="",AF36=""),"",ROUND(X36*Z36,4))</f>
        <v/>
      </c>
      <c r="AY36" s="1113" t="str">
        <f>IF(OR(C36="",F36=""),"",IF(INDEX(CMEMOTOR[EUL],MATCH(F36,CMEMOTOR[Proj Desc 1],0))="","",INDEX(CMEMOTOR[EUL],MATCH(F36,CMEMOTOR[Proj Desc 1],0))))</f>
        <v/>
      </c>
      <c r="AZ36" s="1115" t="str">
        <f>IF(OR(C36="",F36=""),"",IF(INDEX(CMEMOTOR[End Use Category],MATCH(F36,CMEMOTOR[Proj Desc 1],0))="","",INDEX(CMEMOTOR[End Use Category],MATCH(F36,CMEMOTOR[Proj Desc 1],0))))</f>
        <v/>
      </c>
      <c r="BA36" s="1027" t="str">
        <f>IFERROR(IF(OR(C36="",F36="",L36="",P36="",R36="",T36="",X36="",Z36="",AB36="",AD36="",AF36=""),"",ROUND(AK36*INDEX(ENDUSEALL[Factor],MATCH(AZ36,ENDUSEALL[End Use to Coincident Peak Demand Factors],0)),4)),"")</f>
        <v/>
      </c>
      <c r="BB36" s="1120"/>
      <c r="BC36" s="930" t="str">
        <f t="shared" ref="BC36" si="62">IFERROR(ROUND(AK36*BD36,2),"")</f>
        <v/>
      </c>
      <c r="BD36" s="930" t="str">
        <f>IFERROR(INDEX(ENDUSEALL[Rate ($/kWh)],MATCH(AZ36,ENDUSEALL[End Use to Coincident Peak Demand Factors],0)),"")</f>
        <v/>
      </c>
      <c r="BE36" s="931" t="str">
        <f>IFERROR(ROUND(AK36*KWHRATEMIN,2),"")</f>
        <v/>
      </c>
      <c r="BF36" s="931" t="str">
        <f>IFERROR(ROUND(AK36*KWHRATEMAX,2),"")</f>
        <v/>
      </c>
      <c r="BG36" s="930" t="str">
        <f>IFERROR(IF(INDEX(ENDUSEALL[Bonus Rate ($/kWh)],MATCH(AZ36,ENDUSEALL[End Use to Coincident Peak Demand Factors],0))="","",INDEX(ENDUSEALL[Bonus Rate ($/kWh)],MATCH(AZ36,ENDUSEALL[End Use to Coincident Peak Demand Factors],0))*AK36),"")</f>
        <v/>
      </c>
      <c r="BH36" s="1106" t="str">
        <f>IF(OR(C36="",F36="",L36="",P36="",R36="",T36="",X36="",Z36="",AB36="",AD36="",AF36=""),"",IF(BJ36&lt;&gt;"",SPILLOVERNUMBER,INDEX(CMEMOTOR[Measure Number],MATCH(F36,CMEMOTOR[Proj Desc 1],0))))</f>
        <v/>
      </c>
      <c r="BI36" s="1108" t="str">
        <f>IFERROR(IF(AND(AB36="Total",ROUND(AN36/AH36,2)=TOTCOSTCAP),"75% Total Cost",
IF(AND(AB36="Incremental",AH36=AN36),"100% Incremental Cost",
IF(BD36&lt;KWHRATEMIN, "kWh Incentive Rate Min",
IF(BD36&gt;KWHRATEMAX,"kWh Incentive Rate Cap",
IF(AN36=BG36,"Bonus Incentive",
"kWh Incentive"))))),"")</f>
        <v/>
      </c>
      <c r="BJ36" s="1108" t="str">
        <f ca="1">IFERROR(IF(EXPIRATION&lt;&gt;"",PROJSTATEXP,
IF(BL36&gt;0,"",
IF(AW36-AX36&lt;=0,MEASURESAVE,
IF(OR(M02S04F06="",M02S04F06="Select Rate Code",M02S04F06=0),MEASURERATE,
IF(AND((ISNUMBER(SEARCH("Other",F36))),OR(AY36="",AZ36="")),MEASURESUBMIT,
 IF(PAYCUSE&lt;PAYBACKREQ,PROJECTSTATPAYBACK,
IF(CBCUSE&lt;CBREQ,PROJECTSTATCB,""))))))),MEASURESUBMIT)</f>
        <v>Submit for Review</v>
      </c>
      <c r="BK36" s="930" t="str">
        <f>IFERROR(IF(OR(C36="",F36="",L36="",P36="",R36="",T36="",X36="",Z36="",AB36="",AD36="",AF36=""),"",
ROUND(((1+ELOSS)*((AK36*INDEX(ELECCB[NPV AEC $/kWh],MATCH(AY36,ELECCB[Year Number],1)))+(BA36*INDEX(ELECCB[NPV ACC $/kW],MATCH(AY36,ELECCB[Year Number],1))))),2)),0)</f>
        <v/>
      </c>
      <c r="BL36" s="1118"/>
    </row>
    <row r="37" spans="2:64" ht="15.95" customHeight="1">
      <c r="B37" s="905"/>
      <c r="C37" s="1037"/>
      <c r="D37" s="1037"/>
      <c r="E37" s="1037"/>
      <c r="F37" s="1037"/>
      <c r="G37" s="1037"/>
      <c r="H37" s="1037"/>
      <c r="I37" s="1037"/>
      <c r="J37" s="1037"/>
      <c r="K37" s="1039"/>
      <c r="L37" s="1040"/>
      <c r="M37" s="1037"/>
      <c r="N37" s="1037"/>
      <c r="O37" s="1037"/>
      <c r="P37" s="1041"/>
      <c r="Q37" s="1041"/>
      <c r="R37" s="1041"/>
      <c r="S37" s="1152"/>
      <c r="T37" s="1040"/>
      <c r="U37" s="1037"/>
      <c r="V37" s="1037"/>
      <c r="W37" s="1037"/>
      <c r="X37" s="1041"/>
      <c r="Y37" s="1041"/>
      <c r="Z37" s="1041"/>
      <c r="AA37" s="1152"/>
      <c r="AB37" s="1156"/>
      <c r="AC37" s="1157"/>
      <c r="AD37" s="1054"/>
      <c r="AE37" s="1054"/>
      <c r="AF37" s="1127"/>
      <c r="AG37" s="1128"/>
      <c r="AH37" s="1064"/>
      <c r="AI37" s="1065"/>
      <c r="AJ37" s="1065"/>
      <c r="AK37" s="1066"/>
      <c r="AL37" s="1066"/>
      <c r="AM37" s="1066"/>
      <c r="AN37" s="1049"/>
      <c r="AO37" s="1050"/>
      <c r="AP37" s="1050"/>
      <c r="AQ37" s="1050"/>
      <c r="AR37" s="355"/>
      <c r="AS37" s="355"/>
      <c r="AT37" s="1104"/>
      <c r="AU37" s="1104"/>
      <c r="AV37" s="1105"/>
      <c r="AW37" s="1025"/>
      <c r="AX37" s="1025"/>
      <c r="AY37" s="1114"/>
      <c r="AZ37" s="1116"/>
      <c r="BA37" s="1109"/>
      <c r="BB37" s="1121"/>
      <c r="BC37" s="931"/>
      <c r="BD37" s="931"/>
      <c r="BE37" s="931"/>
      <c r="BF37" s="931"/>
      <c r="BG37" s="931"/>
      <c r="BH37" s="1107"/>
      <c r="BI37" s="1105"/>
      <c r="BJ37" s="1105"/>
      <c r="BK37" s="931"/>
      <c r="BL37" s="1119"/>
    </row>
    <row r="38" spans="2:64" ht="15.95" customHeight="1">
      <c r="B38"/>
      <c r="AO38" s="235"/>
      <c r="AP38" s="235"/>
      <c r="AQ38" s="235"/>
      <c r="AR38" s="235"/>
      <c r="AS38" s="235"/>
    </row>
    <row r="39" spans="2:64" ht="15.95" hidden="1" customHeight="1">
      <c r="B39"/>
      <c r="AO39" s="235"/>
      <c r="AP39" s="235"/>
      <c r="AQ39" s="235"/>
      <c r="AR39" s="235"/>
      <c r="AS39" s="235"/>
    </row>
    <row r="40" spans="2:64" ht="15.95" hidden="1" customHeight="1">
      <c r="B40"/>
      <c r="AO40" s="235"/>
      <c r="AP40" s="235"/>
      <c r="AQ40" s="235"/>
      <c r="AR40" s="235"/>
      <c r="AS40" s="235"/>
    </row>
    <row r="41" spans="2:64" ht="15.95" hidden="1" customHeight="1">
      <c r="B41"/>
      <c r="AO41" s="235"/>
      <c r="AP41" s="235"/>
      <c r="AQ41" s="235"/>
      <c r="AR41" s="235"/>
      <c r="AS41" s="235"/>
    </row>
    <row r="42" spans="2:64" ht="15.95" hidden="1" customHeight="1">
      <c r="B42"/>
      <c r="AO42" s="235"/>
      <c r="AP42" s="235"/>
      <c r="AQ42" s="235"/>
      <c r="AR42" s="235"/>
      <c r="AS42" s="235"/>
    </row>
    <row r="43" spans="2:64" ht="15.95" hidden="1" customHeight="1">
      <c r="B43"/>
      <c r="AO43" s="235"/>
      <c r="AP43" s="235"/>
      <c r="AQ43" s="235"/>
      <c r="AR43" s="235"/>
      <c r="AS43" s="235"/>
    </row>
    <row r="44" spans="2:64" ht="15.95" hidden="1" customHeight="1">
      <c r="B44"/>
      <c r="AO44" s="235"/>
      <c r="AP44" s="235"/>
      <c r="AQ44" s="235"/>
      <c r="AR44" s="235"/>
      <c r="AS44" s="235"/>
    </row>
    <row r="45" spans="2:64" ht="15.95" hidden="1" customHeight="1">
      <c r="B45"/>
      <c r="AO45" s="235"/>
      <c r="AP45" s="235"/>
      <c r="AQ45" s="235"/>
      <c r="AR45" s="235"/>
      <c r="AS45" s="235"/>
    </row>
    <row r="46" spans="2:64" ht="15.95" hidden="1" customHeight="1">
      <c r="B46"/>
      <c r="AO46" s="235"/>
      <c r="AP46" s="235"/>
      <c r="AQ46" s="235"/>
      <c r="AR46" s="235"/>
      <c r="AS46" s="235"/>
    </row>
    <row r="47" spans="2:64" ht="15.95" hidden="1" customHeight="1">
      <c r="B47"/>
      <c r="AO47" s="235"/>
      <c r="AP47" s="235"/>
      <c r="AQ47" s="235"/>
      <c r="AR47" s="235"/>
      <c r="AS47" s="235"/>
    </row>
    <row r="48" spans="2:64" ht="15.95" hidden="1" customHeight="1">
      <c r="AO48" s="235"/>
      <c r="AP48" s="235"/>
      <c r="AQ48" s="235"/>
      <c r="AR48" s="235"/>
      <c r="AS48" s="235"/>
      <c r="AU48" s="57"/>
      <c r="AV48" s="64"/>
      <c r="AW48" s="64"/>
      <c r="AX48" s="64"/>
    </row>
    <row r="49" spans="41:50" ht="15.95" hidden="1" customHeight="1">
      <c r="AO49" s="235"/>
      <c r="AP49" s="235"/>
      <c r="AQ49" s="235"/>
      <c r="AR49" s="235"/>
      <c r="AS49" s="235"/>
      <c r="AU49" s="57"/>
      <c r="AV49" s="64"/>
      <c r="AW49" s="64"/>
      <c r="AX49" s="64"/>
    </row>
    <row r="50" spans="41:50" ht="15.95" hidden="1" customHeight="1">
      <c r="AO50" s="235"/>
      <c r="AP50" s="235"/>
      <c r="AQ50" s="235"/>
      <c r="AR50" s="235"/>
      <c r="AS50" s="235"/>
      <c r="AU50" s="57"/>
      <c r="AV50" s="64"/>
      <c r="AW50" s="64"/>
      <c r="AX50" s="64"/>
    </row>
    <row r="51" spans="41:50" ht="15.95" hidden="1" customHeight="1">
      <c r="AO51" s="235"/>
      <c r="AP51" s="235"/>
      <c r="AQ51" s="235"/>
      <c r="AR51" s="235"/>
      <c r="AS51" s="235"/>
      <c r="AU51" s="57"/>
      <c r="AV51" s="64"/>
      <c r="AW51" s="64"/>
      <c r="AX51" s="64"/>
    </row>
    <row r="52" spans="41:50" ht="15.95" hidden="1" customHeight="1">
      <c r="AO52" s="235"/>
      <c r="AP52" s="235"/>
      <c r="AQ52" s="235"/>
      <c r="AR52" s="235"/>
      <c r="AS52" s="235"/>
      <c r="AU52" s="57"/>
      <c r="AV52" s="64"/>
      <c r="AW52" s="64"/>
      <c r="AX52" s="64"/>
    </row>
    <row r="53" spans="41:50" ht="15.95" hidden="1" customHeight="1">
      <c r="AO53" s="235"/>
      <c r="AP53" s="235"/>
      <c r="AQ53" s="235"/>
      <c r="AR53" s="235"/>
      <c r="AS53" s="235"/>
      <c r="AU53" s="57"/>
      <c r="AV53" s="64"/>
      <c r="AW53" s="64"/>
      <c r="AX53" s="64"/>
    </row>
    <row r="54" spans="41:50" ht="15.95" hidden="1" customHeight="1">
      <c r="AO54" s="235"/>
      <c r="AP54" s="235"/>
      <c r="AQ54" s="235"/>
      <c r="AR54" s="235"/>
      <c r="AS54" s="235"/>
      <c r="AU54" s="57"/>
      <c r="AV54" s="64"/>
      <c r="AW54" s="64"/>
      <c r="AX54" s="64"/>
    </row>
    <row r="55" spans="41:50" ht="15.95" hidden="1" customHeight="1">
      <c r="AO55" s="235"/>
      <c r="AP55" s="235"/>
      <c r="AQ55" s="235"/>
      <c r="AR55" s="235"/>
      <c r="AS55" s="235"/>
      <c r="AU55" s="57"/>
      <c r="AV55" s="64"/>
      <c r="AW55" s="64"/>
      <c r="AX55" s="64"/>
    </row>
    <row r="56" spans="41:50" ht="15.95" hidden="1" customHeight="1">
      <c r="AO56" s="235"/>
      <c r="AP56" s="235"/>
      <c r="AQ56" s="235"/>
      <c r="AR56" s="235"/>
      <c r="AS56" s="235"/>
      <c r="AU56" s="57"/>
      <c r="AV56" s="64"/>
      <c r="AW56" s="64"/>
      <c r="AX56" s="64"/>
    </row>
    <row r="57" spans="41:50" ht="15.95" hidden="1" customHeight="1">
      <c r="AO57" s="235"/>
      <c r="AP57" s="235"/>
      <c r="AQ57" s="235"/>
      <c r="AR57" s="235"/>
      <c r="AS57" s="235"/>
      <c r="AU57" s="57"/>
      <c r="AV57" s="64"/>
      <c r="AW57" s="64"/>
      <c r="AX57" s="64"/>
    </row>
    <row r="58" spans="41:50" ht="15.95" hidden="1" customHeight="1">
      <c r="AO58" s="235"/>
      <c r="AP58" s="235"/>
      <c r="AQ58" s="235"/>
      <c r="AR58" s="235"/>
      <c r="AS58" s="235"/>
      <c r="AU58" s="57"/>
      <c r="AV58" s="64"/>
      <c r="AW58" s="64"/>
      <c r="AX58" s="64"/>
    </row>
    <row r="59" spans="41:50" ht="15.95" hidden="1" customHeight="1">
      <c r="AO59" s="235"/>
      <c r="AP59" s="235"/>
      <c r="AQ59" s="235"/>
      <c r="AR59" s="235"/>
      <c r="AS59" s="235"/>
      <c r="AU59" s="57"/>
      <c r="AV59" s="64"/>
      <c r="AW59" s="64"/>
      <c r="AX59" s="64"/>
    </row>
    <row r="60" spans="41:50" ht="15.95" hidden="1" customHeight="1">
      <c r="AO60" s="235"/>
      <c r="AP60" s="235"/>
      <c r="AQ60" s="235"/>
      <c r="AR60" s="235"/>
      <c r="AS60" s="235"/>
      <c r="AU60" s="57"/>
      <c r="AV60" s="64"/>
      <c r="AW60" s="64"/>
      <c r="AX60" s="64"/>
    </row>
    <row r="61" spans="41:50" ht="15.95" hidden="1" customHeight="1">
      <c r="AO61" s="235"/>
      <c r="AP61" s="235"/>
      <c r="AQ61" s="235"/>
      <c r="AR61" s="235"/>
      <c r="AS61" s="235"/>
      <c r="AU61" s="57"/>
      <c r="AV61" s="64"/>
      <c r="AW61" s="64"/>
      <c r="AX61" s="64"/>
    </row>
    <row r="62" spans="41:50" ht="15.95" hidden="1" customHeight="1">
      <c r="AU62" s="57"/>
      <c r="AV62" s="64"/>
      <c r="AW62" s="64"/>
      <c r="AX62" s="64"/>
    </row>
    <row r="63" spans="41:50" ht="15.95" hidden="1" customHeight="1">
      <c r="AU63" s="57"/>
      <c r="AV63" s="64"/>
      <c r="AW63" s="64"/>
      <c r="AX63" s="64"/>
    </row>
    <row r="64" spans="41:50" ht="15.95" hidden="1" customHeight="1">
      <c r="AU64" s="57"/>
      <c r="AV64" s="64"/>
      <c r="AW64" s="64"/>
      <c r="AX64" s="64"/>
    </row>
    <row r="65" spans="47:50" ht="15.95" hidden="1" customHeight="1">
      <c r="AU65" s="57"/>
      <c r="AV65" s="64"/>
      <c r="AW65" s="64"/>
      <c r="AX65" s="64"/>
    </row>
    <row r="66" spans="47:50" ht="15.95" hidden="1" customHeight="1">
      <c r="AU66" s="57"/>
      <c r="AV66" s="64"/>
      <c r="AW66" s="64"/>
      <c r="AX66" s="64"/>
    </row>
    <row r="67" spans="47:50" ht="15.95" hidden="1" customHeight="1">
      <c r="AU67" s="57"/>
      <c r="AV67" s="64"/>
      <c r="AW67" s="64"/>
      <c r="AX67" s="64"/>
    </row>
    <row r="68" spans="47:50" ht="15.95" hidden="1" customHeight="1">
      <c r="AU68" s="57"/>
      <c r="AV68" s="64"/>
      <c r="AW68" s="64"/>
      <c r="AX68" s="64"/>
    </row>
    <row r="69" spans="47:50" ht="15.95" hidden="1" customHeight="1">
      <c r="AU69" s="57"/>
      <c r="AV69" s="64"/>
      <c r="AW69" s="64"/>
      <c r="AX69" s="64"/>
    </row>
    <row r="70" spans="47:50" ht="15.95" hidden="1" customHeight="1">
      <c r="AU70" s="57"/>
      <c r="AV70" s="64"/>
      <c r="AW70" s="64"/>
      <c r="AX70" s="64"/>
    </row>
    <row r="71" spans="47:50" ht="15.95" hidden="1" customHeight="1">
      <c r="AU71" s="57"/>
      <c r="AV71" s="64"/>
      <c r="AW71" s="64"/>
      <c r="AX71" s="64"/>
    </row>
    <row r="72" spans="47:50" ht="15.95" hidden="1" customHeight="1">
      <c r="AU72" s="57"/>
      <c r="AV72" s="64"/>
      <c r="AW72" s="64"/>
      <c r="AX72" s="64"/>
    </row>
    <row r="73" spans="47:50" ht="15.95" hidden="1" customHeight="1">
      <c r="AU73" s="57"/>
      <c r="AV73" s="64"/>
      <c r="AW73" s="64"/>
      <c r="AX73" s="64"/>
    </row>
    <row r="74" spans="47:50" ht="15.95" hidden="1" customHeight="1">
      <c r="AU74" s="57"/>
      <c r="AV74" s="64"/>
      <c r="AW74" s="64"/>
      <c r="AX74" s="64"/>
    </row>
    <row r="75" spans="47:50" ht="15.95" hidden="1" customHeight="1">
      <c r="AU75" s="57"/>
      <c r="AV75" s="64"/>
      <c r="AW75" s="64"/>
      <c r="AX75" s="64"/>
    </row>
    <row r="76" spans="47:50" ht="15.95" hidden="1" customHeight="1">
      <c r="AU76" s="57"/>
      <c r="AV76" s="64"/>
      <c r="AW76" s="64"/>
      <c r="AX76" s="64"/>
    </row>
    <row r="77" spans="47:50" ht="15.95" hidden="1" customHeight="1">
      <c r="AU77" s="57"/>
      <c r="AV77" s="64"/>
      <c r="AW77" s="64"/>
      <c r="AX77" s="64"/>
    </row>
    <row r="78" spans="47:50" ht="15.95" hidden="1" customHeight="1">
      <c r="AU78" s="57"/>
      <c r="AV78" s="64"/>
      <c r="AW78" s="64"/>
      <c r="AX78" s="64"/>
    </row>
    <row r="79" spans="47:50" ht="15.95" hidden="1" customHeight="1">
      <c r="AU79" s="57"/>
      <c r="AV79" s="64"/>
      <c r="AW79" s="64"/>
      <c r="AX79" s="64"/>
    </row>
    <row r="80" spans="47:50" ht="15.95" hidden="1" customHeight="1">
      <c r="AU80" s="57"/>
      <c r="AV80" s="64"/>
      <c r="AW80" s="64"/>
      <c r="AX80" s="64"/>
    </row>
    <row r="81" spans="47:50" ht="15.95" hidden="1" customHeight="1">
      <c r="AU81" s="57"/>
      <c r="AV81" s="64"/>
      <c r="AW81" s="64"/>
      <c r="AX81" s="64"/>
    </row>
    <row r="82" spans="47:50" ht="15.95" hidden="1" customHeight="1">
      <c r="AU82" s="57"/>
      <c r="AV82" s="64"/>
      <c r="AW82" s="64"/>
      <c r="AX82" s="64"/>
    </row>
    <row r="83" spans="47:50" ht="15.95" hidden="1" customHeight="1">
      <c r="AU83" s="57"/>
      <c r="AV83" s="64"/>
      <c r="AW83" s="64"/>
      <c r="AX83" s="64"/>
    </row>
    <row r="84" spans="47:50" ht="15.95" hidden="1" customHeight="1">
      <c r="AU84" s="57"/>
      <c r="AV84" s="64"/>
      <c r="AW84" s="64"/>
      <c r="AX84" s="64"/>
    </row>
    <row r="85" spans="47:50" ht="15.95" hidden="1" customHeight="1">
      <c r="AU85" s="57"/>
      <c r="AV85" s="64"/>
      <c r="AW85" s="64"/>
      <c r="AX85" s="64"/>
    </row>
    <row r="86" spans="47:50" ht="15.95" hidden="1" customHeight="1">
      <c r="AU86" s="57"/>
      <c r="AV86" s="64"/>
      <c r="AW86" s="64"/>
      <c r="AX86" s="64"/>
    </row>
    <row r="87" spans="47:50" ht="15.95" hidden="1" customHeight="1">
      <c r="AU87" s="57"/>
      <c r="AV87" s="64"/>
      <c r="AW87" s="64"/>
      <c r="AX87" s="64"/>
    </row>
    <row r="88" spans="47:50" ht="15.95" hidden="1" customHeight="1">
      <c r="AU88" s="57"/>
      <c r="AV88" s="64"/>
      <c r="AW88" s="64"/>
      <c r="AX88" s="64"/>
    </row>
    <row r="89" spans="47:50" ht="15.95" hidden="1" customHeight="1">
      <c r="AU89" s="57"/>
      <c r="AV89" s="64"/>
      <c r="AW89" s="64"/>
      <c r="AX89" s="64"/>
    </row>
    <row r="90" spans="47:50" ht="15.95" hidden="1" customHeight="1">
      <c r="AU90" s="57"/>
      <c r="AV90" s="64"/>
      <c r="AW90" s="64"/>
      <c r="AX90" s="64"/>
    </row>
    <row r="91" spans="47:50" ht="15.95" hidden="1" customHeight="1">
      <c r="AU91" s="57"/>
      <c r="AV91" s="64"/>
      <c r="AW91" s="64"/>
      <c r="AX91" s="64"/>
    </row>
    <row r="92" spans="47:50" ht="15.95" hidden="1" customHeight="1">
      <c r="AU92" s="57"/>
      <c r="AV92" s="64"/>
      <c r="AW92" s="64"/>
      <c r="AX92" s="64"/>
    </row>
    <row r="93" spans="47:50" ht="15.95" hidden="1" customHeight="1">
      <c r="AU93" s="57"/>
      <c r="AV93" s="64"/>
      <c r="AW93" s="64"/>
      <c r="AX93" s="64"/>
    </row>
    <row r="94" spans="47:50" ht="15.95" hidden="1" customHeight="1">
      <c r="AU94" s="57"/>
      <c r="AV94" s="64"/>
      <c r="AW94" s="64"/>
      <c r="AX94" s="64"/>
    </row>
    <row r="95" spans="47:50" ht="15.95" hidden="1" customHeight="1">
      <c r="AU95" s="57"/>
      <c r="AV95" s="64"/>
      <c r="AW95" s="64"/>
      <c r="AX95" s="64"/>
    </row>
    <row r="96" spans="47:50" ht="15.95" hidden="1" customHeight="1">
      <c r="AU96" s="57"/>
      <c r="AV96" s="64"/>
      <c r="AW96" s="64"/>
      <c r="AX96" s="64"/>
    </row>
    <row r="97" spans="47:50" ht="15.95" hidden="1" customHeight="1">
      <c r="AU97" s="57"/>
      <c r="AV97" s="64"/>
      <c r="AW97" s="64"/>
      <c r="AX97" s="64"/>
    </row>
    <row r="98" spans="47:50" ht="15.95" hidden="1" customHeight="1">
      <c r="AU98" s="57"/>
      <c r="AV98" s="64"/>
      <c r="AW98" s="64"/>
      <c r="AX98" s="64"/>
    </row>
    <row r="99" spans="47:50" ht="15.95" hidden="1" customHeight="1">
      <c r="AU99" s="57"/>
      <c r="AV99" s="64"/>
      <c r="AW99" s="64"/>
      <c r="AX99" s="64"/>
    </row>
    <row r="100" spans="47:50" ht="15.95" hidden="1" customHeight="1">
      <c r="AU100" s="57"/>
      <c r="AV100" s="64"/>
      <c r="AW100" s="64"/>
      <c r="AX100" s="64"/>
    </row>
    <row r="101" spans="47:50" ht="15.95" hidden="1" customHeight="1">
      <c r="AU101" s="57"/>
      <c r="AV101" s="64"/>
      <c r="AW101" s="64"/>
      <c r="AX101" s="64"/>
    </row>
    <row r="102" spans="47:50" ht="15.95" hidden="1" customHeight="1">
      <c r="AU102" s="57"/>
      <c r="AV102" s="64"/>
      <c r="AW102" s="64"/>
      <c r="AX102" s="64"/>
    </row>
    <row r="103" spans="47:50" ht="15.95" hidden="1" customHeight="1">
      <c r="AU103" s="57"/>
      <c r="AV103" s="64"/>
      <c r="AW103" s="64"/>
      <c r="AX103" s="64"/>
    </row>
    <row r="104" spans="47:50" ht="15.95" hidden="1" customHeight="1">
      <c r="AU104" s="57"/>
      <c r="AV104" s="64"/>
      <c r="AW104" s="64"/>
      <c r="AX104" s="64"/>
    </row>
    <row r="105" spans="47:50" ht="15.95" hidden="1" customHeight="1">
      <c r="AU105" s="57"/>
      <c r="AV105" s="64"/>
      <c r="AW105" s="64"/>
      <c r="AX105" s="64"/>
    </row>
    <row r="106" spans="47:50" ht="15.95" hidden="1" customHeight="1">
      <c r="AU106" s="57"/>
      <c r="AV106" s="64"/>
      <c r="AW106" s="64"/>
      <c r="AX106" s="64"/>
    </row>
    <row r="107" spans="47:50" ht="15.95" hidden="1" customHeight="1">
      <c r="AU107" s="57"/>
      <c r="AV107" s="64"/>
      <c r="AW107" s="64"/>
      <c r="AX107" s="64"/>
    </row>
    <row r="108" spans="47:50" ht="15.95" hidden="1" customHeight="1">
      <c r="AU108" s="57"/>
      <c r="AV108" s="64"/>
      <c r="AW108" s="64"/>
      <c r="AX108" s="64"/>
    </row>
    <row r="109" spans="47:50" ht="15.95" hidden="1" customHeight="1">
      <c r="AU109" s="57"/>
      <c r="AV109" s="64"/>
      <c r="AW109" s="64"/>
      <c r="AX109" s="64"/>
    </row>
    <row r="110" spans="47:50" ht="15.95" hidden="1" customHeight="1">
      <c r="AU110" s="57"/>
      <c r="AV110" s="64"/>
      <c r="AW110" s="64"/>
      <c r="AX110" s="64"/>
    </row>
    <row r="111" spans="47:50" ht="15.95" hidden="1" customHeight="1">
      <c r="AU111" s="57"/>
      <c r="AV111" s="64"/>
      <c r="AW111" s="64"/>
      <c r="AX111" s="64"/>
    </row>
    <row r="112" spans="47:50" ht="15.95" hidden="1" customHeight="1">
      <c r="AU112" s="57"/>
      <c r="AV112" s="64"/>
      <c r="AW112" s="64"/>
      <c r="AX112" s="64"/>
    </row>
    <row r="113" spans="47:50" ht="15.95" hidden="1" customHeight="1">
      <c r="AU113" s="57"/>
      <c r="AV113" s="64"/>
      <c r="AW113" s="64"/>
      <c r="AX113" s="64"/>
    </row>
    <row r="114" spans="47:50" ht="15.95" hidden="1" customHeight="1">
      <c r="AU114" s="57"/>
      <c r="AV114" s="64"/>
      <c r="AW114" s="64"/>
      <c r="AX114" s="64"/>
    </row>
    <row r="115" spans="47:50" ht="15.95" hidden="1" customHeight="1">
      <c r="AU115" s="57"/>
      <c r="AV115" s="64"/>
      <c r="AW115" s="64"/>
      <c r="AX115" s="64"/>
    </row>
    <row r="116" spans="47:50" ht="15.95" hidden="1" customHeight="1">
      <c r="AU116" s="57"/>
      <c r="AV116" s="64"/>
      <c r="AW116" s="64"/>
      <c r="AX116" s="64"/>
    </row>
    <row r="117" spans="47:50" ht="15.95" hidden="1" customHeight="1">
      <c r="AU117" s="57"/>
      <c r="AV117" s="64"/>
      <c r="AW117" s="64"/>
      <c r="AX117" s="64"/>
    </row>
    <row r="118" spans="47:50" ht="15.95" hidden="1" customHeight="1">
      <c r="AU118" s="57"/>
      <c r="AV118" s="64"/>
      <c r="AW118" s="64"/>
      <c r="AX118" s="64"/>
    </row>
    <row r="119" spans="47:50" ht="15.95" hidden="1" customHeight="1">
      <c r="AU119" s="57"/>
      <c r="AV119" s="64"/>
      <c r="AW119" s="64"/>
      <c r="AX119" s="64"/>
    </row>
    <row r="120" spans="47:50" ht="15.95" hidden="1" customHeight="1">
      <c r="AU120" s="57"/>
      <c r="AV120" s="64"/>
      <c r="AW120" s="64"/>
      <c r="AX120" s="64"/>
    </row>
    <row r="121" spans="47:50" ht="15.95" hidden="1" customHeight="1">
      <c r="AU121" s="57"/>
      <c r="AV121" s="64"/>
      <c r="AW121" s="64"/>
      <c r="AX121" s="64"/>
    </row>
    <row r="122" spans="47:50" ht="15.95" hidden="1" customHeight="1">
      <c r="AU122" s="57"/>
      <c r="AV122" s="64"/>
      <c r="AW122" s="64"/>
      <c r="AX122" s="64"/>
    </row>
    <row r="123" spans="47:50" ht="15.95" hidden="1" customHeight="1">
      <c r="AU123" s="57"/>
      <c r="AV123" s="64"/>
      <c r="AW123" s="64"/>
      <c r="AX123" s="64"/>
    </row>
    <row r="124" spans="47:50" ht="15.95" hidden="1" customHeight="1">
      <c r="AU124" s="57"/>
      <c r="AV124" s="64"/>
      <c r="AW124" s="64"/>
      <c r="AX124" s="64"/>
    </row>
    <row r="125" spans="47:50" ht="15.95" hidden="1" customHeight="1">
      <c r="AU125" s="57"/>
      <c r="AV125" s="64"/>
      <c r="AW125" s="64"/>
      <c r="AX125" s="64"/>
    </row>
    <row r="126" spans="47:50" ht="15.95" hidden="1" customHeight="1">
      <c r="AU126" s="57"/>
      <c r="AV126" s="64"/>
      <c r="AW126" s="64"/>
      <c r="AX126" s="64"/>
    </row>
    <row r="127" spans="47:50" ht="15.95" hidden="1" customHeight="1">
      <c r="AU127" s="57"/>
      <c r="AV127" s="64"/>
      <c r="AW127" s="64"/>
      <c r="AX127" s="64"/>
    </row>
    <row r="128" spans="47:50" ht="15.95" hidden="1" customHeight="1">
      <c r="AU128" s="57"/>
      <c r="AV128" s="64"/>
      <c r="AW128" s="64"/>
      <c r="AX128" s="64"/>
    </row>
    <row r="129" spans="47:50" ht="15.95" hidden="1" customHeight="1">
      <c r="AU129" s="57"/>
      <c r="AV129" s="64"/>
      <c r="AW129" s="64"/>
      <c r="AX129" s="64"/>
    </row>
    <row r="130" spans="47:50" ht="15.95" hidden="1" customHeight="1">
      <c r="AU130" s="57"/>
      <c r="AV130" s="64"/>
      <c r="AW130" s="64"/>
      <c r="AX130" s="64"/>
    </row>
    <row r="131" spans="47:50" ht="15.95" hidden="1" customHeight="1">
      <c r="AU131" s="57"/>
      <c r="AV131" s="64"/>
      <c r="AW131" s="64"/>
      <c r="AX131" s="64"/>
    </row>
    <row r="132" spans="47:50" ht="15.95" hidden="1" customHeight="1">
      <c r="AU132" s="57"/>
      <c r="AV132" s="64"/>
      <c r="AW132" s="64"/>
      <c r="AX132" s="64"/>
    </row>
    <row r="133" spans="47:50" ht="15.95" hidden="1" customHeight="1">
      <c r="AU133" s="57"/>
      <c r="AV133" s="64"/>
      <c r="AW133" s="64"/>
      <c r="AX133" s="64"/>
    </row>
    <row r="134" spans="47:50" ht="15.95" hidden="1" customHeight="1">
      <c r="AU134" s="57"/>
      <c r="AV134" s="64"/>
      <c r="AW134" s="64"/>
      <c r="AX134" s="64"/>
    </row>
    <row r="135" spans="47:50" ht="15.95" hidden="1" customHeight="1">
      <c r="AU135" s="57"/>
      <c r="AV135" s="64"/>
      <c r="AW135" s="64"/>
      <c r="AX135" s="64"/>
    </row>
    <row r="136" spans="47:50" ht="15.95" hidden="1" customHeight="1">
      <c r="AU136" s="57"/>
      <c r="AV136" s="64"/>
      <c r="AW136" s="64"/>
      <c r="AX136" s="64"/>
    </row>
    <row r="137" spans="47:50" ht="15.95" hidden="1" customHeight="1">
      <c r="AU137" s="57"/>
      <c r="AV137" s="64"/>
      <c r="AW137" s="64"/>
      <c r="AX137" s="64"/>
    </row>
    <row r="138" spans="47:50" ht="15.95" hidden="1" customHeight="1">
      <c r="AU138" s="57"/>
      <c r="AV138" s="64"/>
      <c r="AW138" s="64"/>
      <c r="AX138" s="64"/>
    </row>
    <row r="139" spans="47:50" ht="15.95" hidden="1" customHeight="1">
      <c r="AU139" s="57"/>
      <c r="AV139" s="64"/>
      <c r="AW139" s="64"/>
      <c r="AX139" s="64"/>
    </row>
    <row r="140" spans="47:50" ht="15.95" hidden="1" customHeight="1">
      <c r="AU140" s="57"/>
      <c r="AV140" s="64"/>
      <c r="AW140" s="64"/>
      <c r="AX140" s="64"/>
    </row>
    <row r="141" spans="47:50" ht="15.95" hidden="1" customHeight="1">
      <c r="AU141" s="57"/>
      <c r="AV141" s="64"/>
      <c r="AW141" s="64"/>
      <c r="AX141" s="64"/>
    </row>
    <row r="142" spans="47:50" ht="15.95" hidden="1" customHeight="1">
      <c r="AU142" s="57"/>
      <c r="AV142" s="64"/>
      <c r="AW142" s="64"/>
      <c r="AX142" s="64"/>
    </row>
    <row r="143" spans="47:50" ht="15.95" hidden="1" customHeight="1">
      <c r="AU143" s="57"/>
      <c r="AV143" s="64"/>
      <c r="AW143" s="64"/>
      <c r="AX143" s="64"/>
    </row>
    <row r="144" spans="47:50" ht="15.95" hidden="1" customHeight="1">
      <c r="AU144" s="57"/>
      <c r="AV144" s="64"/>
      <c r="AW144" s="64"/>
      <c r="AX144" s="64"/>
    </row>
    <row r="145" spans="47:50" ht="15.95" hidden="1" customHeight="1">
      <c r="AU145" s="57"/>
      <c r="AV145" s="64"/>
      <c r="AW145" s="64"/>
      <c r="AX145" s="64"/>
    </row>
    <row r="146" spans="47:50" ht="15.95" hidden="1" customHeight="1">
      <c r="AU146" s="57"/>
      <c r="AV146" s="64"/>
      <c r="AW146" s="64"/>
      <c r="AX146" s="64"/>
    </row>
    <row r="147" spans="47:50" ht="15.95" hidden="1" customHeight="1">
      <c r="AU147" s="57"/>
      <c r="AV147" s="64"/>
      <c r="AW147" s="64"/>
      <c r="AX147" s="64"/>
    </row>
    <row r="148" spans="47:50" ht="15.95" hidden="1" customHeight="1">
      <c r="AU148" s="57"/>
      <c r="AV148" s="64"/>
      <c r="AW148" s="64"/>
      <c r="AX148" s="64"/>
    </row>
    <row r="149" spans="47:50" ht="15.95" hidden="1" customHeight="1">
      <c r="AU149" s="57"/>
      <c r="AV149" s="64"/>
      <c r="AW149" s="64"/>
      <c r="AX149" s="64"/>
    </row>
    <row r="150" spans="47:50" ht="15.95" hidden="1" customHeight="1">
      <c r="AU150" s="57"/>
      <c r="AV150" s="64"/>
      <c r="AW150" s="64"/>
      <c r="AX150" s="64"/>
    </row>
    <row r="151" spans="47:50" ht="15.95" hidden="1" customHeight="1">
      <c r="AU151" s="57"/>
      <c r="AV151" s="64"/>
      <c r="AW151" s="64"/>
      <c r="AX151" s="64"/>
    </row>
    <row r="152" spans="47:50" ht="15.95" hidden="1" customHeight="1">
      <c r="AU152" s="57"/>
      <c r="AV152" s="64"/>
      <c r="AW152" s="64"/>
      <c r="AX152" s="64"/>
    </row>
    <row r="153" spans="47:50" ht="15.95" hidden="1" customHeight="1">
      <c r="AU153" s="57"/>
      <c r="AV153" s="64"/>
      <c r="AW153" s="64"/>
      <c r="AX153" s="64"/>
    </row>
    <row r="154" spans="47:50" ht="15.95" hidden="1" customHeight="1">
      <c r="AU154" s="57"/>
      <c r="AV154" s="64"/>
      <c r="AW154" s="64"/>
      <c r="AX154" s="64"/>
    </row>
    <row r="155" spans="47:50" ht="15.95" hidden="1" customHeight="1">
      <c r="AU155" s="57"/>
      <c r="AV155" s="64"/>
      <c r="AW155" s="64"/>
      <c r="AX155" s="64"/>
    </row>
    <row r="156" spans="47:50" ht="15.95" hidden="1" customHeight="1">
      <c r="AU156" s="57"/>
      <c r="AV156" s="64"/>
      <c r="AW156" s="64"/>
      <c r="AX156" s="64"/>
    </row>
    <row r="157" spans="47:50" ht="15.95" hidden="1" customHeight="1">
      <c r="AU157" s="57"/>
      <c r="AV157" s="64"/>
      <c r="AW157" s="64"/>
      <c r="AX157" s="64"/>
    </row>
    <row r="158" spans="47:50" ht="15.95" hidden="1" customHeight="1">
      <c r="AU158" s="57"/>
      <c r="AV158" s="64"/>
      <c r="AW158" s="64"/>
      <c r="AX158" s="64"/>
    </row>
    <row r="159" spans="47:50" ht="15.95" hidden="1" customHeight="1">
      <c r="AU159" s="57"/>
      <c r="AV159" s="64"/>
      <c r="AW159" s="64"/>
      <c r="AX159" s="64"/>
    </row>
    <row r="160" spans="47:50" ht="15.95" hidden="1" customHeight="1">
      <c r="AU160" s="57"/>
      <c r="AV160" s="64"/>
      <c r="AW160" s="64"/>
      <c r="AX160" s="64"/>
    </row>
    <row r="161" spans="47:50" ht="15.95" hidden="1" customHeight="1">
      <c r="AU161" s="57"/>
      <c r="AV161" s="64"/>
      <c r="AW161" s="64"/>
      <c r="AX161" s="64"/>
    </row>
    <row r="162" spans="47:50" ht="15.95" hidden="1" customHeight="1">
      <c r="AU162" s="57"/>
      <c r="AV162" s="64"/>
      <c r="AW162" s="64"/>
      <c r="AX162" s="64"/>
    </row>
    <row r="163" spans="47:50" ht="15.95" hidden="1" customHeight="1">
      <c r="AU163" s="57"/>
      <c r="AV163" s="64"/>
      <c r="AW163" s="64"/>
      <c r="AX163" s="64"/>
    </row>
    <row r="164" spans="47:50" ht="15.95" hidden="1" customHeight="1">
      <c r="AU164" s="57"/>
      <c r="AV164" s="64"/>
      <c r="AW164" s="64"/>
      <c r="AX164" s="64"/>
    </row>
    <row r="165" spans="47:50" ht="15.95" hidden="1" customHeight="1">
      <c r="AU165" s="57"/>
      <c r="AV165" s="64"/>
      <c r="AW165" s="64"/>
      <c r="AX165" s="64"/>
    </row>
    <row r="166" spans="47:50" ht="15.95" hidden="1" customHeight="1">
      <c r="AU166" s="57"/>
      <c r="AV166" s="64"/>
      <c r="AW166" s="64"/>
      <c r="AX166" s="64"/>
    </row>
    <row r="167" spans="47:50" ht="15.95" hidden="1" customHeight="1">
      <c r="AU167" s="57"/>
      <c r="AV167" s="64"/>
      <c r="AW167" s="64"/>
      <c r="AX167" s="64"/>
    </row>
    <row r="168" spans="47:50" ht="15.95" hidden="1" customHeight="1">
      <c r="AU168" s="57"/>
      <c r="AV168" s="64"/>
      <c r="AW168" s="64"/>
      <c r="AX168" s="64"/>
    </row>
    <row r="169" spans="47:50" ht="15.95" hidden="1" customHeight="1">
      <c r="AU169" s="57"/>
      <c r="AV169" s="64"/>
      <c r="AW169" s="64"/>
      <c r="AX169" s="64"/>
    </row>
    <row r="170" spans="47:50" ht="15.95" hidden="1" customHeight="1">
      <c r="AU170" s="57"/>
      <c r="AV170" s="64"/>
      <c r="AW170" s="64"/>
      <c r="AX170" s="64"/>
    </row>
    <row r="171" spans="47:50" ht="15.95" hidden="1" customHeight="1">
      <c r="AU171" s="57"/>
      <c r="AV171" s="64"/>
      <c r="AW171" s="64"/>
      <c r="AX171" s="64"/>
    </row>
    <row r="172" spans="47:50" ht="15.95" hidden="1" customHeight="1">
      <c r="AU172" s="57"/>
      <c r="AV172" s="64"/>
      <c r="AW172" s="64"/>
      <c r="AX172" s="64"/>
    </row>
    <row r="173" spans="47:50" ht="15.95" hidden="1" customHeight="1">
      <c r="AU173" s="57"/>
      <c r="AV173" s="64"/>
      <c r="AW173" s="64"/>
      <c r="AX173" s="64"/>
    </row>
    <row r="174" spans="47:50" ht="15.95" hidden="1" customHeight="1">
      <c r="AU174" s="57"/>
      <c r="AV174" s="64"/>
      <c r="AW174" s="64"/>
      <c r="AX174" s="64"/>
    </row>
    <row r="175" spans="47:50" ht="15.95" hidden="1" customHeight="1">
      <c r="AU175" s="57"/>
      <c r="AV175" s="64"/>
      <c r="AW175" s="64"/>
      <c r="AX175" s="64"/>
    </row>
    <row r="176" spans="47:50" ht="15.95" hidden="1" customHeight="1">
      <c r="AU176" s="57"/>
      <c r="AV176" s="64"/>
      <c r="AW176" s="64"/>
      <c r="AX176" s="64"/>
    </row>
    <row r="177" spans="47:50" ht="15.95" hidden="1" customHeight="1">
      <c r="AU177" s="57"/>
      <c r="AV177" s="64"/>
      <c r="AW177" s="64"/>
      <c r="AX177" s="64"/>
    </row>
    <row r="178" spans="47:50" ht="15.95" hidden="1" customHeight="1">
      <c r="AU178" s="57"/>
      <c r="AV178" s="64"/>
      <c r="AW178" s="64"/>
      <c r="AX178" s="64"/>
    </row>
    <row r="179" spans="47:50" ht="15.95" hidden="1" customHeight="1">
      <c r="AU179" s="57"/>
      <c r="AV179" s="64"/>
      <c r="AW179" s="64"/>
      <c r="AX179" s="64"/>
    </row>
    <row r="180" spans="47:50" ht="15.95" hidden="1" customHeight="1">
      <c r="AU180" s="57"/>
      <c r="AV180" s="64"/>
      <c r="AW180" s="64"/>
      <c r="AX180" s="64"/>
    </row>
    <row r="181" spans="47:50" ht="15.95" hidden="1" customHeight="1">
      <c r="AU181" s="57"/>
      <c r="AV181" s="64"/>
      <c r="AW181" s="64"/>
      <c r="AX181" s="64"/>
    </row>
    <row r="182" spans="47:50" ht="15.95" hidden="1" customHeight="1">
      <c r="AU182" s="57"/>
      <c r="AV182" s="64"/>
      <c r="AW182" s="64"/>
      <c r="AX182" s="64"/>
    </row>
    <row r="183" spans="47:50" ht="15.95" hidden="1" customHeight="1">
      <c r="AU183" s="57"/>
      <c r="AV183" s="64"/>
      <c r="AW183" s="64"/>
      <c r="AX183" s="64"/>
    </row>
    <row r="184" spans="47:50" ht="15.95" hidden="1" customHeight="1">
      <c r="AU184" s="57"/>
      <c r="AV184" s="64"/>
      <c r="AW184" s="64"/>
      <c r="AX184" s="64"/>
    </row>
    <row r="185" spans="47:50" ht="15.95" hidden="1" customHeight="1">
      <c r="AU185" s="57"/>
      <c r="AV185" s="64"/>
      <c r="AW185" s="64"/>
      <c r="AX185" s="64"/>
    </row>
    <row r="186" spans="47:50" ht="15.95" hidden="1" customHeight="1">
      <c r="AU186" s="57"/>
      <c r="AV186" s="64"/>
      <c r="AW186" s="64"/>
      <c r="AX186" s="64"/>
    </row>
    <row r="187" spans="47:50" ht="15.95" hidden="1" customHeight="1">
      <c r="AU187" s="57"/>
      <c r="AV187" s="64"/>
      <c r="AW187" s="64"/>
      <c r="AX187" s="64"/>
    </row>
    <row r="188" spans="47:50" ht="15.95" hidden="1" customHeight="1">
      <c r="AU188" s="57"/>
      <c r="AV188" s="64"/>
      <c r="AW188" s="64"/>
      <c r="AX188" s="64"/>
    </row>
    <row r="189" spans="47:50" ht="15.95" hidden="1" customHeight="1">
      <c r="AU189" s="57"/>
      <c r="AV189" s="64"/>
      <c r="AW189" s="64"/>
      <c r="AX189" s="64"/>
    </row>
    <row r="190" spans="47:50" ht="15.95" hidden="1" customHeight="1">
      <c r="AU190" s="57"/>
      <c r="AV190" s="64"/>
      <c r="AW190" s="64"/>
      <c r="AX190" s="64"/>
    </row>
    <row r="191" spans="47:50" ht="15.95" hidden="1" customHeight="1">
      <c r="AU191" s="57"/>
      <c r="AV191" s="64"/>
      <c r="AW191" s="64"/>
      <c r="AX191" s="64"/>
    </row>
    <row r="192" spans="47:50" ht="15.95" hidden="1" customHeight="1">
      <c r="AU192" s="57"/>
      <c r="AV192" s="64"/>
      <c r="AW192" s="64"/>
      <c r="AX192" s="64"/>
    </row>
    <row r="193" spans="1:53" ht="15.95" hidden="1" customHeight="1">
      <c r="AU193" s="57"/>
      <c r="AV193" s="64"/>
      <c r="AW193" s="64"/>
      <c r="AX193" s="64"/>
    </row>
    <row r="194" spans="1:53" ht="15.95" hidden="1" customHeight="1">
      <c r="AU194" s="57"/>
      <c r="AV194" s="64"/>
      <c r="AW194" s="64"/>
      <c r="AX194" s="64"/>
    </row>
    <row r="195" spans="1:53" ht="15.95" hidden="1" customHeight="1">
      <c r="AU195" s="57"/>
      <c r="AV195" s="64"/>
      <c r="AW195" s="64"/>
      <c r="AX195" s="64"/>
    </row>
    <row r="196" spans="1:53" ht="15.95" hidden="1" customHeight="1">
      <c r="AU196" s="57"/>
      <c r="AV196" s="64"/>
      <c r="AW196" s="64"/>
      <c r="AX196" s="64"/>
    </row>
    <row r="197" spans="1:53" ht="15.95" hidden="1" customHeight="1">
      <c r="AU197" s="57"/>
      <c r="AV197" s="64"/>
      <c r="AW197" s="64"/>
      <c r="AX197" s="64"/>
    </row>
    <row r="198" spans="1:53" ht="15.95" hidden="1" customHeight="1">
      <c r="AU198" s="57"/>
      <c r="AV198" s="64"/>
      <c r="AW198" s="64"/>
      <c r="AX198" s="64"/>
    </row>
    <row r="199" spans="1:53" ht="15.95" hidden="1" customHeight="1">
      <c r="AU199" s="57"/>
      <c r="AV199" s="64"/>
      <c r="AW199" s="64"/>
      <c r="AX199" s="64"/>
    </row>
    <row r="200" spans="1:53"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W200" s="1025">
        <f>SUM(AW18:AW37)</f>
        <v>0</v>
      </c>
      <c r="AX200" s="1025">
        <f>SUM(AX18:AX37)</f>
        <v>0</v>
      </c>
      <c r="BA200" s="1026">
        <f>SUM(BA18:BA37)</f>
        <v>0</v>
      </c>
    </row>
    <row r="201" spans="1:53"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W201" s="1025"/>
      <c r="AX201" s="1025"/>
      <c r="BA201" s="1027"/>
    </row>
    <row r="202" spans="1:53"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3" ht="15.95" hidden="1" customHeight="1"/>
    <row r="204" spans="1:53" ht="15.95" hidden="1" customHeight="1"/>
  </sheetData>
  <sheetProtection algorithmName="SHA-512" hashValue="ZJh0NC1VeTNHK+ug+68LOp4cMR7cVRcJOWY5KULXvHrL/ob91BkQHAKg3kUQBza3y6iLFKjKoPj84tj7Dg5YiQ==" saltValue="OEki033VVpsHn+OJ6qjsfw==" spinCount="100000" sheet="1" objects="1" scenarios="1" selectLockedCells="1"/>
  <mergeCells count="405">
    <mergeCell ref="BL34:BL35"/>
    <mergeCell ref="BL36:BL37"/>
    <mergeCell ref="BL16:BL17"/>
    <mergeCell ref="BL18:BL19"/>
    <mergeCell ref="BL20:BL21"/>
    <mergeCell ref="BL22:BL23"/>
    <mergeCell ref="BL24:BL25"/>
    <mergeCell ref="BL26:BL27"/>
    <mergeCell ref="BL28:BL29"/>
    <mergeCell ref="BL30:BL31"/>
    <mergeCell ref="BL32:BL33"/>
    <mergeCell ref="BK34:BK35"/>
    <mergeCell ref="BK36:BK37"/>
    <mergeCell ref="BK16:BK17"/>
    <mergeCell ref="BK18:BK19"/>
    <mergeCell ref="BK20:BK21"/>
    <mergeCell ref="BK22:BK23"/>
    <mergeCell ref="BK24:BK25"/>
    <mergeCell ref="BK26:BK27"/>
    <mergeCell ref="BK28:BK29"/>
    <mergeCell ref="BK30:BK31"/>
    <mergeCell ref="BK32:BK33"/>
    <mergeCell ref="BG16:BG17"/>
    <mergeCell ref="BG18:BG19"/>
    <mergeCell ref="BG20:BG21"/>
    <mergeCell ref="BG22:BG23"/>
    <mergeCell ref="BG24:BG25"/>
    <mergeCell ref="BG26:BG27"/>
    <mergeCell ref="BG28:BG29"/>
    <mergeCell ref="BG30:BG31"/>
    <mergeCell ref="BG32:BG33"/>
    <mergeCell ref="AO7:AS7"/>
    <mergeCell ref="AO8:AS8"/>
    <mergeCell ref="AW30:AW31"/>
    <mergeCell ref="AX30:AX31"/>
    <mergeCell ref="AW32:AW33"/>
    <mergeCell ref="AX32:AX33"/>
    <mergeCell ref="AW34:AW35"/>
    <mergeCell ref="AX34:AX35"/>
    <mergeCell ref="AW16:AW17"/>
    <mergeCell ref="AX16:AX17"/>
    <mergeCell ref="AW18:AW19"/>
    <mergeCell ref="AX18:AX19"/>
    <mergeCell ref="AW20:AW21"/>
    <mergeCell ref="AX20:AX21"/>
    <mergeCell ref="AW22:AW23"/>
    <mergeCell ref="AX22:AX23"/>
    <mergeCell ref="AW28:AW29"/>
    <mergeCell ref="AX28:AX29"/>
    <mergeCell ref="AV32:AV33"/>
    <mergeCell ref="AU28:AU29"/>
    <mergeCell ref="AV28:AV29"/>
    <mergeCell ref="AU24:AU25"/>
    <mergeCell ref="AV24:AV25"/>
    <mergeCell ref="BJ36:BJ37"/>
    <mergeCell ref="BB36:BB37"/>
    <mergeCell ref="BC36:BC37"/>
    <mergeCell ref="BD36:BD37"/>
    <mergeCell ref="BE36:BE37"/>
    <mergeCell ref="BF36:BF37"/>
    <mergeCell ref="AU36:AU37"/>
    <mergeCell ref="AV36:AV37"/>
    <mergeCell ref="AY36:AY37"/>
    <mergeCell ref="AZ36:AZ37"/>
    <mergeCell ref="BA36:BA37"/>
    <mergeCell ref="AW36:AW37"/>
    <mergeCell ref="AX36:AX37"/>
    <mergeCell ref="BG36:BG37"/>
    <mergeCell ref="BH34:BH35"/>
    <mergeCell ref="BI34:BI35"/>
    <mergeCell ref="AF36:AG37"/>
    <mergeCell ref="AH36:AJ37"/>
    <mergeCell ref="AK36:AM37"/>
    <mergeCell ref="AN36:AQ37"/>
    <mergeCell ref="AT36:AT37"/>
    <mergeCell ref="BH36:BH37"/>
    <mergeCell ref="BI36:BI37"/>
    <mergeCell ref="BA34:BA35"/>
    <mergeCell ref="BB34:BB35"/>
    <mergeCell ref="BC34:BC35"/>
    <mergeCell ref="AK34:AM35"/>
    <mergeCell ref="BG34:BG35"/>
    <mergeCell ref="C36:E37"/>
    <mergeCell ref="F36:K37"/>
    <mergeCell ref="L36:O37"/>
    <mergeCell ref="P36:Q37"/>
    <mergeCell ref="R36:S37"/>
    <mergeCell ref="BE34:BE35"/>
    <mergeCell ref="P34:Q35"/>
    <mergeCell ref="R34:S35"/>
    <mergeCell ref="T34:W35"/>
    <mergeCell ref="X34:Y35"/>
    <mergeCell ref="Z34:AA35"/>
    <mergeCell ref="AB34:AC35"/>
    <mergeCell ref="AD34:AE35"/>
    <mergeCell ref="AF34:AG35"/>
    <mergeCell ref="AH34:AJ35"/>
    <mergeCell ref="T36:W37"/>
    <mergeCell ref="X36:Y37"/>
    <mergeCell ref="Z36:AA37"/>
    <mergeCell ref="AB36:AC37"/>
    <mergeCell ref="AD36:AE37"/>
    <mergeCell ref="BJ34:BJ35"/>
    <mergeCell ref="AZ34:AZ35"/>
    <mergeCell ref="C32:E33"/>
    <mergeCell ref="F32:K33"/>
    <mergeCell ref="L32:O33"/>
    <mergeCell ref="P32:Q33"/>
    <mergeCell ref="R32:S33"/>
    <mergeCell ref="T32:W33"/>
    <mergeCell ref="X32:Y33"/>
    <mergeCell ref="Z32:AA33"/>
    <mergeCell ref="AB32:AC33"/>
    <mergeCell ref="AD32:AE33"/>
    <mergeCell ref="BD34:BD35"/>
    <mergeCell ref="AN34:AQ35"/>
    <mergeCell ref="AT34:AT35"/>
    <mergeCell ref="AU34:AU35"/>
    <mergeCell ref="AV34:AV35"/>
    <mergeCell ref="AY34:AY35"/>
    <mergeCell ref="BJ32:BJ33"/>
    <mergeCell ref="C34:E35"/>
    <mergeCell ref="F34:K35"/>
    <mergeCell ref="L34:O35"/>
    <mergeCell ref="BB32:BB33"/>
    <mergeCell ref="BC32:BC33"/>
    <mergeCell ref="AF32:AG33"/>
    <mergeCell ref="AH32:AJ33"/>
    <mergeCell ref="AK32:AM33"/>
    <mergeCell ref="AN32:AQ33"/>
    <mergeCell ref="AT32:AT33"/>
    <mergeCell ref="BH32:BH33"/>
    <mergeCell ref="BI32:BI33"/>
    <mergeCell ref="BA30:BA31"/>
    <mergeCell ref="BB30:BB31"/>
    <mergeCell ref="BC30:BC31"/>
    <mergeCell ref="BD30:BD31"/>
    <mergeCell ref="AN30:AQ31"/>
    <mergeCell ref="AT30:AT31"/>
    <mergeCell ref="AU30:AU31"/>
    <mergeCell ref="AV30:AV31"/>
    <mergeCell ref="AY30:AY31"/>
    <mergeCell ref="BF32:BF33"/>
    <mergeCell ref="AU32:AU33"/>
    <mergeCell ref="BD32:BD33"/>
    <mergeCell ref="BE32:BE33"/>
    <mergeCell ref="AY32:AY33"/>
    <mergeCell ref="BJ30:BJ31"/>
    <mergeCell ref="AZ30:AZ31"/>
    <mergeCell ref="BH30:BH31"/>
    <mergeCell ref="BI30:BI31"/>
    <mergeCell ref="AZ32:AZ33"/>
    <mergeCell ref="BA32:BA33"/>
    <mergeCell ref="AN26:AQ27"/>
    <mergeCell ref="AT26:AT27"/>
    <mergeCell ref="AU26:AU27"/>
    <mergeCell ref="AV26:AV27"/>
    <mergeCell ref="AY26:AY27"/>
    <mergeCell ref="AX26:AX27"/>
    <mergeCell ref="AZ26:AZ27"/>
    <mergeCell ref="BJ28:BJ29"/>
    <mergeCell ref="BJ26:BJ27"/>
    <mergeCell ref="BH26:BH27"/>
    <mergeCell ref="BI26:BI27"/>
    <mergeCell ref="BH28:BH29"/>
    <mergeCell ref="BI28:BI29"/>
    <mergeCell ref="BC28:BC29"/>
    <mergeCell ref="BD28:BD29"/>
    <mergeCell ref="BB28:BB29"/>
    <mergeCell ref="C30:E31"/>
    <mergeCell ref="F30:K31"/>
    <mergeCell ref="L30:O31"/>
    <mergeCell ref="P30:Q31"/>
    <mergeCell ref="R30:S31"/>
    <mergeCell ref="T30:W31"/>
    <mergeCell ref="X30:Y31"/>
    <mergeCell ref="Z30:AA31"/>
    <mergeCell ref="AB30:AC31"/>
    <mergeCell ref="AD30:AE31"/>
    <mergeCell ref="AF30:AG31"/>
    <mergeCell ref="AH30:AJ31"/>
    <mergeCell ref="AK30:AM31"/>
    <mergeCell ref="AD28:AE29"/>
    <mergeCell ref="AY24:AY25"/>
    <mergeCell ref="AZ28:AZ29"/>
    <mergeCell ref="BA28:BA29"/>
    <mergeCell ref="AF28:AG29"/>
    <mergeCell ref="AH28:AJ29"/>
    <mergeCell ref="AK28:AM29"/>
    <mergeCell ref="AN28:AQ29"/>
    <mergeCell ref="AT28:AT29"/>
    <mergeCell ref="AF24:AG25"/>
    <mergeCell ref="AH24:AJ25"/>
    <mergeCell ref="AK24:AM25"/>
    <mergeCell ref="AN24:AQ25"/>
    <mergeCell ref="AT24:AT25"/>
    <mergeCell ref="AY28:AY29"/>
    <mergeCell ref="BJ24:BJ25"/>
    <mergeCell ref="C26:E27"/>
    <mergeCell ref="F26:K27"/>
    <mergeCell ref="L26:O27"/>
    <mergeCell ref="P26:Q27"/>
    <mergeCell ref="R26:S27"/>
    <mergeCell ref="T26:W27"/>
    <mergeCell ref="X26:Y27"/>
    <mergeCell ref="Z26:AA27"/>
    <mergeCell ref="AB26:AC27"/>
    <mergeCell ref="AD26:AE27"/>
    <mergeCell ref="AF26:AG27"/>
    <mergeCell ref="AH26:AJ27"/>
    <mergeCell ref="AK26:AM27"/>
    <mergeCell ref="BB24:BB25"/>
    <mergeCell ref="BC24:BC25"/>
    <mergeCell ref="BD24:BD25"/>
    <mergeCell ref="BE24:BE25"/>
    <mergeCell ref="BF24:BF25"/>
    <mergeCell ref="BH24:BH25"/>
    <mergeCell ref="BI24:BI25"/>
    <mergeCell ref="AW24:AW25"/>
    <mergeCell ref="AX24:AX25"/>
    <mergeCell ref="C28:E29"/>
    <mergeCell ref="F28:K29"/>
    <mergeCell ref="L28:O29"/>
    <mergeCell ref="P28:Q29"/>
    <mergeCell ref="T24:W25"/>
    <mergeCell ref="X24:Y25"/>
    <mergeCell ref="Z24:AA25"/>
    <mergeCell ref="AB24:AC25"/>
    <mergeCell ref="AD24:AE25"/>
    <mergeCell ref="R28:S29"/>
    <mergeCell ref="T28:W29"/>
    <mergeCell ref="X28:Y29"/>
    <mergeCell ref="Z28:AA29"/>
    <mergeCell ref="AB28:AC29"/>
    <mergeCell ref="R24:S25"/>
    <mergeCell ref="BJ22:BJ23"/>
    <mergeCell ref="AZ22:AZ23"/>
    <mergeCell ref="BA22:BA23"/>
    <mergeCell ref="BB22:BB23"/>
    <mergeCell ref="BC22:BC23"/>
    <mergeCell ref="BD22:BD23"/>
    <mergeCell ref="AN22:AQ23"/>
    <mergeCell ref="AT22:AT23"/>
    <mergeCell ref="AU22:AU23"/>
    <mergeCell ref="AV22:AV23"/>
    <mergeCell ref="AY22:AY23"/>
    <mergeCell ref="BE22:BE23"/>
    <mergeCell ref="BF22:BF23"/>
    <mergeCell ref="BH22:BH23"/>
    <mergeCell ref="BI22:BI23"/>
    <mergeCell ref="BH18:BH19"/>
    <mergeCell ref="BI18:BI19"/>
    <mergeCell ref="BJ18:BJ19"/>
    <mergeCell ref="AZ18:AZ19"/>
    <mergeCell ref="BA18:BA19"/>
    <mergeCell ref="BB18:BB19"/>
    <mergeCell ref="BC18:BC19"/>
    <mergeCell ref="BD18:BD19"/>
    <mergeCell ref="BH20:BH21"/>
    <mergeCell ref="BI20:BI21"/>
    <mergeCell ref="BJ20:BJ21"/>
    <mergeCell ref="BB20:BB21"/>
    <mergeCell ref="BC20:BC21"/>
    <mergeCell ref="BD20:BD21"/>
    <mergeCell ref="BE20:BE21"/>
    <mergeCell ref="BF20:BF21"/>
    <mergeCell ref="BI16:BI17"/>
    <mergeCell ref="BJ16:BJ17"/>
    <mergeCell ref="AD17:AE17"/>
    <mergeCell ref="AF17:AG17"/>
    <mergeCell ref="C18:E19"/>
    <mergeCell ref="F18:K19"/>
    <mergeCell ref="L18:O19"/>
    <mergeCell ref="P18:Q19"/>
    <mergeCell ref="R18:S19"/>
    <mergeCell ref="T18:W19"/>
    <mergeCell ref="X18:Y19"/>
    <mergeCell ref="Z18:AA19"/>
    <mergeCell ref="AB18:AC19"/>
    <mergeCell ref="AD18:AE19"/>
    <mergeCell ref="AF18:AG19"/>
    <mergeCell ref="AH18:AJ19"/>
    <mergeCell ref="AU16:AU17"/>
    <mergeCell ref="AV16:AV17"/>
    <mergeCell ref="AY16:AY17"/>
    <mergeCell ref="AU18:AU19"/>
    <mergeCell ref="AV18:AV19"/>
    <mergeCell ref="AY18:AY19"/>
    <mergeCell ref="BH16:BH17"/>
    <mergeCell ref="BA16:BA17"/>
    <mergeCell ref="AP1:AS3"/>
    <mergeCell ref="C16:E17"/>
    <mergeCell ref="F16:K17"/>
    <mergeCell ref="L16:O17"/>
    <mergeCell ref="P16:Q17"/>
    <mergeCell ref="R16:S17"/>
    <mergeCell ref="T16:W17"/>
    <mergeCell ref="X16:Y17"/>
    <mergeCell ref="Z16:AA17"/>
    <mergeCell ref="AB16:AC17"/>
    <mergeCell ref="AD16:AG16"/>
    <mergeCell ref="F1:I3"/>
    <mergeCell ref="J1:M3"/>
    <mergeCell ref="AH1:AK3"/>
    <mergeCell ref="AL1:AO3"/>
    <mergeCell ref="A4:E6"/>
    <mergeCell ref="A7:E8"/>
    <mergeCell ref="H9:K11"/>
    <mergeCell ref="L9:O11"/>
    <mergeCell ref="P9:S11"/>
    <mergeCell ref="T9:W11"/>
    <mergeCell ref="X9:AA11"/>
    <mergeCell ref="AB9:AE11"/>
    <mergeCell ref="AO5:AS6"/>
    <mergeCell ref="AF9:AI11"/>
    <mergeCell ref="AJ9:AM11"/>
    <mergeCell ref="R12:U13"/>
    <mergeCell ref="V12:Y13"/>
    <mergeCell ref="Z12:AC13"/>
    <mergeCell ref="AK18:AM19"/>
    <mergeCell ref="C20:E21"/>
    <mergeCell ref="F20:K21"/>
    <mergeCell ref="L20:O21"/>
    <mergeCell ref="P20:Q21"/>
    <mergeCell ref="R20:S21"/>
    <mergeCell ref="T20:W21"/>
    <mergeCell ref="X20:Y21"/>
    <mergeCell ref="Z20:AA21"/>
    <mergeCell ref="AB20:AC21"/>
    <mergeCell ref="R14:U14"/>
    <mergeCell ref="V14:Y14"/>
    <mergeCell ref="Z14:AC14"/>
    <mergeCell ref="AI13:AQ13"/>
    <mergeCell ref="C13:P13"/>
    <mergeCell ref="B28:B29"/>
    <mergeCell ref="B30:B31"/>
    <mergeCell ref="B32:B33"/>
    <mergeCell ref="B34:B35"/>
    <mergeCell ref="B36:B37"/>
    <mergeCell ref="M200:AG201"/>
    <mergeCell ref="AT16:AT17"/>
    <mergeCell ref="AN18:AQ19"/>
    <mergeCell ref="AT18:AT19"/>
    <mergeCell ref="AD20:AE21"/>
    <mergeCell ref="AF20:AG21"/>
    <mergeCell ref="AH20:AJ21"/>
    <mergeCell ref="AK20:AM21"/>
    <mergeCell ref="AN20:AQ21"/>
    <mergeCell ref="AT20:AT21"/>
    <mergeCell ref="AH16:AJ17"/>
    <mergeCell ref="AK16:AM17"/>
    <mergeCell ref="AN16:AQ17"/>
    <mergeCell ref="F22:K23"/>
    <mergeCell ref="L22:O23"/>
    <mergeCell ref="P22:Q23"/>
    <mergeCell ref="R22:S23"/>
    <mergeCell ref="T22:W23"/>
    <mergeCell ref="B24:B25"/>
    <mergeCell ref="B26:B27"/>
    <mergeCell ref="AZ20:AZ21"/>
    <mergeCell ref="BA20:BA21"/>
    <mergeCell ref="BE18:BE19"/>
    <mergeCell ref="BF18:BF19"/>
    <mergeCell ref="Z22:AA23"/>
    <mergeCell ref="AB22:AC23"/>
    <mergeCell ref="AD22:AE23"/>
    <mergeCell ref="AF22:AG23"/>
    <mergeCell ref="AH22:AJ23"/>
    <mergeCell ref="AK22:AM23"/>
    <mergeCell ref="AU20:AU21"/>
    <mergeCell ref="AV20:AV21"/>
    <mergeCell ref="AY20:AY21"/>
    <mergeCell ref="C24:E25"/>
    <mergeCell ref="F24:K25"/>
    <mergeCell ref="B22:B23"/>
    <mergeCell ref="B18:B19"/>
    <mergeCell ref="B20:B21"/>
    <mergeCell ref="C22:E23"/>
    <mergeCell ref="L24:O25"/>
    <mergeCell ref="P24:Q25"/>
    <mergeCell ref="X22:Y23"/>
    <mergeCell ref="O1:AE3"/>
    <mergeCell ref="AW200:AW201"/>
    <mergeCell ref="AX200:AX201"/>
    <mergeCell ref="BA200:BA201"/>
    <mergeCell ref="BB16:BB17"/>
    <mergeCell ref="BC16:BC17"/>
    <mergeCell ref="BD16:BD17"/>
    <mergeCell ref="BE16:BE17"/>
    <mergeCell ref="BF16:BF17"/>
    <mergeCell ref="AZ16:AZ17"/>
    <mergeCell ref="BA26:BA27"/>
    <mergeCell ref="BB26:BB27"/>
    <mergeCell ref="BC26:BC27"/>
    <mergeCell ref="BD26:BD27"/>
    <mergeCell ref="BE26:BE27"/>
    <mergeCell ref="BF26:BF27"/>
    <mergeCell ref="BE30:BE31"/>
    <mergeCell ref="BF30:BF31"/>
    <mergeCell ref="AZ24:AZ25"/>
    <mergeCell ref="BA24:BA25"/>
    <mergeCell ref="AW26:AW27"/>
    <mergeCell ref="BE28:BE29"/>
    <mergeCell ref="BF28:BF29"/>
    <mergeCell ref="BF34:BF35"/>
  </mergeCells>
  <conditionalFormatting sqref="F20:AG37 F18:K19 AB18:AC19 AF18:AG19">
    <cfRule type="expression" dxfId="67" priority="8">
      <formula>AND(ISBLANK($C18)=FALSE,OR(ISBLANK(F18)=TRUE,F18=""))</formula>
    </cfRule>
  </conditionalFormatting>
  <conditionalFormatting sqref="AO8:AS8">
    <cfRule type="expression" dxfId="66" priority="7">
      <formula>IF($AO$8=PROJSTATMEASURE,FALSE,TRUE)</formula>
    </cfRule>
  </conditionalFormatting>
  <conditionalFormatting sqref="L18:AA19">
    <cfRule type="expression" dxfId="65" priority="6">
      <formula>AND(ISBLANK($C18)=FALSE,OR(ISBLANK(L18)=TRUE,L18=""))</formula>
    </cfRule>
  </conditionalFormatting>
  <conditionalFormatting sqref="AD18:AE19">
    <cfRule type="expression" dxfId="64" priority="5">
      <formula>AND(ISBLANK($C18)=FALSE,OR(ISBLANK(AD18)=TRUE,AD18=""))</formula>
    </cfRule>
  </conditionalFormatting>
  <conditionalFormatting sqref="AN18:AQ37">
    <cfRule type="expression" dxfId="63" priority="3">
      <formula>ISNUMBER($AN18)=FALSE</formula>
    </cfRule>
  </conditionalFormatting>
  <conditionalFormatting sqref="AY18:AY37">
    <cfRule type="expression" dxfId="62" priority="2">
      <formula>AND($AY18="",$F18&lt;&gt;"")</formula>
    </cfRule>
  </conditionalFormatting>
  <conditionalFormatting sqref="AZ18:AZ37">
    <cfRule type="expression" dxfId="61" priority="1">
      <formula>AND($AZ18="",$F18&lt;&gt;"")</formula>
    </cfRule>
  </conditionalFormatting>
  <dataValidations count="9">
    <dataValidation type="decimal" allowBlank="1" showInputMessage="1" showErrorMessage="1" prompt="Enter the annual kWh usage per unit of the existing equipment." sqref="R18:S37" xr:uid="{B82EE8AB-3BA5-4EE8-89C9-5691B569499B}">
      <formula1>0</formula1>
      <formula2>999999999</formula2>
    </dataValidation>
    <dataValidation type="decimal" allowBlank="1" showInputMessage="1" showErrorMessage="1" prompt="Enter the annual kWh usage per unit of the new equipment." sqref="Z18:AA37" xr:uid="{BDB20FD6-496E-486E-8CB3-4F0A8BFE55CF}">
      <formula1>0</formula1>
      <formula2>999999999</formula2>
    </dataValidation>
    <dataValidation type="list" allowBlank="1" showInputMessage="1" showErrorMessage="1" sqref="AZ18:AZ37" xr:uid="{835AA8E5-A881-4B78-BEC3-8321F5BFF994}">
      <formula1>ENDUSECAT</formula1>
    </dataValidation>
    <dataValidation type="decimal" allowBlank="1" showInputMessage="1" showErrorMessage="1" sqref="X18:Y37 P18:Q37" xr:uid="{49D4B465-2906-4504-BDB8-25EE476066A9}">
      <formula1>0</formula1>
      <formula2>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D18:AE37" xr:uid="{670472D9-C877-47BF-A180-B39037A1ED1B}">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F18:AG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8:AC37" xr:uid="{5BD81C21-28F8-409A-9971-B8E819F9E752}">
      <formula1>COSTTYPELIST</formula1>
    </dataValidation>
    <dataValidation type="list" allowBlank="1" showInputMessage="1" showErrorMessage="1" prompt="Select the project type using the dropdown._x000a__x000a_If you want to change this field, delete the data in the &quot;Measure Type&quot; field first." sqref="C18:E37" xr:uid="{55FA9DEB-3874-4370-8405-200A53FF1497}">
      <formula1>IF($F18="",CUSTOMPROJECTTYPE,"")</formula1>
    </dataValidation>
    <dataValidation type="list" allowBlank="1" showInputMessage="1" showErrorMessage="1" sqref="F18:K37" xr:uid="{B480D427-E75C-4A3B-A5BF-3BA0638FA3BD}">
      <formula1>CMEMOTORDESC</formula1>
    </dataValidation>
  </dataValidations>
  <hyperlinks>
    <hyperlink ref="H9:K11" location="'M03-S02'!C18" tooltip="Lighting" display="'M03-S02'!C18" xr:uid="{4E6FBBF9-4588-4B29-A9C7-F0EED9C8AE88}"/>
    <hyperlink ref="L9:O11" location="'M03-S03'!C18" tooltip="Lighting Controls" display="'M03-S03'!C18" xr:uid="{C0E5AAFF-73FB-4363-9984-988ACFD8F4F9}"/>
    <hyperlink ref="P9:S11" location="'M03-S04'!C18" tooltip="Refrigeration" display="'M03-S04'!C18" xr:uid="{E3936F97-F652-497F-BC37-F573E69EC2B4}"/>
    <hyperlink ref="T9:W11" location="'M03-S05'!C18" tooltip="HVAC" display="'M03-S05'!C18" xr:uid="{05F499C4-78BE-41A6-B98D-09DAC07819C5}"/>
    <hyperlink ref="AB9:AE11" location="'M03-S06'!C18" tooltip="Compressed Air / Process" display="'M03-S06'!C18" xr:uid="{009E5CEA-7A55-42AF-8BA6-73D136A45243}"/>
    <hyperlink ref="AF9:AI11" location="'M03-S07'!C18" tooltip="Water Heating / Cooking" display="'M03-S07'!C18" xr:uid="{3C8CC9AF-58A6-44F2-8DC4-23F8FABA7C70}"/>
    <hyperlink ref="X9:AA11" location="'M03-S08'!C18" tooltip="Motors and Drives" display="'M03-S08'!C18" xr:uid="{5527A571-A8EB-4017-A4CB-8D9A2788AF5B}"/>
    <hyperlink ref="AJ9:AM11" location="'M04-S09'!C18" tooltip="Miscellaneous" display="'M04-S09'!C18" xr:uid="{38A54196-450D-40BA-B241-96DAFF50574B}"/>
    <hyperlink ref="J1:M3" location="'M01-S02'!J1" tooltip="Instructions" display="'M01-S02'!J1" xr:uid="{9F3EBA8E-93C9-4E76-AB04-844B72F85016}"/>
    <hyperlink ref="AL1:AO3" location="'M05-S05'!AL1" tooltip=" " display="'M05-S05'!AL1" xr:uid="{6C8C76B7-501A-461B-812F-0F7D751F92BB}"/>
    <hyperlink ref="AH1:AK3" location="'M05-S04'!AH1" tooltip=" " display="'M05-S04'!AH1" xr:uid="{4F2A76CA-E256-40A7-B886-4BBA572A8189}"/>
    <hyperlink ref="AP1:AS3" location="'M01-S03'!AP1" tooltip="Contact" display="'M01-S03'!AP1" xr:uid="{6CAC1DDA-2CA2-4F9C-B83B-D4713A39C4CE}"/>
    <hyperlink ref="B202" r:id="rId1" xr:uid="{88A26C03-BC8D-48F4-A1F7-72DCE305631C}"/>
  </hyperlinks>
  <printOptions horizontalCentered="1"/>
  <pageMargins left="0.25" right="0.25" top="0.25" bottom="0.25" header="0.25" footer="0.25"/>
  <pageSetup scale="62"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030A0"/>
  </sheetPr>
  <dimension ref="A1:AS167"/>
  <sheetViews>
    <sheetView workbookViewId="0">
      <selection activeCell="B2" sqref="B2"/>
    </sheetView>
  </sheetViews>
  <sheetFormatPr defaultColWidth="0" defaultRowHeight="15"/>
  <cols>
    <col min="1" max="1" width="23.85546875" style="360" bestFit="1" customWidth="1"/>
    <col min="2" max="2" width="63.42578125" style="360" bestFit="1" customWidth="1"/>
    <col min="3" max="3" width="6.140625" style="360" bestFit="1" customWidth="1"/>
    <col min="4" max="4" width="9.140625" style="360" bestFit="1" customWidth="1"/>
    <col min="5" max="5" width="11.7109375" style="360" bestFit="1" customWidth="1"/>
    <col min="6" max="6" width="12.28515625" style="360" bestFit="1" customWidth="1"/>
    <col min="7" max="7" width="28.140625" style="360" bestFit="1" customWidth="1"/>
    <col min="8" max="8" width="14.85546875" style="360" bestFit="1" customWidth="1"/>
    <col min="9" max="9" width="10.5703125" style="360" bestFit="1" customWidth="1"/>
    <col min="10" max="10" width="8.7109375" style="360" bestFit="1" customWidth="1"/>
    <col min="11" max="11" width="9.7109375" style="360" bestFit="1" customWidth="1"/>
    <col min="12" max="12" width="9.28515625" style="360" bestFit="1" customWidth="1"/>
    <col min="13" max="13" width="16.42578125" style="360" bestFit="1" customWidth="1"/>
    <col min="14" max="14" width="15.28515625" style="360" bestFit="1" customWidth="1"/>
    <col min="15" max="15" width="16.28515625" style="360" bestFit="1" customWidth="1"/>
    <col min="16" max="16" width="10.140625" style="360" bestFit="1" customWidth="1"/>
    <col min="17" max="17" width="17.85546875" style="360" bestFit="1" customWidth="1"/>
    <col min="18" max="18" width="22.42578125" style="360" bestFit="1" customWidth="1"/>
    <col min="19" max="19" width="8.28515625" style="360" bestFit="1" customWidth="1"/>
    <col min="20" max="20" width="8.140625" style="360" bestFit="1" customWidth="1"/>
    <col min="21" max="45" width="4.7109375" style="360" customWidth="1"/>
    <col min="46" max="16384" width="4.7109375" style="360" hidden="1"/>
  </cols>
  <sheetData>
    <row r="1" spans="1:40">
      <c r="A1" s="361" t="s">
        <v>66</v>
      </c>
      <c r="B1" s="362" t="s">
        <v>2913</v>
      </c>
      <c r="G1" s="363" t="s">
        <v>152</v>
      </c>
      <c r="H1" s="364">
        <f ca="1">IF(EXPIRATION&lt;&gt;"","---",IF(I29=0,0,I29))</f>
        <v>0</v>
      </c>
    </row>
    <row r="2" spans="1:40" ht="15.75" customHeight="1">
      <c r="A2" s="361" t="s">
        <v>0</v>
      </c>
      <c r="B2" s="362" t="s">
        <v>795</v>
      </c>
      <c r="G2" s="363" t="s">
        <v>153</v>
      </c>
      <c r="H2" s="364" t="str">
        <f ca="1">IF(EXPIRATION&lt;&gt;"","---",IF(L29=0,"---",IF(PAYALL&lt;=2,"---",IF(CBALL&lt;1,"---",INCENTOTAL))))</f>
        <v>---</v>
      </c>
    </row>
    <row r="3" spans="1:40" ht="15" customHeight="1">
      <c r="A3" s="361" t="s">
        <v>2837</v>
      </c>
      <c r="B3" s="624" t="str">
        <f ca="1">IF(AND(ISREF(INDIRECT("EXPORT"&amp;"!A1"))=TRUE,ISREF(INDIRECT("EXPORT_N"&amp;"!A1")),ISREF(INDIRECT("EXPORT_X"&amp;"!A1"))=TRUE),"Master App",IF(ISREF(INDIRECT("EXPORT_N"&amp;"!A1"))=TRUE,"New Con App",IF(ISREF(INDIRECT("EXPORT_X"&amp;"!A1"))=TRUE,"RCx App",IF(ISREF(INDIRECT("EXPORT"&amp;"!A1"))=TRUE,"General App",""))))</f>
        <v>General App</v>
      </c>
      <c r="G3" s="363" t="s">
        <v>308</v>
      </c>
      <c r="H3" s="364" t="str">
        <f ca="1">IF(EXPIRATION&lt;&gt;"",PROJSTATEXP,
IF(L29=0,PROJSTATMEASURE,
IF(OR(INCENTOTALPRESE&gt;10000,INCENTOTALCUSE&gt;0),PROJSTATPREAPPROVE,"")))</f>
        <v>Enter Measures</v>
      </c>
      <c r="AN3" s="365"/>
    </row>
    <row r="4" spans="1:40" ht="15.75" customHeight="1">
      <c r="A4" s="361" t="s">
        <v>1650</v>
      </c>
      <c r="B4" s="364" t="s">
        <v>795</v>
      </c>
      <c r="G4" s="363" t="s">
        <v>314</v>
      </c>
      <c r="H4" s="366">
        <f ca="1">SUM(A75,A81,A101,A114,A142,A147,A165)/SUM(D75,D81,D101,D114,D142,D147,D165)</f>
        <v>0</v>
      </c>
    </row>
    <row r="5" spans="1:40">
      <c r="A5" s="361" t="s">
        <v>2838</v>
      </c>
      <c r="B5" s="625">
        <v>44196</v>
      </c>
    </row>
    <row r="6" spans="1:40">
      <c r="A6" s="361" t="s">
        <v>2839</v>
      </c>
      <c r="B6" s="625" t="str">
        <f ca="1">IF(EXPIRATION_DATE&lt;TODAY(),"Application expired.","")</f>
        <v/>
      </c>
    </row>
    <row r="8" spans="1:40">
      <c r="A8" s="367" t="s">
        <v>1</v>
      </c>
      <c r="B8" s="368" t="s">
        <v>2</v>
      </c>
      <c r="G8" s="369" t="str">
        <f>MAIN3</f>
        <v>Equipment Input</v>
      </c>
      <c r="H8" s="369" t="s">
        <v>1684</v>
      </c>
      <c r="I8" s="369" t="s">
        <v>673</v>
      </c>
      <c r="J8" s="369" t="s">
        <v>674</v>
      </c>
      <c r="K8" s="369" t="s">
        <v>1425</v>
      </c>
      <c r="L8" s="369" t="s">
        <v>83</v>
      </c>
      <c r="M8" s="369" t="s">
        <v>682</v>
      </c>
      <c r="N8" s="369" t="s">
        <v>683</v>
      </c>
      <c r="O8" s="369" t="s">
        <v>684</v>
      </c>
      <c r="P8" s="369" t="s">
        <v>2500</v>
      </c>
      <c r="Q8" s="369" t="s">
        <v>2893</v>
      </c>
      <c r="R8" s="369" t="s">
        <v>2715</v>
      </c>
    </row>
    <row r="9" spans="1:40">
      <c r="A9" s="370" t="s">
        <v>35</v>
      </c>
      <c r="B9" s="371"/>
      <c r="G9" s="372" t="str">
        <f>B28</f>
        <v>Equipment Type</v>
      </c>
      <c r="H9" s="373"/>
      <c r="I9" s="373"/>
      <c r="J9" s="374"/>
      <c r="K9" s="375"/>
      <c r="L9" s="375"/>
      <c r="M9" s="376"/>
      <c r="N9" s="374"/>
      <c r="O9" s="375"/>
      <c r="P9" s="375"/>
      <c r="Q9" s="375"/>
      <c r="R9" s="373"/>
    </row>
    <row r="10" spans="1:40">
      <c r="A10" s="377" t="s">
        <v>3</v>
      </c>
      <c r="B10" s="378" t="s">
        <v>340</v>
      </c>
      <c r="G10" s="372" t="str">
        <f t="shared" ref="G10:G17" si="0">B29</f>
        <v>Lighting</v>
      </c>
      <c r="H10" s="373">
        <f>COUNT('M03-S02'!AK18:AM199)</f>
        <v>0</v>
      </c>
      <c r="I10" s="374">
        <f>IF(R10="Deemed",SUM('M03-S02'!$AV$18:$AV$199),IF(R10="Calculated",SUM('M03-S02'!$BA$18:$BA$199),""))</f>
        <v>0</v>
      </c>
      <c r="J10" s="374">
        <f>IF(R10="Deemed",SUM('M03-S02'!$AW$18:$AW$199),IF(R10="Calculated",SUM('M03-S02'!$BB$18:$BB$199),""))</f>
        <v>0</v>
      </c>
      <c r="K10" s="375">
        <f>SUM('M03-S02'!AT18:AT199)</f>
        <v>0</v>
      </c>
      <c r="L10" s="375">
        <f>SUM('M03-S02'!AN18:AQ199)</f>
        <v>0</v>
      </c>
      <c r="M10" s="374">
        <f ca="1">IF(R10="Deemed",SUMIF('M03-S02'!$AN$18:$AQ$199,"&gt;0",'M03-S02'!$AV$18:$AV$199),IF(R10="Calculated",SUMIF('M03-S02'!$AN$18:$AQ$199,"&gt;0",'M03-S02'!$BA$18:$BA$199),""))</f>
        <v>0</v>
      </c>
      <c r="N10" s="374">
        <f ca="1">SUMIF('M03-S02'!$AN$18:$AQ$199,"&gt;0",'M03-S02'!BB18:BB199)</f>
        <v>0</v>
      </c>
      <c r="O10" s="375">
        <f ca="1">SUMIF('M03-S02'!$AN$18:$AQ$199,"&gt;0",'M03-S02'!AT18:AT199)</f>
        <v>0</v>
      </c>
      <c r="P10" s="375">
        <f>SUM('M03-S02'!BF18:BF199)</f>
        <v>0</v>
      </c>
      <c r="Q10" s="375">
        <f>SUM('M03-S02'!BI18:BI47)</f>
        <v>0</v>
      </c>
      <c r="R10" s="373" t="s">
        <v>1373</v>
      </c>
    </row>
    <row r="11" spans="1:40">
      <c r="A11" s="377" t="s">
        <v>4</v>
      </c>
      <c r="B11" s="378" t="s">
        <v>1237</v>
      </c>
      <c r="G11" s="372" t="str">
        <f t="shared" si="0"/>
        <v>Lighting Controls</v>
      </c>
      <c r="H11" s="373">
        <f>COUNT('M03-S03'!$AK$18:$AM$199)</f>
        <v>0</v>
      </c>
      <c r="I11" s="374">
        <f>IF(R11="Deemed",SUM('M03-S03'!$AV$18:$AV$199),IF(R11="Calculated",SUM('M03-S03'!$BA$18:$BA$199),""))</f>
        <v>0</v>
      </c>
      <c r="J11" s="374">
        <f>IF(R11="Deemed",SUM('M03-S03'!$AW$18:$AW$199),IF(R11="Calculated",SUM('M03-S03'!$BB$18:$BB$199),""))</f>
        <v>0</v>
      </c>
      <c r="K11" s="375">
        <f>SUM('M03-S03'!AT18:AT199)</f>
        <v>0</v>
      </c>
      <c r="L11" s="375">
        <f>SUM('M03-S03'!AN18:AQ199)</f>
        <v>0</v>
      </c>
      <c r="M11" s="374">
        <f ca="1">SUMIF('M03-S03'!$AN$18:$AQ$199,"&gt;0",'M03-S03'!$AK$18:$AM$199)</f>
        <v>0</v>
      </c>
      <c r="N11" s="374">
        <f ca="1">SUMIF('M03-S03'!$AN$18:$AQ$199,"&gt;0",'M03-S03'!BB18:BB199)</f>
        <v>0</v>
      </c>
      <c r="O11" s="375">
        <f ca="1">SUMIF('M03-S03'!$AN$18:$AQ$199,"&gt;0",'M03-S03'!AT18:AT199)</f>
        <v>0</v>
      </c>
      <c r="P11" s="375">
        <f>SUM('M03-S03'!BF18:BF199)</f>
        <v>0</v>
      </c>
      <c r="Q11" s="375">
        <f>SUM('M03-S03'!BI18:BI37)</f>
        <v>0</v>
      </c>
      <c r="R11" s="373" t="s">
        <v>1373</v>
      </c>
    </row>
    <row r="12" spans="1:40">
      <c r="A12" s="377" t="s">
        <v>5</v>
      </c>
      <c r="B12" s="378" t="s">
        <v>79</v>
      </c>
      <c r="G12" s="372" t="str">
        <f t="shared" si="0"/>
        <v>Refrigeration</v>
      </c>
      <c r="H12" s="373">
        <f>COUNT('M03-S04'!$AK$18:$AM$199)</f>
        <v>0</v>
      </c>
      <c r="I12" s="374">
        <f>IF(R12="Deemed",SUM('M03-S04'!$AV$18:$AV$199),IF(R12="Calculated",SUM('M03-S04'!$BA$18:$BA$199),""))</f>
        <v>0</v>
      </c>
      <c r="J12" s="374">
        <f>IF(R12="Deemed",SUM('M03-S04'!$AW$18:$AW$199),IF(R12="Calculated",SUM('M03-S04'!$BB$18:$BB$199),""))</f>
        <v>0</v>
      </c>
      <c r="K12" s="375">
        <f>SUM('M03-S04'!AT18:AT199)</f>
        <v>0</v>
      </c>
      <c r="L12" s="375">
        <f>SUM('M03-S04'!AN18:AQ199)</f>
        <v>0</v>
      </c>
      <c r="M12" s="374">
        <f ca="1">SUMIF('M03-S04'!$AN$18:$AQ$199,"&gt;0",'M03-S04'!$AK$18:$AM$199)</f>
        <v>0</v>
      </c>
      <c r="N12" s="374">
        <f ca="1">SUMIF('M03-S04'!$AN$18:$AQ$199,"&gt;0",'M03-S04'!AW18:AW199)</f>
        <v>0</v>
      </c>
      <c r="O12" s="375">
        <f ca="1">SUMIF('M03-S04'!$AN$18:$AQ$199,"&gt;0",'M03-S04'!AT18:AT199)</f>
        <v>0</v>
      </c>
      <c r="P12" s="375">
        <f>SUM('M03-S04'!BF18:BF199)</f>
        <v>0</v>
      </c>
      <c r="Q12" s="375">
        <f>SUM('M03-S04'!BI18:BI37)</f>
        <v>0</v>
      </c>
      <c r="R12" s="373" t="s">
        <v>1373</v>
      </c>
    </row>
    <row r="13" spans="1:40">
      <c r="A13" s="377" t="s">
        <v>6</v>
      </c>
      <c r="B13" s="378"/>
      <c r="G13" s="372" t="str">
        <f t="shared" si="0"/>
        <v>HVAC</v>
      </c>
      <c r="H13" s="373">
        <f>COUNT('M03-S05'!$AK$18:$AM$342)</f>
        <v>0</v>
      </c>
      <c r="I13" s="374">
        <f>IF(R13="Deemed",SUM('M03-S05'!$AV$18:$AV$342),IF(R13="Calculated",SUM('M03-S05'!$BA$18:$BA$342),""))</f>
        <v>0</v>
      </c>
      <c r="J13" s="374">
        <f>IF(R13="Deemed",SUM('M03-S05'!$AW$18:$AW$342),IF(R13="Calculated",SUM('M03-S05'!$BB$18:$BB$342),""))</f>
        <v>0</v>
      </c>
      <c r="K13" s="375">
        <f>SUM('M03-S05'!AT18:AT342)</f>
        <v>0</v>
      </c>
      <c r="L13" s="375">
        <f>SUM('M03-S05'!AN18:AQ342)</f>
        <v>0</v>
      </c>
      <c r="M13" s="374">
        <f ca="1">SUMIF('M03-S05'!$AN$18:$AQ$342,"&gt;0",'M03-S05'!$AK$18:$AM$342)</f>
        <v>0</v>
      </c>
      <c r="N13" s="374">
        <f ca="1">SUMIF('M03-S05'!$AN$18:$AQ$342,"&gt;0",'M03-S05'!BB18:BB342)</f>
        <v>0</v>
      </c>
      <c r="O13" s="375">
        <f ca="1">SUMIF('M03-S05'!$AN$18:$AQ$342,"&gt;0",'M03-S05'!AT18:AT342)</f>
        <v>0</v>
      </c>
      <c r="P13" s="375">
        <f>SUM('M03-S05'!BF18:BF342)</f>
        <v>0</v>
      </c>
      <c r="Q13" s="375">
        <f>SUM('M03-S05'!BI18:BI87)</f>
        <v>0</v>
      </c>
      <c r="R13" s="373" t="s">
        <v>1373</v>
      </c>
    </row>
    <row r="14" spans="1:40">
      <c r="A14" s="377" t="s">
        <v>7</v>
      </c>
      <c r="B14" s="378"/>
      <c r="G14" s="372" t="str">
        <f t="shared" si="0"/>
        <v>Compressed Air / Process</v>
      </c>
      <c r="H14" s="373">
        <f>COUNT('M03-S06'!$AK$18:$AM$199)</f>
        <v>0</v>
      </c>
      <c r="I14" s="374">
        <f>IF(R14="Deemed",SUM('M03-S06'!$AV$18:$AV$199),IF(R14="Calculated",SUM('M03-S06'!$BA$18:$BA$199),""))</f>
        <v>0</v>
      </c>
      <c r="J14" s="374">
        <f>IF(R14="Deemed",SUM('M03-S06'!$AW$18:$AW$199),IF(R14="Calculated",SUM('M03-S06'!$BB$18:$BB$199),""))</f>
        <v>0</v>
      </c>
      <c r="K14" s="375">
        <f>SUM('M03-S06'!AT18:AT199)</f>
        <v>0</v>
      </c>
      <c r="L14" s="375">
        <f>SUM('M03-S06'!AN18:AQ199)</f>
        <v>0</v>
      </c>
      <c r="M14" s="374">
        <f ca="1">SUMIF('M03-S06'!$AN$18:$AQ$199,"&gt;0",'M03-S06'!$AK$18:$AM$199)</f>
        <v>0</v>
      </c>
      <c r="N14" s="374">
        <f ca="1">SUMIF('M03-S06'!$AN$18:$AQ$199,"&gt;0",'M03-S06'!AW18:AW199)</f>
        <v>0</v>
      </c>
      <c r="O14" s="375">
        <f ca="1">SUMIF('M03-S06'!$AN$18:$AQ$199,"&gt;0",'M03-S06'!AT18:AT199)</f>
        <v>0</v>
      </c>
      <c r="P14" s="375">
        <f>SUM('M03-S06'!BF18:BF199)</f>
        <v>0</v>
      </c>
      <c r="Q14" s="375">
        <f>SUM('M03-S06'!BI18:BI37)</f>
        <v>0</v>
      </c>
      <c r="R14" s="373" t="s">
        <v>1373</v>
      </c>
    </row>
    <row r="15" spans="1:40">
      <c r="A15" s="377" t="s">
        <v>8</v>
      </c>
      <c r="B15" s="378"/>
      <c r="G15" s="372" t="str">
        <f t="shared" si="0"/>
        <v>Water Heating / Food Services</v>
      </c>
      <c r="H15" s="373">
        <f>COUNT('M03-S07'!$AK$18:$AM$199)</f>
        <v>0</v>
      </c>
      <c r="I15" s="374">
        <f>IF(R15="Deemed",SUM('M03-S07'!$AV$18:$AV$199),IF(R15="Calculated",SUM('M03-S07'!$BA$18:$BA$199),""))</f>
        <v>0</v>
      </c>
      <c r="J15" s="374">
        <f>IF(R15="Deemed",SUM('M03-S07'!$AW$18:$AW$199),IF(R15="Calculated",SUM('M03-S07'!$BB$18:$BB$199),""))</f>
        <v>0</v>
      </c>
      <c r="K15" s="375">
        <f>SUM('M03-S07'!AT18:AT199)</f>
        <v>0</v>
      </c>
      <c r="L15" s="375">
        <f>SUM('M03-S07'!AN18:AQ199)</f>
        <v>0</v>
      </c>
      <c r="M15" s="374">
        <f ca="1">SUMIF('M03-S07'!$AN$18:$AQ$199,"&gt;0",'M03-S07'!$AK$18:$AM$199)</f>
        <v>0</v>
      </c>
      <c r="N15" s="374">
        <f ca="1">SUMIF('M03-S07'!$AN$18:$AQ$199,"&gt;0",'M03-S07'!AW18:AW199)</f>
        <v>0</v>
      </c>
      <c r="O15" s="375">
        <f ca="1">SUMIF('M03-S07'!$AN$18:$AQ$199,"&gt;0",'M03-S07'!AT18:AT199)</f>
        <v>0</v>
      </c>
      <c r="P15" s="375">
        <f>SUM('M03-S07'!BF18:BF199)</f>
        <v>0</v>
      </c>
      <c r="Q15" s="375">
        <f>SUM('M03-S07'!BI18:BI37)</f>
        <v>0</v>
      </c>
      <c r="R15" s="373" t="s">
        <v>1373</v>
      </c>
    </row>
    <row r="16" spans="1:40">
      <c r="A16" s="377" t="s">
        <v>9</v>
      </c>
      <c r="B16" s="378"/>
      <c r="G16" s="372" t="str">
        <f t="shared" si="0"/>
        <v>Motors and Drives</v>
      </c>
      <c r="H16" s="373">
        <f>COUNT('M03-S08'!$AK$18:$AM$199)</f>
        <v>0</v>
      </c>
      <c r="I16" s="374">
        <f>IF(R16="Deemed",SUM('M03-S08'!$AV$18:$AV$199),IF(R16="Calculated",SUM('M03-S08'!$BA$18:$BA$199),""))</f>
        <v>0</v>
      </c>
      <c r="J16" s="374">
        <f>IF(R16="Deemed",SUM('M03-S08'!$AW$18:$AW$199),IF(R16="Calculated",SUM('M03-S08'!$BB$18:$BB$199),""))</f>
        <v>0</v>
      </c>
      <c r="K16" s="375">
        <f>SUM('M03-S08'!AT18:AT199)</f>
        <v>0</v>
      </c>
      <c r="L16" s="375">
        <f>SUM('M03-S08'!AN18:AQ199)</f>
        <v>0</v>
      </c>
      <c r="M16" s="374">
        <f ca="1">SUMIF('M03-S08'!$AN$18:$AQ$199,"&gt;0",'M03-S08'!$AK$18:$AM$199)</f>
        <v>0</v>
      </c>
      <c r="N16" s="374">
        <f ca="1">SUMIF('M03-S08'!$AN$18:$AQ$199,"&gt;0",'M03-S08'!AW18:AW199)</f>
        <v>0</v>
      </c>
      <c r="O16" s="375">
        <f ca="1">SUMIF('M03-S08'!$AN$18:$AQ$199,"&gt;0",'M03-S08'!AT18:AT199)</f>
        <v>0</v>
      </c>
      <c r="P16" s="375">
        <f>SUM('M03-S08'!BF18:BF199)</f>
        <v>0</v>
      </c>
      <c r="Q16" s="375">
        <f>SUM('M03-S08'!BI18:BI37)</f>
        <v>0</v>
      </c>
      <c r="R16" s="373" t="s">
        <v>1373</v>
      </c>
    </row>
    <row r="17" spans="1:20">
      <c r="A17" s="379" t="s">
        <v>10</v>
      </c>
      <c r="B17" s="380"/>
      <c r="G17" s="369">
        <f t="shared" si="0"/>
        <v>0</v>
      </c>
      <c r="H17" s="373"/>
      <c r="I17" s="374"/>
      <c r="J17" s="374"/>
      <c r="K17" s="375"/>
      <c r="L17" s="375"/>
      <c r="M17" s="374"/>
      <c r="N17" s="374"/>
      <c r="O17" s="375"/>
      <c r="P17" s="375"/>
      <c r="Q17" s="375"/>
      <c r="R17" s="373"/>
    </row>
    <row r="18" spans="1:20">
      <c r="A18" s="370" t="s">
        <v>36</v>
      </c>
      <c r="B18" s="371"/>
      <c r="G18" s="372" t="str">
        <f t="shared" ref="G18:G25" si="1">B38</f>
        <v>Lighting</v>
      </c>
      <c r="H18" s="373">
        <f>COUNT('M04-S02'!$AK$18:$AM$199)</f>
        <v>0</v>
      </c>
      <c r="I18" s="374">
        <f>SUM('M04-S02'!AK18:AM199)</f>
        <v>0</v>
      </c>
      <c r="J18" s="374">
        <f>SUM('M04-S02'!BA18:BA199)</f>
        <v>0</v>
      </c>
      <c r="K18" s="375">
        <f>SUM('M04-S02'!AH18:AJ199)</f>
        <v>0</v>
      </c>
      <c r="L18" s="375">
        <f>SUM('M04-S02'!AN18:AQ199)</f>
        <v>0</v>
      </c>
      <c r="M18" s="374">
        <f ca="1">SUMIF('M04-S02'!$AN$18:$AQ$199,"&gt;0",'M04-S02'!$AK$18:$AM$199)</f>
        <v>0</v>
      </c>
      <c r="N18" s="374">
        <f ca="1">SUMIF('M04-S02'!$AN$18:$AQ$199,"&gt;0",'M04-S02'!BA18:BA199)</f>
        <v>0</v>
      </c>
      <c r="O18" s="375">
        <f ca="1">SUMIF('M04-S02'!$AN$18:$AQ$199,"&gt;0",'M04-S02'!AH18:AJ199)</f>
        <v>0</v>
      </c>
      <c r="P18" s="375">
        <f>SUM('M04-S02'!BK18:BK199)</f>
        <v>0</v>
      </c>
      <c r="Q18" s="375">
        <f>SUM('M04-S02'!BL18:BL77)</f>
        <v>0</v>
      </c>
      <c r="R18" s="373" t="s">
        <v>1374</v>
      </c>
    </row>
    <row r="19" spans="1:20">
      <c r="A19" s="377" t="s">
        <v>11</v>
      </c>
      <c r="B19" s="378" t="s">
        <v>68</v>
      </c>
      <c r="G19" s="372" t="str">
        <f t="shared" si="1"/>
        <v>Lighting Controls</v>
      </c>
      <c r="H19" s="373">
        <f>COUNT('M04-S03'!$AK$18:$AM$199)</f>
        <v>0</v>
      </c>
      <c r="I19" s="374">
        <f>SUM('M04-S03'!AK18:AM199)</f>
        <v>0</v>
      </c>
      <c r="J19" s="374">
        <f>SUM('M04-S03'!BA18:BA199)</f>
        <v>0</v>
      </c>
      <c r="K19" s="375">
        <f>SUM('M04-S03'!AH18:AJ199)</f>
        <v>0</v>
      </c>
      <c r="L19" s="375">
        <f>SUM('M04-S03'!AN18:AQ199)</f>
        <v>0</v>
      </c>
      <c r="M19" s="374">
        <f ca="1">SUMIF('M04-S03'!$AN$18:$AQ$199,"&gt;0",'M04-S03'!$AK$18:$AM$199)</f>
        <v>0</v>
      </c>
      <c r="N19" s="374">
        <f ca="1">SUMIF('M04-S03'!$AN$18:$AQ$199,"&gt;0",'M04-S03'!BA18:BA199)</f>
        <v>0</v>
      </c>
      <c r="O19" s="375">
        <f ca="1">SUMIF('M04-S03'!$AN$18:$AQ$199,"&gt;0",'M04-S03'!AH18:AJ199)</f>
        <v>0</v>
      </c>
      <c r="P19" s="375">
        <f>SUM('M04-S03'!BK18:BK199)</f>
        <v>0</v>
      </c>
      <c r="Q19" s="375">
        <f>SUM('M04-S03'!BL18:BL37)</f>
        <v>0</v>
      </c>
      <c r="R19" s="373" t="s">
        <v>1374</v>
      </c>
    </row>
    <row r="20" spans="1:20">
      <c r="A20" s="377" t="s">
        <v>12</v>
      </c>
      <c r="B20" s="378" t="s">
        <v>2113</v>
      </c>
      <c r="G20" s="372" t="str">
        <f t="shared" si="1"/>
        <v>Refrigeration</v>
      </c>
      <c r="H20" s="373">
        <f>COUNT('M04-S04'!$AK$18:$AM$199)</f>
        <v>0</v>
      </c>
      <c r="I20" s="374">
        <f>SUM('M04-S04'!AK18:AM199)</f>
        <v>0</v>
      </c>
      <c r="J20" s="374">
        <f>SUM('M04-S04'!BA18:BA199)</f>
        <v>0</v>
      </c>
      <c r="K20" s="375">
        <f>SUM('M04-S04'!AH18:AJ199)</f>
        <v>0</v>
      </c>
      <c r="L20" s="375">
        <f>SUM('M04-S04'!AN18:AQ199)</f>
        <v>0</v>
      </c>
      <c r="M20" s="374">
        <f ca="1">SUMIF('M04-S04'!$AN$18:$AQ$199,"&gt;0",'M04-S04'!$AK$18:$AM$199)</f>
        <v>0</v>
      </c>
      <c r="N20" s="374">
        <f ca="1">SUMIF('M04-S04'!$AN$18:$AQ$199,"&gt;0",'M04-S04'!BA18:BA199)</f>
        <v>0</v>
      </c>
      <c r="O20" s="375">
        <f ca="1">SUMIF('M04-S04'!$AN$18:$AQ$199,"&gt;0",'M04-S04'!AH18:AJ199)</f>
        <v>0</v>
      </c>
      <c r="P20" s="375">
        <f>SUM('M04-S04'!BK18:BK199)</f>
        <v>0</v>
      </c>
      <c r="Q20" s="375">
        <f>SUM('M04-S04'!BL18:BL37)</f>
        <v>0</v>
      </c>
      <c r="R20" s="373" t="s">
        <v>1374</v>
      </c>
    </row>
    <row r="21" spans="1:20">
      <c r="A21" s="377" t="s">
        <v>13</v>
      </c>
      <c r="B21" s="378" t="s">
        <v>1238</v>
      </c>
      <c r="G21" s="372" t="str">
        <f t="shared" si="1"/>
        <v>HVAC</v>
      </c>
      <c r="H21" s="373">
        <f>COUNT('M04-S05'!$AK$18:$AM$199)</f>
        <v>0</v>
      </c>
      <c r="I21" s="374">
        <f>SUM('M04-S05'!AK18:AM199)</f>
        <v>0</v>
      </c>
      <c r="J21" s="374">
        <f>SUM('M04-S05'!BA18:BA199)</f>
        <v>0</v>
      </c>
      <c r="K21" s="375">
        <f>SUM('M04-S05'!AH18:AJ199)</f>
        <v>0</v>
      </c>
      <c r="L21" s="375">
        <f>SUM('M04-S05'!AN18:AQ199)</f>
        <v>0</v>
      </c>
      <c r="M21" s="374">
        <f ca="1">SUMIF('M04-S05'!$AN$18:$AQ$199,"&gt;0",'M04-S05'!$AK$18:$AM$199)</f>
        <v>0</v>
      </c>
      <c r="N21" s="374">
        <f ca="1">SUMIF('M04-S05'!$AN$18:$AQ$199,"&gt;0",'M04-S05'!BA18:BA199)</f>
        <v>0</v>
      </c>
      <c r="O21" s="375">
        <f ca="1">SUMIF('M04-S05'!$AN$18:$AQ$199,"&gt;0",'M04-S05'!AH18:AJ199)</f>
        <v>0</v>
      </c>
      <c r="P21" s="375">
        <f>SUM('M04-S05'!BK18:BK199)</f>
        <v>0</v>
      </c>
      <c r="Q21" s="375">
        <f>SUM('M04-S05'!BL18:BL37)</f>
        <v>0</v>
      </c>
      <c r="R21" s="373" t="s">
        <v>1374</v>
      </c>
    </row>
    <row r="22" spans="1:20">
      <c r="A22" s="377" t="s">
        <v>14</v>
      </c>
      <c r="B22" s="378" t="s">
        <v>1239</v>
      </c>
      <c r="G22" s="372" t="str">
        <f t="shared" si="1"/>
        <v>Compressed Air / Process</v>
      </c>
      <c r="H22" s="373">
        <f>COUNT('M04-S06'!$AK$18:$AM$199)</f>
        <v>0</v>
      </c>
      <c r="I22" s="374">
        <f>SUM('M04-S06'!AK18:AM199)</f>
        <v>0</v>
      </c>
      <c r="J22" s="374">
        <f>SUM('M04-S06'!BA18:BA199)</f>
        <v>0</v>
      </c>
      <c r="K22" s="375">
        <f>SUM('M04-S06'!AH18:AJ199)</f>
        <v>0</v>
      </c>
      <c r="L22" s="375">
        <f>SUM('M04-S06'!AN18:AQ199)</f>
        <v>0</v>
      </c>
      <c r="M22" s="374">
        <f ca="1">SUMIF('M04-S06'!$AN$18:$AQ$199,"&gt;0",'M04-S06'!$AK$18:$AM$199)</f>
        <v>0</v>
      </c>
      <c r="N22" s="374">
        <f ca="1">SUMIF('M04-S06'!$AN$18:$AQ$199,"&gt;0",'M04-S06'!BA18:BA199)</f>
        <v>0</v>
      </c>
      <c r="O22" s="375">
        <f ca="1">SUMIF('M04-S06'!$AN$18:$AQ$199,"&gt;0",'M04-S06'!AH18:AJ199)</f>
        <v>0</v>
      </c>
      <c r="P22" s="375">
        <f>SUM('M04-S06'!BK18:BK199)</f>
        <v>0</v>
      </c>
      <c r="Q22" s="375">
        <f>SUM('M04-S06'!BL18:BL37)</f>
        <v>0</v>
      </c>
      <c r="R22" s="373" t="s">
        <v>1374</v>
      </c>
    </row>
    <row r="23" spans="1:20">
      <c r="A23" s="377" t="s">
        <v>15</v>
      </c>
      <c r="B23" s="381"/>
      <c r="G23" s="372" t="str">
        <f t="shared" si="1"/>
        <v>Water Heating / Food Services</v>
      </c>
      <c r="H23" s="373">
        <f>COUNT('M04-S07'!$AK$18:$AM$199)</f>
        <v>0</v>
      </c>
      <c r="I23" s="374">
        <f>SUM('M04-S07'!AK18:AM199)</f>
        <v>0</v>
      </c>
      <c r="J23" s="374">
        <f>SUM('M04-S07'!BA18:BA199)</f>
        <v>0</v>
      </c>
      <c r="K23" s="375">
        <f>SUM('M04-S07'!AH18:AJ199)</f>
        <v>0</v>
      </c>
      <c r="L23" s="375">
        <f>SUM('M04-S07'!AN18:AQ199)</f>
        <v>0</v>
      </c>
      <c r="M23" s="374">
        <f ca="1">SUMIF('M04-S07'!$AN$18:$AQ$199,"&gt;0",'M04-S07'!$AK$18:$AM$199)</f>
        <v>0</v>
      </c>
      <c r="N23" s="374">
        <f ca="1">SUMIF('M04-S07'!$AN$18:$AQ$199,"&gt;0",'M04-S07'!BA18:BA199)</f>
        <v>0</v>
      </c>
      <c r="O23" s="375">
        <f ca="1">SUMIF('M04-S07'!$AN$18:$AQ$199,"&gt;0",'M04-S07'!AH18:AJ199)</f>
        <v>0</v>
      </c>
      <c r="P23" s="375">
        <f>SUM('M04-S07'!BK18:BK199)</f>
        <v>0</v>
      </c>
      <c r="Q23" s="375">
        <f>SUM('M04-S07'!BL18:BL37)</f>
        <v>0</v>
      </c>
      <c r="R23" s="373" t="s">
        <v>1374</v>
      </c>
    </row>
    <row r="24" spans="1:20">
      <c r="A24" s="377" t="s">
        <v>16</v>
      </c>
      <c r="B24" s="378"/>
      <c r="G24" s="372" t="str">
        <f t="shared" si="1"/>
        <v>Motors and Drives</v>
      </c>
      <c r="H24" s="373">
        <f>COUNT('M04-S08'!$AK$18:$AM$199)</f>
        <v>0</v>
      </c>
      <c r="I24" s="374">
        <f>SUM('M04-S08'!AK18:AM199)</f>
        <v>0</v>
      </c>
      <c r="J24" s="374">
        <f>SUM('M04-S08'!BA18:BA199)</f>
        <v>0</v>
      </c>
      <c r="K24" s="375">
        <f>SUM('M04-S08'!AH18:AJ199)</f>
        <v>0</v>
      </c>
      <c r="L24" s="375">
        <f>SUM('M04-S08'!AN18:AQ199)</f>
        <v>0</v>
      </c>
      <c r="M24" s="374">
        <f ca="1">SUMIF('M04-S08'!$AN$18:$AQ$199,"&gt;0",'M04-S08'!$AK$18:$AM$199)</f>
        <v>0</v>
      </c>
      <c r="N24" s="374">
        <f ca="1">SUMIF('M04-S08'!$AN$18:$AQ$199,"&gt;0",'M04-S08'!BA18:BA199)</f>
        <v>0</v>
      </c>
      <c r="O24" s="375">
        <f ca="1">SUMIF('M04-S08'!$AN$18:$AQ$199,"&gt;0",'M04-S08'!AH18:AJ199)</f>
        <v>0</v>
      </c>
      <c r="P24" s="375">
        <f>SUM('M04-S08'!BK18:BK199)</f>
        <v>0</v>
      </c>
      <c r="Q24" s="375">
        <f>SUM('M04-S08'!BL18:BL37)</f>
        <v>0</v>
      </c>
      <c r="R24" s="373" t="s">
        <v>1374</v>
      </c>
    </row>
    <row r="25" spans="1:20">
      <c r="A25" s="377" t="s">
        <v>17</v>
      </c>
      <c r="B25" s="378"/>
      <c r="G25" s="372" t="str">
        <f t="shared" si="1"/>
        <v>Miscellaneous</v>
      </c>
      <c r="H25" s="373">
        <f>COUNT('M04-S09'!$AK$18:$AM$25)</f>
        <v>0</v>
      </c>
      <c r="I25" s="374">
        <f>SUM('M04-S09'!AK18:AM25)</f>
        <v>0</v>
      </c>
      <c r="J25" s="374">
        <f>SUM('M04-S09'!BA18:BA25)</f>
        <v>0</v>
      </c>
      <c r="K25" s="375">
        <f>SUM('M04-S09'!AH18:AJ25)</f>
        <v>0</v>
      </c>
      <c r="L25" s="375">
        <f>SUM('M04-S09'!AN18:AQ25)</f>
        <v>0</v>
      </c>
      <c r="M25" s="374">
        <f ca="1">SUMIF('M04-S09'!$AN$18:$AQ$25,"&gt;0",'M04-S09'!$AK$18:$AM$25)</f>
        <v>0</v>
      </c>
      <c r="N25" s="374">
        <f ca="1">SUMIF('M04-S09'!$AN$18:$AQ$25,"&gt;0",'M04-S09'!BA18:BA25)</f>
        <v>0</v>
      </c>
      <c r="O25" s="375">
        <f ca="1">SUMIF('M04-S09'!$AN$18:$AQ$25,"&gt;0",'M04-S09'!AH18:AJ25)</f>
        <v>0</v>
      </c>
      <c r="P25" s="375">
        <f>SUM('M04-S09'!BK18:BK25)</f>
        <v>0</v>
      </c>
      <c r="Q25" s="375">
        <f>SUM('M04-S09'!BL18:BL25)</f>
        <v>0</v>
      </c>
      <c r="R25" s="373" t="s">
        <v>1374</v>
      </c>
    </row>
    <row r="26" spans="1:20">
      <c r="A26" s="379" t="s">
        <v>18</v>
      </c>
      <c r="B26" s="380"/>
      <c r="F26"/>
      <c r="G26" s="372" t="str">
        <f>B45&amp;"- Peak Shift"</f>
        <v>Miscellaneous- Peak Shift</v>
      </c>
      <c r="H26" s="373">
        <f>COUNT('M04-S09'!$AK$30:$AM$199)</f>
        <v>0</v>
      </c>
      <c r="I26" s="374">
        <f>SUM('M04-S09'!AK30:AM199)</f>
        <v>0</v>
      </c>
      <c r="J26" s="374">
        <f>SUM('M04-S09'!BA30:BA199)</f>
        <v>0</v>
      </c>
      <c r="K26" s="375">
        <f>SUM('M04-S09'!AH30:AJ199)</f>
        <v>0</v>
      </c>
      <c r="L26" s="375">
        <f>SUM('M04-S09'!AN30:AQ199)</f>
        <v>0</v>
      </c>
      <c r="M26" s="374">
        <f ca="1">SUMIF('M04-S09'!$AN$30:$AQ$199,"&gt;0",'M04-S09'!$AK$30:$AM$199)</f>
        <v>0</v>
      </c>
      <c r="N26" s="374">
        <f ca="1">SUMIF('M04-S09'!$AN$30:$AQ$199,"&gt;0",'M04-S09'!BA30:BA199)</f>
        <v>0</v>
      </c>
      <c r="O26" s="375">
        <f ca="1">SUMIF('M04-S09'!$AN$30:$AQ$199,"&gt;0",'M04-S09'!AH30:AJ199)</f>
        <v>0</v>
      </c>
      <c r="P26" s="375">
        <f>SUM('M04-S09'!BK30:BK199)</f>
        <v>0</v>
      </c>
      <c r="Q26" s="375">
        <f>'M04-S09'!BL30</f>
        <v>0</v>
      </c>
      <c r="R26" s="373" t="s">
        <v>1374</v>
      </c>
      <c r="S26" s="382" t="s">
        <v>141</v>
      </c>
      <c r="T26" s="382" t="s">
        <v>336</v>
      </c>
    </row>
    <row r="27" spans="1:20">
      <c r="A27" s="370" t="s">
        <v>61</v>
      </c>
      <c r="B27" s="383" t="s">
        <v>1251</v>
      </c>
      <c r="G27" s="382" t="s">
        <v>149</v>
      </c>
      <c r="H27" s="384">
        <f t="shared" ref="H27:L27" si="2">SUM(H9:H17)</f>
        <v>0</v>
      </c>
      <c r="I27" s="385">
        <f t="shared" si="2"/>
        <v>0</v>
      </c>
      <c r="J27" s="385">
        <f t="shared" si="2"/>
        <v>0</v>
      </c>
      <c r="K27" s="386">
        <f t="shared" si="2"/>
        <v>0</v>
      </c>
      <c r="L27" s="386">
        <f t="shared" si="2"/>
        <v>0</v>
      </c>
      <c r="M27" s="385">
        <f ca="1">SUM(M9:M17)</f>
        <v>0</v>
      </c>
      <c r="N27" s="385">
        <f ca="1">SUM(N9:N17)</f>
        <v>0</v>
      </c>
      <c r="O27" s="386">
        <f ca="1">SUM(O9:O17)</f>
        <v>0</v>
      </c>
      <c r="P27" s="386">
        <f>SUM(P9:P17)</f>
        <v>0</v>
      </c>
      <c r="Q27" s="375">
        <f>SUM(Q10:Q16)</f>
        <v>0</v>
      </c>
      <c r="R27" s="387" t="str">
        <f>IFERROR(ROUND(P27/COSTTOTALALLPRESE,2),"NA")</f>
        <v>NA</v>
      </c>
      <c r="S27" s="388" t="str">
        <f>IFERROR(ROUND(COSTTOTALALLPRESE/M02S04F06/KWHTOTALALLPRESE,2),"NA")</f>
        <v>NA</v>
      </c>
    </row>
    <row r="28" spans="1:20">
      <c r="A28" s="389" t="s">
        <v>19</v>
      </c>
      <c r="B28" s="383" t="s">
        <v>1246</v>
      </c>
      <c r="G28" s="382" t="s">
        <v>150</v>
      </c>
      <c r="H28" s="384">
        <f t="shared" ref="H28:P28" si="3">SUM(H18:H25)</f>
        <v>0</v>
      </c>
      <c r="I28" s="385">
        <f t="shared" si="3"/>
        <v>0</v>
      </c>
      <c r="J28" s="385">
        <f t="shared" si="3"/>
        <v>0</v>
      </c>
      <c r="K28" s="386">
        <f t="shared" si="3"/>
        <v>0</v>
      </c>
      <c r="L28" s="386">
        <f t="shared" si="3"/>
        <v>0</v>
      </c>
      <c r="M28" s="385">
        <f ca="1">SUM(M18:M25)</f>
        <v>0</v>
      </c>
      <c r="N28" s="385">
        <f ca="1">SUM(N18:N25)</f>
        <v>0</v>
      </c>
      <c r="O28" s="386">
        <f ca="1">SUM(O18:O25)</f>
        <v>0</v>
      </c>
      <c r="P28" s="386">
        <f t="shared" si="3"/>
        <v>0</v>
      </c>
      <c r="Q28" s="375">
        <f>SUM(Q18:Q26)</f>
        <v>0</v>
      </c>
      <c r="R28" s="387" t="str">
        <f>IFERROR(ROUND((P28/COSTTOTALALLCUSE),2),"NA")</f>
        <v>NA</v>
      </c>
      <c r="S28" s="388" t="str">
        <f>IFERROR(ROUND(COSTTOTALALLCUSE/M02S04F06/KWHTOTALALLCUSE,2),"NA")</f>
        <v>NA</v>
      </c>
    </row>
    <row r="29" spans="1:20">
      <c r="A29" s="377" t="s">
        <v>20</v>
      </c>
      <c r="B29" s="378" t="s">
        <v>89</v>
      </c>
      <c r="G29" s="382" t="s">
        <v>151</v>
      </c>
      <c r="H29" s="384">
        <f t="shared" ref="H29:P29" si="4">SUM(H9:H25)</f>
        <v>0</v>
      </c>
      <c r="I29" s="385">
        <f t="shared" si="4"/>
        <v>0</v>
      </c>
      <c r="J29" s="385">
        <f t="shared" si="4"/>
        <v>0</v>
      </c>
      <c r="K29" s="386">
        <f t="shared" si="4"/>
        <v>0</v>
      </c>
      <c r="L29" s="386">
        <f t="shared" si="4"/>
        <v>0</v>
      </c>
      <c r="M29" s="385">
        <f ca="1">SUM(M9:M25)</f>
        <v>0</v>
      </c>
      <c r="N29" s="385">
        <f ca="1">SUM(N9:N25)</f>
        <v>0</v>
      </c>
      <c r="O29" s="386">
        <f ca="1">SUM(O9:O25)</f>
        <v>0</v>
      </c>
      <c r="P29" s="386">
        <f t="shared" si="4"/>
        <v>0</v>
      </c>
      <c r="Q29" s="375">
        <f>SUM(Q27:Q28)</f>
        <v>0</v>
      </c>
      <c r="R29" s="387" t="str">
        <f>IFERROR(ROUND(P29/COSTTOTALALL,2),"NA")</f>
        <v>NA</v>
      </c>
      <c r="S29" s="388" t="str">
        <f>IFERROR(ROUND(COSTTOTALALL/M02S04F06/KWHTOTALALL,2),"NA")</f>
        <v>NA</v>
      </c>
    </row>
    <row r="30" spans="1:20">
      <c r="A30" s="377" t="s">
        <v>21</v>
      </c>
      <c r="B30" s="378" t="s">
        <v>331</v>
      </c>
    </row>
    <row r="31" spans="1:20">
      <c r="A31" s="377" t="s">
        <v>22</v>
      </c>
      <c r="B31" s="378" t="s">
        <v>96</v>
      </c>
    </row>
    <row r="32" spans="1:20">
      <c r="A32" s="377" t="s">
        <v>23</v>
      </c>
      <c r="B32" s="381" t="s">
        <v>94</v>
      </c>
    </row>
    <row r="33" spans="1:2">
      <c r="A33" s="377" t="s">
        <v>24</v>
      </c>
      <c r="B33" s="378" t="s">
        <v>483</v>
      </c>
    </row>
    <row r="34" spans="1:2">
      <c r="A34" s="377" t="s">
        <v>25</v>
      </c>
      <c r="B34" s="378" t="s">
        <v>2131</v>
      </c>
    </row>
    <row r="35" spans="1:2">
      <c r="A35" s="379" t="s">
        <v>26</v>
      </c>
      <c r="B35" s="381" t="s">
        <v>1229</v>
      </c>
    </row>
    <row r="36" spans="1:2">
      <c r="A36" s="370" t="s">
        <v>62</v>
      </c>
      <c r="B36" s="371"/>
    </row>
    <row r="37" spans="1:2">
      <c r="A37" s="377" t="s">
        <v>27</v>
      </c>
      <c r="B37" s="378"/>
    </row>
    <row r="38" spans="1:2">
      <c r="A38" s="377" t="s">
        <v>28</v>
      </c>
      <c r="B38" s="378" t="s">
        <v>89</v>
      </c>
    </row>
    <row r="39" spans="1:2">
      <c r="A39" s="377" t="s">
        <v>29</v>
      </c>
      <c r="B39" s="378" t="s">
        <v>331</v>
      </c>
    </row>
    <row r="40" spans="1:2">
      <c r="A40" s="377" t="s">
        <v>30</v>
      </c>
      <c r="B40" s="381" t="s">
        <v>96</v>
      </c>
    </row>
    <row r="41" spans="1:2">
      <c r="A41" s="377" t="s">
        <v>31</v>
      </c>
      <c r="B41" s="381" t="s">
        <v>94</v>
      </c>
    </row>
    <row r="42" spans="1:2">
      <c r="A42" s="377" t="s">
        <v>32</v>
      </c>
      <c r="B42" s="378" t="s">
        <v>483</v>
      </c>
    </row>
    <row r="43" spans="1:2">
      <c r="A43" s="377" t="s">
        <v>33</v>
      </c>
      <c r="B43" s="378" t="s">
        <v>2131</v>
      </c>
    </row>
    <row r="44" spans="1:2">
      <c r="A44" s="377" t="s">
        <v>34</v>
      </c>
      <c r="B44" s="381" t="s">
        <v>1229</v>
      </c>
    </row>
    <row r="45" spans="1:2">
      <c r="A45" s="379" t="s">
        <v>1247</v>
      </c>
      <c r="B45" s="390" t="s">
        <v>330</v>
      </c>
    </row>
    <row r="46" spans="1:2">
      <c r="A46" s="370" t="s">
        <v>63</v>
      </c>
      <c r="B46" s="371" t="s">
        <v>1266</v>
      </c>
    </row>
    <row r="47" spans="1:2">
      <c r="A47" s="377" t="s">
        <v>37</v>
      </c>
      <c r="B47" s="378" t="s">
        <v>1236</v>
      </c>
    </row>
    <row r="48" spans="1:2">
      <c r="A48" s="377" t="s">
        <v>38</v>
      </c>
      <c r="B48" s="378" t="s">
        <v>1298</v>
      </c>
    </row>
    <row r="49" spans="1:2">
      <c r="A49" s="377" t="s">
        <v>39</v>
      </c>
      <c r="B49" s="378" t="s">
        <v>69</v>
      </c>
    </row>
    <row r="50" spans="1:2">
      <c r="A50" s="377" t="s">
        <v>40</v>
      </c>
      <c r="B50" s="378" t="s">
        <v>77</v>
      </c>
    </row>
    <row r="51" spans="1:2">
      <c r="A51" s="377" t="s">
        <v>41</v>
      </c>
      <c r="B51" s="378" t="s">
        <v>78</v>
      </c>
    </row>
    <row r="52" spans="1:2">
      <c r="A52" s="377" t="s">
        <v>42</v>
      </c>
      <c r="B52" s="378" t="s">
        <v>146</v>
      </c>
    </row>
    <row r="53" spans="1:2">
      <c r="A53" s="377" t="s">
        <v>43</v>
      </c>
      <c r="B53" s="378" t="s">
        <v>646</v>
      </c>
    </row>
    <row r="54" spans="1:2">
      <c r="A54" s="379" t="s">
        <v>44</v>
      </c>
      <c r="B54" s="380"/>
    </row>
    <row r="55" spans="1:2">
      <c r="A55" s="370" t="s">
        <v>64</v>
      </c>
      <c r="B55" s="371"/>
    </row>
    <row r="56" spans="1:2">
      <c r="A56" s="377" t="s">
        <v>45</v>
      </c>
      <c r="B56" s="378"/>
    </row>
    <row r="57" spans="1:2">
      <c r="A57" s="377" t="s">
        <v>46</v>
      </c>
      <c r="B57" s="378"/>
    </row>
    <row r="58" spans="1:2">
      <c r="A58" s="377" t="s">
        <v>47</v>
      </c>
      <c r="B58" s="378"/>
    </row>
    <row r="59" spans="1:2">
      <c r="A59" s="377" t="s">
        <v>48</v>
      </c>
      <c r="B59" s="378"/>
    </row>
    <row r="60" spans="1:2">
      <c r="A60" s="377" t="s">
        <v>49</v>
      </c>
      <c r="B60" s="378"/>
    </row>
    <row r="61" spans="1:2">
      <c r="A61" s="377" t="s">
        <v>50</v>
      </c>
      <c r="B61" s="378"/>
    </row>
    <row r="62" spans="1:2">
      <c r="A62" s="377" t="s">
        <v>51</v>
      </c>
      <c r="B62" s="378"/>
    </row>
    <row r="63" spans="1:2">
      <c r="A63" s="379" t="s">
        <v>52</v>
      </c>
      <c r="B63" s="380"/>
    </row>
    <row r="64" spans="1:2">
      <c r="A64" s="370" t="s">
        <v>65</v>
      </c>
      <c r="B64" s="371"/>
    </row>
    <row r="65" spans="1:6">
      <c r="A65" s="377" t="s">
        <v>53</v>
      </c>
      <c r="B65" s="378"/>
    </row>
    <row r="66" spans="1:6">
      <c r="A66" s="377" t="s">
        <v>54</v>
      </c>
      <c r="B66" s="378"/>
    </row>
    <row r="67" spans="1:6">
      <c r="A67" s="377" t="s">
        <v>55</v>
      </c>
      <c r="B67" s="378"/>
    </row>
    <row r="68" spans="1:6">
      <c r="A68" s="377" t="s">
        <v>56</v>
      </c>
      <c r="B68" s="378"/>
    </row>
    <row r="69" spans="1:6">
      <c r="A69" s="377" t="s">
        <v>57</v>
      </c>
      <c r="B69" s="378"/>
    </row>
    <row r="70" spans="1:6">
      <c r="A70" s="377" t="s">
        <v>58</v>
      </c>
      <c r="B70" s="378"/>
    </row>
    <row r="71" spans="1:6">
      <c r="A71" s="377" t="s">
        <v>59</v>
      </c>
      <c r="B71" s="378"/>
    </row>
    <row r="72" spans="1:6">
      <c r="A72" s="379" t="s">
        <v>60</v>
      </c>
      <c r="B72" s="380"/>
    </row>
    <row r="74" spans="1:6">
      <c r="A74" s="391"/>
      <c r="C74" s="360" t="s">
        <v>84</v>
      </c>
      <c r="D74" s="360" t="s">
        <v>310</v>
      </c>
      <c r="E74" s="360" t="s">
        <v>1265</v>
      </c>
    </row>
    <row r="75" spans="1:6">
      <c r="A75" s="360">
        <f ca="1">SUM(D76:D78)</f>
        <v>0</v>
      </c>
      <c r="B75" s="360" t="str">
        <f>M2S1</f>
        <v>Terms &amp; Conditions</v>
      </c>
      <c r="C75" s="360">
        <f ca="1">COUNT(C76:C78)</f>
        <v>3</v>
      </c>
      <c r="D75" s="360">
        <f ca="1">COUNT(D76:D78)</f>
        <v>3</v>
      </c>
      <c r="E75" s="392">
        <f ca="1">A75/D75</f>
        <v>0</v>
      </c>
      <c r="F75" s="360" t="s">
        <v>1719</v>
      </c>
    </row>
    <row r="76" spans="1:6">
      <c r="A76" s="360" t="s">
        <v>621</v>
      </c>
      <c r="B76" s="360" t="str">
        <f ca="1">OFFSET(INDIRECT(A76),-1,0)</f>
        <v>Electronic Signature (Account Owner or Authorized Representative)*</v>
      </c>
      <c r="C76" s="360">
        <f t="shared" ref="C76:D78" ca="1" si="5">IF(INDIRECT($A76)="",0,1)</f>
        <v>0</v>
      </c>
      <c r="D76" s="360">
        <f t="shared" ca="1" si="5"/>
        <v>0</v>
      </c>
    </row>
    <row r="77" spans="1:6">
      <c r="A77" s="360" t="s">
        <v>622</v>
      </c>
      <c r="B77" s="360" t="str">
        <f ca="1">OFFSET(INDIRECT(A77),-1,0)</f>
        <v>Signatory Title*</v>
      </c>
      <c r="C77" s="360">
        <f t="shared" ca="1" si="5"/>
        <v>0</v>
      </c>
      <c r="D77" s="360">
        <f t="shared" ca="1" si="5"/>
        <v>0</v>
      </c>
    </row>
    <row r="78" spans="1:6">
      <c r="A78" s="360" t="s">
        <v>623</v>
      </c>
      <c r="B78" s="360" t="str">
        <f ca="1">OFFSET(INDIRECT(A78),-1,0)</f>
        <v>Date Signed*</v>
      </c>
      <c r="C78" s="360">
        <f t="shared" ca="1" si="5"/>
        <v>0</v>
      </c>
      <c r="D78" s="360">
        <f t="shared" ca="1" si="5"/>
        <v>0</v>
      </c>
    </row>
    <row r="80" spans="1:6">
      <c r="C80" s="360" t="s">
        <v>84</v>
      </c>
      <c r="D80" s="360" t="s">
        <v>310</v>
      </c>
      <c r="E80" s="360" t="s">
        <v>1265</v>
      </c>
    </row>
    <row r="81" spans="1:6">
      <c r="A81" s="360">
        <f ca="1">SUM(D82:D98)</f>
        <v>0</v>
      </c>
      <c r="B81" s="360" t="str">
        <f>M2S2</f>
        <v>Trade Ally / Contractor Information</v>
      </c>
      <c r="C81" s="360">
        <f ca="1">COUNT(C82:C98)</f>
        <v>17</v>
      </c>
      <c r="D81" s="360">
        <f ca="1">COUNT(D82:D98)</f>
        <v>12</v>
      </c>
      <c r="E81" s="392">
        <f ca="1">A81/D81</f>
        <v>0</v>
      </c>
      <c r="F81" s="360" t="s">
        <v>1718</v>
      </c>
    </row>
    <row r="82" spans="1:6">
      <c r="A82" s="360" t="s">
        <v>148</v>
      </c>
      <c r="B82" s="360" t="str">
        <f ca="1">OFFSET(INDIRECT(A82),0,-14)</f>
        <v xml:space="preserve">Is there a Trade Ally (TA) or contractor involved with this project?*  </v>
      </c>
      <c r="C82" s="360">
        <f ca="1">IF(INDIRECT($A82)="",0,1)</f>
        <v>0</v>
      </c>
      <c r="D82" s="360">
        <f ca="1">IF(INDIRECT($A82)="",0,1)</f>
        <v>0</v>
      </c>
    </row>
    <row r="83" spans="1:6">
      <c r="A83" s="360" t="s">
        <v>155</v>
      </c>
      <c r="B83" s="360" t="str">
        <f t="shared" ref="B83:B92" ca="1" si="6">OFFSET(INDIRECT(A83),-1,0)</f>
        <v>TA / Contractor Company*</v>
      </c>
      <c r="C83" s="360">
        <f t="shared" ref="C83:C98" ca="1" si="7">IF(INDIRECT($A83)="",0,1)</f>
        <v>0</v>
      </c>
      <c r="D83" s="360">
        <f t="shared" ref="D83:D92" ca="1" si="8">IF(M02S02F01="No",1,IF(INDIRECT($A83)="",0,1))</f>
        <v>0</v>
      </c>
    </row>
    <row r="84" spans="1:6">
      <c r="A84" s="360" t="s">
        <v>156</v>
      </c>
      <c r="B84" s="360" t="str">
        <f t="shared" ca="1" si="6"/>
        <v>Mailing Address*</v>
      </c>
      <c r="C84" s="360">
        <f t="shared" ca="1" si="7"/>
        <v>0</v>
      </c>
      <c r="D84" s="360">
        <f t="shared" ca="1" si="8"/>
        <v>0</v>
      </c>
    </row>
    <row r="85" spans="1:6">
      <c r="A85" s="360" t="s">
        <v>157</v>
      </c>
      <c r="B85" s="360" t="str">
        <f t="shared" ca="1" si="6"/>
        <v>City*</v>
      </c>
      <c r="C85" s="360">
        <f t="shared" ca="1" si="7"/>
        <v>0</v>
      </c>
      <c r="D85" s="360">
        <f t="shared" ca="1" si="8"/>
        <v>0</v>
      </c>
    </row>
    <row r="86" spans="1:6">
      <c r="A86" s="360" t="s">
        <v>158</v>
      </c>
      <c r="B86" s="360" t="str">
        <f t="shared" ca="1" si="6"/>
        <v>State*</v>
      </c>
      <c r="C86" s="360">
        <f t="shared" ca="1" si="7"/>
        <v>0</v>
      </c>
      <c r="D86" s="360">
        <f t="shared" ca="1" si="8"/>
        <v>0</v>
      </c>
    </row>
    <row r="87" spans="1:6">
      <c r="A87" s="360" t="s">
        <v>159</v>
      </c>
      <c r="B87" s="360" t="str">
        <f t="shared" ca="1" si="6"/>
        <v>Zip Code*</v>
      </c>
      <c r="C87" s="360">
        <f t="shared" ca="1" si="7"/>
        <v>0</v>
      </c>
      <c r="D87" s="360">
        <f t="shared" ca="1" si="8"/>
        <v>0</v>
      </c>
    </row>
    <row r="88" spans="1:6">
      <c r="A88" s="360" t="s">
        <v>160</v>
      </c>
      <c r="B88" s="360" t="str">
        <f t="shared" ca="1" si="6"/>
        <v>Contact First Name*</v>
      </c>
      <c r="C88" s="360">
        <f t="shared" ca="1" si="7"/>
        <v>0</v>
      </c>
      <c r="D88" s="360">
        <f t="shared" ca="1" si="8"/>
        <v>0</v>
      </c>
    </row>
    <row r="89" spans="1:6">
      <c r="A89" s="360" t="s">
        <v>161</v>
      </c>
      <c r="B89" s="360" t="str">
        <f t="shared" ca="1" si="6"/>
        <v>Last Name*</v>
      </c>
      <c r="C89" s="360">
        <f t="shared" ca="1" si="7"/>
        <v>0</v>
      </c>
      <c r="D89" s="360">
        <f t="shared" ca="1" si="8"/>
        <v>0</v>
      </c>
    </row>
    <row r="90" spans="1:6">
      <c r="A90" s="360" t="s">
        <v>162</v>
      </c>
      <c r="B90" s="360" t="str">
        <f t="shared" ca="1" si="6"/>
        <v>Title*</v>
      </c>
      <c r="C90" s="360">
        <f t="shared" ca="1" si="7"/>
        <v>0</v>
      </c>
      <c r="D90" s="360">
        <f t="shared" ca="1" si="8"/>
        <v>0</v>
      </c>
    </row>
    <row r="91" spans="1:6">
      <c r="A91" s="360" t="s">
        <v>163</v>
      </c>
      <c r="B91" s="360" t="str">
        <f t="shared" ca="1" si="6"/>
        <v>Primary Phone*</v>
      </c>
      <c r="C91" s="360">
        <f t="shared" ca="1" si="7"/>
        <v>0</v>
      </c>
      <c r="D91" s="360">
        <f t="shared" ca="1" si="8"/>
        <v>0</v>
      </c>
    </row>
    <row r="92" spans="1:6">
      <c r="A92" s="360" t="s">
        <v>164</v>
      </c>
      <c r="B92" s="360" t="str">
        <f t="shared" ca="1" si="6"/>
        <v>Email*</v>
      </c>
      <c r="C92" s="360">
        <f t="shared" ca="1" si="7"/>
        <v>0</v>
      </c>
      <c r="D92" s="360">
        <f t="shared" ca="1" si="8"/>
        <v>0</v>
      </c>
    </row>
    <row r="93" spans="1:6">
      <c r="A93" s="360" t="s">
        <v>2118</v>
      </c>
      <c r="B93" s="360" t="str">
        <f ca="1">OFFSET(INDIRECT(A93),0,-13)</f>
        <v>Who will install/installed the equipment for this project?*</v>
      </c>
      <c r="C93" s="360">
        <f t="shared" ca="1" si="7"/>
        <v>0</v>
      </c>
      <c r="D93" s="360">
        <f ca="1">IF(INDIRECT($A93)="",0,1)</f>
        <v>0</v>
      </c>
    </row>
    <row r="94" spans="1:6">
      <c r="A94" s="360" t="s">
        <v>2645</v>
      </c>
      <c r="B94" s="360" t="str">
        <f ca="1">OFFSET(INDIRECT(A94),-1,0)</f>
        <v>Contact First Name</v>
      </c>
      <c r="C94" s="360">
        <f t="shared" ca="1" si="7"/>
        <v>0</v>
      </c>
      <c r="D94" s="360" t="str">
        <f ca="1">IF(M02S02F01="No",1,IF(AND(M02S02F13="",M02S02F14="",M02S02F15="",M02S02F16="",M02S02F17=""),"",IF(AND(OR(M02S02F14&lt;&gt;"",M02S02F15&lt;&gt;"",M02S02F16&lt;&gt;"",M02S02F17&lt;&gt;""),INDIRECT($A94)=""),0,1)))</f>
        <v/>
      </c>
    </row>
    <row r="95" spans="1:6">
      <c r="A95" s="360" t="s">
        <v>2646</v>
      </c>
      <c r="B95" s="360" t="str">
        <f ca="1">OFFSET(INDIRECT(A95),-1,0)</f>
        <v>Last Name</v>
      </c>
      <c r="C95" s="360">
        <f t="shared" ca="1" si="7"/>
        <v>0</v>
      </c>
      <c r="D95" s="360" t="str">
        <f ca="1">IF(M02S02F01="No",1,IF(AND(M02S02F13="",M02S02F14="",M02S02F15="",M02S02F16="",M02S02F17=""),"",IF(AND(OR(M02S02F13&lt;&gt;"",M02S02F15&lt;&gt;"",M02S02F16&lt;&gt;"",M02S02F17&lt;&gt;""),INDIRECT($A95)=""),0,1)))</f>
        <v/>
      </c>
    </row>
    <row r="96" spans="1:6">
      <c r="A96" s="360" t="s">
        <v>2647</v>
      </c>
      <c r="B96" s="360" t="str">
        <f ca="1">OFFSET(INDIRECT(A96),-1,0)</f>
        <v>Title</v>
      </c>
      <c r="C96" s="360">
        <f t="shared" ca="1" si="7"/>
        <v>0</v>
      </c>
      <c r="D96" s="360" t="str">
        <f ca="1">IF(M02S02F01="No",1,IF(AND(M02S02F13="",M02S02F14="",M02S02F15="",M02S02F16="",M02S02F17=""),"",IF(AND(OR(M02S02F13&lt;&gt;"",M02S02F14&lt;&gt;"",M02S02F16&lt;&gt;"",M02S02F17&lt;&gt;""),INDIRECT($A96)=""),0,1)))</f>
        <v/>
      </c>
    </row>
    <row r="97" spans="1:16">
      <c r="A97" s="360" t="s">
        <v>2648</v>
      </c>
      <c r="B97" s="360" t="str">
        <f ca="1">OFFSET(INDIRECT(A97),-1,0)</f>
        <v>Primary Phone</v>
      </c>
      <c r="C97" s="360">
        <f t="shared" ca="1" si="7"/>
        <v>0</v>
      </c>
      <c r="D97" s="360" t="str">
        <f ca="1">IF(M02S02F01="No",1,IF(AND(M02S02F13="",M02S02F14="",M02S02F15="",M02S02F16="",M02S02F17=""),"",IF(AND(OR(M02S02F13&lt;&gt;"",M02S02F14&lt;&gt;"",M02S02F15&lt;&gt;"",M02S02F17&lt;&gt;""),INDIRECT($A97)=""),0,1)))</f>
        <v/>
      </c>
    </row>
    <row r="98" spans="1:16">
      <c r="A98" s="360" t="s">
        <v>2649</v>
      </c>
      <c r="B98" s="360" t="str">
        <f ca="1">OFFSET(INDIRECT(A98),-1,0)</f>
        <v>Email</v>
      </c>
      <c r="C98" s="360">
        <f t="shared" ca="1" si="7"/>
        <v>0</v>
      </c>
      <c r="D98" s="360" t="str">
        <f ca="1">IF(M02S02F01="No",1,IF(AND(M02S02F13="",M02S02F14="",M02S02F15="",M02S02F16="",M02S02F17=""),"",IF(AND(OR(M02S02F13&lt;&gt;"",M02S02F14&lt;&gt;"",M02S02F15&lt;&gt;"",M02S02F16&lt;&gt;""),INDIRECT($A98)=""),0,1)))</f>
        <v/>
      </c>
    </row>
    <row r="100" spans="1:16">
      <c r="A100" s="393"/>
      <c r="C100" s="360" t="s">
        <v>84</v>
      </c>
      <c r="D100" s="360" t="s">
        <v>310</v>
      </c>
      <c r="E100" s="360" t="s">
        <v>1265</v>
      </c>
    </row>
    <row r="101" spans="1:16">
      <c r="A101" s="360">
        <f ca="1">SUM(D102:D111)</f>
        <v>0</v>
      </c>
      <c r="B101" s="360" t="str">
        <f>M2S3</f>
        <v>Customer Information</v>
      </c>
      <c r="C101" s="360">
        <f ca="1">COUNT(C102:C111)</f>
        <v>10</v>
      </c>
      <c r="D101" s="360">
        <f ca="1">COUNT(D102:D111)</f>
        <v>10</v>
      </c>
      <c r="E101" s="392">
        <f ca="1">A101/D101</f>
        <v>0</v>
      </c>
    </row>
    <row r="102" spans="1:16">
      <c r="A102" s="360" t="s">
        <v>154</v>
      </c>
      <c r="B102" s="360" t="str">
        <f t="shared" ref="B102:B111" ca="1" si="9">OFFSET(INDIRECT(A102),-1,0)</f>
        <v>Legal Company Name*</v>
      </c>
      <c r="C102" s="360">
        <f t="shared" ref="C102:D111" ca="1" si="10">IF(INDIRECT($A102)="",0,1)</f>
        <v>0</v>
      </c>
      <c r="D102" s="360">
        <f t="shared" ca="1" si="10"/>
        <v>0</v>
      </c>
    </row>
    <row r="103" spans="1:16">
      <c r="A103" s="360" t="s">
        <v>165</v>
      </c>
      <c r="B103" s="360" t="str">
        <f t="shared" ca="1" si="9"/>
        <v>Company Address*</v>
      </c>
      <c r="C103" s="360">
        <f t="shared" ca="1" si="10"/>
        <v>0</v>
      </c>
      <c r="D103" s="360">
        <f t="shared" ca="1" si="10"/>
        <v>0</v>
      </c>
    </row>
    <row r="104" spans="1:16">
      <c r="A104" s="360" t="s">
        <v>166</v>
      </c>
      <c r="B104" s="360" t="str">
        <f t="shared" ca="1" si="9"/>
        <v>City*</v>
      </c>
      <c r="C104" s="360">
        <f t="shared" ca="1" si="10"/>
        <v>0</v>
      </c>
      <c r="D104" s="360">
        <f t="shared" ca="1" si="10"/>
        <v>0</v>
      </c>
    </row>
    <row r="105" spans="1:16">
      <c r="A105" s="360" t="s">
        <v>167</v>
      </c>
      <c r="B105" s="360" t="str">
        <f t="shared" ca="1" si="9"/>
        <v>State*</v>
      </c>
      <c r="C105" s="360">
        <f t="shared" ca="1" si="10"/>
        <v>0</v>
      </c>
      <c r="D105" s="360">
        <f t="shared" ca="1" si="10"/>
        <v>0</v>
      </c>
    </row>
    <row r="106" spans="1:16">
      <c r="A106" s="360" t="s">
        <v>168</v>
      </c>
      <c r="B106" s="360" t="str">
        <f t="shared" ca="1" si="9"/>
        <v>Zip Code*</v>
      </c>
      <c r="C106" s="360">
        <f t="shared" ca="1" si="10"/>
        <v>0</v>
      </c>
      <c r="D106" s="360">
        <f t="shared" ca="1" si="10"/>
        <v>0</v>
      </c>
    </row>
    <row r="107" spans="1:16">
      <c r="A107" s="360" t="s">
        <v>169</v>
      </c>
      <c r="B107" s="360" t="str">
        <f t="shared" ca="1" si="9"/>
        <v>Contact First Name*</v>
      </c>
      <c r="C107" s="360">
        <f t="shared" ca="1" si="10"/>
        <v>0</v>
      </c>
      <c r="D107" s="360">
        <f t="shared" ca="1" si="10"/>
        <v>0</v>
      </c>
    </row>
    <row r="108" spans="1:16">
      <c r="A108" s="360" t="s">
        <v>170</v>
      </c>
      <c r="B108" s="360" t="str">
        <f t="shared" ca="1" si="9"/>
        <v>Last Name*</v>
      </c>
      <c r="C108" s="360">
        <f t="shared" ca="1" si="10"/>
        <v>0</v>
      </c>
      <c r="D108" s="360">
        <f t="shared" ca="1" si="10"/>
        <v>0</v>
      </c>
    </row>
    <row r="109" spans="1:16">
      <c r="A109" s="360" t="s">
        <v>171</v>
      </c>
      <c r="B109" s="360" t="str">
        <f t="shared" ca="1" si="9"/>
        <v>Title*</v>
      </c>
      <c r="C109" s="360">
        <f t="shared" ca="1" si="10"/>
        <v>0</v>
      </c>
      <c r="D109" s="360">
        <f t="shared" ca="1" si="10"/>
        <v>0</v>
      </c>
    </row>
    <row r="110" spans="1:16">
      <c r="A110" s="360" t="s">
        <v>172</v>
      </c>
      <c r="B110" s="360" t="str">
        <f t="shared" ca="1" si="9"/>
        <v>Primary Phone*</v>
      </c>
      <c r="C110" s="360">
        <f t="shared" ca="1" si="10"/>
        <v>0</v>
      </c>
      <c r="D110" s="360">
        <f t="shared" ca="1" si="10"/>
        <v>0</v>
      </c>
    </row>
    <row r="111" spans="1:16">
      <c r="A111" s="360" t="s">
        <v>173</v>
      </c>
      <c r="B111" s="360" t="str">
        <f t="shared" ca="1" si="9"/>
        <v>Email*</v>
      </c>
      <c r="C111" s="360">
        <f t="shared" ca="1" si="10"/>
        <v>0</v>
      </c>
      <c r="D111" s="360">
        <f t="shared" ca="1" si="10"/>
        <v>0</v>
      </c>
      <c r="G111" s="480"/>
      <c r="H111" s="480"/>
      <c r="I111" s="480"/>
      <c r="J111" s="480"/>
      <c r="K111" s="480"/>
      <c r="L111" s="480"/>
      <c r="M111" s="480"/>
      <c r="N111" s="480"/>
      <c r="O111" s="480"/>
      <c r="P111" s="480"/>
    </row>
    <row r="112" spans="1:16" s="480" customFormat="1">
      <c r="G112" s="360"/>
      <c r="H112" s="360"/>
      <c r="I112" s="360"/>
      <c r="J112" s="360"/>
      <c r="K112" s="360"/>
      <c r="L112" s="360"/>
      <c r="M112" s="360"/>
      <c r="N112" s="360"/>
      <c r="O112" s="360"/>
      <c r="P112" s="360"/>
    </row>
    <row r="113" spans="1:5">
      <c r="A113" s="393"/>
      <c r="C113" s="360" t="s">
        <v>84</v>
      </c>
      <c r="D113" s="360" t="s">
        <v>310</v>
      </c>
      <c r="E113" s="360" t="s">
        <v>1265</v>
      </c>
    </row>
    <row r="114" spans="1:5">
      <c r="A114" s="360">
        <f ca="1">SUM(D115:D139)</f>
        <v>0</v>
      </c>
      <c r="B114" s="360" t="str">
        <f>M2S4</f>
        <v>Building Information</v>
      </c>
      <c r="C114" s="360">
        <f ca="1">COUNT(C115:C139)</f>
        <v>25</v>
      </c>
      <c r="D114" s="360">
        <f ca="1">COUNT(D115:D139)</f>
        <v>21</v>
      </c>
      <c r="E114" s="392">
        <f ca="1">A114/D114</f>
        <v>0</v>
      </c>
    </row>
    <row r="115" spans="1:5">
      <c r="A115" s="360" t="s">
        <v>174</v>
      </c>
      <c r="B115" s="360" t="str">
        <f ca="1">OFFSET(INDIRECT(A115),0,-12)</f>
        <v>Is the Site address the same as the Company address?*</v>
      </c>
      <c r="C115" s="360">
        <f t="shared" ref="C115:C139" ca="1" si="11">IF(INDIRECT($A115)="",0,1)</f>
        <v>0</v>
      </c>
    </row>
    <row r="116" spans="1:5">
      <c r="A116" s="360" t="s">
        <v>175</v>
      </c>
      <c r="B116" s="360" t="str">
        <f ca="1">OFFSET(INDIRECT(A116),0,-12)</f>
        <v>Is the Site contact the same as the Company contact?*</v>
      </c>
      <c r="C116" s="360">
        <f t="shared" ca="1" si="11"/>
        <v>0</v>
      </c>
      <c r="D116" s="360">
        <f ca="1">IF(INDIRECT($A116)="",0,1)</f>
        <v>0</v>
      </c>
    </row>
    <row r="117" spans="1:5">
      <c r="A117" s="360" t="s">
        <v>176</v>
      </c>
      <c r="B117" s="360" t="str">
        <f t="shared" ref="B117:B139" ca="1" si="12">OFFSET(INDIRECT(A117),-1,0)</f>
        <v>Account Number 1*</v>
      </c>
      <c r="C117" s="360">
        <f t="shared" ca="1" si="11"/>
        <v>0</v>
      </c>
      <c r="D117" s="360">
        <f ca="1">IF(INDIRECT($A117)="",0,1)</f>
        <v>0</v>
      </c>
    </row>
    <row r="118" spans="1:5">
      <c r="A118" s="360" t="s">
        <v>177</v>
      </c>
      <c r="B118" s="360" t="str">
        <f t="shared" ca="1" si="12"/>
        <v>Account Number 2</v>
      </c>
      <c r="C118" s="360">
        <f t="shared" ca="1" si="11"/>
        <v>0</v>
      </c>
    </row>
    <row r="119" spans="1:5">
      <c r="A119" s="360" t="s">
        <v>178</v>
      </c>
      <c r="B119" s="360" t="str">
        <f t="shared" ca="1" si="12"/>
        <v>Utility Rate Code*</v>
      </c>
      <c r="C119" s="360">
        <f t="shared" ca="1" si="11"/>
        <v>0</v>
      </c>
      <c r="D119" s="360">
        <f ca="1">IF(INDIRECT($A119)="",0,1)</f>
        <v>0</v>
      </c>
    </row>
    <row r="120" spans="1:5">
      <c r="A120" s="360" t="s">
        <v>179</v>
      </c>
      <c r="B120" s="360" t="str">
        <f t="shared" ca="1" si="12"/>
        <v>Utility Electric Rate* ($/kWh)</v>
      </c>
      <c r="C120" s="360">
        <f t="shared" ca="1" si="11"/>
        <v>0</v>
      </c>
      <c r="D120" s="360">
        <f ca="1">IF(OR(INDIRECT($A120)="",INDIRECT($A120)="Select Rate Code",INDIRECT($A120)=0),0,1)</f>
        <v>0</v>
      </c>
    </row>
    <row r="121" spans="1:5">
      <c r="A121" s="360" t="s">
        <v>180</v>
      </c>
      <c r="B121" s="360" t="str">
        <f t="shared" ca="1" si="12"/>
        <v>Site Name*</v>
      </c>
      <c r="C121" s="360">
        <f t="shared" ca="1" si="11"/>
        <v>0</v>
      </c>
      <c r="D121" s="360">
        <f ca="1">IF(INDIRECT($A121)="",0,1)</f>
        <v>0</v>
      </c>
    </row>
    <row r="122" spans="1:5">
      <c r="A122" s="360" t="s">
        <v>181</v>
      </c>
      <c r="B122" s="360" t="str">
        <f t="shared" ca="1" si="12"/>
        <v>Site Address*</v>
      </c>
      <c r="C122" s="360">
        <f t="shared" ca="1" si="11"/>
        <v>0</v>
      </c>
      <c r="D122" s="360">
        <f ca="1">IF(INDIRECT($A122)="",0,1)</f>
        <v>0</v>
      </c>
    </row>
    <row r="123" spans="1:5">
      <c r="A123" s="360" t="s">
        <v>182</v>
      </c>
      <c r="B123" s="360" t="str">
        <f t="shared" ca="1" si="12"/>
        <v>City*</v>
      </c>
      <c r="C123" s="360">
        <f t="shared" ca="1" si="11"/>
        <v>0</v>
      </c>
      <c r="D123" s="360">
        <f ca="1">IF(INDIRECT($A123)="",0,1)</f>
        <v>0</v>
      </c>
    </row>
    <row r="124" spans="1:5">
      <c r="A124" s="360" t="s">
        <v>183</v>
      </c>
      <c r="B124" s="360" t="str">
        <f t="shared" ca="1" si="12"/>
        <v>State*</v>
      </c>
      <c r="C124" s="360">
        <f t="shared" ca="1" si="11"/>
        <v>1</v>
      </c>
    </row>
    <row r="125" spans="1:5">
      <c r="A125" s="360" t="s">
        <v>184</v>
      </c>
      <c r="B125" s="360" t="str">
        <f t="shared" ca="1" si="12"/>
        <v>Zip Code*</v>
      </c>
      <c r="C125" s="360">
        <f t="shared" ca="1" si="11"/>
        <v>0</v>
      </c>
      <c r="D125" s="360">
        <f t="shared" ref="D125:D130" ca="1" si="13">IF(INDIRECT($A125)="",0,1)</f>
        <v>0</v>
      </c>
    </row>
    <row r="126" spans="1:5">
      <c r="A126" s="360" t="s">
        <v>185</v>
      </c>
      <c r="B126" s="360" t="str">
        <f t="shared" ca="1" si="12"/>
        <v>Contact First Name*</v>
      </c>
      <c r="C126" s="360">
        <f t="shared" ca="1" si="11"/>
        <v>0</v>
      </c>
      <c r="D126" s="360">
        <f t="shared" ca="1" si="13"/>
        <v>0</v>
      </c>
    </row>
    <row r="127" spans="1:5">
      <c r="A127" s="360" t="s">
        <v>1254</v>
      </c>
      <c r="B127" s="360" t="str">
        <f t="shared" ca="1" si="12"/>
        <v>Last Name*</v>
      </c>
      <c r="C127" s="360">
        <f t="shared" ca="1" si="11"/>
        <v>0</v>
      </c>
      <c r="D127" s="360">
        <f t="shared" ca="1" si="13"/>
        <v>0</v>
      </c>
    </row>
    <row r="128" spans="1:5">
      <c r="A128" s="360" t="s">
        <v>1255</v>
      </c>
      <c r="B128" s="360" t="str">
        <f t="shared" ca="1" si="12"/>
        <v>Title*</v>
      </c>
      <c r="C128" s="360">
        <f t="shared" ca="1" si="11"/>
        <v>0</v>
      </c>
      <c r="D128" s="360">
        <f t="shared" ca="1" si="13"/>
        <v>0</v>
      </c>
    </row>
    <row r="129" spans="1:5">
      <c r="A129" s="360" t="s">
        <v>1256</v>
      </c>
      <c r="B129" s="360" t="str">
        <f t="shared" ca="1" si="12"/>
        <v>Primary Phone*</v>
      </c>
      <c r="C129" s="360">
        <f t="shared" ca="1" si="11"/>
        <v>0</v>
      </c>
      <c r="D129" s="360">
        <f t="shared" ca="1" si="13"/>
        <v>0</v>
      </c>
    </row>
    <row r="130" spans="1:5">
      <c r="A130" s="360" t="s">
        <v>1257</v>
      </c>
      <c r="B130" s="360" t="str">
        <f t="shared" ca="1" si="12"/>
        <v>Email*</v>
      </c>
      <c r="C130" s="360">
        <f t="shared" ca="1" si="11"/>
        <v>0</v>
      </c>
      <c r="D130" s="360">
        <f t="shared" ca="1" si="13"/>
        <v>0</v>
      </c>
    </row>
    <row r="131" spans="1:5">
      <c r="A131" s="360" t="s">
        <v>1258</v>
      </c>
      <c r="B131" s="360" t="str">
        <f t="shared" ca="1" si="12"/>
        <v>Project Type*</v>
      </c>
      <c r="C131" s="360">
        <f t="shared" ca="1" si="11"/>
        <v>0</v>
      </c>
    </row>
    <row r="132" spans="1:5">
      <c r="A132" s="360" t="s">
        <v>1259</v>
      </c>
      <c r="B132" s="360" t="str">
        <f t="shared" ca="1" si="12"/>
        <v>Project Name / ID*</v>
      </c>
      <c r="C132" s="360">
        <f t="shared" ca="1" si="11"/>
        <v>0</v>
      </c>
      <c r="D132" s="360">
        <f t="shared" ref="D132:D139" ca="1" si="14">IF(INDIRECT($A132)="",0,1)</f>
        <v>0</v>
      </c>
    </row>
    <row r="133" spans="1:5">
      <c r="A133" s="360" t="s">
        <v>1260</v>
      </c>
      <c r="B133" s="360" t="str">
        <f t="shared" ca="1" si="12"/>
        <v>Building Type*</v>
      </c>
      <c r="C133" s="360">
        <f t="shared" ca="1" si="11"/>
        <v>0</v>
      </c>
      <c r="D133" s="360">
        <f t="shared" ca="1" si="14"/>
        <v>0</v>
      </c>
    </row>
    <row r="134" spans="1:5">
      <c r="A134" s="360" t="s">
        <v>1261</v>
      </c>
      <c r="B134" s="360" t="str">
        <f t="shared" ca="1" si="12"/>
        <v>Annual Operating Hours*</v>
      </c>
      <c r="C134" s="360">
        <f t="shared" ca="1" si="11"/>
        <v>0</v>
      </c>
      <c r="D134" s="360">
        <f t="shared" ca="1" si="14"/>
        <v>0</v>
      </c>
    </row>
    <row r="135" spans="1:5">
      <c r="A135" s="360" t="s">
        <v>1262</v>
      </c>
      <c r="B135" s="360" t="str">
        <f t="shared" ca="1" si="12"/>
        <v>Square Footage*</v>
      </c>
      <c r="C135" s="360">
        <f t="shared" ca="1" si="11"/>
        <v>0</v>
      </c>
      <c r="D135" s="360">
        <f t="shared" ca="1" si="14"/>
        <v>0</v>
      </c>
    </row>
    <row r="136" spans="1:5">
      <c r="A136" s="360" t="s">
        <v>1263</v>
      </c>
      <c r="B136" s="360" t="str">
        <f t="shared" ca="1" si="12"/>
        <v>Space Conditioning Type*</v>
      </c>
      <c r="C136" s="360">
        <f t="shared" ca="1" si="11"/>
        <v>0</v>
      </c>
      <c r="D136" s="360">
        <f t="shared" ca="1" si="14"/>
        <v>0</v>
      </c>
    </row>
    <row r="137" spans="1:5">
      <c r="A137" s="360" t="s">
        <v>1264</v>
      </c>
      <c r="B137" s="360" t="str">
        <f t="shared" ca="1" si="12"/>
        <v>Project Description*</v>
      </c>
      <c r="C137" s="360">
        <f t="shared" ca="1" si="11"/>
        <v>0</v>
      </c>
      <c r="D137" s="360">
        <f t="shared" ca="1" si="14"/>
        <v>0</v>
      </c>
    </row>
    <row r="138" spans="1:5">
      <c r="A138" s="360" t="s">
        <v>1687</v>
      </c>
      <c r="B138" s="360" t="str">
        <f t="shared" ca="1" si="12"/>
        <v>Evergy Contact*</v>
      </c>
      <c r="C138" s="360">
        <f t="shared" ca="1" si="11"/>
        <v>0</v>
      </c>
      <c r="D138" s="360">
        <f t="shared" ca="1" si="14"/>
        <v>0</v>
      </c>
    </row>
    <row r="139" spans="1:5">
      <c r="A139" s="360" t="s">
        <v>1688</v>
      </c>
      <c r="B139" s="360" t="str">
        <f t="shared" ca="1" si="12"/>
        <v>How did you hear about the Program?*</v>
      </c>
      <c r="C139" s="360">
        <f t="shared" ca="1" si="11"/>
        <v>0</v>
      </c>
      <c r="D139" s="360">
        <f t="shared" ca="1" si="14"/>
        <v>0</v>
      </c>
    </row>
    <row r="141" spans="1:5">
      <c r="C141" s="360" t="s">
        <v>84</v>
      </c>
      <c r="D141" s="360" t="s">
        <v>310</v>
      </c>
      <c r="E141" s="360" t="s">
        <v>1265</v>
      </c>
    </row>
    <row r="142" spans="1:5">
      <c r="A142" s="360">
        <f>IF(SUM(D143:D144)&gt;= 1,1,0)</f>
        <v>0</v>
      </c>
      <c r="B142" s="360" t="s">
        <v>311</v>
      </c>
      <c r="C142" s="360">
        <f>COUNT(C143:C144)</f>
        <v>2</v>
      </c>
      <c r="D142" s="360">
        <v>1</v>
      </c>
      <c r="E142" s="392">
        <f>A142/D142</f>
        <v>0</v>
      </c>
    </row>
    <row r="143" spans="1:5">
      <c r="A143" s="360" t="s">
        <v>312</v>
      </c>
      <c r="B143" s="360" t="s">
        <v>149</v>
      </c>
      <c r="C143" s="360">
        <f>IF(SUM(L9:L13)&gt;0,1,0)</f>
        <v>0</v>
      </c>
      <c r="D143" s="360">
        <f>IF(INCENTOTALPRESE&gt;0,1,0)</f>
        <v>0</v>
      </c>
    </row>
    <row r="144" spans="1:5">
      <c r="A144" s="360" t="s">
        <v>313</v>
      </c>
      <c r="B144" s="360" t="s">
        <v>150</v>
      </c>
      <c r="C144" s="360">
        <f>IF(SUM(L18:L19)&gt;0,1,0)</f>
        <v>0</v>
      </c>
      <c r="D144" s="360">
        <f>IF(INCENTOTALCUSE&gt;0,1,0)</f>
        <v>0</v>
      </c>
    </row>
    <row r="146" spans="1:5">
      <c r="C146" s="360" t="s">
        <v>84</v>
      </c>
      <c r="D146" s="360" t="s">
        <v>310</v>
      </c>
      <c r="E146" s="360" t="s">
        <v>1265</v>
      </c>
    </row>
    <row r="147" spans="1:5">
      <c r="A147" s="360">
        <f ca="1">SUM(D148:D162)</f>
        <v>0</v>
      </c>
      <c r="B147" s="360" t="str">
        <f>M5S1</f>
        <v>Payment</v>
      </c>
      <c r="C147" s="360">
        <f ca="1">COUNT(C148:C162)</f>
        <v>14</v>
      </c>
      <c r="D147" s="360">
        <f ca="1">COUNT(D148:D162)</f>
        <v>15</v>
      </c>
      <c r="E147" s="392">
        <f ca="1">A147/D147</f>
        <v>0</v>
      </c>
    </row>
    <row r="148" spans="1:5">
      <c r="A148" s="360" t="s">
        <v>1267</v>
      </c>
      <c r="B148" s="360" t="str">
        <f ca="1">OFFSET(INDIRECT(A148),0,-5)</f>
        <v>Payment Type*</v>
      </c>
      <c r="C148" s="360">
        <f t="shared" ref="C148:D161" ca="1" si="15">IF(INDIRECT($A148)="",0,1)</f>
        <v>0</v>
      </c>
      <c r="D148" s="360">
        <f t="shared" ca="1" si="15"/>
        <v>0</v>
      </c>
    </row>
    <row r="149" spans="1:5">
      <c r="A149" s="360" t="s">
        <v>1268</v>
      </c>
      <c r="B149" s="360" t="str">
        <f t="shared" ref="B149:B159" ca="1" si="16">OFFSET(INDIRECT(A149),-1,0)</f>
        <v>Payee Company Name"</v>
      </c>
      <c r="C149" s="360">
        <f t="shared" ca="1" si="15"/>
        <v>0</v>
      </c>
      <c r="D149" s="360">
        <f t="shared" ca="1" si="15"/>
        <v>0</v>
      </c>
    </row>
    <row r="150" spans="1:5">
      <c r="A150" s="360" t="s">
        <v>1269</v>
      </c>
      <c r="B150" s="360" t="str">
        <f t="shared" ca="1" si="16"/>
        <v>Mailing Address*</v>
      </c>
      <c r="C150" s="360">
        <f t="shared" ca="1" si="15"/>
        <v>0</v>
      </c>
      <c r="D150" s="360">
        <f t="shared" ca="1" si="15"/>
        <v>0</v>
      </c>
    </row>
    <row r="151" spans="1:5">
      <c r="A151" s="360" t="s">
        <v>1270</v>
      </c>
      <c r="B151" s="360" t="str">
        <f t="shared" ca="1" si="16"/>
        <v>City*</v>
      </c>
      <c r="C151" s="360">
        <f t="shared" ca="1" si="15"/>
        <v>0</v>
      </c>
      <c r="D151" s="360">
        <f t="shared" ca="1" si="15"/>
        <v>0</v>
      </c>
    </row>
    <row r="152" spans="1:5">
      <c r="A152" s="360" t="s">
        <v>1271</v>
      </c>
      <c r="B152" s="360" t="str">
        <f t="shared" ca="1" si="16"/>
        <v>State*</v>
      </c>
      <c r="C152" s="360">
        <f t="shared" ca="1" si="15"/>
        <v>0</v>
      </c>
      <c r="D152" s="360">
        <f t="shared" ca="1" si="15"/>
        <v>0</v>
      </c>
    </row>
    <row r="153" spans="1:5">
      <c r="A153" s="360" t="s">
        <v>1272</v>
      </c>
      <c r="B153" s="360" t="str">
        <f t="shared" ca="1" si="16"/>
        <v>Zip Code*</v>
      </c>
      <c r="C153" s="360">
        <f t="shared" ca="1" si="15"/>
        <v>0</v>
      </c>
      <c r="D153" s="360">
        <f t="shared" ca="1" si="15"/>
        <v>0</v>
      </c>
    </row>
    <row r="154" spans="1:5">
      <c r="A154" s="360" t="s">
        <v>1273</v>
      </c>
      <c r="B154" s="360" t="str">
        <f t="shared" ca="1" si="16"/>
        <v>Payee First Name*</v>
      </c>
      <c r="C154" s="360">
        <f t="shared" ca="1" si="15"/>
        <v>0</v>
      </c>
      <c r="D154" s="360">
        <f t="shared" ca="1" si="15"/>
        <v>0</v>
      </c>
    </row>
    <row r="155" spans="1:5">
      <c r="A155" s="360" t="s">
        <v>1274</v>
      </c>
      <c r="B155" s="360" t="str">
        <f t="shared" ca="1" si="16"/>
        <v>Payee Last Name*</v>
      </c>
      <c r="C155" s="360">
        <f t="shared" ca="1" si="15"/>
        <v>0</v>
      </c>
      <c r="D155" s="360">
        <f t="shared" ca="1" si="15"/>
        <v>0</v>
      </c>
    </row>
    <row r="156" spans="1:5">
      <c r="A156" s="360" t="s">
        <v>1275</v>
      </c>
      <c r="B156" s="360" t="str">
        <f t="shared" ca="1" si="16"/>
        <v>Phone Number*</v>
      </c>
      <c r="C156" s="360">
        <f t="shared" ca="1" si="15"/>
        <v>0</v>
      </c>
      <c r="D156" s="360">
        <f t="shared" ca="1" si="15"/>
        <v>0</v>
      </c>
    </row>
    <row r="157" spans="1:5">
      <c r="A157" s="360" t="s">
        <v>1276</v>
      </c>
      <c r="B157" s="360" t="str">
        <f t="shared" ca="1" si="16"/>
        <v>Email*</v>
      </c>
      <c r="C157" s="360">
        <f t="shared" ca="1" si="15"/>
        <v>0</v>
      </c>
      <c r="D157" s="360">
        <f t="shared" ca="1" si="15"/>
        <v>0</v>
      </c>
    </row>
    <row r="158" spans="1:5">
      <c r="A158" s="360" t="s">
        <v>1277</v>
      </c>
      <c r="B158" s="360" t="str">
        <f t="shared" ca="1" si="16"/>
        <v>Tax Entity*</v>
      </c>
      <c r="C158" s="360">
        <f t="shared" ca="1" si="15"/>
        <v>0</v>
      </c>
      <c r="D158" s="360">
        <f t="shared" ca="1" si="15"/>
        <v>0</v>
      </c>
    </row>
    <row r="159" spans="1:5">
      <c r="A159" s="360" t="s">
        <v>1278</v>
      </c>
      <c r="B159" s="360" t="str">
        <f t="shared" ca="1" si="16"/>
        <v>Federal Tax ID Number*</v>
      </c>
      <c r="C159" s="360">
        <f t="shared" ca="1" si="15"/>
        <v>0</v>
      </c>
      <c r="D159" s="360">
        <f t="shared" ca="1" si="15"/>
        <v>0</v>
      </c>
    </row>
    <row r="160" spans="1:5">
      <c r="A160" s="360" t="s">
        <v>1291</v>
      </c>
      <c r="B160" s="360" t="str">
        <f ca="1">OFFSET(INDIRECT(A160),-1,-2)</f>
        <v>Federal Tax ID Number*</v>
      </c>
      <c r="C160" s="360">
        <f t="shared" ca="1" si="15"/>
        <v>0</v>
      </c>
      <c r="D160" s="360">
        <f t="shared" ca="1" si="15"/>
        <v>0</v>
      </c>
    </row>
    <row r="161" spans="1:5">
      <c r="A161" s="360" t="s">
        <v>2089</v>
      </c>
      <c r="B161" s="360" t="str">
        <f ca="1">OFFSET(INDIRECT(A161),-1,0)</f>
        <v>Bill Credit Account*</v>
      </c>
      <c r="C161" s="360">
        <f t="shared" ca="1" si="15"/>
        <v>0</v>
      </c>
      <c r="D161" s="360">
        <f t="shared" ca="1" si="15"/>
        <v>0</v>
      </c>
    </row>
    <row r="162" spans="1:5">
      <c r="A162" s="360" t="s">
        <v>1289</v>
      </c>
      <c r="B162" s="360" t="s">
        <v>1296</v>
      </c>
      <c r="C162" s="360" t="b">
        <v>0</v>
      </c>
      <c r="D162" s="360">
        <f>IF(C162=FALSE,0,1)</f>
        <v>0</v>
      </c>
    </row>
    <row r="164" spans="1:5">
      <c r="A164" s="393"/>
      <c r="C164" s="360" t="s">
        <v>84</v>
      </c>
      <c r="D164" s="360" t="s">
        <v>310</v>
      </c>
      <c r="E164" s="360" t="s">
        <v>1265</v>
      </c>
    </row>
    <row r="165" spans="1:5">
      <c r="A165" s="360">
        <f>IF(D165&gt;0,SUM(D166:D167),0)</f>
        <v>0</v>
      </c>
      <c r="B165" s="360" t="str">
        <f>M5S2</f>
        <v>Project Review</v>
      </c>
      <c r="C165" s="360">
        <f ca="1">COUNT(C166:C167)</f>
        <v>2</v>
      </c>
      <c r="D165" s="360">
        <f>IF(AND(INCENTOTALPRESE&gt;0,INCENTOTALPRESE&lt;10000,INCENTOTALCUSE=0),COUNT(D166:D167),0)</f>
        <v>0</v>
      </c>
      <c r="E165" s="392">
        <f>IF(D165=0,1,A165/D165)</f>
        <v>1</v>
      </c>
    </row>
    <row r="166" spans="1:5">
      <c r="A166" s="360" t="s">
        <v>315</v>
      </c>
      <c r="B166" s="360" t="str">
        <f ca="1">OFFSET(INDIRECT(A166),-1,0)</f>
        <v>Invoice Date*</v>
      </c>
      <c r="C166" s="360">
        <f ca="1">IF(INDIRECT($A166)="",0,1)</f>
        <v>0</v>
      </c>
      <c r="D166" s="360">
        <f ca="1">IF(INDIRECT($A166)="",0,1)</f>
        <v>0</v>
      </c>
    </row>
    <row r="167" spans="1:5">
      <c r="A167" s="360" t="s">
        <v>316</v>
      </c>
      <c r="B167" s="360" t="str">
        <f ca="1">OFFSET(INDIRECT(A167),-1,0)</f>
        <v>Installed Date*</v>
      </c>
      <c r="C167" s="360">
        <f ca="1">IF(INDIRECT($A167)="",0,1)</f>
        <v>0</v>
      </c>
      <c r="D167" s="360">
        <f ca="1">IF(INDIRECT($A167)="",0,1)</f>
        <v>0</v>
      </c>
    </row>
  </sheetData>
  <sheetProtection algorithmName="SHA-512" hashValue="IwBJuZVFIifEpA4xTQxm1k+C3t74rnnWMOEKfLgiklLPSAJN1lV6OKxaOQDc/2td2nQ2qMYap4A1ancYJiRktQ==" saltValue="nFBq/miCTFmMCd1lFmF1xQ==" spinCount="100000" sheet="1" objects="1" scenarios="1"/>
  <conditionalFormatting sqref="I9:M10 H17:N25 O18:O25 P17:P25 K11:M15 I11:J16 Q9:Q29">
    <cfRule type="containsBlanks" dxfId="639" priority="28">
      <formula>LEN(TRIM(H9))=0</formula>
    </cfRule>
  </conditionalFormatting>
  <conditionalFormatting sqref="N9">
    <cfRule type="containsBlanks" dxfId="638" priority="23">
      <formula>LEN(TRIM(N9))=0</formula>
    </cfRule>
  </conditionalFormatting>
  <conditionalFormatting sqref="O9">
    <cfRule type="containsBlanks" dxfId="637" priority="22">
      <formula>LEN(TRIM(O9))=0</formula>
    </cfRule>
  </conditionalFormatting>
  <conditionalFormatting sqref="N10:N15">
    <cfRule type="containsBlanks" dxfId="636" priority="20">
      <formula>LEN(TRIM(N10))=0</formula>
    </cfRule>
  </conditionalFormatting>
  <conditionalFormatting sqref="O10:O15 O17">
    <cfRule type="containsBlanks" dxfId="635" priority="18">
      <formula>LEN(TRIM(O10))=0</formula>
    </cfRule>
  </conditionalFormatting>
  <conditionalFormatting sqref="K16:M16">
    <cfRule type="containsBlanks" dxfId="634" priority="15">
      <formula>LEN(TRIM(K16))=0</formula>
    </cfRule>
  </conditionalFormatting>
  <conditionalFormatting sqref="N16">
    <cfRule type="containsBlanks" dxfId="633" priority="14">
      <formula>LEN(TRIM(N16))=0</formula>
    </cfRule>
  </conditionalFormatting>
  <conditionalFormatting sqref="O16">
    <cfRule type="containsBlanks" dxfId="632" priority="13">
      <formula>LEN(TRIM(O16))=0</formula>
    </cfRule>
  </conditionalFormatting>
  <conditionalFormatting sqref="H9:H15">
    <cfRule type="containsBlanks" dxfId="631" priority="12">
      <formula>LEN(TRIM(H9))=0</formula>
    </cfRule>
  </conditionalFormatting>
  <conditionalFormatting sqref="H16">
    <cfRule type="containsBlanks" dxfId="630" priority="11">
      <formula>LEN(TRIM(H16))=0</formula>
    </cfRule>
  </conditionalFormatting>
  <conditionalFormatting sqref="P9">
    <cfRule type="containsBlanks" dxfId="629" priority="10">
      <formula>LEN(TRIM(P9))=0</formula>
    </cfRule>
  </conditionalFormatting>
  <conditionalFormatting sqref="P16">
    <cfRule type="containsBlanks" dxfId="628" priority="7">
      <formula>LEN(TRIM(P16))=0</formula>
    </cfRule>
  </conditionalFormatting>
  <conditionalFormatting sqref="P10:P15">
    <cfRule type="containsBlanks" dxfId="627" priority="8">
      <formula>LEN(TRIM(P10))=0</formula>
    </cfRule>
  </conditionalFormatting>
  <conditionalFormatting sqref="H26:P26">
    <cfRule type="containsBlanks" dxfId="626" priority="6">
      <formula>LEN(TRIM(H26))=0</formula>
    </cfRule>
  </conditionalFormatting>
  <conditionalFormatting sqref="R17:R19">
    <cfRule type="containsBlanks" dxfId="625" priority="5">
      <formula>LEN(TRIM(R17))=0</formula>
    </cfRule>
  </conditionalFormatting>
  <conditionalFormatting sqref="R9:R15">
    <cfRule type="containsBlanks" dxfId="624" priority="4">
      <formula>LEN(TRIM(R9))=0</formula>
    </cfRule>
  </conditionalFormatting>
  <conditionalFormatting sqref="R16">
    <cfRule type="containsBlanks" dxfId="623" priority="3">
      <formula>LEN(TRIM(R16))=0</formula>
    </cfRule>
  </conditionalFormatting>
  <conditionalFormatting sqref="R20:R26">
    <cfRule type="containsBlanks" dxfId="622" priority="1">
      <formula>LEN(TRIM(R20))=0</formula>
    </cfRule>
  </conditionalFormatting>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A1" display="'M04-S09'!A1" xr:uid="{5D050FF6-67C2-482B-BDDB-0DCA0757B50E}"/>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pageSetUpPr fitToPage="1"/>
  </sheetPr>
  <dimension ref="A1:BL204"/>
  <sheetViews>
    <sheetView showGridLines="0" showRowColHeaders="0" zoomScale="85" zoomScaleNormal="85" workbookViewId="0">
      <selection activeCell="C18" sqref="C18:E19"/>
    </sheetView>
  </sheetViews>
  <sheetFormatPr defaultColWidth="0" defaultRowHeight="15" customHeight="1" zeroHeight="1"/>
  <cols>
    <col min="1" max="45" width="4.7109375" style="180" customWidth="1"/>
    <col min="46" max="47" width="9.42578125" style="180" hidden="1" customWidth="1"/>
    <col min="48" max="48" width="15.7109375" style="180" hidden="1" customWidth="1"/>
    <col min="49" max="64" width="9.42578125" style="180" hidden="1" customWidth="1"/>
    <col min="65" max="71" width="4.7109375" style="180" hidden="1" customWidth="1"/>
    <col min="72" max="16384" width="4.7109375" style="180" hidden="1"/>
  </cols>
  <sheetData>
    <row r="1" spans="1:64" customFormat="1"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row>
    <row r="5" spans="1:64" ht="15.95" customHeight="1">
      <c r="A5" s="1046"/>
      <c r="B5" s="1046"/>
      <c r="C5" s="1046"/>
      <c r="D5" s="1046"/>
      <c r="E5" s="1046"/>
      <c r="AO5" s="1117">
        <f ca="1">PROGRESSSTATUS</f>
        <v>0</v>
      </c>
      <c r="AP5" s="1117"/>
      <c r="AQ5" s="1117"/>
      <c r="AR5" s="1117"/>
      <c r="AS5" s="1117"/>
      <c r="AT5" s="40"/>
      <c r="AU5" s="194" t="s">
        <v>1438</v>
      </c>
      <c r="AV5" s="194" t="s">
        <v>336</v>
      </c>
      <c r="AW5" s="197"/>
      <c r="AX5" s="197"/>
    </row>
    <row r="6" spans="1:64" ht="15.95" customHeight="1">
      <c r="A6" s="1046"/>
      <c r="B6" s="1046"/>
      <c r="C6" s="1046"/>
      <c r="D6" s="1046"/>
      <c r="E6" s="1046"/>
      <c r="AO6" s="1117"/>
      <c r="AP6" s="1117"/>
      <c r="AQ6" s="1117"/>
      <c r="AR6" s="1117"/>
      <c r="AS6" s="1117"/>
      <c r="AT6" s="193" t="s">
        <v>1443</v>
      </c>
      <c r="AU6" s="192" t="str">
        <f>CBPRESE</f>
        <v>NA</v>
      </c>
      <c r="AV6" s="286" t="str">
        <f>PAYPRESE</f>
        <v>NA</v>
      </c>
      <c r="AW6" s="197"/>
      <c r="AX6" s="197"/>
    </row>
    <row r="7" spans="1:64" ht="15.95" customHeight="1">
      <c r="A7" s="725" t="s">
        <v>83</v>
      </c>
      <c r="B7" s="725"/>
      <c r="C7" s="725"/>
      <c r="D7" s="725"/>
      <c r="E7" s="725"/>
      <c r="AO7" s="725" t="s">
        <v>309</v>
      </c>
      <c r="AP7" s="725"/>
      <c r="AQ7" s="725"/>
      <c r="AR7" s="725"/>
      <c r="AS7" s="725"/>
      <c r="AT7" s="193" t="s">
        <v>144</v>
      </c>
      <c r="AU7" s="192" t="str">
        <f>CBCUSE</f>
        <v>NA</v>
      </c>
      <c r="AV7" s="286" t="str">
        <f>PAYCUSE</f>
        <v>NA</v>
      </c>
      <c r="AW7" s="197"/>
      <c r="AX7" s="197"/>
    </row>
    <row r="8" spans="1:64" ht="15.95" customHeight="1" thickBot="1">
      <c r="A8" s="774"/>
      <c r="B8" s="774"/>
      <c r="C8" s="774"/>
      <c r="D8" s="774"/>
      <c r="E8" s="725"/>
      <c r="AO8" s="749" t="str">
        <f ca="1">PROJSTATUS</f>
        <v>Enter Measures</v>
      </c>
      <c r="AP8" s="749"/>
      <c r="AQ8" s="749"/>
      <c r="AR8" s="749"/>
      <c r="AS8" s="749"/>
      <c r="AT8" s="193" t="s">
        <v>651</v>
      </c>
      <c r="AU8" s="192" t="str">
        <f>CBALL</f>
        <v>NA</v>
      </c>
      <c r="AV8" s="286" t="str">
        <f>PAYALL</f>
        <v>NA</v>
      </c>
      <c r="AW8" s="197"/>
      <c r="AX8" s="197"/>
    </row>
    <row r="9" spans="1:64" s="148" customFormat="1" ht="15.95" customHeight="1">
      <c r="B9" s="179"/>
      <c r="C9" s="179"/>
      <c r="D9" s="179"/>
      <c r="E9" s="182"/>
      <c r="F9" s="181"/>
      <c r="G9" s="181"/>
      <c r="H9" s="910" t="str">
        <f>M3S2</f>
        <v>Lighting</v>
      </c>
      <c r="I9" s="911"/>
      <c r="J9" s="911"/>
      <c r="K9" s="911"/>
      <c r="L9" s="910" t="str">
        <f>M3S3</f>
        <v>Lighting Controls</v>
      </c>
      <c r="M9" s="911"/>
      <c r="N9" s="911"/>
      <c r="O9" s="911"/>
      <c r="P9" s="910" t="str">
        <f>M3S4</f>
        <v>Refrigeration</v>
      </c>
      <c r="Q9" s="911"/>
      <c r="R9" s="911"/>
      <c r="S9" s="911"/>
      <c r="T9" s="910" t="str">
        <f>M3S5</f>
        <v>HVAC</v>
      </c>
      <c r="U9" s="911"/>
      <c r="V9" s="911"/>
      <c r="W9" s="911"/>
      <c r="X9" s="910" t="str">
        <f>M4S8</f>
        <v>Motors and Drives</v>
      </c>
      <c r="Y9" s="911"/>
      <c r="Z9" s="911"/>
      <c r="AA9" s="911"/>
      <c r="AB9" s="913" t="str">
        <f>M3S6</f>
        <v>Compressed Air / Process</v>
      </c>
      <c r="AC9" s="913"/>
      <c r="AD9" s="913"/>
      <c r="AE9" s="913"/>
      <c r="AF9" s="910" t="str">
        <f>M3S7</f>
        <v>Water Heating / Food Services</v>
      </c>
      <c r="AG9" s="911"/>
      <c r="AH9" s="911"/>
      <c r="AI9" s="911"/>
      <c r="AJ9" s="910" t="str">
        <f>M4S9</f>
        <v>Miscellaneous</v>
      </c>
      <c r="AK9" s="911"/>
      <c r="AL9" s="911"/>
      <c r="AM9" s="911"/>
      <c r="AN9" s="179"/>
      <c r="AO9" s="357"/>
      <c r="AP9" s="235"/>
      <c r="AQ9" s="352"/>
      <c r="AR9" s="352"/>
      <c r="AS9" s="336"/>
    </row>
    <row r="10" spans="1:64" s="148" customFormat="1" ht="15.95" customHeight="1">
      <c r="B10" s="152"/>
      <c r="C10" s="152"/>
      <c r="D10" s="152"/>
      <c r="E10" s="13"/>
      <c r="F10" s="183"/>
      <c r="G10" s="183"/>
      <c r="H10" s="912"/>
      <c r="I10" s="912"/>
      <c r="J10" s="912"/>
      <c r="K10" s="912"/>
      <c r="L10" s="912"/>
      <c r="M10" s="912"/>
      <c r="N10" s="912"/>
      <c r="O10" s="912"/>
      <c r="P10" s="912"/>
      <c r="Q10" s="912"/>
      <c r="R10" s="912"/>
      <c r="S10" s="912"/>
      <c r="T10" s="912"/>
      <c r="U10" s="912"/>
      <c r="V10" s="912"/>
      <c r="W10" s="912"/>
      <c r="X10" s="912"/>
      <c r="Y10" s="912"/>
      <c r="Z10" s="912"/>
      <c r="AA10" s="912"/>
      <c r="AB10" s="914"/>
      <c r="AC10" s="914"/>
      <c r="AD10" s="914"/>
      <c r="AE10" s="914"/>
      <c r="AF10" s="912"/>
      <c r="AG10" s="912"/>
      <c r="AH10" s="912"/>
      <c r="AI10" s="912"/>
      <c r="AJ10" s="912"/>
      <c r="AK10" s="912"/>
      <c r="AL10" s="912"/>
      <c r="AM10" s="912"/>
      <c r="AN10" s="152"/>
      <c r="AO10" s="334"/>
      <c r="AP10" s="235"/>
      <c r="AQ10" s="344"/>
      <c r="AR10" s="344"/>
      <c r="AS10" s="336"/>
    </row>
    <row r="11" spans="1:64" ht="15.95" customHeight="1">
      <c r="B11" s="295"/>
      <c r="C11" s="295"/>
      <c r="D11" s="190"/>
      <c r="E11" s="13"/>
      <c r="F11" s="13"/>
      <c r="G11" s="13"/>
      <c r="H11" s="912"/>
      <c r="I11" s="912"/>
      <c r="J11" s="912"/>
      <c r="K11" s="912"/>
      <c r="L11" s="912"/>
      <c r="M11" s="912"/>
      <c r="N11" s="912"/>
      <c r="O11" s="912"/>
      <c r="P11" s="912"/>
      <c r="Q11" s="912"/>
      <c r="R11" s="912"/>
      <c r="S11" s="912"/>
      <c r="T11" s="912"/>
      <c r="U11" s="912"/>
      <c r="V11" s="912"/>
      <c r="W11" s="912"/>
      <c r="X11" s="912"/>
      <c r="Y11" s="912"/>
      <c r="Z11" s="912"/>
      <c r="AA11" s="912"/>
      <c r="AB11" s="914"/>
      <c r="AC11" s="914"/>
      <c r="AD11" s="914"/>
      <c r="AE11" s="914"/>
      <c r="AF11" s="912"/>
      <c r="AG11" s="912"/>
      <c r="AH11" s="912"/>
      <c r="AI11" s="912"/>
      <c r="AJ11" s="912"/>
      <c r="AK11" s="912"/>
      <c r="AL11" s="912"/>
      <c r="AM11" s="912"/>
      <c r="AN11" s="394"/>
      <c r="AO11" s="334"/>
      <c r="AP11" s="235"/>
      <c r="AQ11" s="337"/>
      <c r="AR11" s="337"/>
      <c r="AS11" s="235"/>
    </row>
    <row r="12" spans="1:64" ht="15.95" customHeight="1">
      <c r="A12" s="185"/>
      <c r="B12" s="185"/>
      <c r="C12" s="185"/>
      <c r="D12" s="185"/>
      <c r="E12" s="185"/>
      <c r="R12" s="916">
        <f>SUM(AN18:AQ184)</f>
        <v>0</v>
      </c>
      <c r="S12" s="916"/>
      <c r="T12" s="916"/>
      <c r="U12" s="916"/>
      <c r="V12" s="916">
        <f ca="1">SUMIF(AN18:AQ184,"&gt;0",AH18:AJ184)</f>
        <v>0</v>
      </c>
      <c r="W12" s="916"/>
      <c r="X12" s="916"/>
      <c r="Y12" s="916"/>
      <c r="Z12" s="915">
        <f ca="1">SUMIF(AN18:AQ184,"&gt;0",AK18:AM184)</f>
        <v>0</v>
      </c>
      <c r="AA12" s="915"/>
      <c r="AB12" s="915"/>
      <c r="AC12" s="915"/>
      <c r="AO12" s="235"/>
      <c r="AP12" s="235"/>
      <c r="AQ12" s="235"/>
      <c r="AR12" s="235"/>
      <c r="AS12" s="235"/>
    </row>
    <row r="13" spans="1:64" ht="15.95" customHeight="1">
      <c r="A13" s="185"/>
      <c r="B13" s="185"/>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c r="AJ13"/>
      <c r="AK13"/>
      <c r="AL13"/>
      <c r="AM13"/>
      <c r="AN13"/>
      <c r="AO13" s="235"/>
      <c r="AP13" s="235"/>
      <c r="AQ13" s="235"/>
      <c r="AR13" s="235"/>
      <c r="AS13" s="235"/>
    </row>
    <row r="14" spans="1:64" ht="15.95" customHeight="1">
      <c r="R14" s="860" t="s">
        <v>1979</v>
      </c>
      <c r="S14" s="860"/>
      <c r="T14" s="860"/>
      <c r="U14" s="860"/>
      <c r="V14" s="860" t="s">
        <v>67</v>
      </c>
      <c r="W14" s="860"/>
      <c r="X14" s="860"/>
      <c r="Y14" s="860"/>
      <c r="Z14" s="860" t="s">
        <v>1248</v>
      </c>
      <c r="AA14" s="860"/>
      <c r="AB14" s="860"/>
      <c r="AC14" s="860"/>
      <c r="AO14" s="235"/>
      <c r="AP14" s="235"/>
      <c r="AQ14" s="235"/>
      <c r="AR14" s="235"/>
      <c r="AS14" s="235"/>
    </row>
    <row r="15" spans="1:64" ht="15.95" customHeight="1">
      <c r="AO15" s="235"/>
      <c r="AP15" s="235"/>
      <c r="AQ15" s="235"/>
      <c r="AR15" s="235"/>
      <c r="AS15" s="235"/>
    </row>
    <row r="16" spans="1:64" ht="15.95" customHeight="1">
      <c r="C16" s="836" t="s">
        <v>1429</v>
      </c>
      <c r="D16" s="836"/>
      <c r="E16" s="836"/>
      <c r="F16" s="836" t="s">
        <v>1350</v>
      </c>
      <c r="G16" s="836"/>
      <c r="H16" s="836"/>
      <c r="I16" s="836"/>
      <c r="J16" s="836"/>
      <c r="K16" s="836"/>
      <c r="L16" s="836" t="s">
        <v>1430</v>
      </c>
      <c r="M16" s="836"/>
      <c r="N16" s="836"/>
      <c r="O16" s="836"/>
      <c r="P16" s="836" t="s">
        <v>74</v>
      </c>
      <c r="Q16" s="836"/>
      <c r="R16" s="836" t="s">
        <v>1431</v>
      </c>
      <c r="S16" s="836"/>
      <c r="T16" s="836" t="s">
        <v>1432</v>
      </c>
      <c r="U16" s="836"/>
      <c r="V16" s="836"/>
      <c r="W16" s="836"/>
      <c r="X16" s="836" t="s">
        <v>74</v>
      </c>
      <c r="Y16" s="836"/>
      <c r="Z16" s="836" t="s">
        <v>1431</v>
      </c>
      <c r="AA16" s="836"/>
      <c r="AB16" s="836" t="s">
        <v>1433</v>
      </c>
      <c r="AC16" s="836"/>
      <c r="AD16" s="1134" t="s">
        <v>1377</v>
      </c>
      <c r="AE16" s="1134"/>
      <c r="AF16" s="1134"/>
      <c r="AG16" s="1134"/>
      <c r="AH16" s="836" t="s">
        <v>1425</v>
      </c>
      <c r="AI16" s="836"/>
      <c r="AJ16" s="836"/>
      <c r="AK16" s="836" t="s">
        <v>1187</v>
      </c>
      <c r="AL16" s="836"/>
      <c r="AM16" s="836"/>
      <c r="AN16" s="836" t="s">
        <v>83</v>
      </c>
      <c r="AO16" s="908"/>
      <c r="AP16" s="908"/>
      <c r="AQ16" s="908"/>
      <c r="AR16" s="354"/>
      <c r="AS16" s="354"/>
      <c r="AT16" s="858" t="s">
        <v>141</v>
      </c>
      <c r="AU16" s="858" t="s">
        <v>336</v>
      </c>
      <c r="AV16" s="858" t="s">
        <v>1195</v>
      </c>
      <c r="AW16" s="858" t="s">
        <v>699</v>
      </c>
      <c r="AX16" s="858" t="s">
        <v>1376</v>
      </c>
      <c r="AY16" s="858" t="s">
        <v>88</v>
      </c>
      <c r="AZ16" s="858" t="s">
        <v>1426</v>
      </c>
      <c r="BA16" s="858" t="s">
        <v>1428</v>
      </c>
      <c r="BB16" s="858" t="s">
        <v>1645</v>
      </c>
      <c r="BC16" s="1030" t="s">
        <v>2495</v>
      </c>
      <c r="BD16" s="1030" t="s">
        <v>780</v>
      </c>
      <c r="BE16" s="858" t="s">
        <v>1982</v>
      </c>
      <c r="BF16" s="858" t="s">
        <v>1983</v>
      </c>
      <c r="BG16" s="858" t="s">
        <v>2046</v>
      </c>
      <c r="BH16" s="858" t="s">
        <v>85</v>
      </c>
      <c r="BI16" s="1132" t="s">
        <v>1427</v>
      </c>
      <c r="BJ16" s="1132" t="s">
        <v>319</v>
      </c>
      <c r="BK16" s="932" t="s">
        <v>2500</v>
      </c>
      <c r="BL16" s="932" t="s">
        <v>2893</v>
      </c>
    </row>
    <row r="17" spans="1:64" ht="15.95" customHeight="1" thickBot="1">
      <c r="B17" s="36"/>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837"/>
      <c r="AI17" s="837"/>
      <c r="AJ17" s="837"/>
      <c r="AK17" s="837"/>
      <c r="AL17" s="837"/>
      <c r="AM17" s="837"/>
      <c r="AN17" s="837"/>
      <c r="AO17" s="909"/>
      <c r="AP17" s="909"/>
      <c r="AQ17" s="909"/>
      <c r="AR17" s="355"/>
      <c r="AS17" s="355"/>
      <c r="AT17" s="859"/>
      <c r="AU17" s="859"/>
      <c r="AV17" s="859"/>
      <c r="AW17" s="859"/>
      <c r="AX17" s="859"/>
      <c r="AY17" s="859"/>
      <c r="AZ17" s="859"/>
      <c r="BA17" s="859"/>
      <c r="BB17" s="859"/>
      <c r="BC17" s="1031"/>
      <c r="BD17" s="1031"/>
      <c r="BE17" s="859"/>
      <c r="BF17" s="859"/>
      <c r="BG17" s="859"/>
      <c r="BH17" s="859"/>
      <c r="BI17" s="1133"/>
      <c r="BJ17" s="1133"/>
      <c r="BK17" s="933"/>
      <c r="BL17" s="933"/>
    </row>
    <row r="18" spans="1:64" ht="15.95" customHeight="1">
      <c r="B18" s="905">
        <v>1</v>
      </c>
      <c r="C18" s="1036"/>
      <c r="D18" s="1036"/>
      <c r="E18" s="1036"/>
      <c r="F18" s="1036"/>
      <c r="G18" s="1036"/>
      <c r="H18" s="1036"/>
      <c r="I18" s="1036"/>
      <c r="J18" s="1036"/>
      <c r="K18" s="1038"/>
      <c r="L18" s="1146"/>
      <c r="M18" s="1145"/>
      <c r="N18" s="1145"/>
      <c r="O18" s="1145"/>
      <c r="P18" s="1142"/>
      <c r="Q18" s="1142"/>
      <c r="R18" s="1142"/>
      <c r="S18" s="1151"/>
      <c r="T18" s="1146"/>
      <c r="U18" s="1145"/>
      <c r="V18" s="1145"/>
      <c r="W18" s="1145"/>
      <c r="X18" s="1142"/>
      <c r="Y18" s="1142"/>
      <c r="Z18" s="1142"/>
      <c r="AA18" s="1151"/>
      <c r="AB18" s="1154" t="str">
        <f t="shared" ref="AB18" si="0">IF(OR(C18="New Construction",C18="Replace Failed Equip."),"Incremental",IF(C18="Retrofit","Total",""))</f>
        <v/>
      </c>
      <c r="AC18" s="1155"/>
      <c r="AD18" s="1124"/>
      <c r="AE18" s="1124"/>
      <c r="AF18" s="1125" t="str">
        <f>IF(AB18="Incremental",0,"")</f>
        <v/>
      </c>
      <c r="AG18" s="1126"/>
      <c r="AH18" s="1067" t="str">
        <f>IF(OR(C18="",F18="",L18="",P18="",R18="",T18="",X18="",Z18="",AB18="",AD18="",AF18=""),"",ROUND(AD18+AF18,2))</f>
        <v/>
      </c>
      <c r="AI18" s="1068"/>
      <c r="AJ18" s="1068"/>
      <c r="AK18" s="1081" t="str">
        <f>IF(OR(C18="",F18="",L18="",P18="",R18="",T18="",X18="",Z18="",AB18="",AD18="",AF18=""),"",IF(AW18-AX18&lt;=0,0,ROUND(AW18-AX18,4)))</f>
        <v/>
      </c>
      <c r="AL18" s="1081"/>
      <c r="AM18" s="1081"/>
      <c r="AN18" s="1047" t="str">
        <f>IF(OR(C18="",F18="",L18="",P18="",R18="",T18="",X18="",Z18="",AB18="",AD18="",AF18=""),"",
IF(BJ18&lt;&gt;"",BJ18,IF(BL18&gt;0,BL18,
IF(AB18="Incremental",
IF(ACTIVEBLOCK="Yes",ROUND(MIN(AH18*INCCOSTCAP,AK18*BLOCKBIDRATE),2),
IF(BG18&lt;&gt;"",ROUND(MIN(AH18*INCCOSTCAP,BG18),2),
IF(BD18&lt;KWHRATEMIN,ROUND(MIN(AH18*INCCOSTCAP,BE18),2),
IF(BD18&gt;KWHRATEMAX,ROUND(MIN(AH18*INCCOSTCAP,BF18),2),
ROUND(MIN(AH18*INCCOSTCAP,BC18),2))))),
IF(ACTIVEBLOCK="Yes",ROUND(MIN(AH18*TOTCOSTCAP,AK18*BLOCKBIDRATE),2),
IF(BG18&lt;&gt;"",ROUND(MIN(AH18*TOTCOSTCAP,BG18),2),
IF(BD18&lt;KWHRATEMIN,ROUND(MIN(AH18*TOTCOSTCAP,BE18),2),
IF(BD18&gt;KWHRATEMAX,ROUND(MIN(AH18*TOTCOSTCAP,BF18),2),
ROUND(MIN(AH18*TOTCOSTCAP,BC18),2)))))))))</f>
        <v/>
      </c>
      <c r="AO18" s="1048"/>
      <c r="AP18" s="1048"/>
      <c r="AQ18" s="1048"/>
      <c r="AR18" s="355"/>
      <c r="AS18" s="355"/>
      <c r="AT18" s="1112" t="str">
        <f>IFERROR(IF(OR(C18="",F18="",L18="",P18="",R18="",T18="",X18="",Z18="",AB18="",AD18="",AF18=""),"",
ROUND(((1+ELOSS)*((AK18*INDEX(ELECCB[NPV AEC $/kWh],MATCH(AY18,ELECCB[Year Number],1)))+(BA18*INDEX(ELECCB[NPV ACC $/kW],MATCH(AY18,ELECCB[Year Number],1))))/AH18),2)),0)</f>
        <v/>
      </c>
      <c r="AU18" s="1112" t="str">
        <f>IFERROR(AH18/M02S04F06/AK18,"")</f>
        <v/>
      </c>
      <c r="AV18" s="1108" t="str">
        <f>IF(OR(C18="",F18=""),"",INDEX(CMECOMPAIR[Unit of Measure],MATCH(F18,CMECOMPAIR[Proj Desc 1],0)))</f>
        <v/>
      </c>
      <c r="AW18" s="1103" t="str">
        <f>IF(OR(C18="",F18="",L18="",P18="",R18="",T18="",X18="",Z18="",AB18="",AD18="",AF18=""),"",ROUND(P18*R18,4))</f>
        <v/>
      </c>
      <c r="AX18" s="1103" t="str">
        <f>IF(OR(C18="",F18="",L18="",P18="",R18="",T18="",X18="",Z18="",AB18="",AD18="",AF18=""),"",ROUND(X18*Z18,4))</f>
        <v/>
      </c>
      <c r="AY18" s="1113" t="str">
        <f>IF(OR(C18="",F18=""),"",IF(INDEX(CMECOMPAIR[EUL],MATCH(F18,CMECOMPAIR[Proj Desc 1],0))="","",INDEX(CMECOMPAIR[EUL],MATCH(F18,CMECOMPAIR[Proj Desc 1],0))))</f>
        <v/>
      </c>
      <c r="AZ18" s="1115" t="str">
        <f>IF(OR(C18="",F18=""),"",IF(INDEX(CMECOMPAIR[End Use Category],MATCH(F18,CMECOMPAIR[Proj Desc 1],0))="","",INDEX(CMECOMPAIR[End Use Category],MATCH(F18,CMECOMPAIR[Proj Desc 1],0))))</f>
        <v/>
      </c>
      <c r="BA18" s="1027" t="str">
        <f>IFERROR(IF(OR(C18="",F18="",L18="",P18="",R18="",T18="",X18="",Z18="",AB18="",AD18="",AF18=""),"",ROUND(AK18*INDEX(ENDUSEALL[Factor],MATCH(AZ18,ENDUSEALL[End Use to Coincident Peak Demand Factors],0)),4)),"")</f>
        <v/>
      </c>
      <c r="BB18" s="1120"/>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IF(OR(C18="",F18="",L18="",P18="",R18="",T18="",X18="",Z18="",AB18="",AD18="",AF18=""),"",IF(BJ18&lt;&gt;"",SPILLOVERNUMBER,INDEX(CMECOMPAIR[Measure Number],MATCH(F18,CMECOMPAIR[Proj Desc 1],0))))</f>
        <v/>
      </c>
      <c r="BI18" s="1108" t="str">
        <f>IFERROR(IF(AND(AB18="Total",ROUND(AN18/AH18,2)=TOTCOSTCAP),"75% Total Cost",
IF(AND(AB18="Incremental",AH18=AN18),"100% Incremental Cost",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IF(AND((ISNUMBER(SEARCH("Other",F18))),OR(AY18="",AZ18="")),MEASURESUBMIT,
 IF(PAYCUSE&lt;PAYBACKREQ,PROJECTSTATPAYBACK,
IF(CBCUSE&lt;CBREQ,PROJECTSTATCB,""))))))),MEASURESUBMIT)</f>
        <v>Submit for Review</v>
      </c>
      <c r="BK18" s="930" t="str">
        <f>IFERROR(IF(OR(C18="",F18="",L18="",P18="",R18="",T18="",X18="",Z18="",AB18="",AD18="",AF18=""),"",
ROUND(((1+ELOSS)*((AK18*INDEX(ELECCB[NPV AEC $/kWh],MATCH(AY18,ELECCB[Year Number],1)))+(BA18*INDEX(ELECCB[NPV ACC $/kW],MATCH(AY18,ELECCB[Year Number],1))))),2)),0)</f>
        <v/>
      </c>
      <c r="BL18" s="1118"/>
    </row>
    <row r="19" spans="1:64" ht="15.95" customHeight="1">
      <c r="B19" s="905"/>
      <c r="C19" s="1037"/>
      <c r="D19" s="1037"/>
      <c r="E19" s="1037"/>
      <c r="F19" s="1037"/>
      <c r="G19" s="1037"/>
      <c r="H19" s="1037"/>
      <c r="I19" s="1037"/>
      <c r="J19" s="1037"/>
      <c r="K19" s="1039"/>
      <c r="L19" s="1040"/>
      <c r="M19" s="1037"/>
      <c r="N19" s="1037"/>
      <c r="O19" s="1037"/>
      <c r="P19" s="1041"/>
      <c r="Q19" s="1041"/>
      <c r="R19" s="1041"/>
      <c r="S19" s="1152"/>
      <c r="T19" s="1040"/>
      <c r="U19" s="1037"/>
      <c r="V19" s="1037"/>
      <c r="W19" s="1037"/>
      <c r="X19" s="1041"/>
      <c r="Y19" s="1041"/>
      <c r="Z19" s="1041"/>
      <c r="AA19" s="1152"/>
      <c r="AB19" s="1156"/>
      <c r="AC19" s="1157"/>
      <c r="AD19" s="1054"/>
      <c r="AE19" s="1054"/>
      <c r="AF19" s="1127"/>
      <c r="AG19" s="1128"/>
      <c r="AH19" s="1064"/>
      <c r="AI19" s="1065"/>
      <c r="AJ19" s="1065"/>
      <c r="AK19" s="1066"/>
      <c r="AL19" s="1066"/>
      <c r="AM19" s="1066"/>
      <c r="AN19" s="1049"/>
      <c r="AO19" s="1050"/>
      <c r="AP19" s="1050"/>
      <c r="AQ19" s="1050"/>
      <c r="AR19" s="355"/>
      <c r="AS19" s="355"/>
      <c r="AT19" s="1104"/>
      <c r="AU19" s="1104"/>
      <c r="AV19" s="1105"/>
      <c r="AW19" s="1025"/>
      <c r="AX19" s="1025"/>
      <c r="AY19" s="1114"/>
      <c r="AZ19" s="1116"/>
      <c r="BA19" s="1109"/>
      <c r="BB19" s="1121"/>
      <c r="BC19" s="931"/>
      <c r="BD19" s="931"/>
      <c r="BE19" s="931"/>
      <c r="BF19" s="931"/>
      <c r="BG19" s="931"/>
      <c r="BH19" s="1107"/>
      <c r="BI19" s="1105"/>
      <c r="BJ19" s="1105"/>
      <c r="BK19" s="931"/>
      <c r="BL19" s="1119"/>
    </row>
    <row r="20" spans="1:64" ht="15.95" customHeight="1">
      <c r="A20" s="145"/>
      <c r="B20" s="905">
        <v>2</v>
      </c>
      <c r="C20" s="1037"/>
      <c r="D20" s="1037"/>
      <c r="E20" s="1037"/>
      <c r="F20" s="1037"/>
      <c r="G20" s="1037"/>
      <c r="H20" s="1037"/>
      <c r="I20" s="1037"/>
      <c r="J20" s="1037"/>
      <c r="K20" s="1039"/>
      <c r="L20" s="1040"/>
      <c r="M20" s="1037"/>
      <c r="N20" s="1037"/>
      <c r="O20" s="1037"/>
      <c r="P20" s="1041"/>
      <c r="Q20" s="1041"/>
      <c r="R20" s="1041"/>
      <c r="S20" s="1152"/>
      <c r="T20" s="1040"/>
      <c r="U20" s="1037"/>
      <c r="V20" s="1037"/>
      <c r="W20" s="1037"/>
      <c r="X20" s="1041"/>
      <c r="Y20" s="1041"/>
      <c r="Z20" s="1041"/>
      <c r="AA20" s="1152"/>
      <c r="AB20" s="1156" t="str">
        <f t="shared" ref="AB20" si="1">IF(OR(C20="New Construction",C20="Replace Failed Equip."),"Incremental",IF(C20="Retrofit","Total",""))</f>
        <v/>
      </c>
      <c r="AC20" s="1157"/>
      <c r="AD20" s="1054"/>
      <c r="AE20" s="1054"/>
      <c r="AF20" s="1127" t="str">
        <f>IF(AB20="Incremental",0,"")</f>
        <v/>
      </c>
      <c r="AG20" s="1128"/>
      <c r="AH20" s="1064" t="str">
        <f t="shared" ref="AH20" si="2">IF(OR(C20="",F20="",L20="",P20="",R20="",T20="",X20="",Z20="",AB20="",AD20="",AF20=""),"",ROUND(AD20+AF20,2))</f>
        <v/>
      </c>
      <c r="AI20" s="1065"/>
      <c r="AJ20" s="1065"/>
      <c r="AK20" s="1081" t="str">
        <f t="shared" ref="AK20" si="3">IF(OR(C20="",F20="",L20="",P20="",R20="",T20="",X20="",Z20="",AB20="",AD20="",AF20=""),"",IF(AW20-AX20&lt;=0,0,ROUND(AW20-AX20,4)))</f>
        <v/>
      </c>
      <c r="AL20" s="1081"/>
      <c r="AM20" s="1081"/>
      <c r="AN20" s="1047" t="str">
        <f>IF(OR(C20="",F20="",L20="",P20="",R20="",T20="",X20="",Z20="",AB20="",AD20="",AF20=""),"",
IF(BJ20&lt;&gt;"",BJ20,IF(BL20&gt;0,BL20,
IF(AB20="Incremental",
IF(ACTIVEBLOCK="Yes",ROUND(MIN(AH20*INCCOSTCAP,AK20*BLOCKBIDRATE),2),
IF(BG20&lt;&gt;"",ROUND(MIN(AH20*INCCOSTCAP,BG20),2),
IF(BD20&lt;KWHRATEMIN,ROUND(MIN(AH20*INCCOSTCAP,BE20),2),
IF(BD20&gt;KWHRATEMAX,ROUND(MIN(AH20*INCCOSTCAP,BF20),2),
ROUND(MIN(AH20*INCCOSTCAP,BC20),2))))),
IF(ACTIVEBLOCK="Yes",ROUND(MIN(AH20*TOTCOSTCAP,AK20*BLOCKBIDRATE),2),
IF(BG20&lt;&gt;"",ROUND(MIN(AH20*TOTCOSTCAP,BG20),2),
IF(BD20&lt;KWHRATEMIN,ROUND(MIN(AH20*TOTCOSTCAP,BE20),2),
IF(BD20&gt;KWHRATEMAX,ROUND(MIN(AH20*TOTCOSTCAP,BF20),2),
ROUND(MIN(AH20*TOTCOSTCAP,BC20),2)))))))))</f>
        <v/>
      </c>
      <c r="AO20" s="1048"/>
      <c r="AP20" s="1048"/>
      <c r="AQ20" s="1048"/>
      <c r="AR20" s="355"/>
      <c r="AS20" s="355"/>
      <c r="AT20" s="1104" t="str">
        <f>IFERROR(IF(OR(C20="",F20="",L20="",P20="",R20="",T20="",X20="",Z20="",AB20="",AD20="",AF20=""),"",
ROUND(((1+ELOSS)*((AK20*INDEX(ELECCB[NPV AEC $/kWh],MATCH(AY20,ELECCB[Year Number],1)))+(BA20*INDEX(ELECCB[NPV ACC $/kW],MATCH(AY20,ELECCB[Year Number],1))))/AH20),2)),0)</f>
        <v/>
      </c>
      <c r="AU20" s="1112" t="str">
        <f>IFERROR(AH20/M02S04F06/AK20,"")</f>
        <v/>
      </c>
      <c r="AV20" s="1108" t="str">
        <f>IF(OR(C20="",F20=""),"",INDEX(CMECOMPAIR[Unit of Measure],MATCH(F20,CMECOMPAIR[Proj Desc 1],0)))</f>
        <v/>
      </c>
      <c r="AW20" s="1103" t="str">
        <f t="shared" ref="AW20" si="4">IF(OR(C20="",F20="",L20="",P20="",R20="",T20="",X20="",Z20="",AB20="",AD20="",AF20=""),"",ROUND(P20*R20,4))</f>
        <v/>
      </c>
      <c r="AX20" s="1103" t="str">
        <f t="shared" ref="AX20" si="5">IF(OR(C20="",F20="",L20="",P20="",R20="",T20="",X20="",Z20="",AB20="",AD20="",AF20=""),"",ROUND(X20*Z20,4))</f>
        <v/>
      </c>
      <c r="AY20" s="1113" t="str">
        <f>IF(OR(C20="",F20=""),"",IF(INDEX(CMECOMPAIR[EUL],MATCH(F20,CMECOMPAIR[Proj Desc 1],0))="","",INDEX(CMECOMPAIR[EUL],MATCH(F20,CMECOMPAIR[Proj Desc 1],0))))</f>
        <v/>
      </c>
      <c r="AZ20" s="1115" t="str">
        <f>IF(OR(C20="",F20=""),"",IF(INDEX(CMECOMPAIR[End Use Category],MATCH(F20,CMECOMPAIR[Proj Desc 1],0))="","",INDEX(CMECOMPAIR[End Use Category],MATCH(F20,CMECOMPAIR[Proj Desc 1],0))))</f>
        <v/>
      </c>
      <c r="BA20" s="1027" t="str">
        <f>IFERROR(IF(OR(C20="",F20="",L20="",P20="",R20="",T20="",X20="",Z20="",AB20="",AD20="",AF20=""),"",ROUND(AK20*INDEX(ENDUSEALL[Factor],MATCH(AZ20,ENDUSEALL[End Use to Coincident Peak Demand Factors],0)),4)),"")</f>
        <v/>
      </c>
      <c r="BB20" s="1120"/>
      <c r="BC20" s="930" t="str">
        <f t="shared" ref="BC20" si="6">IFERROR(ROUND(AK20*BD20,2),"")</f>
        <v/>
      </c>
      <c r="BD20" s="930" t="str">
        <f>IFERROR(INDEX(ENDUSEALL[Rate ($/kWh)],MATCH(AZ20,ENDUSEALL[End Use to Coincident Peak Demand Factors],0)),"")</f>
        <v/>
      </c>
      <c r="BE20" s="931" t="str">
        <f>IFERROR(ROUND(AK20*KWHRATEMIN,2),"")</f>
        <v/>
      </c>
      <c r="BF20" s="931" t="str">
        <f>IFERROR(ROUND(AK20*KWHRATEMAX,2),"")</f>
        <v/>
      </c>
      <c r="BG20" s="930" t="str">
        <f>IFERROR(IF(INDEX(ENDUSEALL[Bonus Rate ($/kWh)],MATCH(AZ20,ENDUSEALL[End Use to Coincident Peak Demand Factors],0))="","",INDEX(ENDUSEALL[Bonus Rate ($/kWh)],MATCH(AZ20,ENDUSEALL[End Use to Coincident Peak Demand Factors],0))*AK20),"")</f>
        <v/>
      </c>
      <c r="BH20" s="1106" t="str">
        <f>IF(OR(C20="",F20="",L20="",P20="",R20="",T20="",X20="",Z20="",AB20="",AD20="",AF20=""),"",IF(BJ20&lt;&gt;"",SPILLOVERNUMBER,INDEX(CMECOMPAIR[Measure Number],MATCH(F20,CMECOMPAIR[Proj Desc 1],0))))</f>
        <v/>
      </c>
      <c r="BI20" s="1108" t="str">
        <f>IFERROR(IF(AND(AB20="Total",ROUND(AN20/AH20,2)=TOTCOSTCAP),"75% Total Cost",
IF(AND(AB20="Incremental",AH20=AN20),"100% Incremental Cost",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IF(AND((ISNUMBER(SEARCH("Other",F20))),OR(AY20="",AZ20="")),MEASURESUBMIT,
 IF(PAYCUSE&lt;PAYBACKREQ,PROJECTSTATPAYBACK,
IF(CBCUSE&lt;CBREQ,PROJECTSTATCB,""))))))),MEASURESUBMIT)</f>
        <v>Submit for Review</v>
      </c>
      <c r="BK20" s="930" t="str">
        <f>IFERROR(IF(OR(C20="",F20="",L20="",P20="",R20="",T20="",X20="",Z20="",AB20="",AD20="",AF20=""),"",
ROUND(((1+ELOSS)*((AK20*INDEX(ELECCB[NPV AEC $/kWh],MATCH(AY20,ELECCB[Year Number],1)))+(BA20*INDEX(ELECCB[NPV ACC $/kW],MATCH(AY20,ELECCB[Year Number],1))))),2)),0)</f>
        <v/>
      </c>
      <c r="BL20" s="1118"/>
    </row>
    <row r="21" spans="1:64" ht="15.95" customHeight="1">
      <c r="B21" s="905"/>
      <c r="C21" s="1037"/>
      <c r="D21" s="1037"/>
      <c r="E21" s="1037"/>
      <c r="F21" s="1037"/>
      <c r="G21" s="1037"/>
      <c r="H21" s="1037"/>
      <c r="I21" s="1037"/>
      <c r="J21" s="1037"/>
      <c r="K21" s="1039"/>
      <c r="L21" s="1040"/>
      <c r="M21" s="1037"/>
      <c r="N21" s="1037"/>
      <c r="O21" s="1037"/>
      <c r="P21" s="1041"/>
      <c r="Q21" s="1041"/>
      <c r="R21" s="1041"/>
      <c r="S21" s="1152"/>
      <c r="T21" s="1040"/>
      <c r="U21" s="1037"/>
      <c r="V21" s="1037"/>
      <c r="W21" s="1037"/>
      <c r="X21" s="1041"/>
      <c r="Y21" s="1041"/>
      <c r="Z21" s="1041"/>
      <c r="AA21" s="1152"/>
      <c r="AB21" s="1156"/>
      <c r="AC21" s="1157"/>
      <c r="AD21" s="1054"/>
      <c r="AE21" s="1054"/>
      <c r="AF21" s="1127"/>
      <c r="AG21" s="1128"/>
      <c r="AH21" s="1064"/>
      <c r="AI21" s="1065"/>
      <c r="AJ21" s="1065"/>
      <c r="AK21" s="1066"/>
      <c r="AL21" s="1066"/>
      <c r="AM21" s="1066"/>
      <c r="AN21" s="1049"/>
      <c r="AO21" s="1050"/>
      <c r="AP21" s="1050"/>
      <c r="AQ21" s="1050"/>
      <c r="AR21" s="355"/>
      <c r="AS21" s="355"/>
      <c r="AT21" s="1104"/>
      <c r="AU21" s="1104"/>
      <c r="AV21" s="1105"/>
      <c r="AW21" s="1025"/>
      <c r="AX21" s="1025"/>
      <c r="AY21" s="1114"/>
      <c r="AZ21" s="1116"/>
      <c r="BA21" s="1109"/>
      <c r="BB21" s="1121"/>
      <c r="BC21" s="931"/>
      <c r="BD21" s="931"/>
      <c r="BE21" s="931"/>
      <c r="BF21" s="931"/>
      <c r="BG21" s="931"/>
      <c r="BH21" s="1107"/>
      <c r="BI21" s="1105"/>
      <c r="BJ21" s="1105"/>
      <c r="BK21" s="931"/>
      <c r="BL21" s="1119"/>
    </row>
    <row r="22" spans="1:64" s="36" customFormat="1" ht="15.95" customHeight="1">
      <c r="A22" s="195"/>
      <c r="B22" s="905">
        <v>3</v>
      </c>
      <c r="C22" s="1037"/>
      <c r="D22" s="1037"/>
      <c r="E22" s="1037"/>
      <c r="F22" s="1037"/>
      <c r="G22" s="1037"/>
      <c r="H22" s="1037"/>
      <c r="I22" s="1037"/>
      <c r="J22" s="1037"/>
      <c r="K22" s="1039"/>
      <c r="L22" s="1040"/>
      <c r="M22" s="1037"/>
      <c r="N22" s="1037"/>
      <c r="O22" s="1037"/>
      <c r="P22" s="1041"/>
      <c r="Q22" s="1041"/>
      <c r="R22" s="1041"/>
      <c r="S22" s="1152"/>
      <c r="T22" s="1040"/>
      <c r="U22" s="1037"/>
      <c r="V22" s="1037"/>
      <c r="W22" s="1037"/>
      <c r="X22" s="1041"/>
      <c r="Y22" s="1041"/>
      <c r="Z22" s="1041"/>
      <c r="AA22" s="1152"/>
      <c r="AB22" s="1156" t="str">
        <f t="shared" ref="AB22" si="7">IF(OR(C22="New Construction",C22="Replace Failed Equip."),"Incremental",IF(C22="Retrofit","Total",""))</f>
        <v/>
      </c>
      <c r="AC22" s="1157"/>
      <c r="AD22" s="1054"/>
      <c r="AE22" s="1054"/>
      <c r="AF22" s="1127" t="str">
        <f t="shared" ref="AF22" si="8">IF(AB22="Incremental",0,"")</f>
        <v/>
      </c>
      <c r="AG22" s="1128"/>
      <c r="AH22" s="1064" t="str">
        <f t="shared" ref="AH22" si="9">IF(OR(C22="",F22="",L22="",P22="",R22="",T22="",X22="",Z22="",AB22="",AD22="",AF22=""),"",ROUND(AD22+AF22,2))</f>
        <v/>
      </c>
      <c r="AI22" s="1065"/>
      <c r="AJ22" s="1065"/>
      <c r="AK22" s="1081" t="str">
        <f t="shared" ref="AK22" si="10">IF(OR(C22="",F22="",L22="",P22="",R22="",T22="",X22="",Z22="",AB22="",AD22="",AF22=""),"",IF(AW22-AX22&lt;=0,0,ROUND(AW22-AX22,4)))</f>
        <v/>
      </c>
      <c r="AL22" s="1081"/>
      <c r="AM22" s="1081"/>
      <c r="AN22" s="1047" t="str">
        <f>IF(OR(C22="",F22="",L22="",P22="",R22="",T22="",X22="",Z22="",AB22="",AD22="",AF22=""),"",
IF(BJ22&lt;&gt;"",BJ22,IF(BL22&gt;0,BL22,
IF(AB22="Incremental",
IF(ACTIVEBLOCK="Yes",ROUND(MIN(AH22*INCCOSTCAP,AK22*BLOCKBIDRATE),2),
IF(BG22&lt;&gt;"",ROUND(MIN(AH22*INCCOSTCAP,BG22),2),
IF(BD22&lt;KWHRATEMIN,ROUND(MIN(AH22*INCCOSTCAP,BE22),2),
IF(BD22&gt;KWHRATEMAX,ROUND(MIN(AH22*INCCOSTCAP,BF22),2),
ROUND(MIN(AH22*INCCOSTCAP,BC22),2))))),
IF(ACTIVEBLOCK="Yes",ROUND(MIN(AH22*TOTCOSTCAP,AK22*BLOCKBIDRATE),2),
IF(BG22&lt;&gt;"",ROUND(MIN(AH22*TOTCOSTCAP,BG22),2),
IF(BD22&lt;KWHRATEMIN,ROUND(MIN(AH22*TOTCOSTCAP,BE22),2),
IF(BD22&gt;KWHRATEMAX,ROUND(MIN(AH22*TOTCOSTCAP,BF22),2),
ROUND(MIN(AH22*TOTCOSTCAP,BC22),2)))))))))</f>
        <v/>
      </c>
      <c r="AO22" s="1048"/>
      <c r="AP22" s="1048"/>
      <c r="AQ22" s="1048"/>
      <c r="AR22" s="354"/>
      <c r="AS22" s="354"/>
      <c r="AT22" s="1104" t="str">
        <f>IFERROR(IF(OR(C22="",F22="",L22="",P22="",R22="",T22="",X22="",Z22="",AB22="",AD22="",AF22=""),"",
ROUND(((1+ELOSS)*((AK22*INDEX(ELECCB[NPV AEC $/kWh],MATCH(AY22,ELECCB[Year Number],1)))+(BA22*INDEX(ELECCB[NPV ACC $/kW],MATCH(AY22,ELECCB[Year Number],1))))/AH22),2)),0)</f>
        <v/>
      </c>
      <c r="AU22" s="1112" t="str">
        <f>IFERROR(AH22/M02S04F06/AK22,"")</f>
        <v/>
      </c>
      <c r="AV22" s="1108" t="str">
        <f>IF(OR(C22="",F22=""),"",INDEX(CMECOMPAIR[Unit of Measure],MATCH(F22,CMECOMPAIR[Proj Desc 1],0)))</f>
        <v/>
      </c>
      <c r="AW22" s="1103" t="str">
        <f t="shared" ref="AW22" si="11">IF(OR(C22="",F22="",L22="",P22="",R22="",T22="",X22="",Z22="",AB22="",AD22="",AF22=""),"",ROUND(P22*R22,4))</f>
        <v/>
      </c>
      <c r="AX22" s="1103" t="str">
        <f t="shared" ref="AX22" si="12">IF(OR(C22="",F22="",L22="",P22="",R22="",T22="",X22="",Z22="",AB22="",AD22="",AF22=""),"",ROUND(X22*Z22,4))</f>
        <v/>
      </c>
      <c r="AY22" s="1113" t="str">
        <f>IF(OR(C22="",F22=""),"",IF(INDEX(CMECOMPAIR[EUL],MATCH(F22,CMECOMPAIR[Proj Desc 1],0))="","",INDEX(CMECOMPAIR[EUL],MATCH(F22,CMECOMPAIR[Proj Desc 1],0))))</f>
        <v/>
      </c>
      <c r="AZ22" s="1115" t="str">
        <f>IF(OR(C22="",F22=""),"",IF(INDEX(CMECOMPAIR[End Use Category],MATCH(F22,CMECOMPAIR[Proj Desc 1],0))="","",INDEX(CMECOMPAIR[End Use Category],MATCH(F22,CMECOMPAIR[Proj Desc 1],0))))</f>
        <v/>
      </c>
      <c r="BA22" s="1027" t="str">
        <f>IFERROR(IF(OR(C22="",F22="",L22="",P22="",R22="",T22="",X22="",Z22="",AB22="",AD22="",AF22=""),"",ROUND(AK22*INDEX(ENDUSEALL[Factor],MATCH(AZ22,ENDUSEALL[End Use to Coincident Peak Demand Factors],0)),4)),"")</f>
        <v/>
      </c>
      <c r="BB22" s="1120"/>
      <c r="BC22" s="930" t="str">
        <f t="shared" ref="BC22" si="13">IFERROR(ROUND(AK22*BD22,2),"")</f>
        <v/>
      </c>
      <c r="BD22" s="930" t="str">
        <f>IFERROR(INDEX(ENDUSEALL[Rate ($/kWh)],MATCH(AZ22,ENDUSEALL[End Use to Coincident Peak Demand Factors],0)),"")</f>
        <v/>
      </c>
      <c r="BE22" s="931" t="str">
        <f>IFERROR(ROUND(AK22*KWHRATEMIN,2),"")</f>
        <v/>
      </c>
      <c r="BF22" s="931" t="str">
        <f>IFERROR(ROUND(AK22*KWHRATEMAX,2),"")</f>
        <v/>
      </c>
      <c r="BG22" s="930" t="str">
        <f>IFERROR(IF(INDEX(ENDUSEALL[Bonus Rate ($/kWh)],MATCH(AZ22,ENDUSEALL[End Use to Coincident Peak Demand Factors],0))="","",INDEX(ENDUSEALL[Bonus Rate ($/kWh)],MATCH(AZ22,ENDUSEALL[End Use to Coincident Peak Demand Factors],0))*AK22),"")</f>
        <v/>
      </c>
      <c r="BH22" s="1106" t="str">
        <f>IF(OR(C22="",F22="",L22="",P22="",R22="",T22="",X22="",Z22="",AB22="",AD22="",AF22=""),"",IF(BJ22&lt;&gt;"",SPILLOVERNUMBER,INDEX(CMECOMPAIR[Measure Number],MATCH(F22,CMECOMPAIR[Proj Desc 1],0))))</f>
        <v/>
      </c>
      <c r="BI22" s="1108" t="str">
        <f>IFERROR(IF(AND(AB22="Total",ROUND(AN22/AH22,2)=TOTCOSTCAP),"75% Total Cost",
IF(AND(AB22="Incremental",AH22=AN22),"100% Incremental Cost",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IF(AND((ISNUMBER(SEARCH("Other",F22))),OR(AY22="",AZ22="")),MEASURESUBMIT,
 IF(PAYCUSE&lt;PAYBACKREQ,PROJECTSTATPAYBACK,
IF(CBCUSE&lt;CBREQ,PROJECTSTATCB,""))))))),MEASURESUBMIT)</f>
        <v>Submit for Review</v>
      </c>
      <c r="BK22" s="930" t="str">
        <f>IFERROR(IF(OR(C22="",F22="",L22="",P22="",R22="",T22="",X22="",Z22="",AB22="",AD22="",AF22=""),"",
ROUND(((1+ELOSS)*((AK22*INDEX(ELECCB[NPV AEC $/kWh],MATCH(AY22,ELECCB[Year Number],1)))+(BA22*INDEX(ELECCB[NPV ACC $/kW],MATCH(AY22,ELECCB[Year Number],1))))),2)),0)</f>
        <v/>
      </c>
      <c r="BL22" s="1118"/>
    </row>
    <row r="23" spans="1:64" s="36" customFormat="1" ht="15.95" customHeight="1">
      <c r="A23" s="195"/>
      <c r="B23" s="905"/>
      <c r="C23" s="1037"/>
      <c r="D23" s="1037"/>
      <c r="E23" s="1037"/>
      <c r="F23" s="1037"/>
      <c r="G23" s="1037"/>
      <c r="H23" s="1037"/>
      <c r="I23" s="1037"/>
      <c r="J23" s="1037"/>
      <c r="K23" s="1039"/>
      <c r="L23" s="1040"/>
      <c r="M23" s="1037"/>
      <c r="N23" s="1037"/>
      <c r="O23" s="1037"/>
      <c r="P23" s="1041"/>
      <c r="Q23" s="1041"/>
      <c r="R23" s="1041"/>
      <c r="S23" s="1152"/>
      <c r="T23" s="1040"/>
      <c r="U23" s="1037"/>
      <c r="V23" s="1037"/>
      <c r="W23" s="1037"/>
      <c r="X23" s="1041"/>
      <c r="Y23" s="1041"/>
      <c r="Z23" s="1041"/>
      <c r="AA23" s="1152"/>
      <c r="AB23" s="1156"/>
      <c r="AC23" s="1157"/>
      <c r="AD23" s="1054"/>
      <c r="AE23" s="1054"/>
      <c r="AF23" s="1127"/>
      <c r="AG23" s="1128"/>
      <c r="AH23" s="1064"/>
      <c r="AI23" s="1065"/>
      <c r="AJ23" s="1065"/>
      <c r="AK23" s="1066"/>
      <c r="AL23" s="1066"/>
      <c r="AM23" s="1066"/>
      <c r="AN23" s="1049"/>
      <c r="AO23" s="1050"/>
      <c r="AP23" s="1050"/>
      <c r="AQ23" s="1050"/>
      <c r="AR23" s="354"/>
      <c r="AS23" s="354"/>
      <c r="AT23" s="1104"/>
      <c r="AU23" s="1104"/>
      <c r="AV23" s="1105"/>
      <c r="AW23" s="1025"/>
      <c r="AX23" s="1025"/>
      <c r="AY23" s="1114"/>
      <c r="AZ23" s="1116"/>
      <c r="BA23" s="1109"/>
      <c r="BB23" s="1121"/>
      <c r="BC23" s="931"/>
      <c r="BD23" s="931"/>
      <c r="BE23" s="931"/>
      <c r="BF23" s="931"/>
      <c r="BG23" s="931"/>
      <c r="BH23" s="1107"/>
      <c r="BI23" s="1105"/>
      <c r="BJ23" s="1105"/>
      <c r="BK23" s="931"/>
      <c r="BL23" s="1119"/>
    </row>
    <row r="24" spans="1:64" ht="15.95" customHeight="1">
      <c r="B24" s="905">
        <v>4</v>
      </c>
      <c r="C24" s="1037"/>
      <c r="D24" s="1037"/>
      <c r="E24" s="1037"/>
      <c r="F24" s="1037"/>
      <c r="G24" s="1037"/>
      <c r="H24" s="1037"/>
      <c r="I24" s="1037"/>
      <c r="J24" s="1037"/>
      <c r="K24" s="1039"/>
      <c r="L24" s="1040"/>
      <c r="M24" s="1037"/>
      <c r="N24" s="1037"/>
      <c r="O24" s="1037"/>
      <c r="P24" s="1041"/>
      <c r="Q24" s="1041"/>
      <c r="R24" s="1041"/>
      <c r="S24" s="1152"/>
      <c r="T24" s="1040"/>
      <c r="U24" s="1037"/>
      <c r="V24" s="1037"/>
      <c r="W24" s="1037"/>
      <c r="X24" s="1041"/>
      <c r="Y24" s="1041"/>
      <c r="Z24" s="1041"/>
      <c r="AA24" s="1152"/>
      <c r="AB24" s="1156" t="str">
        <f t="shared" ref="AB24" si="14">IF(OR(C24="New Construction",C24="Replace Failed Equip."),"Incremental",IF(C24="Retrofit","Total",""))</f>
        <v/>
      </c>
      <c r="AC24" s="1157"/>
      <c r="AD24" s="1054"/>
      <c r="AE24" s="1054"/>
      <c r="AF24" s="1127" t="str">
        <f t="shared" ref="AF24" si="15">IF(AB24="Incremental",0,"")</f>
        <v/>
      </c>
      <c r="AG24" s="1128"/>
      <c r="AH24" s="1064" t="str">
        <f t="shared" ref="AH24" si="16">IF(OR(C24="",F24="",L24="",P24="",R24="",T24="",X24="",Z24="",AB24="",AD24="",AF24=""),"",ROUND(AD24+AF24,2))</f>
        <v/>
      </c>
      <c r="AI24" s="1065"/>
      <c r="AJ24" s="1065"/>
      <c r="AK24" s="1081" t="str">
        <f t="shared" ref="AK24" si="17">IF(OR(C24="",F24="",L24="",P24="",R24="",T24="",X24="",Z24="",AB24="",AD24="",AF24=""),"",IF(AW24-AX24&lt;=0,0,ROUND(AW24-AX24,4)))</f>
        <v/>
      </c>
      <c r="AL24" s="1081"/>
      <c r="AM24" s="1081"/>
      <c r="AN24" s="1047" t="str">
        <f>IF(OR(C24="",F24="",L24="",P24="",R24="",T24="",X24="",Z24="",AB24="",AD24="",AF24=""),"",
IF(BJ24&lt;&gt;"",BJ24,IF(BL24&gt;0,BL24,
IF(AB24="Incremental",
IF(ACTIVEBLOCK="Yes",ROUND(MIN(AH24*INCCOSTCAP,AK24*BLOCKBIDRATE),2),
IF(BG24&lt;&gt;"",ROUND(MIN(AH24*INCCOSTCAP,BG24),2),
IF(BD24&lt;KWHRATEMIN,ROUND(MIN(AH24*INCCOSTCAP,BE24),2),
IF(BD24&gt;KWHRATEMAX,ROUND(MIN(AH24*INCCOSTCAP,BF24),2),
ROUND(MIN(AH24*INCCOSTCAP,BC24),2))))),
IF(ACTIVEBLOCK="Yes",ROUND(MIN(AH24*TOTCOSTCAP,AK24*BLOCKBIDRATE),2),
IF(BG24&lt;&gt;"",ROUND(MIN(AH24*TOTCOSTCAP,BG24),2),
IF(BD24&lt;KWHRATEMIN,ROUND(MIN(AH24*TOTCOSTCAP,BE24),2),
IF(BD24&gt;KWHRATEMAX,ROUND(MIN(AH24*TOTCOSTCAP,BF24),2),
ROUND(MIN(AH24*TOTCOSTCAP,BC24),2)))))))))</f>
        <v/>
      </c>
      <c r="AO24" s="1048"/>
      <c r="AP24" s="1048"/>
      <c r="AQ24" s="1048"/>
      <c r="AR24" s="355"/>
      <c r="AS24" s="355"/>
      <c r="AT24" s="1104" t="str">
        <f>IFERROR(IF(OR(C24="",F24="",L24="",P24="",R24="",T24="",X24="",Z24="",AB24="",AD24="",AF24=""),"",
ROUND(((1+ELOSS)*((AK24*INDEX(ELECCB[NPV AEC $/kWh],MATCH(AY24,ELECCB[Year Number],1)))+(BA24*INDEX(ELECCB[NPV ACC $/kW],MATCH(AY24,ELECCB[Year Number],1))))/AH24),2)),0)</f>
        <v/>
      </c>
      <c r="AU24" s="1112" t="str">
        <f>IFERROR(AH24/M02S04F06/AK24,"")</f>
        <v/>
      </c>
      <c r="AV24" s="1108" t="str">
        <f>IF(OR(C24="",F24=""),"",INDEX(CMECOMPAIR[Unit of Measure],MATCH(F24,CMECOMPAIR[Proj Desc 1],0)))</f>
        <v/>
      </c>
      <c r="AW24" s="1103" t="str">
        <f t="shared" ref="AW24" si="18">IF(OR(C24="",F24="",L24="",P24="",R24="",T24="",X24="",Z24="",AB24="",AD24="",AF24=""),"",ROUND(P24*R24,4))</f>
        <v/>
      </c>
      <c r="AX24" s="1103" t="str">
        <f t="shared" ref="AX24" si="19">IF(OR(C24="",F24="",L24="",P24="",R24="",T24="",X24="",Z24="",AB24="",AD24="",AF24=""),"",ROUND(X24*Z24,4))</f>
        <v/>
      </c>
      <c r="AY24" s="1113" t="str">
        <f>IF(OR(C24="",F24=""),"",IF(INDEX(CMECOMPAIR[EUL],MATCH(F24,CMECOMPAIR[Proj Desc 1],0))="","",INDEX(CMECOMPAIR[EUL],MATCH(F24,CMECOMPAIR[Proj Desc 1],0))))</f>
        <v/>
      </c>
      <c r="AZ24" s="1115" t="str">
        <f>IF(OR(C24="",F24=""),"",IF(INDEX(CMECOMPAIR[End Use Category],MATCH(F24,CMECOMPAIR[Proj Desc 1],0))="","",INDEX(CMECOMPAIR[End Use Category],MATCH(F24,CMECOMPAIR[Proj Desc 1],0))))</f>
        <v/>
      </c>
      <c r="BA24" s="1027" t="str">
        <f>IFERROR(IF(OR(C24="",F24="",L24="",P24="",R24="",T24="",X24="",Z24="",AB24="",AD24="",AF24=""),"",ROUND(AK24*INDEX(ENDUSEALL[Factor],MATCH(AZ24,ENDUSEALL[End Use to Coincident Peak Demand Factors],0)),4)),"")</f>
        <v/>
      </c>
      <c r="BB24" s="1120"/>
      <c r="BC24" s="930" t="str">
        <f t="shared" ref="BC24" si="20">IFERROR(ROUND(AK24*BD24,2),"")</f>
        <v/>
      </c>
      <c r="BD24" s="930" t="str">
        <f>IFERROR(INDEX(ENDUSEALL[Rate ($/kWh)],MATCH(AZ24,ENDUSEALL[End Use to Coincident Peak Demand Factors],0)),"")</f>
        <v/>
      </c>
      <c r="BE24" s="931" t="str">
        <f>IFERROR(ROUND(AK24*KWHRATEMIN,2),"")</f>
        <v/>
      </c>
      <c r="BF24" s="931" t="str">
        <f>IFERROR(ROUND(AK24*KWHRATEMAX,2),"")</f>
        <v/>
      </c>
      <c r="BG24" s="930" t="str">
        <f>IFERROR(IF(INDEX(ENDUSEALL[Bonus Rate ($/kWh)],MATCH(AZ24,ENDUSEALL[End Use to Coincident Peak Demand Factors],0))="","",INDEX(ENDUSEALL[Bonus Rate ($/kWh)],MATCH(AZ24,ENDUSEALL[End Use to Coincident Peak Demand Factors],0))*AK24),"")</f>
        <v/>
      </c>
      <c r="BH24" s="1106" t="str">
        <f>IF(OR(C24="",F24="",L24="",P24="",R24="",T24="",X24="",Z24="",AB24="",AD24="",AF24=""),"",IF(BJ24&lt;&gt;"",SPILLOVERNUMBER,INDEX(CMECOMPAIR[Measure Number],MATCH(F24,CMECOMPAIR[Proj Desc 1],0))))</f>
        <v/>
      </c>
      <c r="BI24" s="1108" t="str">
        <f>IFERROR(IF(AND(AB24="Total",ROUND(AN24/AH24,2)=TOTCOSTCAP),"75% Total Cost",
IF(AND(AB24="Incremental",AH24=AN24),"100% Incremental Cost",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IF(AND((ISNUMBER(SEARCH("Other",F24))),OR(AY24="",AZ24="")),MEASURESUBMIT,
 IF(PAYCUSE&lt;PAYBACKREQ,PROJECTSTATPAYBACK,
IF(CBCUSE&lt;CBREQ,PROJECTSTATCB,""))))))),MEASURESUBMIT)</f>
        <v>Submit for Review</v>
      </c>
      <c r="BK24" s="930" t="str">
        <f>IFERROR(IF(OR(C24="",F24="",L24="",P24="",R24="",T24="",X24="",Z24="",AB24="",AD24="",AF24=""),"",
ROUND(((1+ELOSS)*((AK24*INDEX(ELECCB[NPV AEC $/kWh],MATCH(AY24,ELECCB[Year Number],1)))+(BA24*INDEX(ELECCB[NPV ACC $/kW],MATCH(AY24,ELECCB[Year Number],1))))),2)),0)</f>
        <v/>
      </c>
      <c r="BL24" s="1118"/>
    </row>
    <row r="25" spans="1:64" ht="15.95" customHeight="1">
      <c r="A25" s="145"/>
      <c r="B25" s="905"/>
      <c r="C25" s="1037"/>
      <c r="D25" s="1037"/>
      <c r="E25" s="1037"/>
      <c r="F25" s="1037"/>
      <c r="G25" s="1037"/>
      <c r="H25" s="1037"/>
      <c r="I25" s="1037"/>
      <c r="J25" s="1037"/>
      <c r="K25" s="1039"/>
      <c r="L25" s="1040"/>
      <c r="M25" s="1037"/>
      <c r="N25" s="1037"/>
      <c r="O25" s="1037"/>
      <c r="P25" s="1041"/>
      <c r="Q25" s="1041"/>
      <c r="R25" s="1041"/>
      <c r="S25" s="1152"/>
      <c r="T25" s="1040"/>
      <c r="U25" s="1037"/>
      <c r="V25" s="1037"/>
      <c r="W25" s="1037"/>
      <c r="X25" s="1041"/>
      <c r="Y25" s="1041"/>
      <c r="Z25" s="1041"/>
      <c r="AA25" s="1152"/>
      <c r="AB25" s="1156"/>
      <c r="AC25" s="1157"/>
      <c r="AD25" s="1054"/>
      <c r="AE25" s="1054"/>
      <c r="AF25" s="1127"/>
      <c r="AG25" s="1128"/>
      <c r="AH25" s="1064"/>
      <c r="AI25" s="1065"/>
      <c r="AJ25" s="1065"/>
      <c r="AK25" s="1066"/>
      <c r="AL25" s="1066"/>
      <c r="AM25" s="1066"/>
      <c r="AN25" s="1049"/>
      <c r="AO25" s="1050"/>
      <c r="AP25" s="1050"/>
      <c r="AQ25" s="1050"/>
      <c r="AR25" s="355"/>
      <c r="AS25" s="355"/>
      <c r="AT25" s="1104"/>
      <c r="AU25" s="1104"/>
      <c r="AV25" s="1105"/>
      <c r="AW25" s="1025"/>
      <c r="AX25" s="1025"/>
      <c r="AY25" s="1114"/>
      <c r="AZ25" s="1116"/>
      <c r="BA25" s="1109"/>
      <c r="BB25" s="1121"/>
      <c r="BC25" s="931"/>
      <c r="BD25" s="931"/>
      <c r="BE25" s="931"/>
      <c r="BF25" s="931"/>
      <c r="BG25" s="931"/>
      <c r="BH25" s="1107"/>
      <c r="BI25" s="1105"/>
      <c r="BJ25" s="1105"/>
      <c r="BK25" s="931"/>
      <c r="BL25" s="1119"/>
    </row>
    <row r="26" spans="1:64" ht="15.95" customHeight="1">
      <c r="B26" s="905">
        <v>5</v>
      </c>
      <c r="C26" s="1037"/>
      <c r="D26" s="1037"/>
      <c r="E26" s="1037"/>
      <c r="F26" s="1037"/>
      <c r="G26" s="1037"/>
      <c r="H26" s="1037"/>
      <c r="I26" s="1037"/>
      <c r="J26" s="1037"/>
      <c r="K26" s="1039"/>
      <c r="L26" s="1040"/>
      <c r="M26" s="1037"/>
      <c r="N26" s="1037"/>
      <c r="O26" s="1037"/>
      <c r="P26" s="1041"/>
      <c r="Q26" s="1041"/>
      <c r="R26" s="1041"/>
      <c r="S26" s="1152"/>
      <c r="T26" s="1040"/>
      <c r="U26" s="1037"/>
      <c r="V26" s="1037"/>
      <c r="W26" s="1037"/>
      <c r="X26" s="1041"/>
      <c r="Y26" s="1041"/>
      <c r="Z26" s="1041"/>
      <c r="AA26" s="1152"/>
      <c r="AB26" s="1156" t="str">
        <f t="shared" ref="AB26" si="21">IF(OR(C26="New Construction",C26="Replace Failed Equip."),"Incremental",IF(C26="Retrofit","Total",""))</f>
        <v/>
      </c>
      <c r="AC26" s="1157"/>
      <c r="AD26" s="1054"/>
      <c r="AE26" s="1054"/>
      <c r="AF26" s="1127" t="str">
        <f t="shared" ref="AF26" si="22">IF(AB26="Incremental",0,"")</f>
        <v/>
      </c>
      <c r="AG26" s="1128"/>
      <c r="AH26" s="1064" t="str">
        <f t="shared" ref="AH26" si="23">IF(OR(C26="",F26="",L26="",P26="",R26="",T26="",X26="",Z26="",AB26="",AD26="",AF26=""),"",ROUND(AD26+AF26,2))</f>
        <v/>
      </c>
      <c r="AI26" s="1065"/>
      <c r="AJ26" s="1065"/>
      <c r="AK26" s="1081" t="str">
        <f t="shared" ref="AK26" si="24">IF(OR(C26="",F26="",L26="",P26="",R26="",T26="",X26="",Z26="",AB26="",AD26="",AF26=""),"",IF(AW26-AX26&lt;=0,0,ROUND(AW26-AX26,4)))</f>
        <v/>
      </c>
      <c r="AL26" s="1081"/>
      <c r="AM26" s="1081"/>
      <c r="AN26" s="1047" t="str">
        <f>IF(OR(C26="",F26="",L26="",P26="",R26="",T26="",X26="",Z26="",AB26="",AD26="",AF26=""),"",
IF(BJ26&lt;&gt;"",BJ26,IF(BL26&gt;0,BL26,
IF(AB26="Incremental",
IF(ACTIVEBLOCK="Yes",ROUND(MIN(AH26*INCCOSTCAP,AK26*BLOCKBIDRATE),2),
IF(BG26&lt;&gt;"",ROUND(MIN(AH26*INCCOSTCAP,BG26),2),
IF(BD26&lt;KWHRATEMIN,ROUND(MIN(AH26*INCCOSTCAP,BE26),2),
IF(BD26&gt;KWHRATEMAX,ROUND(MIN(AH26*INCCOSTCAP,BF26),2),
ROUND(MIN(AH26*INCCOSTCAP,BC26),2))))),
IF(ACTIVEBLOCK="Yes",ROUND(MIN(AH26*TOTCOSTCAP,AK26*BLOCKBIDRATE),2),
IF(BG26&lt;&gt;"",ROUND(MIN(AH26*TOTCOSTCAP,BG26),2),
IF(BD26&lt;KWHRATEMIN,ROUND(MIN(AH26*TOTCOSTCAP,BE26),2),
IF(BD26&gt;KWHRATEMAX,ROUND(MIN(AH26*TOTCOSTCAP,BF26),2),
ROUND(MIN(AH26*TOTCOSTCAP,BC26),2)))))))))</f>
        <v/>
      </c>
      <c r="AO26" s="1048"/>
      <c r="AP26" s="1048"/>
      <c r="AQ26" s="1048"/>
      <c r="AR26" s="355"/>
      <c r="AS26" s="355"/>
      <c r="AT26" s="1104" t="str">
        <f>IFERROR(IF(OR(C26="",F26="",L26="",P26="",R26="",T26="",X26="",Z26="",AB26="",AD26="",AF26=""),"",
ROUND(((1+ELOSS)*((AK26*INDEX(ELECCB[NPV AEC $/kWh],MATCH(AY26,ELECCB[Year Number],1)))+(BA26*INDEX(ELECCB[NPV ACC $/kW],MATCH(AY26,ELECCB[Year Number],1))))/AH26),2)),0)</f>
        <v/>
      </c>
      <c r="AU26" s="1112" t="str">
        <f>IFERROR(AH26/M02S04F06/AK26,"")</f>
        <v/>
      </c>
      <c r="AV26" s="1108" t="str">
        <f>IF(OR(C26="",F26=""),"",INDEX(CMECOMPAIR[Unit of Measure],MATCH(F26,CMECOMPAIR[Proj Desc 1],0)))</f>
        <v/>
      </c>
      <c r="AW26" s="1103" t="str">
        <f t="shared" ref="AW26" si="25">IF(OR(C26="",F26="",L26="",P26="",R26="",T26="",X26="",Z26="",AB26="",AD26="",AF26=""),"",ROUND(P26*R26,4))</f>
        <v/>
      </c>
      <c r="AX26" s="1103" t="str">
        <f t="shared" ref="AX26" si="26">IF(OR(C26="",F26="",L26="",P26="",R26="",T26="",X26="",Z26="",AB26="",AD26="",AF26=""),"",ROUND(X26*Z26,4))</f>
        <v/>
      </c>
      <c r="AY26" s="1113" t="str">
        <f>IF(OR(C26="",F26=""),"",IF(INDEX(CMECOMPAIR[EUL],MATCH(F26,CMECOMPAIR[Proj Desc 1],0))="","",INDEX(CMECOMPAIR[EUL],MATCH(F26,CMECOMPAIR[Proj Desc 1],0))))</f>
        <v/>
      </c>
      <c r="AZ26" s="1115" t="str">
        <f>IF(OR(C26="",F26=""),"",IF(INDEX(CMECOMPAIR[End Use Category],MATCH(F26,CMECOMPAIR[Proj Desc 1],0))="","",INDEX(CMECOMPAIR[End Use Category],MATCH(F26,CMECOMPAIR[Proj Desc 1],0))))</f>
        <v/>
      </c>
      <c r="BA26" s="1027" t="str">
        <f>IFERROR(IF(OR(C26="",F26="",L26="",P26="",R26="",T26="",X26="",Z26="",AB26="",AD26="",AF26=""),"",ROUND(AK26*INDEX(ENDUSEALL[Factor],MATCH(AZ26,ENDUSEALL[End Use to Coincident Peak Demand Factors],0)),4)),"")</f>
        <v/>
      </c>
      <c r="BB26" s="1120"/>
      <c r="BC26" s="930" t="str">
        <f t="shared" ref="BC26" si="27">IFERROR(ROUND(AK26*BD26,2),"")</f>
        <v/>
      </c>
      <c r="BD26" s="930" t="str">
        <f>IFERROR(INDEX(ENDUSEALL[Rate ($/kWh)],MATCH(AZ26,ENDUSEALL[End Use to Coincident Peak Demand Factors],0)),"")</f>
        <v/>
      </c>
      <c r="BE26" s="931" t="str">
        <f>IFERROR(ROUND(AK26*KWHRATEMIN,2),"")</f>
        <v/>
      </c>
      <c r="BF26" s="931" t="str">
        <f>IFERROR(ROUND(AK26*KWHRATEMAX,2),"")</f>
        <v/>
      </c>
      <c r="BG26" s="930" t="str">
        <f>IFERROR(IF(INDEX(ENDUSEALL[Bonus Rate ($/kWh)],MATCH(AZ26,ENDUSEALL[End Use to Coincident Peak Demand Factors],0))="","",INDEX(ENDUSEALL[Bonus Rate ($/kWh)],MATCH(AZ26,ENDUSEALL[End Use to Coincident Peak Demand Factors],0))*AK26),"")</f>
        <v/>
      </c>
      <c r="BH26" s="1106" t="str">
        <f>IF(OR(C26="",F26="",L26="",P26="",R26="",T26="",X26="",Z26="",AB26="",AD26="",AF26=""),"",IF(BJ26&lt;&gt;"",SPILLOVERNUMBER,INDEX(CMECOMPAIR[Measure Number],MATCH(F26,CMECOMPAIR[Proj Desc 1],0))))</f>
        <v/>
      </c>
      <c r="BI26" s="1108" t="str">
        <f>IFERROR(IF(AND(AB26="Total",ROUND(AN26/AH26,2)=TOTCOSTCAP),"75% Total Cost",
IF(AND(AB26="Incremental",AH26=AN26),"100% Incremental Cost",
IF(BD26&lt;KWHRATEMIN, "kWh Incentive Rate Min",
IF(BD26&gt;KWHRATEMAX,"kWh Incentive Rate Cap",
IF(AN26=BG26,"Bonus Incentive",
"kWh Incentive"))))),"")</f>
        <v/>
      </c>
      <c r="BJ26" s="1108" t="str">
        <f ca="1">IFERROR(IF(EXPIRATION&lt;&gt;"",PROJSTATEXP,
IF(BL26&gt;0,"",
IF(AW26-AX26&lt;=0,MEASURESAVE,
IF(OR(M02S04F06="",M02S04F06="Select Rate Code",M02S04F06=0),MEASURERATE,
IF(AND((ISNUMBER(SEARCH("Other",F26))),OR(AY26="",AZ26="")),MEASURESUBMIT,
 IF(PAYCUSE&lt;PAYBACKREQ,PROJECTSTATPAYBACK,
IF(CBCUSE&lt;CBREQ,PROJECTSTATCB,""))))))),MEASURESUBMIT)</f>
        <v>Submit for Review</v>
      </c>
      <c r="BK26" s="930" t="str">
        <f>IFERROR(IF(OR(C26="",F26="",L26="",P26="",R26="",T26="",X26="",Z26="",AB26="",AD26="",AF26=""),"",
ROUND(((1+ELOSS)*((AK26*INDEX(ELECCB[NPV AEC $/kWh],MATCH(AY26,ELECCB[Year Number],1)))+(BA26*INDEX(ELECCB[NPV ACC $/kW],MATCH(AY26,ELECCB[Year Number],1))))),2)),0)</f>
        <v/>
      </c>
      <c r="BL26" s="1118"/>
    </row>
    <row r="27" spans="1:64" ht="15.95" customHeight="1">
      <c r="B27" s="905"/>
      <c r="C27" s="1037"/>
      <c r="D27" s="1037"/>
      <c r="E27" s="1037"/>
      <c r="F27" s="1037"/>
      <c r="G27" s="1037"/>
      <c r="H27" s="1037"/>
      <c r="I27" s="1037"/>
      <c r="J27" s="1037"/>
      <c r="K27" s="1039"/>
      <c r="L27" s="1040"/>
      <c r="M27" s="1037"/>
      <c r="N27" s="1037"/>
      <c r="O27" s="1037"/>
      <c r="P27" s="1041"/>
      <c r="Q27" s="1041"/>
      <c r="R27" s="1041"/>
      <c r="S27" s="1152"/>
      <c r="T27" s="1040"/>
      <c r="U27" s="1037"/>
      <c r="V27" s="1037"/>
      <c r="W27" s="1037"/>
      <c r="X27" s="1041"/>
      <c r="Y27" s="1041"/>
      <c r="Z27" s="1041"/>
      <c r="AA27" s="1152"/>
      <c r="AB27" s="1156"/>
      <c r="AC27" s="1157"/>
      <c r="AD27" s="1054"/>
      <c r="AE27" s="1054"/>
      <c r="AF27" s="1127"/>
      <c r="AG27" s="1128"/>
      <c r="AH27" s="1064"/>
      <c r="AI27" s="1065"/>
      <c r="AJ27" s="1065"/>
      <c r="AK27" s="1066"/>
      <c r="AL27" s="1066"/>
      <c r="AM27" s="1066"/>
      <c r="AN27" s="1049"/>
      <c r="AO27" s="1050"/>
      <c r="AP27" s="1050"/>
      <c r="AQ27" s="1050"/>
      <c r="AR27" s="355"/>
      <c r="AS27" s="355"/>
      <c r="AT27" s="1104"/>
      <c r="AU27" s="1104"/>
      <c r="AV27" s="1105"/>
      <c r="AW27" s="1025"/>
      <c r="AX27" s="1025"/>
      <c r="AY27" s="1114"/>
      <c r="AZ27" s="1116"/>
      <c r="BA27" s="1109"/>
      <c r="BB27" s="1121"/>
      <c r="BC27" s="931"/>
      <c r="BD27" s="931"/>
      <c r="BE27" s="931"/>
      <c r="BF27" s="931"/>
      <c r="BG27" s="931"/>
      <c r="BH27" s="1107"/>
      <c r="BI27" s="1105"/>
      <c r="BJ27" s="1105"/>
      <c r="BK27" s="931"/>
      <c r="BL27" s="1119"/>
    </row>
    <row r="28" spans="1:64" ht="15.95" customHeight="1">
      <c r="B28" s="905">
        <v>6</v>
      </c>
      <c r="C28" s="1037"/>
      <c r="D28" s="1037"/>
      <c r="E28" s="1037"/>
      <c r="F28" s="1037"/>
      <c r="G28" s="1037"/>
      <c r="H28" s="1037"/>
      <c r="I28" s="1037"/>
      <c r="J28" s="1037"/>
      <c r="K28" s="1039"/>
      <c r="L28" s="1040"/>
      <c r="M28" s="1037"/>
      <c r="N28" s="1037"/>
      <c r="O28" s="1037"/>
      <c r="P28" s="1041"/>
      <c r="Q28" s="1041"/>
      <c r="R28" s="1041"/>
      <c r="S28" s="1152"/>
      <c r="T28" s="1040"/>
      <c r="U28" s="1037"/>
      <c r="V28" s="1037"/>
      <c r="W28" s="1037"/>
      <c r="X28" s="1041"/>
      <c r="Y28" s="1041"/>
      <c r="Z28" s="1041"/>
      <c r="AA28" s="1152"/>
      <c r="AB28" s="1156" t="str">
        <f t="shared" ref="AB28" si="28">IF(OR(C28="New Construction",C28="Replace Failed Equip."),"Incremental",IF(C28="Retrofit","Total",""))</f>
        <v/>
      </c>
      <c r="AC28" s="1157"/>
      <c r="AD28" s="1054"/>
      <c r="AE28" s="1054"/>
      <c r="AF28" s="1127" t="str">
        <f t="shared" ref="AF28" si="29">IF(AB28="Incremental",0,"")</f>
        <v/>
      </c>
      <c r="AG28" s="1128"/>
      <c r="AH28" s="1064" t="str">
        <f t="shared" ref="AH28" si="30">IF(OR(C28="",F28="",L28="",P28="",R28="",T28="",X28="",Z28="",AB28="",AD28="",AF28=""),"",ROUND(AD28+AF28,2))</f>
        <v/>
      </c>
      <c r="AI28" s="1065"/>
      <c r="AJ28" s="1065"/>
      <c r="AK28" s="1081" t="str">
        <f t="shared" ref="AK28" si="31">IF(OR(C28="",F28="",L28="",P28="",R28="",T28="",X28="",Z28="",AB28="",AD28="",AF28=""),"",IF(AW28-AX28&lt;=0,0,ROUND(AW28-AX28,4)))</f>
        <v/>
      </c>
      <c r="AL28" s="1081"/>
      <c r="AM28" s="1081"/>
      <c r="AN28" s="1047" t="str">
        <f>IF(OR(C28="",F28="",L28="",P28="",R28="",T28="",X28="",Z28="",AB28="",AD28="",AF28=""),"",
IF(BJ28&lt;&gt;"",BJ28,IF(BL28&gt;0,BL28,
IF(AB28="Incremental",
IF(ACTIVEBLOCK="Yes",ROUND(MIN(AH28*INCCOSTCAP,AK28*BLOCKBIDRATE),2),
IF(BG28&lt;&gt;"",ROUND(MIN(AH28*INCCOSTCAP,BG28),2),
IF(BD28&lt;KWHRATEMIN,ROUND(MIN(AH28*INCCOSTCAP,BE28),2),
IF(BD28&gt;KWHRATEMAX,ROUND(MIN(AH28*INCCOSTCAP,BF28),2),
ROUND(MIN(AH28*INCCOSTCAP,BC28),2))))),
IF(ACTIVEBLOCK="Yes",ROUND(MIN(AH28*TOTCOSTCAP,AK28*BLOCKBIDRATE),2),
IF(BG28&lt;&gt;"",ROUND(MIN(AH28*TOTCOSTCAP,BG28),2),
IF(BD28&lt;KWHRATEMIN,ROUND(MIN(AH28*TOTCOSTCAP,BE28),2),
IF(BD28&gt;KWHRATEMAX,ROUND(MIN(AH28*TOTCOSTCAP,BF28),2),
ROUND(MIN(AH28*TOTCOSTCAP,BC28),2)))))))))</f>
        <v/>
      </c>
      <c r="AO28" s="1048"/>
      <c r="AP28" s="1048"/>
      <c r="AQ28" s="1048"/>
      <c r="AR28" s="355"/>
      <c r="AS28" s="355"/>
      <c r="AT28" s="1104" t="str">
        <f>IFERROR(IF(OR(C28="",F28="",L28="",P28="",R28="",T28="",X28="",Z28="",AB28="",AD28="",AF28=""),"",
ROUND(((1+ELOSS)*((AK28*INDEX(ELECCB[NPV AEC $/kWh],MATCH(AY28,ELECCB[Year Number],1)))+(BA28*INDEX(ELECCB[NPV ACC $/kW],MATCH(AY28,ELECCB[Year Number],1))))/AH28),2)),0)</f>
        <v/>
      </c>
      <c r="AU28" s="1112" t="str">
        <f>IFERROR(AH28/M02S04F06/AK28,"")</f>
        <v/>
      </c>
      <c r="AV28" s="1108" t="str">
        <f>IF(OR(C28="",F28=""),"",INDEX(CMECOMPAIR[Unit of Measure],MATCH(F28,CMECOMPAIR[Proj Desc 1],0)))</f>
        <v/>
      </c>
      <c r="AW28" s="1103" t="str">
        <f t="shared" ref="AW28" si="32">IF(OR(C28="",F28="",L28="",P28="",R28="",T28="",X28="",Z28="",AB28="",AD28="",AF28=""),"",ROUND(P28*R28,4))</f>
        <v/>
      </c>
      <c r="AX28" s="1103" t="str">
        <f t="shared" ref="AX28" si="33">IF(OR(C28="",F28="",L28="",P28="",R28="",T28="",X28="",Z28="",AB28="",AD28="",AF28=""),"",ROUND(X28*Z28,4))</f>
        <v/>
      </c>
      <c r="AY28" s="1113" t="str">
        <f>IF(OR(C28="",F28=""),"",IF(INDEX(CMECOMPAIR[EUL],MATCH(F28,CMECOMPAIR[Proj Desc 1],0))="","",INDEX(CMECOMPAIR[EUL],MATCH(F28,CMECOMPAIR[Proj Desc 1],0))))</f>
        <v/>
      </c>
      <c r="AZ28" s="1115" t="str">
        <f>IF(OR(C28="",F28=""),"",IF(INDEX(CMECOMPAIR[End Use Category],MATCH(F28,CMECOMPAIR[Proj Desc 1],0))="","",INDEX(CMECOMPAIR[End Use Category],MATCH(F28,CMECOMPAIR[Proj Desc 1],0))))</f>
        <v/>
      </c>
      <c r="BA28" s="1027" t="str">
        <f>IFERROR(IF(OR(C28="",F28="",L28="",P28="",R28="",T28="",X28="",Z28="",AB28="",AD28="",AF28=""),"",ROUND(AK28*INDEX(ENDUSEALL[Factor],MATCH(AZ28,ENDUSEALL[End Use to Coincident Peak Demand Factors],0)),4)),"")</f>
        <v/>
      </c>
      <c r="BB28" s="1120"/>
      <c r="BC28" s="930" t="str">
        <f t="shared" ref="BC28" si="34">IFERROR(ROUND(AK28*BD28,2),"")</f>
        <v/>
      </c>
      <c r="BD28" s="930" t="str">
        <f>IFERROR(INDEX(ENDUSEALL[Rate ($/kWh)],MATCH(AZ28,ENDUSEALL[End Use to Coincident Peak Demand Factors],0)),"")</f>
        <v/>
      </c>
      <c r="BE28" s="931" t="str">
        <f>IFERROR(ROUND(AK28*KWHRATEMIN,2),"")</f>
        <v/>
      </c>
      <c r="BF28" s="931" t="str">
        <f>IFERROR(ROUND(AK28*KWHRATEMAX,2),"")</f>
        <v/>
      </c>
      <c r="BG28" s="930" t="str">
        <f>IFERROR(IF(INDEX(ENDUSEALL[Bonus Rate ($/kWh)],MATCH(AZ28,ENDUSEALL[End Use to Coincident Peak Demand Factors],0))="","",INDEX(ENDUSEALL[Bonus Rate ($/kWh)],MATCH(AZ28,ENDUSEALL[End Use to Coincident Peak Demand Factors],0))*AK28),"")</f>
        <v/>
      </c>
      <c r="BH28" s="1106" t="str">
        <f>IF(OR(C28="",F28="",L28="",P28="",R28="",T28="",X28="",Z28="",AB28="",AD28="",AF28=""),"",IF(BJ28&lt;&gt;"",SPILLOVERNUMBER,INDEX(CMECOMPAIR[Measure Number],MATCH(F28,CMECOMPAIR[Proj Desc 1],0))))</f>
        <v/>
      </c>
      <c r="BI28" s="1108" t="str">
        <f>IFERROR(IF(AND(AB28="Total",ROUND(AN28/AH28,2)=TOTCOSTCAP),"75% Total Cost",
IF(AND(AB28="Incremental",AH28=AN28),"100% Incremental Cost",
IF(BD28&lt;KWHRATEMIN, "kWh Incentive Rate Min",
IF(BD28&gt;KWHRATEMAX,"kWh Incentive Rate Cap",
IF(AN28=BG28,"Bonus Incentive",
"kWh Incentive"))))),"")</f>
        <v/>
      </c>
      <c r="BJ28" s="1108" t="str">
        <f ca="1">IFERROR(IF(EXPIRATION&lt;&gt;"",PROJSTATEXP,
IF(BL28&gt;0,"",
IF(AW28-AX28&lt;=0,MEASURESAVE,
IF(OR(M02S04F06="",M02S04F06="Select Rate Code",M02S04F06=0),MEASURERATE,
IF(AND((ISNUMBER(SEARCH("Other",F28))),OR(AY28="",AZ28="")),MEASURESUBMIT,
 IF(PAYCUSE&lt;PAYBACKREQ,PROJECTSTATPAYBACK,
IF(CBCUSE&lt;CBREQ,PROJECTSTATCB,""))))))),MEASURESUBMIT)</f>
        <v>Submit for Review</v>
      </c>
      <c r="BK28" s="930" t="str">
        <f>IFERROR(IF(OR(C28="",F28="",L28="",P28="",R28="",T28="",X28="",Z28="",AB28="",AD28="",AF28=""),"",
ROUND(((1+ELOSS)*((AK28*INDEX(ELECCB[NPV AEC $/kWh],MATCH(AY28,ELECCB[Year Number],1)))+(BA28*INDEX(ELECCB[NPV ACC $/kW],MATCH(AY28,ELECCB[Year Number],1))))),2)),0)</f>
        <v/>
      </c>
      <c r="BL28" s="1118"/>
    </row>
    <row r="29" spans="1:64" ht="15.95" customHeight="1">
      <c r="B29" s="905"/>
      <c r="C29" s="1037"/>
      <c r="D29" s="1037"/>
      <c r="E29" s="1037"/>
      <c r="F29" s="1037"/>
      <c r="G29" s="1037"/>
      <c r="H29" s="1037"/>
      <c r="I29" s="1037"/>
      <c r="J29" s="1037"/>
      <c r="K29" s="1039"/>
      <c r="L29" s="1040"/>
      <c r="M29" s="1037"/>
      <c r="N29" s="1037"/>
      <c r="O29" s="1037"/>
      <c r="P29" s="1041"/>
      <c r="Q29" s="1041"/>
      <c r="R29" s="1041"/>
      <c r="S29" s="1152"/>
      <c r="T29" s="1040"/>
      <c r="U29" s="1037"/>
      <c r="V29" s="1037"/>
      <c r="W29" s="1037"/>
      <c r="X29" s="1041"/>
      <c r="Y29" s="1041"/>
      <c r="Z29" s="1041"/>
      <c r="AA29" s="1152"/>
      <c r="AB29" s="1156"/>
      <c r="AC29" s="1157"/>
      <c r="AD29" s="1054"/>
      <c r="AE29" s="1054"/>
      <c r="AF29" s="1127"/>
      <c r="AG29" s="1128"/>
      <c r="AH29" s="1064"/>
      <c r="AI29" s="1065"/>
      <c r="AJ29" s="1065"/>
      <c r="AK29" s="1066"/>
      <c r="AL29" s="1066"/>
      <c r="AM29" s="1066"/>
      <c r="AN29" s="1049"/>
      <c r="AO29" s="1050"/>
      <c r="AP29" s="1050"/>
      <c r="AQ29" s="1050"/>
      <c r="AR29" s="355"/>
      <c r="AS29" s="355"/>
      <c r="AT29" s="1104"/>
      <c r="AU29" s="1104"/>
      <c r="AV29" s="1105"/>
      <c r="AW29" s="1025"/>
      <c r="AX29" s="1025"/>
      <c r="AY29" s="1114"/>
      <c r="AZ29" s="1116"/>
      <c r="BA29" s="1109"/>
      <c r="BB29" s="1121"/>
      <c r="BC29" s="931"/>
      <c r="BD29" s="931"/>
      <c r="BE29" s="931"/>
      <c r="BF29" s="931"/>
      <c r="BG29" s="931"/>
      <c r="BH29" s="1107"/>
      <c r="BI29" s="1105"/>
      <c r="BJ29" s="1105"/>
      <c r="BK29" s="931"/>
      <c r="BL29" s="1119"/>
    </row>
    <row r="30" spans="1:64" ht="15.95" customHeight="1">
      <c r="B30" s="905">
        <v>7</v>
      </c>
      <c r="C30" s="1037"/>
      <c r="D30" s="1037"/>
      <c r="E30" s="1037"/>
      <c r="F30" s="1037"/>
      <c r="G30" s="1037"/>
      <c r="H30" s="1037"/>
      <c r="I30" s="1037"/>
      <c r="J30" s="1037"/>
      <c r="K30" s="1039"/>
      <c r="L30" s="1040"/>
      <c r="M30" s="1037"/>
      <c r="N30" s="1037"/>
      <c r="O30" s="1037"/>
      <c r="P30" s="1041"/>
      <c r="Q30" s="1041"/>
      <c r="R30" s="1041"/>
      <c r="S30" s="1152"/>
      <c r="T30" s="1040"/>
      <c r="U30" s="1037"/>
      <c r="V30" s="1037"/>
      <c r="W30" s="1037"/>
      <c r="X30" s="1041"/>
      <c r="Y30" s="1041"/>
      <c r="Z30" s="1041"/>
      <c r="AA30" s="1152"/>
      <c r="AB30" s="1156" t="str">
        <f t="shared" ref="AB30" si="35">IF(OR(C30="New Construction",C30="Replace Failed Equip."),"Incremental",IF(C30="Retrofit","Total",""))</f>
        <v/>
      </c>
      <c r="AC30" s="1157"/>
      <c r="AD30" s="1054"/>
      <c r="AE30" s="1054"/>
      <c r="AF30" s="1127" t="str">
        <f t="shared" ref="AF30" si="36">IF(AB30="Incremental",0,"")</f>
        <v/>
      </c>
      <c r="AG30" s="1128"/>
      <c r="AH30" s="1064" t="str">
        <f t="shared" ref="AH30" si="37">IF(OR(C30="",F30="",L30="",P30="",R30="",T30="",X30="",Z30="",AB30="",AD30="",AF30=""),"",ROUND(AD30+AF30,2))</f>
        <v/>
      </c>
      <c r="AI30" s="1065"/>
      <c r="AJ30" s="1065"/>
      <c r="AK30" s="1081" t="str">
        <f t="shared" ref="AK30" si="38">IF(OR(C30="",F30="",L30="",P30="",R30="",T30="",X30="",Z30="",AB30="",AD30="",AF30=""),"",IF(AW30-AX30&lt;=0,0,ROUND(AW30-AX30,4)))</f>
        <v/>
      </c>
      <c r="AL30" s="1081"/>
      <c r="AM30" s="1081"/>
      <c r="AN30" s="1047" t="str">
        <f>IF(OR(C30="",F30="",L30="",P30="",R30="",T30="",X30="",Z30="",AB30="",AD30="",AF30=""),"",
IF(BJ30&lt;&gt;"",BJ30,IF(BL30&gt;0,BL30,
IF(AB30="Incremental",
IF(ACTIVEBLOCK="Yes",ROUND(MIN(AH30*INCCOSTCAP,AK30*BLOCKBIDRATE),2),
IF(BG30&lt;&gt;"",ROUND(MIN(AH30*INCCOSTCAP,BG30),2),
IF(BD30&lt;KWHRATEMIN,ROUND(MIN(AH30*INCCOSTCAP,BE30),2),
IF(BD30&gt;KWHRATEMAX,ROUND(MIN(AH30*INCCOSTCAP,BF30),2),
ROUND(MIN(AH30*INCCOSTCAP,BC30),2))))),
IF(ACTIVEBLOCK="Yes",ROUND(MIN(AH30*TOTCOSTCAP,AK30*BLOCKBIDRATE),2),
IF(BG30&lt;&gt;"",ROUND(MIN(AH30*TOTCOSTCAP,BG30),2),
IF(BD30&lt;KWHRATEMIN,ROUND(MIN(AH30*TOTCOSTCAP,BE30),2),
IF(BD30&gt;KWHRATEMAX,ROUND(MIN(AH30*TOTCOSTCAP,BF30),2),
ROUND(MIN(AH30*TOTCOSTCAP,BC30),2)))))))))</f>
        <v/>
      </c>
      <c r="AO30" s="1048"/>
      <c r="AP30" s="1048"/>
      <c r="AQ30" s="1048"/>
      <c r="AR30" s="355"/>
      <c r="AS30" s="355"/>
      <c r="AT30" s="1104" t="str">
        <f>IFERROR(IF(OR(C30="",F30="",L30="",P30="",R30="",T30="",X30="",Z30="",AB30="",AD30="",AF30=""),"",
ROUND(((1+ELOSS)*((AK30*INDEX(ELECCB[NPV AEC $/kWh],MATCH(AY30,ELECCB[Year Number],1)))+(BA30*INDEX(ELECCB[NPV ACC $/kW],MATCH(AY30,ELECCB[Year Number],1))))/AH30),2)),0)</f>
        <v/>
      </c>
      <c r="AU30" s="1112" t="str">
        <f>IFERROR(AH30/M02S04F06/AK30,"")</f>
        <v/>
      </c>
      <c r="AV30" s="1108" t="str">
        <f>IF(OR(C30="",F30=""),"",INDEX(CMECOMPAIR[Unit of Measure],MATCH(F30,CMECOMPAIR[Proj Desc 1],0)))</f>
        <v/>
      </c>
      <c r="AW30" s="1103" t="str">
        <f t="shared" ref="AW30" si="39">IF(OR(C30="",F30="",L30="",P30="",R30="",T30="",X30="",Z30="",AB30="",AD30="",AF30=""),"",ROUND(P30*R30,4))</f>
        <v/>
      </c>
      <c r="AX30" s="1103" t="str">
        <f t="shared" ref="AX30" si="40">IF(OR(C30="",F30="",L30="",P30="",R30="",T30="",X30="",Z30="",AB30="",AD30="",AF30=""),"",ROUND(X30*Z30,4))</f>
        <v/>
      </c>
      <c r="AY30" s="1113" t="str">
        <f>IF(OR(C30="",F30=""),"",IF(INDEX(CMECOMPAIR[EUL],MATCH(F30,CMECOMPAIR[Proj Desc 1],0))="","",INDEX(CMECOMPAIR[EUL],MATCH(F30,CMECOMPAIR[Proj Desc 1],0))))</f>
        <v/>
      </c>
      <c r="AZ30" s="1115" t="str">
        <f>IF(OR(C30="",F30=""),"",IF(INDEX(CMECOMPAIR[End Use Category],MATCH(F30,CMECOMPAIR[Proj Desc 1],0))="","",INDEX(CMECOMPAIR[End Use Category],MATCH(F30,CMECOMPAIR[Proj Desc 1],0))))</f>
        <v/>
      </c>
      <c r="BA30" s="1027" t="str">
        <f>IFERROR(IF(OR(C30="",F30="",L30="",P30="",R30="",T30="",X30="",Z30="",AB30="",AD30="",AF30=""),"",ROUND(AK30*INDEX(ENDUSEALL[Factor],MATCH(AZ30,ENDUSEALL[End Use to Coincident Peak Demand Factors],0)),4)),"")</f>
        <v/>
      </c>
      <c r="BB30" s="1120"/>
      <c r="BC30" s="930" t="str">
        <f t="shared" ref="BC30" si="41">IFERROR(ROUND(AK30*BD30,2),"")</f>
        <v/>
      </c>
      <c r="BD30" s="930" t="str">
        <f>IFERROR(INDEX(ENDUSEALL[Rate ($/kWh)],MATCH(AZ30,ENDUSEALL[End Use to Coincident Peak Demand Factors],0)),"")</f>
        <v/>
      </c>
      <c r="BE30" s="931" t="str">
        <f>IFERROR(ROUND(AK30*KWHRATEMIN,2),"")</f>
        <v/>
      </c>
      <c r="BF30" s="931" t="str">
        <f>IFERROR(ROUND(AK30*KWHRATEMAX,2),"")</f>
        <v/>
      </c>
      <c r="BG30" s="930" t="str">
        <f>IFERROR(IF(INDEX(ENDUSEALL[Bonus Rate ($/kWh)],MATCH(AZ30,ENDUSEALL[End Use to Coincident Peak Demand Factors],0))="","",INDEX(ENDUSEALL[Bonus Rate ($/kWh)],MATCH(AZ30,ENDUSEALL[End Use to Coincident Peak Demand Factors],0))*AK30),"")</f>
        <v/>
      </c>
      <c r="BH30" s="1106" t="str">
        <f>IF(OR(C30="",F30="",L30="",P30="",R30="",T30="",X30="",Z30="",AB30="",AD30="",AF30=""),"",IF(BJ30&lt;&gt;"",SPILLOVERNUMBER,INDEX(CMECOMPAIR[Measure Number],MATCH(F30,CMECOMPAIR[Proj Desc 1],0))))</f>
        <v/>
      </c>
      <c r="BI30" s="1108" t="str">
        <f>IFERROR(IF(AND(AB30="Total",ROUND(AN30/AH30,2)=TOTCOSTCAP),"75% Total Cost",
IF(AND(AB30="Incremental",AH30=AN30),"100% Incremental Cost",
IF(BD30&lt;KWHRATEMIN, "kWh Incentive Rate Min",
IF(BD30&gt;KWHRATEMAX,"kWh Incentive Rate Cap",
IF(AN30=BG30,"Bonus Incentive",
"kWh Incentive"))))),"")</f>
        <v/>
      </c>
      <c r="BJ30" s="1108" t="str">
        <f ca="1">IFERROR(IF(EXPIRATION&lt;&gt;"",PROJSTATEXP,
IF(BL30&gt;0,"",
IF(AW30-AX30&lt;=0,MEASURESAVE,
IF(OR(M02S04F06="",M02S04F06="Select Rate Code",M02S04F06=0),MEASURERATE,
IF(AND((ISNUMBER(SEARCH("Other",F30))),OR(AY30="",AZ30="")),MEASURESUBMIT,
 IF(PAYCUSE&lt;PAYBACKREQ,PROJECTSTATPAYBACK,
IF(CBCUSE&lt;CBREQ,PROJECTSTATCB,""))))))),MEASURESUBMIT)</f>
        <v>Submit for Review</v>
      </c>
      <c r="BK30" s="930" t="str">
        <f>IFERROR(IF(OR(C30="",F30="",L30="",P30="",R30="",T30="",X30="",Z30="",AB30="",AD30="",AF30=""),"",
ROUND(((1+ELOSS)*((AK30*INDEX(ELECCB[NPV AEC $/kWh],MATCH(AY30,ELECCB[Year Number],1)))+(BA30*INDEX(ELECCB[NPV ACC $/kW],MATCH(AY30,ELECCB[Year Number],1))))),2)),0)</f>
        <v/>
      </c>
      <c r="BL30" s="1118"/>
    </row>
    <row r="31" spans="1:64" ht="15.95" customHeight="1">
      <c r="B31" s="905"/>
      <c r="C31" s="1037"/>
      <c r="D31" s="1037"/>
      <c r="E31" s="1037"/>
      <c r="F31" s="1037"/>
      <c r="G31" s="1037"/>
      <c r="H31" s="1037"/>
      <c r="I31" s="1037"/>
      <c r="J31" s="1037"/>
      <c r="K31" s="1039"/>
      <c r="L31" s="1040"/>
      <c r="M31" s="1037"/>
      <c r="N31" s="1037"/>
      <c r="O31" s="1037"/>
      <c r="P31" s="1041"/>
      <c r="Q31" s="1041"/>
      <c r="R31" s="1041"/>
      <c r="S31" s="1152"/>
      <c r="T31" s="1040"/>
      <c r="U31" s="1037"/>
      <c r="V31" s="1037"/>
      <c r="W31" s="1037"/>
      <c r="X31" s="1041"/>
      <c r="Y31" s="1041"/>
      <c r="Z31" s="1041"/>
      <c r="AA31" s="1152"/>
      <c r="AB31" s="1156"/>
      <c r="AC31" s="1157"/>
      <c r="AD31" s="1054"/>
      <c r="AE31" s="1054"/>
      <c r="AF31" s="1127"/>
      <c r="AG31" s="1128"/>
      <c r="AH31" s="1064"/>
      <c r="AI31" s="1065"/>
      <c r="AJ31" s="1065"/>
      <c r="AK31" s="1066"/>
      <c r="AL31" s="1066"/>
      <c r="AM31" s="1066"/>
      <c r="AN31" s="1049"/>
      <c r="AO31" s="1050"/>
      <c r="AP31" s="1050"/>
      <c r="AQ31" s="1050"/>
      <c r="AR31" s="355"/>
      <c r="AS31" s="355"/>
      <c r="AT31" s="1104"/>
      <c r="AU31" s="1104"/>
      <c r="AV31" s="1105"/>
      <c r="AW31" s="1025"/>
      <c r="AX31" s="1025"/>
      <c r="AY31" s="1114"/>
      <c r="AZ31" s="1116"/>
      <c r="BA31" s="1109"/>
      <c r="BB31" s="1121"/>
      <c r="BC31" s="931"/>
      <c r="BD31" s="931"/>
      <c r="BE31" s="931"/>
      <c r="BF31" s="931"/>
      <c r="BG31" s="931"/>
      <c r="BH31" s="1107"/>
      <c r="BI31" s="1105"/>
      <c r="BJ31" s="1105"/>
      <c r="BK31" s="931"/>
      <c r="BL31" s="1119"/>
    </row>
    <row r="32" spans="1:64" ht="15.95" customHeight="1">
      <c r="B32" s="905">
        <v>8</v>
      </c>
      <c r="C32" s="1037"/>
      <c r="D32" s="1037"/>
      <c r="E32" s="1037"/>
      <c r="F32" s="1037"/>
      <c r="G32" s="1037"/>
      <c r="H32" s="1037"/>
      <c r="I32" s="1037"/>
      <c r="J32" s="1037"/>
      <c r="K32" s="1039"/>
      <c r="L32" s="1040"/>
      <c r="M32" s="1037"/>
      <c r="N32" s="1037"/>
      <c r="O32" s="1037"/>
      <c r="P32" s="1041"/>
      <c r="Q32" s="1041"/>
      <c r="R32" s="1041"/>
      <c r="S32" s="1152"/>
      <c r="T32" s="1040"/>
      <c r="U32" s="1037"/>
      <c r="V32" s="1037"/>
      <c r="W32" s="1037"/>
      <c r="X32" s="1041"/>
      <c r="Y32" s="1041"/>
      <c r="Z32" s="1041"/>
      <c r="AA32" s="1152"/>
      <c r="AB32" s="1156" t="str">
        <f t="shared" ref="AB32" si="42">IF(OR(C32="New Construction",C32="Replace Failed Equip."),"Incremental",IF(C32="Retrofit","Total",""))</f>
        <v/>
      </c>
      <c r="AC32" s="1157"/>
      <c r="AD32" s="1054"/>
      <c r="AE32" s="1054"/>
      <c r="AF32" s="1127" t="str">
        <f t="shared" ref="AF32" si="43">IF(AB32="Incremental",0,"")</f>
        <v/>
      </c>
      <c r="AG32" s="1128"/>
      <c r="AH32" s="1064" t="str">
        <f t="shared" ref="AH32" si="44">IF(OR(C32="",F32="",L32="",P32="",R32="",T32="",X32="",Z32="",AB32="",AD32="",AF32=""),"",ROUND(AD32+AF32,2))</f>
        <v/>
      </c>
      <c r="AI32" s="1065"/>
      <c r="AJ32" s="1065"/>
      <c r="AK32" s="1081" t="str">
        <f t="shared" ref="AK32" si="45">IF(OR(C32="",F32="",L32="",P32="",R32="",T32="",X32="",Z32="",AB32="",AD32="",AF32=""),"",IF(AW32-AX32&lt;=0,0,ROUND(AW32-AX32,4)))</f>
        <v/>
      </c>
      <c r="AL32" s="1081"/>
      <c r="AM32" s="1081"/>
      <c r="AN32" s="1047" t="str">
        <f>IF(OR(C32="",F32="",L32="",P32="",R32="",T32="",X32="",Z32="",AB32="",AD32="",AF32=""),"",
IF(BJ32&lt;&gt;"",BJ32,IF(BL32&gt;0,BL32,
IF(AB32="Incremental",
IF(ACTIVEBLOCK="Yes",ROUND(MIN(AH32*INCCOSTCAP,AK32*BLOCKBIDRATE),2),
IF(BG32&lt;&gt;"",ROUND(MIN(AH32*INCCOSTCAP,BG32),2),
IF(BD32&lt;KWHRATEMIN,ROUND(MIN(AH32*INCCOSTCAP,BE32),2),
IF(BD32&gt;KWHRATEMAX,ROUND(MIN(AH32*INCCOSTCAP,BF32),2),
ROUND(MIN(AH32*INCCOSTCAP,BC32),2))))),
IF(ACTIVEBLOCK="Yes",ROUND(MIN(AH32*TOTCOSTCAP,AK32*BLOCKBIDRATE),2),
IF(BG32&lt;&gt;"",ROUND(MIN(AH32*TOTCOSTCAP,BG32),2),
IF(BD32&lt;KWHRATEMIN,ROUND(MIN(AH32*TOTCOSTCAP,BE32),2),
IF(BD32&gt;KWHRATEMAX,ROUND(MIN(AH32*TOTCOSTCAP,BF32),2),
ROUND(MIN(AH32*TOTCOSTCAP,BC32),2)))))))))</f>
        <v/>
      </c>
      <c r="AO32" s="1048"/>
      <c r="AP32" s="1048"/>
      <c r="AQ32" s="1048"/>
      <c r="AR32" s="355"/>
      <c r="AS32" s="355"/>
      <c r="AT32" s="1104" t="str">
        <f>IFERROR(IF(OR(C32="",F32="",L32="",P32="",R32="",T32="",X32="",Z32="",AB32="",AD32="",AF32=""),"",
ROUND(((1+ELOSS)*((AK32*INDEX(ELECCB[NPV AEC $/kWh],MATCH(AY32,ELECCB[Year Number],1)))+(BA32*INDEX(ELECCB[NPV ACC $/kW],MATCH(AY32,ELECCB[Year Number],1))))/AH32),2)),0)</f>
        <v/>
      </c>
      <c r="AU32" s="1112" t="str">
        <f>IFERROR(AH32/M02S04F06/AK32,"")</f>
        <v/>
      </c>
      <c r="AV32" s="1108" t="str">
        <f>IF(OR(C32="",F32=""),"",INDEX(CMECOMPAIR[Unit of Measure],MATCH(F32,CMECOMPAIR[Proj Desc 1],0)))</f>
        <v/>
      </c>
      <c r="AW32" s="1103" t="str">
        <f t="shared" ref="AW32" si="46">IF(OR(C32="",F32="",L32="",P32="",R32="",T32="",X32="",Z32="",AB32="",AD32="",AF32=""),"",ROUND(P32*R32,4))</f>
        <v/>
      </c>
      <c r="AX32" s="1103" t="str">
        <f t="shared" ref="AX32" si="47">IF(OR(C32="",F32="",L32="",P32="",R32="",T32="",X32="",Z32="",AB32="",AD32="",AF32=""),"",ROUND(X32*Z32,4))</f>
        <v/>
      </c>
      <c r="AY32" s="1113" t="str">
        <f>IF(OR(C32="",F32=""),"",IF(INDEX(CMECOMPAIR[EUL],MATCH(F32,CMECOMPAIR[Proj Desc 1],0))="","",INDEX(CMECOMPAIR[EUL],MATCH(F32,CMECOMPAIR[Proj Desc 1],0))))</f>
        <v/>
      </c>
      <c r="AZ32" s="1115" t="str">
        <f>IF(OR(C32="",F32=""),"",IF(INDEX(CMECOMPAIR[End Use Category],MATCH(F32,CMECOMPAIR[Proj Desc 1],0))="","",INDEX(CMECOMPAIR[End Use Category],MATCH(F32,CMECOMPAIR[Proj Desc 1],0))))</f>
        <v/>
      </c>
      <c r="BA32" s="1027" t="str">
        <f>IFERROR(IF(OR(C32="",F32="",L32="",P32="",R32="",T32="",X32="",Z32="",AB32="",AD32="",AF32=""),"",ROUND(AK32*INDEX(ENDUSEALL[Factor],MATCH(AZ32,ENDUSEALL[End Use to Coincident Peak Demand Factors],0)),4)),"")</f>
        <v/>
      </c>
      <c r="BB32" s="1120"/>
      <c r="BC32" s="930" t="str">
        <f t="shared" ref="BC32" si="48">IFERROR(ROUND(AK32*BD32,2),"")</f>
        <v/>
      </c>
      <c r="BD32" s="930" t="str">
        <f>IFERROR(INDEX(ENDUSEALL[Rate ($/kWh)],MATCH(AZ32,ENDUSEALL[End Use to Coincident Peak Demand Factors],0)),"")</f>
        <v/>
      </c>
      <c r="BE32" s="931" t="str">
        <f>IFERROR(ROUND(AK32*KWHRATEMIN,2),"")</f>
        <v/>
      </c>
      <c r="BF32" s="931" t="str">
        <f>IFERROR(ROUND(AK32*KWHRATEMAX,2),"")</f>
        <v/>
      </c>
      <c r="BG32" s="930" t="str">
        <f>IFERROR(IF(INDEX(ENDUSEALL[Bonus Rate ($/kWh)],MATCH(AZ32,ENDUSEALL[End Use to Coincident Peak Demand Factors],0))="","",INDEX(ENDUSEALL[Bonus Rate ($/kWh)],MATCH(AZ32,ENDUSEALL[End Use to Coincident Peak Demand Factors],0))*AK32),"")</f>
        <v/>
      </c>
      <c r="BH32" s="1106" t="str">
        <f>IF(OR(C32="",F32="",L32="",P32="",R32="",T32="",X32="",Z32="",AB32="",AD32="",AF32=""),"",IF(BJ32&lt;&gt;"",SPILLOVERNUMBER,INDEX(CMECOMPAIR[Measure Number],MATCH(F32,CMECOMPAIR[Proj Desc 1],0))))</f>
        <v/>
      </c>
      <c r="BI32" s="1108" t="str">
        <f>IFERROR(IF(AND(AB32="Total",ROUND(AN32/AH32,2)=TOTCOSTCAP),"75% Total Cost",
IF(AND(AB32="Incremental",AH32=AN32),"100% Incremental Cost",
IF(BD32&lt;KWHRATEMIN, "kWh Incentive Rate Min",
IF(BD32&gt;KWHRATEMAX,"kWh Incentive Rate Cap",
IF(AN32=BG32,"Bonus Incentive",
"kWh Incentive"))))),"")</f>
        <v/>
      </c>
      <c r="BJ32" s="1108" t="str">
        <f ca="1">IFERROR(IF(EXPIRATION&lt;&gt;"",PROJSTATEXP,
IF(BL32&gt;0,"",
IF(AW32-AX32&lt;=0,MEASURESAVE,
IF(OR(M02S04F06="",M02S04F06="Select Rate Code",M02S04F06=0),MEASURERATE,
IF(AND((ISNUMBER(SEARCH("Other",F32))),OR(AY32="",AZ32="")),MEASURESUBMIT,
 IF(PAYCUSE&lt;PAYBACKREQ,PROJECTSTATPAYBACK,
IF(CBCUSE&lt;CBREQ,PROJECTSTATCB,""))))))),MEASURESUBMIT)</f>
        <v>Submit for Review</v>
      </c>
      <c r="BK32" s="930" t="str">
        <f>IFERROR(IF(OR(C32="",F32="",L32="",P32="",R32="",T32="",X32="",Z32="",AB32="",AD32="",AF32=""),"",
ROUND(((1+ELOSS)*((AK32*INDEX(ELECCB[NPV AEC $/kWh],MATCH(AY32,ELECCB[Year Number],1)))+(BA32*INDEX(ELECCB[NPV ACC $/kW],MATCH(AY32,ELECCB[Year Number],1))))),2)),0)</f>
        <v/>
      </c>
      <c r="BL32" s="1118"/>
    </row>
    <row r="33" spans="2:64" ht="15.95" customHeight="1">
      <c r="B33" s="905"/>
      <c r="C33" s="1037"/>
      <c r="D33" s="1037"/>
      <c r="E33" s="1037"/>
      <c r="F33" s="1037"/>
      <c r="G33" s="1037"/>
      <c r="H33" s="1037"/>
      <c r="I33" s="1037"/>
      <c r="J33" s="1037"/>
      <c r="K33" s="1039"/>
      <c r="L33" s="1040"/>
      <c r="M33" s="1037"/>
      <c r="N33" s="1037"/>
      <c r="O33" s="1037"/>
      <c r="P33" s="1041"/>
      <c r="Q33" s="1041"/>
      <c r="R33" s="1041"/>
      <c r="S33" s="1152"/>
      <c r="T33" s="1040"/>
      <c r="U33" s="1037"/>
      <c r="V33" s="1037"/>
      <c r="W33" s="1037"/>
      <c r="X33" s="1041"/>
      <c r="Y33" s="1041"/>
      <c r="Z33" s="1041"/>
      <c r="AA33" s="1152"/>
      <c r="AB33" s="1156"/>
      <c r="AC33" s="1157"/>
      <c r="AD33" s="1054"/>
      <c r="AE33" s="1054"/>
      <c r="AF33" s="1127"/>
      <c r="AG33" s="1128"/>
      <c r="AH33" s="1064"/>
      <c r="AI33" s="1065"/>
      <c r="AJ33" s="1065"/>
      <c r="AK33" s="1066"/>
      <c r="AL33" s="1066"/>
      <c r="AM33" s="1066"/>
      <c r="AN33" s="1049"/>
      <c r="AO33" s="1050"/>
      <c r="AP33" s="1050"/>
      <c r="AQ33" s="1050"/>
      <c r="AR33" s="355"/>
      <c r="AS33" s="355"/>
      <c r="AT33" s="1104"/>
      <c r="AU33" s="1104"/>
      <c r="AV33" s="1105"/>
      <c r="AW33" s="1025"/>
      <c r="AX33" s="1025"/>
      <c r="AY33" s="1114"/>
      <c r="AZ33" s="1116"/>
      <c r="BA33" s="1109"/>
      <c r="BB33" s="1121"/>
      <c r="BC33" s="931"/>
      <c r="BD33" s="931"/>
      <c r="BE33" s="931"/>
      <c r="BF33" s="931"/>
      <c r="BG33" s="931"/>
      <c r="BH33" s="1107"/>
      <c r="BI33" s="1105"/>
      <c r="BJ33" s="1105"/>
      <c r="BK33" s="931"/>
      <c r="BL33" s="1119"/>
    </row>
    <row r="34" spans="2:64" ht="15.95" customHeight="1">
      <c r="B34" s="905">
        <v>9</v>
      </c>
      <c r="C34" s="1037"/>
      <c r="D34" s="1037"/>
      <c r="E34" s="1037"/>
      <c r="F34" s="1037"/>
      <c r="G34" s="1037"/>
      <c r="H34" s="1037"/>
      <c r="I34" s="1037"/>
      <c r="J34" s="1037"/>
      <c r="K34" s="1039"/>
      <c r="L34" s="1040"/>
      <c r="M34" s="1037"/>
      <c r="N34" s="1037"/>
      <c r="O34" s="1037"/>
      <c r="P34" s="1041"/>
      <c r="Q34" s="1041"/>
      <c r="R34" s="1041"/>
      <c r="S34" s="1152"/>
      <c r="T34" s="1040"/>
      <c r="U34" s="1037"/>
      <c r="V34" s="1037"/>
      <c r="W34" s="1037"/>
      <c r="X34" s="1041"/>
      <c r="Y34" s="1041"/>
      <c r="Z34" s="1041"/>
      <c r="AA34" s="1152"/>
      <c r="AB34" s="1156" t="str">
        <f t="shared" ref="AB34" si="49">IF(OR(C34="New Construction",C34="Replace Failed Equip."),"Incremental",IF(C34="Retrofit","Total",""))</f>
        <v/>
      </c>
      <c r="AC34" s="1157"/>
      <c r="AD34" s="1054"/>
      <c r="AE34" s="1054"/>
      <c r="AF34" s="1127" t="str">
        <f t="shared" ref="AF34" si="50">IF(AB34="Incremental",0,"")</f>
        <v/>
      </c>
      <c r="AG34" s="1128"/>
      <c r="AH34" s="1064" t="str">
        <f t="shared" ref="AH34" si="51">IF(OR(C34="",F34="",L34="",P34="",R34="",T34="",X34="",Z34="",AB34="",AD34="",AF34=""),"",ROUND(AD34+AF34,2))</f>
        <v/>
      </c>
      <c r="AI34" s="1065"/>
      <c r="AJ34" s="1065"/>
      <c r="AK34" s="1081" t="str">
        <f t="shared" ref="AK34" si="52">IF(OR(C34="",F34="",L34="",P34="",R34="",T34="",X34="",Z34="",AB34="",AD34="",AF34=""),"",IF(AW34-AX34&lt;=0,0,ROUND(AW34-AX34,4)))</f>
        <v/>
      </c>
      <c r="AL34" s="1081"/>
      <c r="AM34" s="1081"/>
      <c r="AN34" s="1047" t="str">
        <f>IF(OR(C34="",F34="",L34="",P34="",R34="",T34="",X34="",Z34="",AB34="",AD34="",AF34=""),"",
IF(BJ34&lt;&gt;"",BJ34,IF(BL34&gt;0,BL34,
IF(AB34="Incremental",
IF(ACTIVEBLOCK="Yes",ROUND(MIN(AH34*INCCOSTCAP,AK34*BLOCKBIDRATE),2),
IF(BG34&lt;&gt;"",ROUND(MIN(AH34*INCCOSTCAP,BG34),2),
IF(BD34&lt;KWHRATEMIN,ROUND(MIN(AH34*INCCOSTCAP,BE34),2),
IF(BD34&gt;KWHRATEMAX,ROUND(MIN(AH34*INCCOSTCAP,BF34),2),
ROUND(MIN(AH34*INCCOSTCAP,BC34),2))))),
IF(ACTIVEBLOCK="Yes",ROUND(MIN(AH34*TOTCOSTCAP,AK34*BLOCKBIDRATE),2),
IF(BG34&lt;&gt;"",ROUND(MIN(AH34*TOTCOSTCAP,BG34),2),
IF(BD34&lt;KWHRATEMIN,ROUND(MIN(AH34*TOTCOSTCAP,BE34),2),
IF(BD34&gt;KWHRATEMAX,ROUND(MIN(AH34*TOTCOSTCAP,BF34),2),
ROUND(MIN(AH34*TOTCOSTCAP,BC34),2)))))))))</f>
        <v/>
      </c>
      <c r="AO34" s="1048"/>
      <c r="AP34" s="1048"/>
      <c r="AQ34" s="1048"/>
      <c r="AR34" s="355"/>
      <c r="AS34" s="355"/>
      <c r="AT34" s="1104" t="str">
        <f>IFERROR(IF(OR(C34="",F34="",L34="",P34="",R34="",T34="",X34="",Z34="",AB34="",AD34="",AF34=""),"",
ROUND(((1+ELOSS)*((AK34*INDEX(ELECCB[NPV AEC $/kWh],MATCH(AY34,ELECCB[Year Number],1)))+(BA34*INDEX(ELECCB[NPV ACC $/kW],MATCH(AY34,ELECCB[Year Number],1))))/AH34),2)),0)</f>
        <v/>
      </c>
      <c r="AU34" s="1112" t="str">
        <f>IFERROR(AH34/M02S04F06/AK34,"")</f>
        <v/>
      </c>
      <c r="AV34" s="1108" t="str">
        <f>IF(OR(C34="",F34=""),"",INDEX(CMECOMPAIR[Unit of Measure],MATCH(F34,CMECOMPAIR[Proj Desc 1],0)))</f>
        <v/>
      </c>
      <c r="AW34" s="1103" t="str">
        <f t="shared" ref="AW34" si="53">IF(OR(C34="",F34="",L34="",P34="",R34="",T34="",X34="",Z34="",AB34="",AD34="",AF34=""),"",ROUND(P34*R34,4))</f>
        <v/>
      </c>
      <c r="AX34" s="1103" t="str">
        <f t="shared" ref="AX34" si="54">IF(OR(C34="",F34="",L34="",P34="",R34="",T34="",X34="",Z34="",AB34="",AD34="",AF34=""),"",ROUND(X34*Z34,4))</f>
        <v/>
      </c>
      <c r="AY34" s="1113" t="str">
        <f>IF(OR(C34="",F34=""),"",IF(INDEX(CMECOMPAIR[EUL],MATCH(F34,CMECOMPAIR[Proj Desc 1],0))="","",INDEX(CMECOMPAIR[EUL],MATCH(F34,CMECOMPAIR[Proj Desc 1],0))))</f>
        <v/>
      </c>
      <c r="AZ34" s="1115" t="str">
        <f>IF(OR(C34="",F34=""),"",IF(INDEX(CMECOMPAIR[End Use Category],MATCH(F34,CMECOMPAIR[Proj Desc 1],0))="","",INDEX(CMECOMPAIR[End Use Category],MATCH(F34,CMECOMPAIR[Proj Desc 1],0))))</f>
        <v/>
      </c>
      <c r="BA34" s="1027" t="str">
        <f>IFERROR(IF(OR(C34="",F34="",L34="",P34="",R34="",T34="",X34="",Z34="",AB34="",AD34="",AF34=""),"",ROUND(AK34*INDEX(ENDUSEALL[Factor],MATCH(AZ34,ENDUSEALL[End Use to Coincident Peak Demand Factors],0)),4)),"")</f>
        <v/>
      </c>
      <c r="BB34" s="1120"/>
      <c r="BC34" s="930" t="str">
        <f t="shared" ref="BC34" si="55">IFERROR(ROUND(AK34*BD34,2),"")</f>
        <v/>
      </c>
      <c r="BD34" s="930" t="str">
        <f>IFERROR(INDEX(ENDUSEALL[Rate ($/kWh)],MATCH(AZ34,ENDUSEALL[End Use to Coincident Peak Demand Factors],0)),"")</f>
        <v/>
      </c>
      <c r="BE34" s="931" t="str">
        <f>IFERROR(ROUND(AK34*KWHRATEMIN,2),"")</f>
        <v/>
      </c>
      <c r="BF34" s="931" t="str">
        <f>IFERROR(ROUND(AK34*KWHRATEMAX,2),"")</f>
        <v/>
      </c>
      <c r="BG34" s="930" t="str">
        <f>IFERROR(IF(INDEX(ENDUSEALL[Bonus Rate ($/kWh)],MATCH(AZ34,ENDUSEALL[End Use to Coincident Peak Demand Factors],0))="","",INDEX(ENDUSEALL[Bonus Rate ($/kWh)],MATCH(AZ34,ENDUSEALL[End Use to Coincident Peak Demand Factors],0))*AK34),"")</f>
        <v/>
      </c>
      <c r="BH34" s="1106" t="str">
        <f>IF(OR(C34="",F34="",L34="",P34="",R34="",T34="",X34="",Z34="",AB34="",AD34="",AF34=""),"",IF(BJ34&lt;&gt;"",SPILLOVERNUMBER,INDEX(CMECOMPAIR[Measure Number],MATCH(F34,CMECOMPAIR[Proj Desc 1],0))))</f>
        <v/>
      </c>
      <c r="BI34" s="1108" t="str">
        <f>IFERROR(IF(AND(AB34="Total",ROUND(AN34/AH34,2)=TOTCOSTCAP),"75% Total Cost",
IF(AND(AB34="Incremental",AH34=AN34),"100% Incremental Cost",
IF(BD34&lt;KWHRATEMIN, "kWh Incentive Rate Min",
IF(BD34&gt;KWHRATEMAX,"kWh Incentive Rate Cap",
IF(AN34=BG34,"Bonus Incentive",
"kWh Incentive"))))),"")</f>
        <v/>
      </c>
      <c r="BJ34" s="1108" t="str">
        <f ca="1">IFERROR(IF(EXPIRATION&lt;&gt;"",PROJSTATEXP,
IF(BL34&gt;0,"",
IF(AW34-AX34&lt;=0,MEASURESAVE,
IF(OR(M02S04F06="",M02S04F06="Select Rate Code",M02S04F06=0),MEASURERATE,
IF(AND((ISNUMBER(SEARCH("Other",F34))),OR(AY34="",AZ34="")),MEASURESUBMIT,
 IF(PAYCUSE&lt;PAYBACKREQ,PROJECTSTATPAYBACK,
IF(CBCUSE&lt;CBREQ,PROJECTSTATCB,""))))))),MEASURESUBMIT)</f>
        <v>Submit for Review</v>
      </c>
      <c r="BK34" s="930" t="str">
        <f>IFERROR(IF(OR(C34="",F34="",L34="",P34="",R34="",T34="",X34="",Z34="",AB34="",AD34="",AF34=""),"",
ROUND(((1+ELOSS)*((AK34*INDEX(ELECCB[NPV AEC $/kWh],MATCH(AY34,ELECCB[Year Number],1)))+(BA34*INDEX(ELECCB[NPV ACC $/kW],MATCH(AY34,ELECCB[Year Number],1))))),2)),0)</f>
        <v/>
      </c>
      <c r="BL34" s="1118"/>
    </row>
    <row r="35" spans="2:64" ht="15.95" customHeight="1">
      <c r="B35" s="905"/>
      <c r="C35" s="1037"/>
      <c r="D35" s="1037"/>
      <c r="E35" s="1037"/>
      <c r="F35" s="1037"/>
      <c r="G35" s="1037"/>
      <c r="H35" s="1037"/>
      <c r="I35" s="1037"/>
      <c r="J35" s="1037"/>
      <c r="K35" s="1039"/>
      <c r="L35" s="1040"/>
      <c r="M35" s="1037"/>
      <c r="N35" s="1037"/>
      <c r="O35" s="1037"/>
      <c r="P35" s="1041"/>
      <c r="Q35" s="1041"/>
      <c r="R35" s="1041"/>
      <c r="S35" s="1152"/>
      <c r="T35" s="1040"/>
      <c r="U35" s="1037"/>
      <c r="V35" s="1037"/>
      <c r="W35" s="1037"/>
      <c r="X35" s="1041"/>
      <c r="Y35" s="1041"/>
      <c r="Z35" s="1041"/>
      <c r="AA35" s="1152"/>
      <c r="AB35" s="1156"/>
      <c r="AC35" s="1157"/>
      <c r="AD35" s="1054"/>
      <c r="AE35" s="1054"/>
      <c r="AF35" s="1127"/>
      <c r="AG35" s="1128"/>
      <c r="AH35" s="1064"/>
      <c r="AI35" s="1065"/>
      <c r="AJ35" s="1065"/>
      <c r="AK35" s="1066"/>
      <c r="AL35" s="1066"/>
      <c r="AM35" s="1066"/>
      <c r="AN35" s="1049"/>
      <c r="AO35" s="1050"/>
      <c r="AP35" s="1050"/>
      <c r="AQ35" s="1050"/>
      <c r="AR35" s="355"/>
      <c r="AS35" s="355"/>
      <c r="AT35" s="1104"/>
      <c r="AU35" s="1104"/>
      <c r="AV35" s="1105"/>
      <c r="AW35" s="1025"/>
      <c r="AX35" s="1025"/>
      <c r="AY35" s="1114"/>
      <c r="AZ35" s="1116"/>
      <c r="BA35" s="1109"/>
      <c r="BB35" s="1121"/>
      <c r="BC35" s="931"/>
      <c r="BD35" s="931"/>
      <c r="BE35" s="931"/>
      <c r="BF35" s="931"/>
      <c r="BG35" s="931"/>
      <c r="BH35" s="1107"/>
      <c r="BI35" s="1105"/>
      <c r="BJ35" s="1105"/>
      <c r="BK35" s="931"/>
      <c r="BL35" s="1119"/>
    </row>
    <row r="36" spans="2:64" ht="15.95" customHeight="1">
      <c r="B36" s="905">
        <v>10</v>
      </c>
      <c r="C36" s="1037"/>
      <c r="D36" s="1037"/>
      <c r="E36" s="1037"/>
      <c r="F36" s="1037"/>
      <c r="G36" s="1037"/>
      <c r="H36" s="1037"/>
      <c r="I36" s="1037"/>
      <c r="J36" s="1037"/>
      <c r="K36" s="1039"/>
      <c r="L36" s="1040"/>
      <c r="M36" s="1037"/>
      <c r="N36" s="1037"/>
      <c r="O36" s="1037"/>
      <c r="P36" s="1041"/>
      <c r="Q36" s="1041"/>
      <c r="R36" s="1041"/>
      <c r="S36" s="1152"/>
      <c r="T36" s="1040"/>
      <c r="U36" s="1037"/>
      <c r="V36" s="1037"/>
      <c r="W36" s="1037"/>
      <c r="X36" s="1041"/>
      <c r="Y36" s="1041"/>
      <c r="Z36" s="1041"/>
      <c r="AA36" s="1152"/>
      <c r="AB36" s="1156" t="str">
        <f t="shared" ref="AB36" si="56">IF(OR(C36="New Construction",C36="Replace Failed Equip."),"Incremental",IF(C36="Retrofit","Total",""))</f>
        <v/>
      </c>
      <c r="AC36" s="1157"/>
      <c r="AD36" s="1054"/>
      <c r="AE36" s="1054"/>
      <c r="AF36" s="1127" t="str">
        <f t="shared" ref="AF36" si="57">IF(AB36="Incremental",0,"")</f>
        <v/>
      </c>
      <c r="AG36" s="1128"/>
      <c r="AH36" s="1064" t="str">
        <f t="shared" ref="AH36" si="58">IF(OR(C36="",F36="",L36="",P36="",R36="",T36="",X36="",Z36="",AB36="",AD36="",AF36=""),"",ROUND(AD36+AF36,2))</f>
        <v/>
      </c>
      <c r="AI36" s="1065"/>
      <c r="AJ36" s="1065"/>
      <c r="AK36" s="1081" t="str">
        <f t="shared" ref="AK36" si="59">IF(OR(C36="",F36="",L36="",P36="",R36="",T36="",X36="",Z36="",AB36="",AD36="",AF36=""),"",IF(AW36-AX36&lt;=0,0,ROUND(AW36-AX36,4)))</f>
        <v/>
      </c>
      <c r="AL36" s="1081"/>
      <c r="AM36" s="1081"/>
      <c r="AN36" s="1047" t="str">
        <f>IF(OR(C36="",F36="",L36="",P36="",R36="",T36="",X36="",Z36="",AB36="",AD36="",AF36=""),"",
IF(BJ36&lt;&gt;"",BJ36,IF(BL36&gt;0,BL36,
IF(AB36="Incremental",
IF(ACTIVEBLOCK="Yes",ROUND(MIN(AH36*INCCOSTCAP,AK36*BLOCKBIDRATE),2),
IF(BG36&lt;&gt;"",ROUND(MIN(AH36*INCCOSTCAP,BG36),2),
IF(BD36&lt;KWHRATEMIN,ROUND(MIN(AH36*INCCOSTCAP,BE36),2),
IF(BD36&gt;KWHRATEMAX,ROUND(MIN(AH36*INCCOSTCAP,BF36),2),
ROUND(MIN(AH36*INCCOSTCAP,BC36),2))))),
IF(ACTIVEBLOCK="Yes",ROUND(MIN(AH36*TOTCOSTCAP,AK36*BLOCKBIDRATE),2),
IF(BG36&lt;&gt;"",ROUND(MIN(AH36*TOTCOSTCAP,BG36),2),
IF(BD36&lt;KWHRATEMIN,ROUND(MIN(AH36*TOTCOSTCAP,BE36),2),
IF(BD36&gt;KWHRATEMAX,ROUND(MIN(AH36*TOTCOSTCAP,BF36),2),
ROUND(MIN(AH36*TOTCOSTCAP,BC36),2)))))))))</f>
        <v/>
      </c>
      <c r="AO36" s="1048"/>
      <c r="AP36" s="1048"/>
      <c r="AQ36" s="1048"/>
      <c r="AR36" s="355"/>
      <c r="AS36" s="355"/>
      <c r="AT36" s="1104" t="str">
        <f>IFERROR(IF(OR(C36="",F36="",L36="",P36="",R36="",T36="",X36="",Z36="",AB36="",AD36="",AF36=""),"",
ROUND(((1+ELOSS)*((AK36*INDEX(ELECCB[NPV AEC $/kWh],MATCH(AY36,ELECCB[Year Number],1)))+(BA36*INDEX(ELECCB[NPV ACC $/kW],MATCH(AY36,ELECCB[Year Number],1))))/AH36),2)),0)</f>
        <v/>
      </c>
      <c r="AU36" s="1112" t="str">
        <f>IFERROR(AH36/M02S04F06/AK36,"")</f>
        <v/>
      </c>
      <c r="AV36" s="1108" t="str">
        <f>IF(OR(C36="",F36=""),"",INDEX(CMECOMPAIR[Unit of Measure],MATCH(F36,CMECOMPAIR[Proj Desc 1],0)))</f>
        <v/>
      </c>
      <c r="AW36" s="1103" t="str">
        <f t="shared" ref="AW36" si="60">IF(OR(C36="",F36="",L36="",P36="",R36="",T36="",X36="",Z36="",AB36="",AD36="",AF36=""),"",ROUND(P36*R36,4))</f>
        <v/>
      </c>
      <c r="AX36" s="1103" t="str">
        <f t="shared" ref="AX36" si="61">IF(OR(C36="",F36="",L36="",P36="",R36="",T36="",X36="",Z36="",AB36="",AD36="",AF36=""),"",ROUND(X36*Z36,4))</f>
        <v/>
      </c>
      <c r="AY36" s="1113" t="str">
        <f>IF(OR(C36="",F36=""),"",IF(INDEX(CMECOMPAIR[EUL],MATCH(F36,CMECOMPAIR[Proj Desc 1],0))="","",INDEX(CMECOMPAIR[EUL],MATCH(F36,CMECOMPAIR[Proj Desc 1],0))))</f>
        <v/>
      </c>
      <c r="AZ36" s="1115" t="str">
        <f>IF(OR(C36="",F36=""),"",IF(INDEX(CMECOMPAIR[End Use Category],MATCH(F36,CMECOMPAIR[Proj Desc 1],0))="","",INDEX(CMECOMPAIR[End Use Category],MATCH(F36,CMECOMPAIR[Proj Desc 1],0))))</f>
        <v/>
      </c>
      <c r="BA36" s="1027" t="str">
        <f>IFERROR(IF(OR(C36="",F36="",L36="",P36="",R36="",T36="",X36="",Z36="",AB36="",AD36="",AF36=""),"",ROUND(AK36*INDEX(ENDUSEALL[Factor],MATCH(AZ36,ENDUSEALL[End Use to Coincident Peak Demand Factors],0)),4)),"")</f>
        <v/>
      </c>
      <c r="BB36" s="1120"/>
      <c r="BC36" s="930" t="str">
        <f t="shared" ref="BC36" si="62">IFERROR(ROUND(AK36*BD36,2),"")</f>
        <v/>
      </c>
      <c r="BD36" s="930" t="str">
        <f>IFERROR(INDEX(ENDUSEALL[Rate ($/kWh)],MATCH(AZ36,ENDUSEALL[End Use to Coincident Peak Demand Factors],0)),"")</f>
        <v/>
      </c>
      <c r="BE36" s="931" t="str">
        <f>IFERROR(ROUND(AK36*KWHRATEMIN,2),"")</f>
        <v/>
      </c>
      <c r="BF36" s="931" t="str">
        <f>IFERROR(ROUND(AK36*KWHRATEMAX,2),"")</f>
        <v/>
      </c>
      <c r="BG36" s="930" t="str">
        <f>IFERROR(IF(INDEX(ENDUSEALL[Bonus Rate ($/kWh)],MATCH(AZ36,ENDUSEALL[End Use to Coincident Peak Demand Factors],0))="","",INDEX(ENDUSEALL[Bonus Rate ($/kWh)],MATCH(AZ36,ENDUSEALL[End Use to Coincident Peak Demand Factors],0))*AK36),"")</f>
        <v/>
      </c>
      <c r="BH36" s="1106" t="str">
        <f>IF(OR(C36="",F36="",L36="",P36="",R36="",T36="",X36="",Z36="",AB36="",AD36="",AF36=""),"",IF(BJ36&lt;&gt;"",SPILLOVERNUMBER,INDEX(CMECOMPAIR[Measure Number],MATCH(F36,CMECOMPAIR[Proj Desc 1],0))))</f>
        <v/>
      </c>
      <c r="BI36" s="1108" t="str">
        <f>IFERROR(IF(AND(AB36="Total",ROUND(AN36/AH36,2)=TOTCOSTCAP),"75% Total Cost",
IF(AND(AB36="Incremental",AH36=AN36),"100% Incremental Cost",
IF(BD36&lt;KWHRATEMIN, "kWh Incentive Rate Min",
IF(BD36&gt;KWHRATEMAX,"kWh Incentive Rate Cap",
IF(AN36=BG36,"Bonus Incentive",
"kWh Incentive"))))),"")</f>
        <v/>
      </c>
      <c r="BJ36" s="1108" t="str">
        <f ca="1">IFERROR(IF(EXPIRATION&lt;&gt;"",PROJSTATEXP,
IF(BL36&gt;0,"",
IF(AW36-AX36&lt;=0,MEASURESAVE,
IF(OR(M02S04F06="",M02S04F06="Select Rate Code",M02S04F06=0),MEASURERATE,
IF(AND((ISNUMBER(SEARCH("Other",F36))),OR(AY36="",AZ36="")),MEASURESUBMIT,
 IF(PAYCUSE&lt;PAYBACKREQ,PROJECTSTATPAYBACK,
IF(CBCUSE&lt;CBREQ,PROJECTSTATCB,""))))))),MEASURESUBMIT)</f>
        <v>Submit for Review</v>
      </c>
      <c r="BK36" s="930" t="str">
        <f>IFERROR(IF(OR(C36="",F36="",L36="",P36="",R36="",T36="",X36="",Z36="",AB36="",AD36="",AF36=""),"",
ROUND(((1+ELOSS)*((AK36*INDEX(ELECCB[NPV AEC $/kWh],MATCH(AY36,ELECCB[Year Number],1)))+(BA36*INDEX(ELECCB[NPV ACC $/kW],MATCH(AY36,ELECCB[Year Number],1))))),2)),0)</f>
        <v/>
      </c>
      <c r="BL36" s="1118"/>
    </row>
    <row r="37" spans="2:64" ht="15.95" customHeight="1">
      <c r="B37" s="905"/>
      <c r="C37" s="1037"/>
      <c r="D37" s="1037"/>
      <c r="E37" s="1037"/>
      <c r="F37" s="1037"/>
      <c r="G37" s="1037"/>
      <c r="H37" s="1037"/>
      <c r="I37" s="1037"/>
      <c r="J37" s="1037"/>
      <c r="K37" s="1039"/>
      <c r="L37" s="1040"/>
      <c r="M37" s="1037"/>
      <c r="N37" s="1037"/>
      <c r="O37" s="1037"/>
      <c r="P37" s="1041"/>
      <c r="Q37" s="1041"/>
      <c r="R37" s="1041"/>
      <c r="S37" s="1152"/>
      <c r="T37" s="1040"/>
      <c r="U37" s="1037"/>
      <c r="V37" s="1037"/>
      <c r="W37" s="1037"/>
      <c r="X37" s="1041"/>
      <c r="Y37" s="1041"/>
      <c r="Z37" s="1041"/>
      <c r="AA37" s="1152"/>
      <c r="AB37" s="1156"/>
      <c r="AC37" s="1157"/>
      <c r="AD37" s="1054"/>
      <c r="AE37" s="1054"/>
      <c r="AF37" s="1127"/>
      <c r="AG37" s="1128"/>
      <c r="AH37" s="1064"/>
      <c r="AI37" s="1065"/>
      <c r="AJ37" s="1065"/>
      <c r="AK37" s="1066"/>
      <c r="AL37" s="1066"/>
      <c r="AM37" s="1066"/>
      <c r="AN37" s="1049"/>
      <c r="AO37" s="1050"/>
      <c r="AP37" s="1050"/>
      <c r="AQ37" s="1050"/>
      <c r="AR37" s="355"/>
      <c r="AS37" s="355"/>
      <c r="AT37" s="1104"/>
      <c r="AU37" s="1104"/>
      <c r="AV37" s="1105"/>
      <c r="AW37" s="1025"/>
      <c r="AX37" s="1025"/>
      <c r="AY37" s="1114"/>
      <c r="AZ37" s="1116"/>
      <c r="BA37" s="1109"/>
      <c r="BB37" s="1121"/>
      <c r="BC37" s="931"/>
      <c r="BD37" s="931"/>
      <c r="BE37" s="931"/>
      <c r="BF37" s="931"/>
      <c r="BG37" s="931"/>
      <c r="BH37" s="1107"/>
      <c r="BI37" s="1105"/>
      <c r="BJ37" s="1105"/>
      <c r="BK37" s="931"/>
      <c r="BL37" s="1119"/>
    </row>
    <row r="38" spans="2:64" ht="15.95" customHeight="1">
      <c r="B38" s="905"/>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s="235"/>
      <c r="AP38" s="235"/>
      <c r="AQ38" s="235"/>
      <c r="AR38" s="235"/>
      <c r="AS38" s="235"/>
      <c r="AT38"/>
      <c r="AU38"/>
      <c r="AV38"/>
      <c r="AY38"/>
      <c r="AZ38"/>
      <c r="BA38"/>
      <c r="BB38"/>
      <c r="BC38"/>
      <c r="BD38"/>
    </row>
    <row r="39" spans="2:64" ht="15.95" hidden="1" customHeight="1">
      <c r="B39" s="90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s="235"/>
      <c r="AP39" s="235"/>
      <c r="AQ39" s="235"/>
      <c r="AR39" s="235"/>
      <c r="AS39" s="235"/>
      <c r="AT39"/>
      <c r="AU39"/>
      <c r="AV39"/>
      <c r="AY39"/>
      <c r="AZ39"/>
      <c r="BA39"/>
      <c r="BB39"/>
      <c r="BC39"/>
      <c r="BD39"/>
    </row>
    <row r="40" spans="2:64" ht="15.95" hidden="1" customHeight="1">
      <c r="B40" s="90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s="235"/>
      <c r="AP40" s="235"/>
      <c r="AQ40" s="235"/>
      <c r="AR40" s="235"/>
      <c r="AS40" s="235"/>
      <c r="AT40"/>
      <c r="AU40"/>
      <c r="AV40"/>
      <c r="AY40"/>
      <c r="AZ40"/>
      <c r="BA40"/>
      <c r="BB40"/>
      <c r="BC40"/>
      <c r="BD40"/>
    </row>
    <row r="41" spans="2:64" ht="15.95" hidden="1" customHeight="1">
      <c r="B41" s="905"/>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s="235"/>
      <c r="AP41" s="235"/>
      <c r="AQ41" s="235"/>
      <c r="AR41" s="235"/>
      <c r="AS41" s="235"/>
      <c r="AT41"/>
      <c r="AU41"/>
      <c r="AV41"/>
      <c r="AY41"/>
      <c r="AZ41"/>
      <c r="BA41"/>
      <c r="BB41"/>
      <c r="BC41"/>
      <c r="BD41"/>
    </row>
    <row r="42" spans="2:64" ht="15.95" hidden="1" customHeight="1">
      <c r="B42" s="90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s="235"/>
      <c r="AP42" s="235"/>
      <c r="AQ42" s="235"/>
      <c r="AR42" s="235"/>
      <c r="AS42" s="235"/>
      <c r="AT42"/>
      <c r="AU42"/>
      <c r="AV42"/>
      <c r="AY42"/>
      <c r="AZ42"/>
      <c r="BA42"/>
      <c r="BB42"/>
      <c r="BC42"/>
      <c r="BD42"/>
    </row>
    <row r="43" spans="2:64" ht="15.95" hidden="1" customHeight="1">
      <c r="B43" s="90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s="235"/>
      <c r="AP43" s="235"/>
      <c r="AQ43" s="235"/>
      <c r="AR43" s="235"/>
      <c r="AS43" s="235"/>
      <c r="AT43"/>
      <c r="AU43"/>
      <c r="AV43"/>
      <c r="AY43"/>
      <c r="AZ43"/>
      <c r="BA43"/>
      <c r="BB43"/>
      <c r="BC43"/>
      <c r="BD43"/>
    </row>
    <row r="44" spans="2:64" ht="15.95" hidden="1" customHeight="1">
      <c r="B44" s="905"/>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s="235"/>
      <c r="AP44" s="235"/>
      <c r="AQ44" s="235"/>
      <c r="AR44" s="235"/>
      <c r="AS44" s="235"/>
      <c r="AT44"/>
      <c r="AU44"/>
      <c r="AV44"/>
      <c r="AY44"/>
      <c r="AZ44"/>
      <c r="BA44"/>
      <c r="BB44"/>
      <c r="BC44"/>
      <c r="BD44"/>
    </row>
    <row r="45" spans="2:64" ht="15.95" hidden="1" customHeight="1">
      <c r="B45" s="90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s="235"/>
      <c r="AP45" s="235"/>
      <c r="AQ45" s="235"/>
      <c r="AR45" s="235"/>
      <c r="AS45" s="235"/>
      <c r="AT45"/>
      <c r="AU45"/>
      <c r="AV45"/>
      <c r="AY45"/>
      <c r="AZ45"/>
      <c r="BA45"/>
      <c r="BB45"/>
      <c r="BC45"/>
      <c r="BD45"/>
    </row>
    <row r="46" spans="2:64" ht="15.95" hidden="1" customHeight="1">
      <c r="B46" s="90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s="235"/>
      <c r="AP46" s="235"/>
      <c r="AQ46" s="235"/>
      <c r="AR46" s="235"/>
      <c r="AS46" s="235"/>
      <c r="AT46"/>
      <c r="AU46"/>
      <c r="AV46"/>
      <c r="AY46"/>
      <c r="AZ46"/>
      <c r="BA46"/>
      <c r="BB46"/>
      <c r="BC46"/>
      <c r="BD46"/>
    </row>
    <row r="47" spans="2:64" ht="15.95" hidden="1" customHeight="1">
      <c r="B47" s="905"/>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s="235"/>
      <c r="AP47" s="235"/>
      <c r="AQ47" s="235"/>
      <c r="AR47" s="235"/>
      <c r="AS47" s="235"/>
      <c r="AT47"/>
      <c r="AU47"/>
      <c r="AV47"/>
      <c r="AY47"/>
      <c r="AZ47"/>
      <c r="BA47"/>
      <c r="BB47"/>
      <c r="BC47"/>
      <c r="BD47"/>
    </row>
    <row r="48" spans="2:64" ht="15.95" hidden="1" customHeight="1">
      <c r="AO48" s="235"/>
      <c r="AP48" s="235"/>
      <c r="AQ48" s="235"/>
      <c r="AR48" s="235"/>
      <c r="AS48" s="235"/>
      <c r="AU48" s="57"/>
      <c r="AV48" s="64"/>
      <c r="AW48" s="64"/>
      <c r="AX48" s="64"/>
    </row>
    <row r="49" spans="41:50" ht="15.95" hidden="1" customHeight="1">
      <c r="AO49" s="235"/>
      <c r="AP49" s="235"/>
      <c r="AQ49" s="235"/>
      <c r="AR49" s="235"/>
      <c r="AS49" s="235"/>
      <c r="AU49" s="57"/>
      <c r="AV49" s="64"/>
      <c r="AW49" s="64"/>
      <c r="AX49" s="64"/>
    </row>
    <row r="50" spans="41:50" ht="15.95" hidden="1" customHeight="1">
      <c r="AO50" s="235"/>
      <c r="AP50" s="235"/>
      <c r="AQ50" s="235"/>
      <c r="AR50" s="235"/>
      <c r="AS50" s="235"/>
      <c r="AU50" s="57"/>
      <c r="AV50" s="64"/>
      <c r="AW50" s="64"/>
      <c r="AX50" s="64"/>
    </row>
    <row r="51" spans="41:50" ht="15.95" hidden="1" customHeight="1">
      <c r="AO51" s="235"/>
      <c r="AP51" s="235"/>
      <c r="AQ51" s="235"/>
      <c r="AR51" s="235"/>
      <c r="AS51" s="235"/>
      <c r="AU51" s="57"/>
      <c r="AV51" s="64"/>
      <c r="AW51" s="64"/>
      <c r="AX51" s="64"/>
    </row>
    <row r="52" spans="41:50" ht="15.95" hidden="1" customHeight="1">
      <c r="AO52" s="235"/>
      <c r="AP52" s="235"/>
      <c r="AQ52" s="235"/>
      <c r="AR52" s="235"/>
      <c r="AS52" s="235"/>
      <c r="AU52" s="57"/>
      <c r="AV52" s="64"/>
      <c r="AW52" s="64"/>
      <c r="AX52" s="64"/>
    </row>
    <row r="53" spans="41:50" ht="15.95" hidden="1" customHeight="1">
      <c r="AO53" s="235"/>
      <c r="AP53" s="235"/>
      <c r="AQ53" s="235"/>
      <c r="AR53" s="235"/>
      <c r="AS53" s="235"/>
      <c r="AU53" s="57"/>
      <c r="AV53" s="64"/>
      <c r="AW53" s="64"/>
      <c r="AX53" s="64"/>
    </row>
    <row r="54" spans="41:50" ht="15.95" hidden="1" customHeight="1">
      <c r="AO54" s="235"/>
      <c r="AP54" s="235"/>
      <c r="AQ54" s="235"/>
      <c r="AR54" s="235"/>
      <c r="AS54" s="235"/>
      <c r="AU54" s="57"/>
      <c r="AV54" s="64"/>
      <c r="AW54" s="64"/>
      <c r="AX54" s="64"/>
    </row>
    <row r="55" spans="41:50" ht="15.95" hidden="1" customHeight="1">
      <c r="AO55" s="235"/>
      <c r="AP55" s="235"/>
      <c r="AQ55" s="235"/>
      <c r="AR55" s="235"/>
      <c r="AS55" s="235"/>
      <c r="AU55" s="57"/>
      <c r="AV55" s="64"/>
      <c r="AW55" s="64"/>
      <c r="AX55" s="64"/>
    </row>
    <row r="56" spans="41:50" ht="15.95" hidden="1" customHeight="1">
      <c r="AO56" s="235"/>
      <c r="AP56" s="235"/>
      <c r="AQ56" s="235"/>
      <c r="AR56" s="235"/>
      <c r="AS56" s="235"/>
      <c r="AU56" s="57"/>
      <c r="AV56" s="64"/>
      <c r="AW56" s="64"/>
      <c r="AX56" s="64"/>
    </row>
    <row r="57" spans="41:50" ht="15.95" hidden="1" customHeight="1">
      <c r="AO57" s="235"/>
      <c r="AP57" s="235"/>
      <c r="AQ57" s="235"/>
      <c r="AR57" s="235"/>
      <c r="AS57" s="235"/>
      <c r="AU57" s="57"/>
      <c r="AV57" s="64"/>
      <c r="AW57" s="64"/>
      <c r="AX57" s="64"/>
    </row>
    <row r="58" spans="41:50" ht="15.95" hidden="1" customHeight="1">
      <c r="AO58" s="235"/>
      <c r="AP58" s="235"/>
      <c r="AQ58" s="235"/>
      <c r="AR58" s="235"/>
      <c r="AS58" s="235"/>
      <c r="AU58" s="57"/>
      <c r="AV58" s="64"/>
      <c r="AW58" s="64"/>
      <c r="AX58" s="64"/>
    </row>
    <row r="59" spans="41:50" ht="15.95" hidden="1" customHeight="1">
      <c r="AO59" s="235"/>
      <c r="AP59" s="235"/>
      <c r="AQ59" s="235"/>
      <c r="AR59" s="235"/>
      <c r="AS59" s="235"/>
      <c r="AU59" s="57"/>
      <c r="AV59" s="64"/>
      <c r="AW59" s="64"/>
      <c r="AX59" s="64"/>
    </row>
    <row r="60" spans="41:50" ht="15.95" hidden="1" customHeight="1">
      <c r="AO60" s="235"/>
      <c r="AP60" s="235"/>
      <c r="AQ60" s="235"/>
      <c r="AR60" s="235"/>
      <c r="AS60" s="235"/>
      <c r="AU60" s="57"/>
      <c r="AV60" s="64"/>
      <c r="AW60" s="64"/>
      <c r="AX60" s="64"/>
    </row>
    <row r="61" spans="41:50" ht="15.95" hidden="1" customHeight="1">
      <c r="AO61" s="235"/>
      <c r="AP61" s="235"/>
      <c r="AQ61" s="235"/>
      <c r="AR61" s="235"/>
      <c r="AS61" s="235"/>
      <c r="AU61" s="57"/>
      <c r="AV61" s="64"/>
      <c r="AW61" s="64"/>
      <c r="AX61" s="64"/>
    </row>
    <row r="62" spans="41:50" ht="15.95" hidden="1" customHeight="1">
      <c r="AU62" s="57"/>
      <c r="AV62" s="64"/>
      <c r="AW62" s="64"/>
      <c r="AX62" s="64"/>
    </row>
    <row r="63" spans="41:50" ht="15.95" hidden="1" customHeight="1">
      <c r="AU63" s="57"/>
      <c r="AV63" s="64"/>
      <c r="AW63" s="64"/>
      <c r="AX63" s="64"/>
    </row>
    <row r="64" spans="41:50" ht="15.95" hidden="1" customHeight="1">
      <c r="AU64" s="57"/>
      <c r="AV64" s="64"/>
      <c r="AW64" s="64"/>
      <c r="AX64" s="64"/>
    </row>
    <row r="65" spans="47:50" ht="15.95" hidden="1" customHeight="1">
      <c r="AU65" s="57"/>
      <c r="AV65" s="64"/>
      <c r="AW65" s="64"/>
      <c r="AX65" s="64"/>
    </row>
    <row r="66" spans="47:50" ht="15.95" hidden="1" customHeight="1">
      <c r="AU66" s="57"/>
      <c r="AV66" s="64"/>
      <c r="AW66" s="64"/>
      <c r="AX66" s="64"/>
    </row>
    <row r="67" spans="47:50" ht="15.95" hidden="1" customHeight="1">
      <c r="AU67" s="57"/>
      <c r="AV67" s="64"/>
      <c r="AW67" s="64"/>
      <c r="AX67" s="64"/>
    </row>
    <row r="68" spans="47:50" ht="15.95" hidden="1" customHeight="1">
      <c r="AU68" s="57"/>
      <c r="AV68" s="64"/>
      <c r="AW68" s="64"/>
      <c r="AX68" s="64"/>
    </row>
    <row r="69" spans="47:50" ht="15.95" hidden="1" customHeight="1">
      <c r="AU69" s="57"/>
      <c r="AV69" s="64"/>
      <c r="AW69" s="64"/>
      <c r="AX69" s="64"/>
    </row>
    <row r="70" spans="47:50" ht="15.95" hidden="1" customHeight="1">
      <c r="AU70" s="57"/>
      <c r="AV70" s="64"/>
      <c r="AW70" s="64"/>
      <c r="AX70" s="64"/>
    </row>
    <row r="71" spans="47:50" ht="15.95" hidden="1" customHeight="1">
      <c r="AU71" s="57"/>
      <c r="AV71" s="64"/>
      <c r="AW71" s="64"/>
      <c r="AX71" s="64"/>
    </row>
    <row r="72" spans="47:50" ht="15.95" hidden="1" customHeight="1">
      <c r="AU72" s="57"/>
      <c r="AV72" s="64"/>
      <c r="AW72" s="64"/>
      <c r="AX72" s="64"/>
    </row>
    <row r="73" spans="47:50" ht="15.95" hidden="1" customHeight="1">
      <c r="AU73" s="57"/>
      <c r="AV73" s="64"/>
      <c r="AW73" s="64"/>
      <c r="AX73" s="64"/>
    </row>
    <row r="74" spans="47:50" ht="15.95" hidden="1" customHeight="1">
      <c r="AU74" s="57"/>
      <c r="AV74" s="64"/>
      <c r="AW74" s="64"/>
      <c r="AX74" s="64"/>
    </row>
    <row r="75" spans="47:50" ht="15.95" hidden="1" customHeight="1">
      <c r="AU75" s="57"/>
      <c r="AV75" s="64"/>
      <c r="AW75" s="64"/>
      <c r="AX75" s="64"/>
    </row>
    <row r="76" spans="47:50" ht="15.95" hidden="1" customHeight="1">
      <c r="AU76" s="57"/>
      <c r="AV76" s="64"/>
      <c r="AW76" s="64"/>
      <c r="AX76" s="64"/>
    </row>
    <row r="77" spans="47:50" ht="15.95" hidden="1" customHeight="1">
      <c r="AU77" s="57"/>
      <c r="AV77" s="64"/>
      <c r="AW77" s="64"/>
      <c r="AX77" s="64"/>
    </row>
    <row r="78" spans="47:50" ht="15.95" hidden="1" customHeight="1">
      <c r="AU78" s="57"/>
      <c r="AV78" s="64"/>
      <c r="AW78" s="64"/>
      <c r="AX78" s="64"/>
    </row>
    <row r="79" spans="47:50" ht="15.95" hidden="1" customHeight="1">
      <c r="AU79" s="57"/>
      <c r="AV79" s="64"/>
      <c r="AW79" s="64"/>
      <c r="AX79" s="64"/>
    </row>
    <row r="80" spans="47:50" ht="15.95" hidden="1" customHeight="1">
      <c r="AU80" s="57"/>
      <c r="AV80" s="64"/>
      <c r="AW80" s="64"/>
      <c r="AX80" s="64"/>
    </row>
    <row r="81" spans="47:50" ht="15.95" hidden="1" customHeight="1">
      <c r="AU81" s="57"/>
      <c r="AV81" s="64"/>
      <c r="AW81" s="64"/>
      <c r="AX81" s="64"/>
    </row>
    <row r="82" spans="47:50" ht="15.95" hidden="1" customHeight="1">
      <c r="AU82" s="57"/>
      <c r="AV82" s="64"/>
      <c r="AW82" s="64"/>
      <c r="AX82" s="64"/>
    </row>
    <row r="83" spans="47:50" ht="15.95" hidden="1" customHeight="1">
      <c r="AU83" s="57"/>
      <c r="AV83" s="64"/>
      <c r="AW83" s="64"/>
      <c r="AX83" s="64"/>
    </row>
    <row r="84" spans="47:50" ht="15.95" hidden="1" customHeight="1">
      <c r="AU84" s="57"/>
      <c r="AV84" s="64"/>
      <c r="AW84" s="64"/>
      <c r="AX84" s="64"/>
    </row>
    <row r="85" spans="47:50" ht="15.95" hidden="1" customHeight="1">
      <c r="AU85" s="57"/>
      <c r="AV85" s="64"/>
      <c r="AW85" s="64"/>
      <c r="AX85" s="64"/>
    </row>
    <row r="86" spans="47:50" ht="15.95" hidden="1" customHeight="1">
      <c r="AU86" s="57"/>
      <c r="AV86" s="64"/>
      <c r="AW86" s="64"/>
      <c r="AX86" s="64"/>
    </row>
    <row r="87" spans="47:50" ht="15.95" hidden="1" customHeight="1">
      <c r="AU87" s="57"/>
      <c r="AV87" s="64"/>
      <c r="AW87" s="64"/>
      <c r="AX87" s="64"/>
    </row>
    <row r="88" spans="47:50" ht="15.95" hidden="1" customHeight="1">
      <c r="AU88" s="57"/>
      <c r="AV88" s="64"/>
      <c r="AW88" s="64"/>
      <c r="AX88" s="64"/>
    </row>
    <row r="89" spans="47:50" ht="15.95" hidden="1" customHeight="1">
      <c r="AU89" s="57"/>
      <c r="AV89" s="64"/>
      <c r="AW89" s="64"/>
      <c r="AX89" s="64"/>
    </row>
    <row r="90" spans="47:50" ht="15.95" hidden="1" customHeight="1">
      <c r="AU90" s="57"/>
      <c r="AV90" s="64"/>
      <c r="AW90" s="64"/>
      <c r="AX90" s="64"/>
    </row>
    <row r="91" spans="47:50" ht="15.95" hidden="1" customHeight="1">
      <c r="AU91" s="57"/>
      <c r="AV91" s="64"/>
      <c r="AW91" s="64"/>
      <c r="AX91" s="64"/>
    </row>
    <row r="92" spans="47:50" ht="15.95" hidden="1" customHeight="1">
      <c r="AU92" s="57"/>
      <c r="AV92" s="64"/>
      <c r="AW92" s="64"/>
      <c r="AX92" s="64"/>
    </row>
    <row r="93" spans="47:50" ht="15.95" hidden="1" customHeight="1">
      <c r="AU93" s="57"/>
      <c r="AV93" s="64"/>
      <c r="AW93" s="64"/>
      <c r="AX93" s="64"/>
    </row>
    <row r="94" spans="47:50" ht="15.95" hidden="1" customHeight="1">
      <c r="AU94" s="57"/>
      <c r="AV94" s="64"/>
      <c r="AW94" s="64"/>
      <c r="AX94" s="64"/>
    </row>
    <row r="95" spans="47:50" ht="15.95" hidden="1" customHeight="1">
      <c r="AU95" s="57"/>
      <c r="AV95" s="64"/>
      <c r="AW95" s="64"/>
      <c r="AX95" s="64"/>
    </row>
    <row r="96" spans="47:50" ht="15.95" hidden="1" customHeight="1">
      <c r="AU96" s="57"/>
      <c r="AV96" s="64"/>
      <c r="AW96" s="64"/>
      <c r="AX96" s="64"/>
    </row>
    <row r="97" spans="47:50" ht="15.95" hidden="1" customHeight="1">
      <c r="AU97" s="57"/>
      <c r="AV97" s="64"/>
      <c r="AW97" s="64"/>
      <c r="AX97" s="64"/>
    </row>
    <row r="98" spans="47:50" ht="15.95" hidden="1" customHeight="1">
      <c r="AU98" s="57"/>
      <c r="AV98" s="64"/>
      <c r="AW98" s="64"/>
      <c r="AX98" s="64"/>
    </row>
    <row r="99" spans="47:50" ht="15.95" hidden="1" customHeight="1">
      <c r="AU99" s="57"/>
      <c r="AV99" s="64"/>
      <c r="AW99" s="64"/>
      <c r="AX99" s="64"/>
    </row>
    <row r="100" spans="47:50" ht="15.95" hidden="1" customHeight="1">
      <c r="AU100" s="57"/>
      <c r="AV100" s="64"/>
      <c r="AW100" s="64"/>
      <c r="AX100" s="64"/>
    </row>
    <row r="101" spans="47:50" ht="15.95" hidden="1" customHeight="1">
      <c r="AU101" s="57"/>
      <c r="AV101" s="64"/>
      <c r="AW101" s="64"/>
      <c r="AX101" s="64"/>
    </row>
    <row r="102" spans="47:50" ht="15.95" hidden="1" customHeight="1">
      <c r="AU102" s="57"/>
      <c r="AV102" s="64"/>
      <c r="AW102" s="64"/>
      <c r="AX102" s="64"/>
    </row>
    <row r="103" spans="47:50" ht="15.95" hidden="1" customHeight="1">
      <c r="AU103" s="57"/>
      <c r="AV103" s="64"/>
      <c r="AW103" s="64"/>
      <c r="AX103" s="64"/>
    </row>
    <row r="104" spans="47:50" ht="15.95" hidden="1" customHeight="1">
      <c r="AU104" s="57"/>
      <c r="AV104" s="64"/>
      <c r="AW104" s="64"/>
      <c r="AX104" s="64"/>
    </row>
    <row r="105" spans="47:50" ht="15.95" hidden="1" customHeight="1">
      <c r="AU105" s="57"/>
      <c r="AV105" s="64"/>
      <c r="AW105" s="64"/>
      <c r="AX105" s="64"/>
    </row>
    <row r="106" spans="47:50" ht="15.95" hidden="1" customHeight="1">
      <c r="AU106" s="57"/>
      <c r="AV106" s="64"/>
      <c r="AW106" s="64"/>
      <c r="AX106" s="64"/>
    </row>
    <row r="107" spans="47:50" ht="15.95" hidden="1" customHeight="1">
      <c r="AU107" s="57"/>
      <c r="AV107" s="64"/>
      <c r="AW107" s="64"/>
      <c r="AX107" s="64"/>
    </row>
    <row r="108" spans="47:50" ht="15.95" hidden="1" customHeight="1">
      <c r="AU108" s="57"/>
      <c r="AV108" s="64"/>
      <c r="AW108" s="64"/>
      <c r="AX108" s="64"/>
    </row>
    <row r="109" spans="47:50" ht="15.95" hidden="1" customHeight="1">
      <c r="AU109" s="57"/>
      <c r="AV109" s="64"/>
      <c r="AW109" s="64"/>
      <c r="AX109" s="64"/>
    </row>
    <row r="110" spans="47:50" ht="15.95" hidden="1" customHeight="1">
      <c r="AU110" s="57"/>
      <c r="AV110" s="64"/>
      <c r="AW110" s="64"/>
      <c r="AX110" s="64"/>
    </row>
    <row r="111" spans="47:50" ht="15.95" hidden="1" customHeight="1">
      <c r="AU111" s="57"/>
      <c r="AV111" s="64"/>
      <c r="AW111" s="64"/>
      <c r="AX111" s="64"/>
    </row>
    <row r="112" spans="47:50" ht="15.95" hidden="1" customHeight="1">
      <c r="AU112" s="57"/>
      <c r="AV112" s="64"/>
      <c r="AW112" s="64"/>
      <c r="AX112" s="64"/>
    </row>
    <row r="113" spans="47:50" ht="15.95" hidden="1" customHeight="1">
      <c r="AU113" s="57"/>
      <c r="AV113" s="64"/>
      <c r="AW113" s="64"/>
      <c r="AX113" s="64"/>
    </row>
    <row r="114" spans="47:50" ht="15.95" hidden="1" customHeight="1">
      <c r="AU114" s="57"/>
      <c r="AV114" s="64"/>
      <c r="AW114" s="64"/>
      <c r="AX114" s="64"/>
    </row>
    <row r="115" spans="47:50" ht="15.95" hidden="1" customHeight="1">
      <c r="AU115" s="57"/>
      <c r="AV115" s="64"/>
      <c r="AW115" s="64"/>
      <c r="AX115" s="64"/>
    </row>
    <row r="116" spans="47:50" ht="15.95" hidden="1" customHeight="1">
      <c r="AU116" s="57"/>
      <c r="AV116" s="64"/>
      <c r="AW116" s="64"/>
      <c r="AX116" s="64"/>
    </row>
    <row r="117" spans="47:50" ht="15.95" hidden="1" customHeight="1">
      <c r="AU117" s="57"/>
      <c r="AV117" s="64"/>
      <c r="AW117" s="64"/>
      <c r="AX117" s="64"/>
    </row>
    <row r="118" spans="47:50" ht="15.95" hidden="1" customHeight="1">
      <c r="AU118" s="57"/>
      <c r="AV118" s="64"/>
      <c r="AW118" s="64"/>
      <c r="AX118" s="64"/>
    </row>
    <row r="119" spans="47:50" ht="15.95" hidden="1" customHeight="1">
      <c r="AU119" s="57"/>
      <c r="AV119" s="64"/>
      <c r="AW119" s="64"/>
      <c r="AX119" s="64"/>
    </row>
    <row r="120" spans="47:50" ht="15.95" hidden="1" customHeight="1">
      <c r="AU120" s="57"/>
      <c r="AV120" s="64"/>
      <c r="AW120" s="64"/>
      <c r="AX120" s="64"/>
    </row>
    <row r="121" spans="47:50" ht="15.95" hidden="1" customHeight="1">
      <c r="AU121" s="57"/>
      <c r="AV121" s="64"/>
      <c r="AW121" s="64"/>
      <c r="AX121" s="64"/>
    </row>
    <row r="122" spans="47:50" ht="15.95" hidden="1" customHeight="1">
      <c r="AU122" s="57"/>
      <c r="AV122" s="64"/>
      <c r="AW122" s="64"/>
      <c r="AX122" s="64"/>
    </row>
    <row r="123" spans="47:50" ht="15.95" hidden="1" customHeight="1">
      <c r="AU123" s="57"/>
      <c r="AV123" s="64"/>
      <c r="AW123" s="64"/>
      <c r="AX123" s="64"/>
    </row>
    <row r="124" spans="47:50" ht="15.95" hidden="1" customHeight="1">
      <c r="AU124" s="57"/>
      <c r="AV124" s="64"/>
      <c r="AW124" s="64"/>
      <c r="AX124" s="64"/>
    </row>
    <row r="125" spans="47:50" ht="15.95" hidden="1" customHeight="1">
      <c r="AU125" s="57"/>
      <c r="AV125" s="64"/>
      <c r="AW125" s="64"/>
      <c r="AX125" s="64"/>
    </row>
    <row r="126" spans="47:50" ht="15.95" hidden="1" customHeight="1">
      <c r="AU126" s="57"/>
      <c r="AV126" s="64"/>
      <c r="AW126" s="64"/>
      <c r="AX126" s="64"/>
    </row>
    <row r="127" spans="47:50" ht="15.95" hidden="1" customHeight="1">
      <c r="AU127" s="57"/>
      <c r="AV127" s="64"/>
      <c r="AW127" s="64"/>
      <c r="AX127" s="64"/>
    </row>
    <row r="128" spans="47:50" ht="15.95" hidden="1" customHeight="1">
      <c r="AU128" s="57"/>
      <c r="AV128" s="64"/>
      <c r="AW128" s="64"/>
      <c r="AX128" s="64"/>
    </row>
    <row r="129" spans="47:50" ht="15.95" hidden="1" customHeight="1">
      <c r="AU129" s="57"/>
      <c r="AV129" s="64"/>
      <c r="AW129" s="64"/>
      <c r="AX129" s="64"/>
    </row>
    <row r="130" spans="47:50" ht="15.95" hidden="1" customHeight="1">
      <c r="AU130" s="57"/>
      <c r="AV130" s="64"/>
      <c r="AW130" s="64"/>
      <c r="AX130" s="64"/>
    </row>
    <row r="131" spans="47:50" ht="15.95" hidden="1" customHeight="1">
      <c r="AU131" s="57"/>
      <c r="AV131" s="64"/>
      <c r="AW131" s="64"/>
      <c r="AX131" s="64"/>
    </row>
    <row r="132" spans="47:50" ht="15.95" hidden="1" customHeight="1">
      <c r="AU132" s="57"/>
      <c r="AV132" s="64"/>
      <c r="AW132" s="64"/>
      <c r="AX132" s="64"/>
    </row>
    <row r="133" spans="47:50" ht="15.95" hidden="1" customHeight="1">
      <c r="AU133" s="57"/>
      <c r="AV133" s="64"/>
      <c r="AW133" s="64"/>
      <c r="AX133" s="64"/>
    </row>
    <row r="134" spans="47:50" ht="15.95" hidden="1" customHeight="1">
      <c r="AU134" s="57"/>
      <c r="AV134" s="64"/>
      <c r="AW134" s="64"/>
      <c r="AX134" s="64"/>
    </row>
    <row r="135" spans="47:50" ht="15.95" hidden="1" customHeight="1">
      <c r="AU135" s="57"/>
      <c r="AV135" s="64"/>
      <c r="AW135" s="64"/>
      <c r="AX135" s="64"/>
    </row>
    <row r="136" spans="47:50" ht="15.95" hidden="1" customHeight="1">
      <c r="AU136" s="57"/>
      <c r="AV136" s="64"/>
      <c r="AW136" s="64"/>
      <c r="AX136" s="64"/>
    </row>
    <row r="137" spans="47:50" ht="15.95" hidden="1" customHeight="1">
      <c r="AU137" s="57"/>
      <c r="AV137" s="64"/>
      <c r="AW137" s="64"/>
      <c r="AX137" s="64"/>
    </row>
    <row r="138" spans="47:50" ht="15.95" hidden="1" customHeight="1">
      <c r="AU138" s="57"/>
      <c r="AV138" s="64"/>
      <c r="AW138" s="64"/>
      <c r="AX138" s="64"/>
    </row>
    <row r="139" spans="47:50" ht="15.95" hidden="1" customHeight="1">
      <c r="AU139" s="57"/>
      <c r="AV139" s="64"/>
      <c r="AW139" s="64"/>
      <c r="AX139" s="64"/>
    </row>
    <row r="140" spans="47:50" ht="15.95" hidden="1" customHeight="1">
      <c r="AU140" s="57"/>
      <c r="AV140" s="64"/>
      <c r="AW140" s="64"/>
      <c r="AX140" s="64"/>
    </row>
    <row r="141" spans="47:50" ht="15.95" hidden="1" customHeight="1">
      <c r="AU141" s="57"/>
      <c r="AV141" s="64"/>
      <c r="AW141" s="64"/>
      <c r="AX141" s="64"/>
    </row>
    <row r="142" spans="47:50" ht="15.95" hidden="1" customHeight="1">
      <c r="AU142" s="57"/>
      <c r="AV142" s="64"/>
      <c r="AW142" s="64"/>
      <c r="AX142" s="64"/>
    </row>
    <row r="143" spans="47:50" ht="15.95" hidden="1" customHeight="1">
      <c r="AU143" s="57"/>
      <c r="AV143" s="64"/>
      <c r="AW143" s="64"/>
      <c r="AX143" s="64"/>
    </row>
    <row r="144" spans="47:50" ht="15.95" hidden="1" customHeight="1">
      <c r="AU144" s="57"/>
      <c r="AV144" s="64"/>
      <c r="AW144" s="64"/>
      <c r="AX144" s="64"/>
    </row>
    <row r="145" spans="47:50" ht="15.95" hidden="1" customHeight="1">
      <c r="AU145" s="57"/>
      <c r="AV145" s="64"/>
      <c r="AW145" s="64"/>
      <c r="AX145" s="64"/>
    </row>
    <row r="146" spans="47:50" ht="15.95" hidden="1" customHeight="1">
      <c r="AU146" s="57"/>
      <c r="AV146" s="64"/>
      <c r="AW146" s="64"/>
      <c r="AX146" s="64"/>
    </row>
    <row r="147" spans="47:50" ht="15.95" hidden="1" customHeight="1">
      <c r="AU147" s="57"/>
      <c r="AV147" s="64"/>
      <c r="AW147" s="64"/>
      <c r="AX147" s="64"/>
    </row>
    <row r="148" spans="47:50" ht="15.95" hidden="1" customHeight="1">
      <c r="AU148" s="57"/>
      <c r="AV148" s="64"/>
      <c r="AW148" s="64"/>
      <c r="AX148" s="64"/>
    </row>
    <row r="149" spans="47:50" ht="15.95" hidden="1" customHeight="1">
      <c r="AU149" s="57"/>
      <c r="AV149" s="64"/>
      <c r="AW149" s="64"/>
      <c r="AX149" s="64"/>
    </row>
    <row r="150" spans="47:50" ht="15.95" hidden="1" customHeight="1">
      <c r="AU150" s="57"/>
      <c r="AV150" s="64"/>
      <c r="AW150" s="64"/>
      <c r="AX150" s="64"/>
    </row>
    <row r="151" spans="47:50" ht="15.95" hidden="1" customHeight="1">
      <c r="AU151" s="57"/>
      <c r="AV151" s="64"/>
      <c r="AW151" s="64"/>
      <c r="AX151" s="64"/>
    </row>
    <row r="152" spans="47:50" ht="15.95" hidden="1" customHeight="1">
      <c r="AU152" s="57"/>
      <c r="AV152" s="64"/>
      <c r="AW152" s="64"/>
      <c r="AX152" s="64"/>
    </row>
    <row r="153" spans="47:50" ht="15.95" hidden="1" customHeight="1">
      <c r="AU153" s="57"/>
      <c r="AV153" s="64"/>
      <c r="AW153" s="64"/>
      <c r="AX153" s="64"/>
    </row>
    <row r="154" spans="47:50" ht="15.95" hidden="1" customHeight="1">
      <c r="AU154" s="57"/>
      <c r="AV154" s="64"/>
      <c r="AW154" s="64"/>
      <c r="AX154" s="64"/>
    </row>
    <row r="155" spans="47:50" ht="15.95" hidden="1" customHeight="1">
      <c r="AU155" s="57"/>
      <c r="AV155" s="64"/>
      <c r="AW155" s="64"/>
      <c r="AX155" s="64"/>
    </row>
    <row r="156" spans="47:50" ht="15.95" hidden="1" customHeight="1">
      <c r="AU156" s="57"/>
      <c r="AV156" s="64"/>
      <c r="AW156" s="64"/>
      <c r="AX156" s="64"/>
    </row>
    <row r="157" spans="47:50" ht="15.95" hidden="1" customHeight="1">
      <c r="AU157" s="57"/>
      <c r="AV157" s="64"/>
      <c r="AW157" s="64"/>
      <c r="AX157" s="64"/>
    </row>
    <row r="158" spans="47:50" ht="15.95" hidden="1" customHeight="1">
      <c r="AU158" s="57"/>
      <c r="AV158" s="64"/>
      <c r="AW158" s="64"/>
      <c r="AX158" s="64"/>
    </row>
    <row r="159" spans="47:50" ht="15.95" hidden="1" customHeight="1">
      <c r="AU159" s="57"/>
      <c r="AV159" s="64"/>
      <c r="AW159" s="64"/>
      <c r="AX159" s="64"/>
    </row>
    <row r="160" spans="47:50" ht="15.95" hidden="1" customHeight="1">
      <c r="AU160" s="57"/>
      <c r="AV160" s="64"/>
      <c r="AW160" s="64"/>
      <c r="AX160" s="64"/>
    </row>
    <row r="161" spans="47:50" ht="15.95" hidden="1" customHeight="1">
      <c r="AU161" s="57"/>
      <c r="AV161" s="64"/>
      <c r="AW161" s="64"/>
      <c r="AX161" s="64"/>
    </row>
    <row r="162" spans="47:50" ht="15.95" hidden="1" customHeight="1">
      <c r="AU162" s="57"/>
      <c r="AV162" s="64"/>
      <c r="AW162" s="64"/>
      <c r="AX162" s="64"/>
    </row>
    <row r="163" spans="47:50" ht="15.95" hidden="1" customHeight="1">
      <c r="AU163" s="57"/>
      <c r="AV163" s="64"/>
      <c r="AW163" s="64"/>
      <c r="AX163" s="64"/>
    </row>
    <row r="164" spans="47:50" ht="15.95" hidden="1" customHeight="1">
      <c r="AU164" s="57"/>
      <c r="AV164" s="64"/>
      <c r="AW164" s="64"/>
      <c r="AX164" s="64"/>
    </row>
    <row r="165" spans="47:50" ht="15.95" hidden="1" customHeight="1">
      <c r="AU165" s="57"/>
      <c r="AV165" s="64"/>
      <c r="AW165" s="64"/>
      <c r="AX165" s="64"/>
    </row>
    <row r="166" spans="47:50" ht="15.95" hidden="1" customHeight="1">
      <c r="AU166" s="57"/>
      <c r="AV166" s="64"/>
      <c r="AW166" s="64"/>
      <c r="AX166" s="64"/>
    </row>
    <row r="167" spans="47:50" ht="15.95" hidden="1" customHeight="1">
      <c r="AU167" s="57"/>
      <c r="AV167" s="64"/>
      <c r="AW167" s="64"/>
      <c r="AX167" s="64"/>
    </row>
    <row r="168" spans="47:50" ht="15.95" hidden="1" customHeight="1">
      <c r="AU168" s="57"/>
      <c r="AV168" s="64"/>
      <c r="AW168" s="64"/>
      <c r="AX168" s="64"/>
    </row>
    <row r="169" spans="47:50" ht="15.95" hidden="1" customHeight="1">
      <c r="AU169" s="57"/>
      <c r="AV169" s="64"/>
      <c r="AW169" s="64"/>
      <c r="AX169" s="64"/>
    </row>
    <row r="170" spans="47:50" ht="15.95" hidden="1" customHeight="1">
      <c r="AU170" s="57"/>
      <c r="AV170" s="64"/>
      <c r="AW170" s="64"/>
      <c r="AX170" s="64"/>
    </row>
    <row r="171" spans="47:50" ht="15.95" hidden="1" customHeight="1">
      <c r="AU171" s="57"/>
      <c r="AV171" s="64"/>
      <c r="AW171" s="64"/>
      <c r="AX171" s="64"/>
    </row>
    <row r="172" spans="47:50" ht="15.95" hidden="1" customHeight="1">
      <c r="AU172" s="57"/>
      <c r="AV172" s="64"/>
      <c r="AW172" s="64"/>
      <c r="AX172" s="64"/>
    </row>
    <row r="173" spans="47:50" ht="15.95" hidden="1" customHeight="1">
      <c r="AU173" s="57"/>
      <c r="AV173" s="64"/>
      <c r="AW173" s="64"/>
      <c r="AX173" s="64"/>
    </row>
    <row r="174" spans="47:50" ht="15.95" hidden="1" customHeight="1">
      <c r="AU174" s="57"/>
      <c r="AV174" s="64"/>
      <c r="AW174" s="64"/>
      <c r="AX174" s="64"/>
    </row>
    <row r="175" spans="47:50" ht="15.95" hidden="1" customHeight="1">
      <c r="AU175" s="57"/>
      <c r="AV175" s="64"/>
      <c r="AW175" s="64"/>
      <c r="AX175" s="64"/>
    </row>
    <row r="176" spans="47:50" ht="15.95" hidden="1" customHeight="1">
      <c r="AU176" s="57"/>
      <c r="AV176" s="64"/>
      <c r="AW176" s="64"/>
      <c r="AX176" s="64"/>
    </row>
    <row r="177" spans="47:50" ht="15.95" hidden="1" customHeight="1">
      <c r="AU177" s="57"/>
      <c r="AV177" s="64"/>
      <c r="AW177" s="64"/>
      <c r="AX177" s="64"/>
    </row>
    <row r="178" spans="47:50" ht="15.95" hidden="1" customHeight="1">
      <c r="AU178" s="57"/>
      <c r="AV178" s="64"/>
      <c r="AW178" s="64"/>
      <c r="AX178" s="64"/>
    </row>
    <row r="179" spans="47:50" ht="15.95" hidden="1" customHeight="1">
      <c r="AU179" s="57"/>
      <c r="AV179" s="64"/>
      <c r="AW179" s="64"/>
      <c r="AX179" s="64"/>
    </row>
    <row r="180" spans="47:50" ht="15.95" hidden="1" customHeight="1">
      <c r="AU180" s="57"/>
      <c r="AV180" s="64"/>
      <c r="AW180" s="64"/>
      <c r="AX180" s="64"/>
    </row>
    <row r="181" spans="47:50" ht="15.95" hidden="1" customHeight="1">
      <c r="AU181" s="57"/>
      <c r="AV181" s="64"/>
      <c r="AW181" s="64"/>
      <c r="AX181" s="64"/>
    </row>
    <row r="182" spans="47:50" ht="15.95" hidden="1" customHeight="1">
      <c r="AU182" s="57"/>
      <c r="AV182" s="64"/>
      <c r="AW182" s="64"/>
      <c r="AX182" s="64"/>
    </row>
    <row r="183" spans="47:50" ht="15.95" hidden="1" customHeight="1">
      <c r="AU183" s="57"/>
      <c r="AV183" s="64"/>
      <c r="AW183" s="64"/>
      <c r="AX183" s="64"/>
    </row>
    <row r="184" spans="47:50" ht="15.95" hidden="1" customHeight="1">
      <c r="AU184" s="57"/>
      <c r="AV184" s="64"/>
      <c r="AW184" s="64"/>
      <c r="AX184" s="64"/>
    </row>
    <row r="185" spans="47:50" ht="15.95" hidden="1" customHeight="1">
      <c r="AU185" s="57"/>
      <c r="AV185" s="64"/>
      <c r="AW185" s="64"/>
      <c r="AX185" s="64"/>
    </row>
    <row r="186" spans="47:50" ht="15.95" hidden="1" customHeight="1">
      <c r="AU186" s="57"/>
      <c r="AV186" s="64"/>
      <c r="AW186" s="64"/>
      <c r="AX186" s="64"/>
    </row>
    <row r="187" spans="47:50" ht="15.95" hidden="1" customHeight="1">
      <c r="AU187" s="57"/>
      <c r="AV187" s="64"/>
      <c r="AW187" s="64"/>
      <c r="AX187" s="64"/>
    </row>
    <row r="188" spans="47:50" ht="15.95" hidden="1" customHeight="1">
      <c r="AU188" s="57"/>
      <c r="AV188" s="64"/>
      <c r="AW188" s="64"/>
      <c r="AX188" s="64"/>
    </row>
    <row r="189" spans="47:50" ht="15.95" hidden="1" customHeight="1">
      <c r="AU189" s="57"/>
      <c r="AV189" s="64"/>
      <c r="AW189" s="64"/>
      <c r="AX189" s="64"/>
    </row>
    <row r="190" spans="47:50" ht="15.95" hidden="1" customHeight="1">
      <c r="AU190" s="57"/>
      <c r="AV190" s="64"/>
      <c r="AW190" s="64"/>
      <c r="AX190" s="64"/>
    </row>
    <row r="191" spans="47:50" ht="15.95" hidden="1" customHeight="1">
      <c r="AU191" s="57"/>
      <c r="AV191" s="64"/>
      <c r="AW191" s="64"/>
      <c r="AX191" s="64"/>
    </row>
    <row r="192" spans="47:50" ht="15.95" hidden="1" customHeight="1">
      <c r="AU192" s="57"/>
      <c r="AV192" s="64"/>
      <c r="AW192" s="64"/>
      <c r="AX192" s="64"/>
    </row>
    <row r="193" spans="1:53" ht="15.95" hidden="1" customHeight="1">
      <c r="AU193" s="57"/>
      <c r="AV193" s="64"/>
      <c r="AW193" s="64"/>
      <c r="AX193" s="64"/>
    </row>
    <row r="194" spans="1:53" ht="15.95" hidden="1" customHeight="1">
      <c r="AU194" s="57"/>
      <c r="AV194" s="64"/>
      <c r="AW194" s="64"/>
      <c r="AX194" s="64"/>
    </row>
    <row r="195" spans="1:53" ht="15.95" hidden="1" customHeight="1">
      <c r="AU195" s="57"/>
      <c r="AV195" s="64"/>
      <c r="AW195" s="64"/>
      <c r="AX195" s="64"/>
    </row>
    <row r="196" spans="1:53" ht="15.95" hidden="1" customHeight="1">
      <c r="AU196" s="57"/>
      <c r="AV196" s="64"/>
      <c r="AW196" s="64"/>
      <c r="AX196" s="64"/>
    </row>
    <row r="197" spans="1:53" ht="15.95" hidden="1" customHeight="1">
      <c r="AU197" s="57"/>
      <c r="AV197" s="64"/>
      <c r="AW197" s="64"/>
      <c r="AX197" s="64"/>
    </row>
    <row r="198" spans="1:53" ht="15.95" hidden="1" customHeight="1">
      <c r="AU198" s="57"/>
      <c r="AV198" s="64"/>
      <c r="AW198" s="64"/>
      <c r="AX198" s="64"/>
    </row>
    <row r="199" spans="1:53" ht="15.95" hidden="1" customHeight="1">
      <c r="AU199" s="57"/>
      <c r="AV199" s="64"/>
      <c r="AW199" s="64"/>
      <c r="AX199" s="64"/>
    </row>
    <row r="200" spans="1:53"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U200"/>
      <c r="AV200"/>
      <c r="AW200" s="1025">
        <f>SUM(AW18:AW37)</f>
        <v>0</v>
      </c>
      <c r="AX200" s="1025">
        <f>SUM(AX18:AX37)</f>
        <v>0</v>
      </c>
      <c r="BA200" s="1026">
        <f>SUM(BA18:BA37)</f>
        <v>0</v>
      </c>
    </row>
    <row r="201" spans="1:53"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U201"/>
      <c r="AV201"/>
      <c r="AW201" s="1025"/>
      <c r="AX201" s="1025"/>
      <c r="BA201" s="1027"/>
    </row>
    <row r="202" spans="1:53"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3" ht="15.95" hidden="1" customHeight="1"/>
    <row r="204" spans="1:53" ht="15.95" hidden="1" customHeight="1"/>
  </sheetData>
  <sheetProtection algorithmName="SHA-512" hashValue="b6/Kh7+CqT1G2w2yOOLBk7sRM+iy0SfV13/LyoL5L1E9uBbjJrDnFYylmoCxUGDANNm9nO/n0UEdNj8wT4idcQ==" saltValue="HmqA/kofCzR3XDq7iKbGLw==" spinCount="100000" sheet="1" objects="1" scenarios="1" selectLockedCells="1"/>
  <mergeCells count="409">
    <mergeCell ref="BL34:BL35"/>
    <mergeCell ref="BL36:BL37"/>
    <mergeCell ref="BL16:BL17"/>
    <mergeCell ref="BL18:BL19"/>
    <mergeCell ref="BL20:BL21"/>
    <mergeCell ref="BL22:BL23"/>
    <mergeCell ref="BL24:BL25"/>
    <mergeCell ref="BL26:BL27"/>
    <mergeCell ref="BL28:BL29"/>
    <mergeCell ref="BL30:BL31"/>
    <mergeCell ref="BL32:BL33"/>
    <mergeCell ref="BK34:BK35"/>
    <mergeCell ref="BK36:BK37"/>
    <mergeCell ref="BK16:BK17"/>
    <mergeCell ref="BK18:BK19"/>
    <mergeCell ref="BK20:BK21"/>
    <mergeCell ref="BK22:BK23"/>
    <mergeCell ref="BK24:BK25"/>
    <mergeCell ref="BK26:BK27"/>
    <mergeCell ref="BK28:BK29"/>
    <mergeCell ref="BK30:BK31"/>
    <mergeCell ref="BK32:BK33"/>
    <mergeCell ref="BG16:BG17"/>
    <mergeCell ref="BG18:BG19"/>
    <mergeCell ref="BG20:BG21"/>
    <mergeCell ref="BG22:BG23"/>
    <mergeCell ref="BG24:BG25"/>
    <mergeCell ref="BG26:BG27"/>
    <mergeCell ref="BG28:BG29"/>
    <mergeCell ref="BG30:BG31"/>
    <mergeCell ref="BG32:BG33"/>
    <mergeCell ref="BI30:BI31"/>
    <mergeCell ref="BA32:BA33"/>
    <mergeCell ref="BJ28:BJ29"/>
    <mergeCell ref="BJ30:BJ31"/>
    <mergeCell ref="BJ26:BJ27"/>
    <mergeCell ref="BA26:BA27"/>
    <mergeCell ref="BB26:BB27"/>
    <mergeCell ref="BC26:BC27"/>
    <mergeCell ref="AO5:AS6"/>
    <mergeCell ref="AO7:AS7"/>
    <mergeCell ref="AO8:AS8"/>
    <mergeCell ref="AW20:AW21"/>
    <mergeCell ref="AX20:AX21"/>
    <mergeCell ref="AW22:AW23"/>
    <mergeCell ref="AX22:AX23"/>
    <mergeCell ref="AW24:AW25"/>
    <mergeCell ref="AX24:AX25"/>
    <mergeCell ref="AV22:AV23"/>
    <mergeCell ref="BE30:BE31"/>
    <mergeCell ref="BF30:BF31"/>
    <mergeCell ref="BH30:BH31"/>
    <mergeCell ref="BD30:BD31"/>
    <mergeCell ref="AN30:AQ31"/>
    <mergeCell ref="AT30:AT31"/>
    <mergeCell ref="BJ36:BJ37"/>
    <mergeCell ref="BB36:BB37"/>
    <mergeCell ref="BC36:BC37"/>
    <mergeCell ref="BD36:BD37"/>
    <mergeCell ref="BE36:BE37"/>
    <mergeCell ref="BF36:BF37"/>
    <mergeCell ref="BI34:BI35"/>
    <mergeCell ref="BI36:BI37"/>
    <mergeCell ref="BF32:BF33"/>
    <mergeCell ref="BF34:BF35"/>
    <mergeCell ref="BH34:BH35"/>
    <mergeCell ref="BH36:BH37"/>
    <mergeCell ref="BE32:BE33"/>
    <mergeCell ref="BJ34:BJ35"/>
    <mergeCell ref="BJ32:BJ33"/>
    <mergeCell ref="BH32:BH33"/>
    <mergeCell ref="BI32:BI33"/>
    <mergeCell ref="BD32:BD33"/>
    <mergeCell ref="BG34:BG35"/>
    <mergeCell ref="BG36:BG37"/>
    <mergeCell ref="AB36:AC37"/>
    <mergeCell ref="AD36:AE37"/>
    <mergeCell ref="AU36:AU37"/>
    <mergeCell ref="AV36:AV37"/>
    <mergeCell ref="AY36:AY37"/>
    <mergeCell ref="AZ36:AZ37"/>
    <mergeCell ref="BA36:BA37"/>
    <mergeCell ref="AW36:AW37"/>
    <mergeCell ref="AX36:AX37"/>
    <mergeCell ref="L36:O37"/>
    <mergeCell ref="P36:Q37"/>
    <mergeCell ref="R36:S37"/>
    <mergeCell ref="BE34:BE35"/>
    <mergeCell ref="AW32:AW33"/>
    <mergeCell ref="AX32:AX33"/>
    <mergeCell ref="F34:K35"/>
    <mergeCell ref="L34:O35"/>
    <mergeCell ref="P34:Q35"/>
    <mergeCell ref="R34:S35"/>
    <mergeCell ref="T34:W35"/>
    <mergeCell ref="X34:Y35"/>
    <mergeCell ref="Z34:AA35"/>
    <mergeCell ref="AB34:AC35"/>
    <mergeCell ref="AD34:AE35"/>
    <mergeCell ref="AF36:AG37"/>
    <mergeCell ref="AH36:AJ37"/>
    <mergeCell ref="AK36:AM37"/>
    <mergeCell ref="AN36:AQ37"/>
    <mergeCell ref="AT36:AT37"/>
    <mergeCell ref="T36:W37"/>
    <mergeCell ref="AZ34:AZ35"/>
    <mergeCell ref="X36:Y37"/>
    <mergeCell ref="Z36:AA37"/>
    <mergeCell ref="BA34:BA35"/>
    <mergeCell ref="AU32:AU33"/>
    <mergeCell ref="AV32:AV33"/>
    <mergeCell ref="AY32:AY33"/>
    <mergeCell ref="BB32:BB33"/>
    <mergeCell ref="BC32:BC33"/>
    <mergeCell ref="AD32:AE33"/>
    <mergeCell ref="BD34:BD35"/>
    <mergeCell ref="AN34:AQ35"/>
    <mergeCell ref="AT34:AT35"/>
    <mergeCell ref="AU34:AU35"/>
    <mergeCell ref="AV34:AV35"/>
    <mergeCell ref="AY34:AY35"/>
    <mergeCell ref="BB34:BB35"/>
    <mergeCell ref="BC34:BC35"/>
    <mergeCell ref="AW34:AW35"/>
    <mergeCell ref="AX34:AX35"/>
    <mergeCell ref="AZ32:AZ33"/>
    <mergeCell ref="AF34:AG35"/>
    <mergeCell ref="AH34:AJ35"/>
    <mergeCell ref="AK34:AM35"/>
    <mergeCell ref="AF32:AG33"/>
    <mergeCell ref="AH32:AJ33"/>
    <mergeCell ref="AK32:AM33"/>
    <mergeCell ref="AY30:AY31"/>
    <mergeCell ref="AX30:AX31"/>
    <mergeCell ref="AW28:AW29"/>
    <mergeCell ref="AX28:AX29"/>
    <mergeCell ref="AW30:AW31"/>
    <mergeCell ref="BA30:BA31"/>
    <mergeCell ref="BB30:BB31"/>
    <mergeCell ref="BC30:BC31"/>
    <mergeCell ref="C30:E31"/>
    <mergeCell ref="F30:K31"/>
    <mergeCell ref="L30:O31"/>
    <mergeCell ref="P30:Q31"/>
    <mergeCell ref="R30:S31"/>
    <mergeCell ref="T30:W31"/>
    <mergeCell ref="X30:Y31"/>
    <mergeCell ref="Z30:AA31"/>
    <mergeCell ref="AB30:AC31"/>
    <mergeCell ref="AV30:AV31"/>
    <mergeCell ref="AZ30:AZ31"/>
    <mergeCell ref="AU30:AU31"/>
    <mergeCell ref="BE26:BE27"/>
    <mergeCell ref="BF26:BF27"/>
    <mergeCell ref="BH26:BH27"/>
    <mergeCell ref="BI26:BI27"/>
    <mergeCell ref="AZ28:AZ29"/>
    <mergeCell ref="BA28:BA29"/>
    <mergeCell ref="AF28:AG29"/>
    <mergeCell ref="AH28:AJ29"/>
    <mergeCell ref="AK28:AM29"/>
    <mergeCell ref="AN28:AQ29"/>
    <mergeCell ref="AT28:AT29"/>
    <mergeCell ref="BH28:BH29"/>
    <mergeCell ref="BI28:BI29"/>
    <mergeCell ref="AZ26:AZ27"/>
    <mergeCell ref="BB28:BB29"/>
    <mergeCell ref="BC28:BC29"/>
    <mergeCell ref="BD28:BD29"/>
    <mergeCell ref="BE28:BE29"/>
    <mergeCell ref="BF28:BF29"/>
    <mergeCell ref="AU28:AU29"/>
    <mergeCell ref="AV28:AV29"/>
    <mergeCell ref="AY28:AY29"/>
    <mergeCell ref="BI24:BI25"/>
    <mergeCell ref="BJ24:BJ25"/>
    <mergeCell ref="C26:E27"/>
    <mergeCell ref="F26:K27"/>
    <mergeCell ref="L26:O27"/>
    <mergeCell ref="P26:Q27"/>
    <mergeCell ref="R26:S27"/>
    <mergeCell ref="T26:W27"/>
    <mergeCell ref="X26:Y27"/>
    <mergeCell ref="Z26:AA27"/>
    <mergeCell ref="AB26:AC27"/>
    <mergeCell ref="AD26:AE27"/>
    <mergeCell ref="AF26:AG27"/>
    <mergeCell ref="AH26:AJ27"/>
    <mergeCell ref="AK26:AM27"/>
    <mergeCell ref="BB24:BB25"/>
    <mergeCell ref="BC24:BC25"/>
    <mergeCell ref="BD24:BD25"/>
    <mergeCell ref="L24:O25"/>
    <mergeCell ref="P24:Q25"/>
    <mergeCell ref="R24:S25"/>
    <mergeCell ref="BD26:BD27"/>
    <mergeCell ref="AN26:AQ27"/>
    <mergeCell ref="AT26:AT27"/>
    <mergeCell ref="BF22:BF23"/>
    <mergeCell ref="BH22:BH23"/>
    <mergeCell ref="BI22:BI23"/>
    <mergeCell ref="AZ24:AZ25"/>
    <mergeCell ref="BA24:BA25"/>
    <mergeCell ref="AF24:AG25"/>
    <mergeCell ref="AH24:AJ25"/>
    <mergeCell ref="AK24:AM25"/>
    <mergeCell ref="AN24:AQ25"/>
    <mergeCell ref="AT24:AT25"/>
    <mergeCell ref="BE24:BE25"/>
    <mergeCell ref="BF24:BF25"/>
    <mergeCell ref="AU24:AU25"/>
    <mergeCell ref="AV24:AV25"/>
    <mergeCell ref="AY24:AY25"/>
    <mergeCell ref="AZ22:AZ23"/>
    <mergeCell ref="BA22:BA23"/>
    <mergeCell ref="BB22:BB23"/>
    <mergeCell ref="BC22:BC23"/>
    <mergeCell ref="BD22:BD23"/>
    <mergeCell ref="AN22:AQ23"/>
    <mergeCell ref="AT22:AT23"/>
    <mergeCell ref="AU22:AU23"/>
    <mergeCell ref="BH24:BH25"/>
    <mergeCell ref="BI20:BI21"/>
    <mergeCell ref="BJ20:BJ21"/>
    <mergeCell ref="C22:E23"/>
    <mergeCell ref="F22:K23"/>
    <mergeCell ref="L22:O23"/>
    <mergeCell ref="P22:Q23"/>
    <mergeCell ref="R22:S23"/>
    <mergeCell ref="T22:W23"/>
    <mergeCell ref="X22:Y23"/>
    <mergeCell ref="Z22:AA23"/>
    <mergeCell ref="AB22:AC23"/>
    <mergeCell ref="AD22:AE23"/>
    <mergeCell ref="AF22:AG23"/>
    <mergeCell ref="AH22:AJ23"/>
    <mergeCell ref="AK22:AM23"/>
    <mergeCell ref="BB20:BB21"/>
    <mergeCell ref="BC20:BC21"/>
    <mergeCell ref="BD20:BD21"/>
    <mergeCell ref="BE20:BE21"/>
    <mergeCell ref="BF20:BF21"/>
    <mergeCell ref="AU20:AU21"/>
    <mergeCell ref="AV20:AV21"/>
    <mergeCell ref="AY20:AY21"/>
    <mergeCell ref="BE22:BE23"/>
    <mergeCell ref="BJ22:BJ23"/>
    <mergeCell ref="AZ20:AZ21"/>
    <mergeCell ref="BA20:BA21"/>
    <mergeCell ref="BJ18:BJ19"/>
    <mergeCell ref="C20:E21"/>
    <mergeCell ref="F20:K21"/>
    <mergeCell ref="L20:O21"/>
    <mergeCell ref="P20:Q21"/>
    <mergeCell ref="R20:S21"/>
    <mergeCell ref="T20:W21"/>
    <mergeCell ref="X20:Y21"/>
    <mergeCell ref="Z20:AA21"/>
    <mergeCell ref="AB20:AC21"/>
    <mergeCell ref="AD20:AE21"/>
    <mergeCell ref="AF20:AG21"/>
    <mergeCell ref="AH20:AJ21"/>
    <mergeCell ref="AK20:AM21"/>
    <mergeCell ref="AN20:AQ21"/>
    <mergeCell ref="AT20:AT21"/>
    <mergeCell ref="BD18:BD19"/>
    <mergeCell ref="BE18:BE19"/>
    <mergeCell ref="BF18:BF19"/>
    <mergeCell ref="BH18:BH19"/>
    <mergeCell ref="BI18:BI19"/>
    <mergeCell ref="BH20:BH21"/>
    <mergeCell ref="BI16:BI17"/>
    <mergeCell ref="BJ16:BJ17"/>
    <mergeCell ref="AD17:AE17"/>
    <mergeCell ref="AF17:AG17"/>
    <mergeCell ref="C18:E19"/>
    <mergeCell ref="F18:K19"/>
    <mergeCell ref="L18:O19"/>
    <mergeCell ref="P18:Q19"/>
    <mergeCell ref="R18:S19"/>
    <mergeCell ref="T18:W19"/>
    <mergeCell ref="X18:Y19"/>
    <mergeCell ref="Z18:AA19"/>
    <mergeCell ref="AB18:AC19"/>
    <mergeCell ref="AD18:AE19"/>
    <mergeCell ref="AF18:AG19"/>
    <mergeCell ref="AH18:AJ19"/>
    <mergeCell ref="BF16:BF17"/>
    <mergeCell ref="BH16:BH17"/>
    <mergeCell ref="BE16:BE17"/>
    <mergeCell ref="AW16:AW17"/>
    <mergeCell ref="AX16:AX17"/>
    <mergeCell ref="AW18:AW19"/>
    <mergeCell ref="BA16:BA17"/>
    <mergeCell ref="AP1:AS3"/>
    <mergeCell ref="C16:E17"/>
    <mergeCell ref="F16:K17"/>
    <mergeCell ref="L16:O17"/>
    <mergeCell ref="P16:Q17"/>
    <mergeCell ref="R16:S17"/>
    <mergeCell ref="T16:W17"/>
    <mergeCell ref="X16:Y17"/>
    <mergeCell ref="Z16:AA17"/>
    <mergeCell ref="AB16:AC17"/>
    <mergeCell ref="AD16:AG16"/>
    <mergeCell ref="F1:I3"/>
    <mergeCell ref="J1:M3"/>
    <mergeCell ref="AH1:AK3"/>
    <mergeCell ref="AL1:AO3"/>
    <mergeCell ref="A4:E6"/>
    <mergeCell ref="A7:E8"/>
    <mergeCell ref="H9:K11"/>
    <mergeCell ref="L9:O11"/>
    <mergeCell ref="P9:S11"/>
    <mergeCell ref="T9:W11"/>
    <mergeCell ref="X9:AA11"/>
    <mergeCell ref="AB9:AE11"/>
    <mergeCell ref="R14:U14"/>
    <mergeCell ref="AF9:AI11"/>
    <mergeCell ref="AJ9:AM11"/>
    <mergeCell ref="R12:U13"/>
    <mergeCell ref="V12:Y13"/>
    <mergeCell ref="Z12:AC13"/>
    <mergeCell ref="BD16:BD17"/>
    <mergeCell ref="B18:B19"/>
    <mergeCell ref="AK16:AM17"/>
    <mergeCell ref="AN16:AQ17"/>
    <mergeCell ref="AT16:AT17"/>
    <mergeCell ref="AK18:AM19"/>
    <mergeCell ref="AN18:AQ19"/>
    <mergeCell ref="AT18:AT19"/>
    <mergeCell ref="AU18:AU19"/>
    <mergeCell ref="AV18:AV19"/>
    <mergeCell ref="AY18:AY19"/>
    <mergeCell ref="AZ18:AZ19"/>
    <mergeCell ref="BA18:BA19"/>
    <mergeCell ref="BB18:BB19"/>
    <mergeCell ref="BC18:BC19"/>
    <mergeCell ref="AY16:AY17"/>
    <mergeCell ref="AZ16:AZ17"/>
    <mergeCell ref="B28:B29"/>
    <mergeCell ref="B26:B27"/>
    <mergeCell ref="B24:B25"/>
    <mergeCell ref="B22:B23"/>
    <mergeCell ref="AH16:AJ17"/>
    <mergeCell ref="B20:B21"/>
    <mergeCell ref="C24:E25"/>
    <mergeCell ref="F24:K25"/>
    <mergeCell ref="V14:Y14"/>
    <mergeCell ref="Z14:AC14"/>
    <mergeCell ref="T24:W25"/>
    <mergeCell ref="X24:Y25"/>
    <mergeCell ref="Z24:AA25"/>
    <mergeCell ref="AB24:AC25"/>
    <mergeCell ref="AD24:AE25"/>
    <mergeCell ref="C28:E29"/>
    <mergeCell ref="F28:K29"/>
    <mergeCell ref="L28:O29"/>
    <mergeCell ref="P28:Q29"/>
    <mergeCell ref="R28:S29"/>
    <mergeCell ref="T28:W29"/>
    <mergeCell ref="X28:Y29"/>
    <mergeCell ref="Z28:AA29"/>
    <mergeCell ref="AB28:AC29"/>
    <mergeCell ref="B46:B47"/>
    <mergeCell ref="B44:B45"/>
    <mergeCell ref="B42:B43"/>
    <mergeCell ref="B40:B41"/>
    <mergeCell ref="B38:B39"/>
    <mergeCell ref="B36:B37"/>
    <mergeCell ref="B34:B35"/>
    <mergeCell ref="B32:B33"/>
    <mergeCell ref="B30:B31"/>
    <mergeCell ref="C34:E35"/>
    <mergeCell ref="AN32:AQ33"/>
    <mergeCell ref="AT32:AT33"/>
    <mergeCell ref="C32:E33"/>
    <mergeCell ref="F32:K33"/>
    <mergeCell ref="L32:O33"/>
    <mergeCell ref="P32:Q33"/>
    <mergeCell ref="R32:S33"/>
    <mergeCell ref="T32:W33"/>
    <mergeCell ref="X32:Y33"/>
    <mergeCell ref="Z32:AA33"/>
    <mergeCell ref="AB32:AC33"/>
    <mergeCell ref="C36:E37"/>
    <mergeCell ref="F36:K37"/>
    <mergeCell ref="O1:AE3"/>
    <mergeCell ref="AW200:AW201"/>
    <mergeCell ref="AX200:AX201"/>
    <mergeCell ref="BA200:BA201"/>
    <mergeCell ref="BB16:BB17"/>
    <mergeCell ref="BC16:BC17"/>
    <mergeCell ref="AX18:AX19"/>
    <mergeCell ref="C13:P13"/>
    <mergeCell ref="M200:AG201"/>
    <mergeCell ref="AU16:AU17"/>
    <mergeCell ref="AV16:AV17"/>
    <mergeCell ref="AY22:AY23"/>
    <mergeCell ref="AU26:AU27"/>
    <mergeCell ref="AV26:AV27"/>
    <mergeCell ref="AY26:AY27"/>
    <mergeCell ref="AW26:AW27"/>
    <mergeCell ref="AX26:AX27"/>
    <mergeCell ref="AD28:AE29"/>
    <mergeCell ref="AD30:AE31"/>
    <mergeCell ref="AF30:AG31"/>
    <mergeCell ref="AH30:AJ31"/>
    <mergeCell ref="AK30:AM31"/>
  </mergeCells>
  <conditionalFormatting sqref="F20:AG37 F18:K19 AB18:AG19">
    <cfRule type="expression" dxfId="60" priority="8">
      <formula>AND(ISBLANK($C18)=FALSE,OR(ISBLANK(F18)=TRUE,F18=""))</formula>
    </cfRule>
  </conditionalFormatting>
  <conditionalFormatting sqref="AO8:AS8">
    <cfRule type="expression" dxfId="59" priority="7">
      <formula>IF($AO$8=PROJSTATMEASURE,FALSE,TRUE)</formula>
    </cfRule>
  </conditionalFormatting>
  <conditionalFormatting sqref="L18:AA19">
    <cfRule type="expression" dxfId="58" priority="6">
      <formula>AND(ISBLANK($C18)=FALSE,OR(ISBLANK(L18)=TRUE,L18=""))</formula>
    </cfRule>
  </conditionalFormatting>
  <conditionalFormatting sqref="AN18:AQ37">
    <cfRule type="expression" dxfId="57" priority="3">
      <formula>ISNUMBER($AN18)=FALSE</formula>
    </cfRule>
  </conditionalFormatting>
  <conditionalFormatting sqref="AY18:AY37">
    <cfRule type="expression" dxfId="56" priority="2">
      <formula>AND($AY18="",$F18&lt;&gt;"")</formula>
    </cfRule>
  </conditionalFormatting>
  <conditionalFormatting sqref="AZ18:AZ37">
    <cfRule type="expression" dxfId="55" priority="1">
      <formula>AND($AZ18="",$F18&lt;&gt;"")</formula>
    </cfRule>
  </conditionalFormatting>
  <dataValidations count="9">
    <dataValidation type="decimal" allowBlank="1" showInputMessage="1" showErrorMessage="1" prompt="Enter the annual kWh usage per unit of the existing equipment." sqref="R18:S37" xr:uid="{76A95840-83FC-4440-BA0B-A09E24F16F09}">
      <formula1>0</formula1>
      <formula2>999999999</formula2>
    </dataValidation>
    <dataValidation type="decimal" allowBlank="1" showInputMessage="1" showErrorMessage="1" prompt="Enter the annual kWh usage per unit of the new equipment." sqref="Z18:AA37" xr:uid="{0DFFD9F8-A167-4929-85BC-3BC213F2D30C}">
      <formula1>0</formula1>
      <formula2>999999999</formula2>
    </dataValidation>
    <dataValidation type="list" allowBlank="1" showInputMessage="1" showErrorMessage="1" sqref="AZ18:AZ37" xr:uid="{D4BE8DC5-F1C2-485B-A610-50117554E56F}">
      <formula1>ENDUSECAT</formula1>
    </dataValidation>
    <dataValidation type="decimal" allowBlank="1" showInputMessage="1" showErrorMessage="1" sqref="X18:Y37 P18:Q37" xr:uid="{B7232991-0603-4D35-B051-57EEAA76E4F5}">
      <formula1>0</formula1>
      <formula2>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D18:AE37" xr:uid="{35E44F95-D7A6-4E6D-9907-11F3ED7E7D47}">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F18:AG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8:AC37" xr:uid="{573F890A-D923-44EE-85AF-EC9C882B0E42}">
      <formula1>COSTTYPELIST</formula1>
    </dataValidation>
    <dataValidation type="list" allowBlank="1" showInputMessage="1" showErrorMessage="1" prompt="Select the project type using the dropdown._x000a__x000a_If you want to change this field, delete the data in the &quot;Measure Type&quot; field first." sqref="C18:E37" xr:uid="{3A1DB3D2-2B83-47A2-A76F-4725BE1A1C1C}">
      <formula1>IF($F18="",CUSTOMPROJECTTYPE,"")</formula1>
    </dataValidation>
    <dataValidation type="list" allowBlank="1" showInputMessage="1" showErrorMessage="1" sqref="F18:K37" xr:uid="{70A19DEB-0709-46D5-8638-41575DAC7DC1}">
      <formula1>CMECOMPAIRDESC</formula1>
    </dataValidation>
  </dataValidations>
  <hyperlinks>
    <hyperlink ref="H9:K11" location="'M03-S02'!C18" tooltip="Lighting" display="'M03-S02'!C18" xr:uid="{DA160B4C-6314-4A2A-A8D7-D0E49E815AFF}"/>
    <hyperlink ref="L9:O11" location="'M03-S03'!C18" tooltip="Lighting Controls" display="'M03-S03'!C18" xr:uid="{15A5F336-DBD5-4C41-AC94-ACB99262246A}"/>
    <hyperlink ref="P9:S11" location="'M03-S04'!C18" tooltip="Refrigeration" display="'M03-S04'!C18" xr:uid="{7CFDF1D7-04E4-4572-AE8B-8BFDC2847CFD}"/>
    <hyperlink ref="T9:W11" location="'M03-S05'!C18" tooltip="HVAC" display="'M03-S05'!C18" xr:uid="{663EEA3D-AC6B-42FB-BE0F-287FAD97B882}"/>
    <hyperlink ref="AB9:AE11" location="'M03-S06'!C18" tooltip="Compressed Air / Process" display="'M03-S06'!C18" xr:uid="{F1CA3B4E-3F73-4C15-8ED5-60D19B133763}"/>
    <hyperlink ref="AF9:AI11" location="'M03-S07'!C18" tooltip="Water Heating / Cooking" display="'M03-S07'!C18" xr:uid="{7B50FBAB-151C-4FE8-8B28-9428F4F6D7DD}"/>
    <hyperlink ref="X9:AA11" location="'M03-S08'!C18" tooltip="Motors and Drives" display="'M03-S08'!C18" xr:uid="{7597E46E-F231-46D4-B3FD-62AC9CFA5EB8}"/>
    <hyperlink ref="AJ9:AM11" location="'M04-S09'!C18" tooltip="Miscellaneous" display="'M04-S09'!C18" xr:uid="{CD9000AA-2BB1-43ED-9B90-C6599DBC12E1}"/>
    <hyperlink ref="J1:M3" location="'M01-S02'!J1" tooltip="Instructions" display="'M01-S02'!J1" xr:uid="{BAD29966-E6DA-49F7-BB10-F66026C610F4}"/>
    <hyperlink ref="AL1:AO3" location="'M05-S05'!AL1" tooltip=" " display="'M05-S05'!AL1" xr:uid="{3B952927-AC54-4EAF-B2CC-071DD128560E}"/>
    <hyperlink ref="AH1:AK3" location="'M05-S04'!AH1" tooltip=" " display="'M05-S04'!AH1" xr:uid="{A64D26D5-E0C4-486F-8B7A-3813A5DC79B6}"/>
    <hyperlink ref="AP1:AS3" location="'M01-S03'!AP1" tooltip="Contact" display="'M01-S03'!AP1" xr:uid="{D2087A8C-20A7-4EC9-ADC3-396674120D90}"/>
    <hyperlink ref="B202" r:id="rId1" xr:uid="{49246C66-B1F3-4A2B-B59C-BAF852CCC120}"/>
  </hyperlinks>
  <printOptions horizontalCentered="1"/>
  <pageMargins left="0.25" right="0.25" top="0.25" bottom="0.25" header="0.25" footer="0.25"/>
  <pageSetup scale="62"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BL204"/>
  <sheetViews>
    <sheetView showGridLines="0" showRowColHeaders="0" zoomScale="85" zoomScaleNormal="85" workbookViewId="0">
      <selection activeCell="C18" sqref="C18:E19"/>
    </sheetView>
  </sheetViews>
  <sheetFormatPr defaultColWidth="0" defaultRowHeight="15" customHeight="1" zeroHeight="1"/>
  <cols>
    <col min="1" max="45" width="4.7109375" style="180" customWidth="1"/>
    <col min="46" max="47" width="9.42578125" style="180" hidden="1" customWidth="1"/>
    <col min="48" max="48" width="15.7109375" style="180" hidden="1" customWidth="1"/>
    <col min="49" max="63" width="9.42578125" style="180" hidden="1" customWidth="1"/>
    <col min="64" max="64" width="10.7109375" style="180" hidden="1" customWidth="1"/>
    <col min="65" max="71" width="4.7109375" style="180" hidden="1" customWidth="1"/>
    <col min="72" max="16384" width="4.7109375" style="180" hidden="1"/>
  </cols>
  <sheetData>
    <row r="1" spans="1:64" customFormat="1"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row>
    <row r="5" spans="1:64" ht="15.95" customHeight="1">
      <c r="A5" s="1046"/>
      <c r="B5" s="1046"/>
      <c r="C5" s="1046"/>
      <c r="D5" s="1046"/>
      <c r="E5" s="1046"/>
      <c r="AO5" s="1117">
        <f ca="1">PROGRESSSTATUS</f>
        <v>0</v>
      </c>
      <c r="AP5" s="1117"/>
      <c r="AQ5" s="1117"/>
      <c r="AR5" s="1117"/>
      <c r="AS5" s="1117"/>
      <c r="AT5" s="40"/>
      <c r="AU5" s="194" t="s">
        <v>1438</v>
      </c>
      <c r="AV5" s="194" t="s">
        <v>336</v>
      </c>
      <c r="AW5" s="197"/>
      <c r="AX5" s="197"/>
    </row>
    <row r="6" spans="1:64" ht="15.95" customHeight="1">
      <c r="A6" s="1046"/>
      <c r="B6" s="1046"/>
      <c r="C6" s="1046"/>
      <c r="D6" s="1046"/>
      <c r="E6" s="1046"/>
      <c r="AO6" s="1117"/>
      <c r="AP6" s="1117"/>
      <c r="AQ6" s="1117"/>
      <c r="AR6" s="1117"/>
      <c r="AS6" s="1117"/>
      <c r="AT6" s="193" t="s">
        <v>1443</v>
      </c>
      <c r="AU6" s="192" t="str">
        <f>CBPRESE</f>
        <v>NA</v>
      </c>
      <c r="AV6" s="286" t="str">
        <f>PAYPRESE</f>
        <v>NA</v>
      </c>
      <c r="AW6" s="197"/>
      <c r="AX6" s="197"/>
    </row>
    <row r="7" spans="1:64" ht="15.95" customHeight="1">
      <c r="A7" s="725" t="s">
        <v>83</v>
      </c>
      <c r="B7" s="725"/>
      <c r="C7" s="725"/>
      <c r="D7" s="725"/>
      <c r="E7" s="725"/>
      <c r="AO7" s="725" t="s">
        <v>309</v>
      </c>
      <c r="AP7" s="725"/>
      <c r="AQ7" s="725"/>
      <c r="AR7" s="725"/>
      <c r="AS7" s="725"/>
      <c r="AT7" s="193" t="s">
        <v>144</v>
      </c>
      <c r="AU7" s="192" t="str">
        <f>CBCUSE</f>
        <v>NA</v>
      </c>
      <c r="AV7" s="286" t="str">
        <f>PAYCUSE</f>
        <v>NA</v>
      </c>
      <c r="AW7" s="197"/>
      <c r="AX7" s="197"/>
    </row>
    <row r="8" spans="1:64" ht="15.95" customHeight="1" thickBot="1">
      <c r="A8" s="774"/>
      <c r="B8" s="774"/>
      <c r="C8" s="774"/>
      <c r="D8" s="774"/>
      <c r="E8" s="725"/>
      <c r="AO8" s="749" t="str">
        <f ca="1">PROJSTATUS</f>
        <v>Enter Measures</v>
      </c>
      <c r="AP8" s="749"/>
      <c r="AQ8" s="749"/>
      <c r="AR8" s="749"/>
      <c r="AS8" s="749"/>
      <c r="AT8" s="193" t="s">
        <v>651</v>
      </c>
      <c r="AU8" s="192" t="str">
        <f>CBALL</f>
        <v>NA</v>
      </c>
      <c r="AV8" s="286" t="str">
        <f>PAYALL</f>
        <v>NA</v>
      </c>
      <c r="AW8" s="197"/>
      <c r="AX8" s="197"/>
    </row>
    <row r="9" spans="1:64" s="148" customFormat="1" ht="15.95" customHeight="1">
      <c r="B9" s="179"/>
      <c r="C9" s="179"/>
      <c r="D9" s="179"/>
      <c r="E9" s="181"/>
      <c r="F9" s="181"/>
      <c r="G9" s="181"/>
      <c r="H9" s="910" t="str">
        <f>M3S2</f>
        <v>Lighting</v>
      </c>
      <c r="I9" s="911"/>
      <c r="J9" s="911"/>
      <c r="K9" s="911"/>
      <c r="L9" s="910" t="str">
        <f>M3S3</f>
        <v>Lighting Controls</v>
      </c>
      <c r="M9" s="911"/>
      <c r="N9" s="911"/>
      <c r="O9" s="911"/>
      <c r="P9" s="910" t="str">
        <f>M3S4</f>
        <v>Refrigeration</v>
      </c>
      <c r="Q9" s="911"/>
      <c r="R9" s="911"/>
      <c r="S9" s="911"/>
      <c r="T9" s="910" t="str">
        <f>M3S5</f>
        <v>HVAC</v>
      </c>
      <c r="U9" s="911"/>
      <c r="V9" s="911"/>
      <c r="W9" s="911"/>
      <c r="X9" s="910" t="str">
        <f>M4S8</f>
        <v>Motors and Drives</v>
      </c>
      <c r="Y9" s="911"/>
      <c r="Z9" s="911"/>
      <c r="AA9" s="911"/>
      <c r="AB9" s="910" t="str">
        <f>M3S6</f>
        <v>Compressed Air / Process</v>
      </c>
      <c r="AC9" s="911"/>
      <c r="AD9" s="911"/>
      <c r="AE9" s="911"/>
      <c r="AF9" s="913" t="str">
        <f>M3S7</f>
        <v>Water Heating / Food Services</v>
      </c>
      <c r="AG9" s="913"/>
      <c r="AH9" s="913"/>
      <c r="AI9" s="913"/>
      <c r="AJ9" s="910" t="str">
        <f>M4S9</f>
        <v>Miscellaneous</v>
      </c>
      <c r="AK9" s="911"/>
      <c r="AL9" s="911"/>
      <c r="AM9" s="911"/>
      <c r="AN9" s="182"/>
      <c r="AO9" s="356"/>
      <c r="AP9" s="235"/>
      <c r="AQ9" s="352"/>
      <c r="AR9" s="352"/>
      <c r="AS9" s="336"/>
    </row>
    <row r="10" spans="1:64" s="148" customFormat="1" ht="15.95" customHeight="1">
      <c r="B10" s="152"/>
      <c r="C10" s="152"/>
      <c r="D10" s="152"/>
      <c r="E10" s="183"/>
      <c r="F10" s="183"/>
      <c r="G10" s="183"/>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4"/>
      <c r="AG10" s="914"/>
      <c r="AH10" s="914"/>
      <c r="AI10" s="914"/>
      <c r="AJ10" s="912"/>
      <c r="AK10" s="912"/>
      <c r="AL10" s="912"/>
      <c r="AM10" s="912"/>
      <c r="AN10" s="13"/>
      <c r="AO10" s="235"/>
      <c r="AP10" s="235"/>
      <c r="AQ10" s="344"/>
      <c r="AR10" s="344"/>
      <c r="AS10" s="336"/>
    </row>
    <row r="11" spans="1:64" ht="15.95" customHeight="1">
      <c r="B11" s="295"/>
      <c r="C11" s="295"/>
      <c r="D11" s="295"/>
      <c r="E11" s="13"/>
      <c r="F11" s="13"/>
      <c r="G11" s="13"/>
      <c r="H11" s="912"/>
      <c r="I11" s="912"/>
      <c r="J11" s="912"/>
      <c r="K11" s="912"/>
      <c r="L11" s="912"/>
      <c r="M11" s="912"/>
      <c r="N11" s="912"/>
      <c r="O11" s="912"/>
      <c r="P11" s="912"/>
      <c r="Q11" s="912"/>
      <c r="R11" s="912"/>
      <c r="S11" s="912"/>
      <c r="T11" s="912"/>
      <c r="U11" s="912"/>
      <c r="V11" s="912"/>
      <c r="W11" s="912"/>
      <c r="X11" s="912"/>
      <c r="Y11" s="912"/>
      <c r="Z11" s="912"/>
      <c r="AA11" s="912"/>
      <c r="AB11" s="912"/>
      <c r="AC11" s="912"/>
      <c r="AD11" s="912"/>
      <c r="AE11" s="912"/>
      <c r="AF11" s="914"/>
      <c r="AG11" s="914"/>
      <c r="AH11" s="914"/>
      <c r="AI11" s="914"/>
      <c r="AJ11" s="912"/>
      <c r="AK11" s="912"/>
      <c r="AL11" s="912"/>
      <c r="AM11" s="912"/>
      <c r="AN11" s="13"/>
      <c r="AO11" s="235"/>
      <c r="AP11" s="235"/>
      <c r="AQ11" s="337"/>
      <c r="AR11" s="337"/>
      <c r="AS11" s="235"/>
    </row>
    <row r="12" spans="1:64" ht="15.95" customHeight="1">
      <c r="A12" s="185"/>
      <c r="B12" s="185"/>
      <c r="C12" s="185"/>
      <c r="D12" s="185"/>
      <c r="E12" s="185"/>
      <c r="R12" s="916">
        <f>SUM(AN18:AQ184)</f>
        <v>0</v>
      </c>
      <c r="S12" s="916"/>
      <c r="T12" s="916"/>
      <c r="U12" s="916"/>
      <c r="V12" s="916">
        <f ca="1">SUMIF(AN18:AQ184,"&gt;0",AH18:AJ184)</f>
        <v>0</v>
      </c>
      <c r="W12" s="916"/>
      <c r="X12" s="916"/>
      <c r="Y12" s="916"/>
      <c r="Z12" s="915">
        <f ca="1">SUMIF(AN18:AQ184,"&gt;0",AK18:AM184)</f>
        <v>0</v>
      </c>
      <c r="AA12" s="915"/>
      <c r="AB12" s="915"/>
      <c r="AC12" s="915"/>
      <c r="AO12" s="235"/>
      <c r="AP12" s="235"/>
      <c r="AQ12" s="235"/>
      <c r="AR12" s="235"/>
      <c r="AS12" s="235"/>
    </row>
    <row r="13" spans="1:64" ht="15.95" customHeight="1">
      <c r="A13" s="185"/>
      <c r="B13" s="185"/>
      <c r="C13" s="860" t="s">
        <v>2136</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I13"/>
      <c r="AJ13"/>
      <c r="AK13"/>
      <c r="AL13"/>
      <c r="AM13"/>
      <c r="AN13"/>
      <c r="AO13" s="235"/>
      <c r="AP13" s="235"/>
      <c r="AQ13" s="235"/>
      <c r="AR13" s="235"/>
      <c r="AS13" s="235"/>
    </row>
    <row r="14" spans="1:64" ht="15.95" customHeight="1">
      <c r="R14" s="860" t="s">
        <v>1979</v>
      </c>
      <c r="S14" s="860"/>
      <c r="T14" s="860"/>
      <c r="U14" s="860"/>
      <c r="V14" s="860" t="s">
        <v>67</v>
      </c>
      <c r="W14" s="860"/>
      <c r="X14" s="860"/>
      <c r="Y14" s="860"/>
      <c r="Z14" s="860" t="s">
        <v>1248</v>
      </c>
      <c r="AA14" s="860"/>
      <c r="AB14" s="860"/>
      <c r="AC14" s="860"/>
      <c r="AO14" s="235"/>
      <c r="AP14" s="235"/>
      <c r="AQ14" s="235"/>
      <c r="AR14" s="235"/>
      <c r="AS14" s="235"/>
    </row>
    <row r="15" spans="1:64" ht="15.95" customHeight="1">
      <c r="AO15" s="235"/>
      <c r="AP15" s="235"/>
      <c r="AQ15" s="235"/>
      <c r="AR15" s="235"/>
      <c r="AS15" s="235"/>
    </row>
    <row r="16" spans="1:64" ht="15.95" customHeight="1">
      <c r="B16" s="36"/>
      <c r="C16" s="836" t="s">
        <v>1429</v>
      </c>
      <c r="D16" s="836"/>
      <c r="E16" s="836"/>
      <c r="F16" s="836" t="s">
        <v>1350</v>
      </c>
      <c r="G16" s="836"/>
      <c r="H16" s="836"/>
      <c r="I16" s="836"/>
      <c r="J16" s="836"/>
      <c r="K16" s="836"/>
      <c r="L16" s="836" t="s">
        <v>1430</v>
      </c>
      <c r="M16" s="836"/>
      <c r="N16" s="836"/>
      <c r="O16" s="836"/>
      <c r="P16" s="836" t="s">
        <v>74</v>
      </c>
      <c r="Q16" s="836"/>
      <c r="R16" s="836" t="s">
        <v>1431</v>
      </c>
      <c r="S16" s="836"/>
      <c r="T16" s="836" t="s">
        <v>1432</v>
      </c>
      <c r="U16" s="836"/>
      <c r="V16" s="836"/>
      <c r="W16" s="836"/>
      <c r="X16" s="836" t="s">
        <v>74</v>
      </c>
      <c r="Y16" s="836"/>
      <c r="Z16" s="836" t="s">
        <v>1431</v>
      </c>
      <c r="AA16" s="836"/>
      <c r="AB16" s="836" t="s">
        <v>1433</v>
      </c>
      <c r="AC16" s="836"/>
      <c r="AD16" s="1134" t="s">
        <v>1377</v>
      </c>
      <c r="AE16" s="1134"/>
      <c r="AF16" s="1134"/>
      <c r="AG16" s="1134"/>
      <c r="AH16" s="836" t="s">
        <v>1425</v>
      </c>
      <c r="AI16" s="836"/>
      <c r="AJ16" s="836"/>
      <c r="AK16" s="836" t="s">
        <v>1187</v>
      </c>
      <c r="AL16" s="836"/>
      <c r="AM16" s="836"/>
      <c r="AN16" s="836" t="s">
        <v>83</v>
      </c>
      <c r="AO16" s="908"/>
      <c r="AP16" s="908"/>
      <c r="AQ16" s="908"/>
      <c r="AR16" s="354"/>
      <c r="AS16" s="354"/>
      <c r="AT16" s="858" t="s">
        <v>141</v>
      </c>
      <c r="AU16" s="858" t="s">
        <v>336</v>
      </c>
      <c r="AV16" s="858" t="s">
        <v>1195</v>
      </c>
      <c r="AW16" s="858" t="s">
        <v>699</v>
      </c>
      <c r="AX16" s="858" t="s">
        <v>1376</v>
      </c>
      <c r="AY16" s="858" t="s">
        <v>88</v>
      </c>
      <c r="AZ16" s="858" t="s">
        <v>1426</v>
      </c>
      <c r="BA16" s="858" t="s">
        <v>1428</v>
      </c>
      <c r="BB16" s="858" t="s">
        <v>1645</v>
      </c>
      <c r="BC16" s="1030" t="s">
        <v>2495</v>
      </c>
      <c r="BD16" s="1030" t="s">
        <v>780</v>
      </c>
      <c r="BE16" s="858" t="s">
        <v>1982</v>
      </c>
      <c r="BF16" s="858" t="s">
        <v>1983</v>
      </c>
      <c r="BG16" s="858" t="s">
        <v>2046</v>
      </c>
      <c r="BH16" s="858" t="s">
        <v>85</v>
      </c>
      <c r="BI16" s="1132" t="s">
        <v>1427</v>
      </c>
      <c r="BJ16" s="1132" t="s">
        <v>319</v>
      </c>
      <c r="BK16" s="932" t="s">
        <v>2500</v>
      </c>
      <c r="BL16" s="932" t="s">
        <v>2893</v>
      </c>
    </row>
    <row r="17" spans="1:64" ht="15.95" customHeight="1" thickBot="1">
      <c r="B17" s="36"/>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837"/>
      <c r="AI17" s="837"/>
      <c r="AJ17" s="837"/>
      <c r="AK17" s="837"/>
      <c r="AL17" s="837"/>
      <c r="AM17" s="837"/>
      <c r="AN17" s="837"/>
      <c r="AO17" s="909"/>
      <c r="AP17" s="909"/>
      <c r="AQ17" s="909"/>
      <c r="AR17" s="355"/>
      <c r="AS17" s="355"/>
      <c r="AT17" s="859"/>
      <c r="AU17" s="859"/>
      <c r="AV17" s="859"/>
      <c r="AW17" s="859"/>
      <c r="AX17" s="859"/>
      <c r="AY17" s="859"/>
      <c r="AZ17" s="859"/>
      <c r="BA17" s="859"/>
      <c r="BB17" s="859"/>
      <c r="BC17" s="1031"/>
      <c r="BD17" s="1031"/>
      <c r="BE17" s="859"/>
      <c r="BF17" s="859"/>
      <c r="BG17" s="859"/>
      <c r="BH17" s="859"/>
      <c r="BI17" s="1133"/>
      <c r="BJ17" s="1133"/>
      <c r="BK17" s="933"/>
      <c r="BL17" s="933"/>
    </row>
    <row r="18" spans="1:64" ht="15.95" customHeight="1">
      <c r="B18" s="905">
        <v>1</v>
      </c>
      <c r="C18" s="1036"/>
      <c r="D18" s="1036"/>
      <c r="E18" s="1036"/>
      <c r="F18" s="1036"/>
      <c r="G18" s="1036"/>
      <c r="H18" s="1036"/>
      <c r="I18" s="1036"/>
      <c r="J18" s="1036"/>
      <c r="K18" s="1038"/>
      <c r="L18" s="1146"/>
      <c r="M18" s="1145"/>
      <c r="N18" s="1145"/>
      <c r="O18" s="1145"/>
      <c r="P18" s="1142"/>
      <c r="Q18" s="1142"/>
      <c r="R18" s="1142"/>
      <c r="S18" s="1151"/>
      <c r="T18" s="1146"/>
      <c r="U18" s="1145"/>
      <c r="V18" s="1145"/>
      <c r="W18" s="1145"/>
      <c r="X18" s="1142"/>
      <c r="Y18" s="1142"/>
      <c r="Z18" s="1142"/>
      <c r="AA18" s="1151"/>
      <c r="AB18" s="1154" t="str">
        <f>IF(OR(C18="New Construction",C18="Replace Failed Equip."),"Incremental",IF(C18="Retrofit","Total",""))</f>
        <v/>
      </c>
      <c r="AC18" s="1155"/>
      <c r="AD18" s="1124"/>
      <c r="AE18" s="1124"/>
      <c r="AF18" s="1125" t="str">
        <f>IF(AB18="Incremental",0,"")</f>
        <v/>
      </c>
      <c r="AG18" s="1126"/>
      <c r="AH18" s="1067" t="str">
        <f>IF(OR(C18="",F18="",L18="",P18="",R18="",T18="",X18="",Z18="",AB18="",AD18="",AF18=""),"",ROUND(AD18+AF18,2))</f>
        <v/>
      </c>
      <c r="AI18" s="1068"/>
      <c r="AJ18" s="1068"/>
      <c r="AK18" s="1081" t="str">
        <f>IF(OR(C18="",F18="",L18="",P18="",R18="",T18="",X18="",Z18="",AB18="",AD18="",AF18=""),"",IF(AW18-AX18&lt;=0,0,ROUND(AW18-AX18,4)))</f>
        <v/>
      </c>
      <c r="AL18" s="1081"/>
      <c r="AM18" s="1081"/>
      <c r="AN18" s="1047" t="str">
        <f>IF(OR(C18="",F18="",L18="",P18="",R18="",T18="",X18="",Z18="",AB18="",AD18="",AF18=""),"",
IF(BJ18&lt;&gt;"",BJ18,IF(BL18&gt;0,BL18,
IF(AB18="Incremental",
IF(ACTIVEBLOCK="Yes",ROUND(MIN(AH18*INCCOSTCAP,AK18*BLOCKBIDRATE),2),
IF(BG18&lt;&gt;"",ROUND(MIN(AH18*INCCOSTCAP,BG18),2),
IF(BD18&lt;KWHRATEMIN,ROUND(MIN(AH18*INCCOSTCAP,BE18),2),
IF(BD18&gt;KWHRATEMAX,ROUND(MIN(AH18*INCCOSTCAP,BF18),2),
ROUND(MIN(AH18*INCCOSTCAP,BC18),2))))),
IF(ACTIVEBLOCK="Yes",ROUND(MIN(AH18*TOTCOSTCAP,AK18*BLOCKBIDRATE),2),
IF(BG18&lt;&gt;"",ROUND(MIN(AH18*TOTCOSTCAP,BG18),2),
IF(BD18&lt;KWHRATEMIN,ROUND(MIN(AH18*TOTCOSTCAP,BE18),2),
IF(BD18&gt;KWHRATEMAX,ROUND(MIN(AH18*TOTCOSTCAP,BF18),2),
ROUND(MIN(AH18*TOTCOSTCAP,BC18),2)))))))))</f>
        <v/>
      </c>
      <c r="AO18" s="1048"/>
      <c r="AP18" s="1048"/>
      <c r="AQ18" s="1048"/>
      <c r="AR18" s="355"/>
      <c r="AS18" s="355"/>
      <c r="AT18" s="1112" t="str">
        <f>IFERROR(IF(OR(C18="",F18="",L18="",P18="",R18="",T18="",X18="",Z18="",AB18="",AD18="",AF18=""),"",
ROUND(((1+ELOSS)*((AK18*INDEX(ELECCB[NPV AEC $/kWh],MATCH(AY18,ELECCB[Year Number],1)))+(BA18*INDEX(ELECCB[NPV ACC $/kW],MATCH(AY18,ELECCB[Year Number],1))))/AH18),2)),0)</f>
        <v/>
      </c>
      <c r="AU18" s="1112" t="str">
        <f>IFERROR(AH18/M02S04F06/AK18,"")</f>
        <v/>
      </c>
      <c r="AV18" s="1108" t="str">
        <f>IF(OR(C18="",F18=""),"",INDEX(CMECOOK[Unit of Measure],MATCH(F18,CMECOOK[Proj Desc 1],0)))</f>
        <v/>
      </c>
      <c r="AW18" s="1103" t="str">
        <f>IF(OR(C18="",F18="",L18="",P18="",R18="",T18="",X18="",Z18="",AB18="",AD18="",AF18=""),"",ROUND(P18*R18,4))</f>
        <v/>
      </c>
      <c r="AX18" s="1103" t="str">
        <f>IF(OR(C18="",F18="",L18="",P18="",R18="",T18="",X18="",Z18="",AB18="",AD18="",AF18=""),"",ROUND(X18*Z18,4))</f>
        <v/>
      </c>
      <c r="AY18" s="1113" t="str">
        <f>IF(OR(C18="",F18=""),"",IF(INDEX(CMECOOK[EUL],MATCH(F18,CMECOOK[Proj Desc 1],0))="","",INDEX(CMECOOK[EUL],MATCH(F18,CMECOOK[Proj Desc 1],0))))</f>
        <v/>
      </c>
      <c r="AZ18" s="1115" t="str">
        <f>IF(OR(C18="",F18=""),"",IF(INDEX(CMECOOK[End Use Category],MATCH(F18,CMECOOK[Proj Desc 1],0))="","",INDEX(CMECOOK[End Use Category],MATCH(F18,CMECOOK[Proj Desc 1],0))))</f>
        <v/>
      </c>
      <c r="BA18" s="1027" t="str">
        <f>IFERROR(IF(OR(C18="",F18="",L18="",P18="",R18="",T18="",X18="",Z18="",AB18="",AD18="",AF18=""),"",ROUND(AK18*INDEX(ENDUSEALL[Factor],MATCH(AZ18,ENDUSEALL[End Use to Coincident Peak Demand Factors],0)),4)),"")</f>
        <v/>
      </c>
      <c r="BB18" s="1120"/>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IF(OR(C18="",F18="",L18="",P18="",R18="",T18="",X18="",Z18="",AB18="",AD18="",AF18=""),"",IF(BJ18&lt;&gt;"",SPILLOVERNUMBER,INDEX(CMECOOK[Measure Number],MATCH(F18,CMECOOK[Proj Desc 1],0))))</f>
        <v/>
      </c>
      <c r="BI18" s="1108" t="str">
        <f>IFERROR(IF(AND(AB18="Total",ROUND(AN18/AH18,2)=TOTCOSTCAP),"75% Total Cost",
IF(AND(AB18="Incremental",AH18=AN18),"100% Incremental Cost",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IF(AND((ISNUMBER(SEARCH("Other",F18))),OR(AY18="",AZ18="")),MEASURESUBMIT,
 IF(PAYCUSE&lt;PAYBACKREQ,PROJECTSTATPAYBACK,
IF(CBCUSE&lt;CBREQ,PROJECTSTATCB,""))))))),MEASURESUBMIT)</f>
        <v>Submit for Review</v>
      </c>
      <c r="BK18" s="930" t="str">
        <f>IFERROR(IF(OR(C18="",F18="",L18="",P18="",R18="",T18="",X18="",Z18="",AB18="",AD18="",AF18=""),"",
ROUND(((1+ELOSS)*((AK18*INDEX(ELECCB[NPV AEC $/kWh],MATCH(AY18,ELECCB[Year Number],1)))+(BA18*INDEX(ELECCB[NPV ACC $/kW],MATCH(AY18,ELECCB[Year Number],1))))),2)),0)</f>
        <v/>
      </c>
      <c r="BL18" s="1118"/>
    </row>
    <row r="19" spans="1:64" ht="15.95" customHeight="1">
      <c r="B19" s="905"/>
      <c r="C19" s="1037"/>
      <c r="D19" s="1037"/>
      <c r="E19" s="1037"/>
      <c r="F19" s="1037"/>
      <c r="G19" s="1037"/>
      <c r="H19" s="1037"/>
      <c r="I19" s="1037"/>
      <c r="J19" s="1037"/>
      <c r="K19" s="1039"/>
      <c r="L19" s="1040"/>
      <c r="M19" s="1037"/>
      <c r="N19" s="1037"/>
      <c r="O19" s="1037"/>
      <c r="P19" s="1041"/>
      <c r="Q19" s="1041"/>
      <c r="R19" s="1041"/>
      <c r="S19" s="1152"/>
      <c r="T19" s="1040"/>
      <c r="U19" s="1037"/>
      <c r="V19" s="1037"/>
      <c r="W19" s="1037"/>
      <c r="X19" s="1041"/>
      <c r="Y19" s="1041"/>
      <c r="Z19" s="1041"/>
      <c r="AA19" s="1152"/>
      <c r="AB19" s="1156"/>
      <c r="AC19" s="1157"/>
      <c r="AD19" s="1054"/>
      <c r="AE19" s="1054"/>
      <c r="AF19" s="1127"/>
      <c r="AG19" s="1128"/>
      <c r="AH19" s="1064"/>
      <c r="AI19" s="1065"/>
      <c r="AJ19" s="1065"/>
      <c r="AK19" s="1066"/>
      <c r="AL19" s="1066"/>
      <c r="AM19" s="1066"/>
      <c r="AN19" s="1049"/>
      <c r="AO19" s="1050"/>
      <c r="AP19" s="1050"/>
      <c r="AQ19" s="1050"/>
      <c r="AR19" s="355"/>
      <c r="AS19" s="355"/>
      <c r="AT19" s="1104"/>
      <c r="AU19" s="1104"/>
      <c r="AV19" s="1105"/>
      <c r="AW19" s="1025"/>
      <c r="AX19" s="1025"/>
      <c r="AY19" s="1114"/>
      <c r="AZ19" s="1116"/>
      <c r="BA19" s="1109"/>
      <c r="BB19" s="1121"/>
      <c r="BC19" s="931"/>
      <c r="BD19" s="931"/>
      <c r="BE19" s="931"/>
      <c r="BF19" s="931"/>
      <c r="BG19" s="931"/>
      <c r="BH19" s="1107"/>
      <c r="BI19" s="1105"/>
      <c r="BJ19" s="1105"/>
      <c r="BK19" s="931"/>
      <c r="BL19" s="1119"/>
    </row>
    <row r="20" spans="1:64" ht="15.95" customHeight="1">
      <c r="A20" s="145"/>
      <c r="B20" s="905">
        <v>2</v>
      </c>
      <c r="C20" s="1037"/>
      <c r="D20" s="1037"/>
      <c r="E20" s="1037"/>
      <c r="F20" s="1037"/>
      <c r="G20" s="1037"/>
      <c r="H20" s="1037"/>
      <c r="I20" s="1037"/>
      <c r="J20" s="1037"/>
      <c r="K20" s="1039"/>
      <c r="L20" s="1040"/>
      <c r="M20" s="1037"/>
      <c r="N20" s="1037"/>
      <c r="O20" s="1037"/>
      <c r="P20" s="1041"/>
      <c r="Q20" s="1041"/>
      <c r="R20" s="1041"/>
      <c r="S20" s="1152"/>
      <c r="T20" s="1040"/>
      <c r="U20" s="1037"/>
      <c r="V20" s="1037"/>
      <c r="W20" s="1037"/>
      <c r="X20" s="1041"/>
      <c r="Y20" s="1041"/>
      <c r="Z20" s="1041"/>
      <c r="AA20" s="1152"/>
      <c r="AB20" s="1156" t="str">
        <f t="shared" ref="AB20" si="0">IF(OR(C20="New Construction",C20="Replace Failed Equip."),"Incremental",IF(C20="Retrofit","Total",""))</f>
        <v/>
      </c>
      <c r="AC20" s="1157"/>
      <c r="AD20" s="1054"/>
      <c r="AE20" s="1054"/>
      <c r="AF20" s="1127" t="str">
        <f>IF(AB20="Incremental",0,"")</f>
        <v/>
      </c>
      <c r="AG20" s="1128"/>
      <c r="AH20" s="1064" t="str">
        <f t="shared" ref="AH20" si="1">IF(OR(C20="",F20="",L20="",P20="",R20="",T20="",X20="",Z20="",AB20="",AD20="",AF20=""),"",ROUND(AD20+AF20,2))</f>
        <v/>
      </c>
      <c r="AI20" s="1065"/>
      <c r="AJ20" s="1065"/>
      <c r="AK20" s="1081" t="str">
        <f t="shared" ref="AK20" si="2">IF(OR(C20="",F20="",L20="",P20="",R20="",T20="",X20="",Z20="",AB20="",AD20="",AF20=""),"",IF(AW20-AX20&lt;=0,0,ROUND(AW20-AX20,4)))</f>
        <v/>
      </c>
      <c r="AL20" s="1081"/>
      <c r="AM20" s="1081"/>
      <c r="AN20" s="1047" t="str">
        <f>IF(OR(C20="",F20="",L20="",P20="",R20="",T20="",X20="",Z20="",AB20="",AD20="",AF20=""),"",
IF(BJ20&lt;&gt;"",BJ20,IF(BL20&gt;0,BL20,
IF(AB20="Incremental",
IF(ACTIVEBLOCK="Yes",ROUND(MIN(AH20*INCCOSTCAP,AK20*BLOCKBIDRATE),2),
IF(BG20&lt;&gt;"",ROUND(MIN(AH20*INCCOSTCAP,BG20),2),
IF(BD20&lt;KWHRATEMIN,ROUND(MIN(AH20*INCCOSTCAP,BE20),2),
IF(BD20&gt;KWHRATEMAX,ROUND(MIN(AH20*INCCOSTCAP,BF20),2),
ROUND(MIN(AH20*INCCOSTCAP,BC20),2))))),
IF(ACTIVEBLOCK="Yes",ROUND(MIN(AH20*TOTCOSTCAP,AK20*BLOCKBIDRATE),2),
IF(BG20&lt;&gt;"",ROUND(MIN(AH20*TOTCOSTCAP,BG20),2),
IF(BD20&lt;KWHRATEMIN,ROUND(MIN(AH20*TOTCOSTCAP,BE20),2),
IF(BD20&gt;KWHRATEMAX,ROUND(MIN(AH20*TOTCOSTCAP,BF20),2),
ROUND(MIN(AH20*TOTCOSTCAP,BC20),2)))))))))</f>
        <v/>
      </c>
      <c r="AO20" s="1048"/>
      <c r="AP20" s="1048"/>
      <c r="AQ20" s="1048"/>
      <c r="AR20" s="355"/>
      <c r="AS20" s="355"/>
      <c r="AT20" s="1104" t="str">
        <f>IFERROR(IF(OR(C20="",F20="",L20="",P20="",R20="",T20="",X20="",Z20="",AB20="",AD20="",AF20=""),"",
ROUND(((1+ELOSS)*((AK20*INDEX(ELECCB[NPV AEC $/kWh],MATCH(AY20,ELECCB[Year Number],1)))+(BA20*INDEX(ELECCB[NPV ACC $/kW],MATCH(AY20,ELECCB[Year Number],1))))/AH20),2)),0)</f>
        <v/>
      </c>
      <c r="AU20" s="1112" t="str">
        <f>IFERROR(AH20/M02S04F06/AK20,"")</f>
        <v/>
      </c>
      <c r="AV20" s="1108" t="str">
        <f>IF(OR(C20="",F20=""),"",INDEX(CMECOOK[Unit of Measure],MATCH(F20,CMECOOK[Proj Desc 1],0)))</f>
        <v/>
      </c>
      <c r="AW20" s="1103" t="str">
        <f t="shared" ref="AW20" si="3">IF(OR(C20="",F20="",L20="",P20="",R20="",T20="",X20="",Z20="",AB20="",AD20="",AF20=""),"",ROUND(P20*R20,4))</f>
        <v/>
      </c>
      <c r="AX20" s="1103" t="str">
        <f t="shared" ref="AX20" si="4">IF(OR(C20="",F20="",L20="",P20="",R20="",T20="",X20="",Z20="",AB20="",AD20="",AF20=""),"",ROUND(X20*Z20,4))</f>
        <v/>
      </c>
      <c r="AY20" s="1113" t="str">
        <f>IF(OR(C20="",F20=""),"",IF(INDEX(CMECOOK[EUL],MATCH(F20,CMECOOK[Proj Desc 1],0))="","",INDEX(CMECOOK[EUL],MATCH(F20,CMECOOK[Proj Desc 1],0))))</f>
        <v/>
      </c>
      <c r="AZ20" s="1115" t="str">
        <f>IF(OR(C20="",F20=""),"",IF(INDEX(CMECOOK[End Use Category],MATCH(F20,CMECOOK[Proj Desc 1],0))="","",INDEX(CMECOOK[End Use Category],MATCH(F20,CMECOOK[Proj Desc 1],0))))</f>
        <v/>
      </c>
      <c r="BA20" s="1027" t="str">
        <f>IFERROR(IF(OR(C20="",F20="",L20="",P20="",R20="",T20="",X20="",Z20="",AB20="",AD20="",AF20=""),"",ROUND(AK20*INDEX(ENDUSEALL[Factor],MATCH(AZ20,ENDUSEALL[End Use to Coincident Peak Demand Factors],0)),4)),"")</f>
        <v/>
      </c>
      <c r="BB20" s="1120"/>
      <c r="BC20" s="930" t="str">
        <f t="shared" ref="BC20" si="5">IFERROR(ROUND(AK20*BD20,2),"")</f>
        <v/>
      </c>
      <c r="BD20" s="930" t="str">
        <f>IFERROR(INDEX(ENDUSEALL[Rate ($/kWh)],MATCH(AZ20,ENDUSEALL[End Use to Coincident Peak Demand Factors],0)),"")</f>
        <v/>
      </c>
      <c r="BE20" s="931" t="str">
        <f>IFERROR(ROUND(AK20*KWHRATEMIN,2),"")</f>
        <v/>
      </c>
      <c r="BF20" s="931" t="str">
        <f>IFERROR(ROUND(AK20*KWHRATEMAX,2),"")</f>
        <v/>
      </c>
      <c r="BG20" s="930" t="str">
        <f>IFERROR(IF(INDEX(ENDUSEALL[Bonus Rate ($/kWh)],MATCH(AZ20,ENDUSEALL[End Use to Coincident Peak Demand Factors],0))="","",INDEX(ENDUSEALL[Bonus Rate ($/kWh)],MATCH(AZ20,ENDUSEALL[End Use to Coincident Peak Demand Factors],0))*AK20),"")</f>
        <v/>
      </c>
      <c r="BH20" s="1106" t="str">
        <f>IF(OR(C20="",F20="",L20="",P20="",R20="",T20="",X20="",Z20="",AB20="",AD20="",AF20=""),"",IF(BJ20&lt;&gt;"",SPILLOVERNUMBER,INDEX(CMECOOK[Measure Number],MATCH(F20,CMECOOK[Proj Desc 1],0))))</f>
        <v/>
      </c>
      <c r="BI20" s="1108" t="str">
        <f>IFERROR(IF(AND(AB20="Total",ROUND(AN20/AH20,2)=TOTCOSTCAP),"75% Total Cost",
IF(AND(AB20="Incremental",AH20=AN20),"100% Incremental Cost",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IF(AND((ISNUMBER(SEARCH("Other",F20))),OR(AY20="",AZ20="")),MEASURESUBMIT,
 IF(PAYCUSE&lt;PAYBACKREQ,PROJECTSTATPAYBACK,
IF(CBCUSE&lt;CBREQ,PROJECTSTATCB,""))))))),MEASURESUBMIT)</f>
        <v>Submit for Review</v>
      </c>
      <c r="BK20" s="930" t="str">
        <f>IFERROR(IF(OR(C20="",F20="",L20="",P20="",R20="",T20="",X20="",Z20="",AB20="",AD20="",AF20=""),"",
ROUND(((1+ELOSS)*((AK20*INDEX(ELECCB[NPV AEC $/kWh],MATCH(AY20,ELECCB[Year Number],1)))+(BA20*INDEX(ELECCB[NPV ACC $/kW],MATCH(AY20,ELECCB[Year Number],1))))),2)),0)</f>
        <v/>
      </c>
      <c r="BL20" s="1118"/>
    </row>
    <row r="21" spans="1:64" ht="15.95" customHeight="1">
      <c r="B21" s="905"/>
      <c r="C21" s="1037"/>
      <c r="D21" s="1037"/>
      <c r="E21" s="1037"/>
      <c r="F21" s="1037"/>
      <c r="G21" s="1037"/>
      <c r="H21" s="1037"/>
      <c r="I21" s="1037"/>
      <c r="J21" s="1037"/>
      <c r="K21" s="1039"/>
      <c r="L21" s="1040"/>
      <c r="M21" s="1037"/>
      <c r="N21" s="1037"/>
      <c r="O21" s="1037"/>
      <c r="P21" s="1041"/>
      <c r="Q21" s="1041"/>
      <c r="R21" s="1041"/>
      <c r="S21" s="1152"/>
      <c r="T21" s="1040"/>
      <c r="U21" s="1037"/>
      <c r="V21" s="1037"/>
      <c r="W21" s="1037"/>
      <c r="X21" s="1041"/>
      <c r="Y21" s="1041"/>
      <c r="Z21" s="1041"/>
      <c r="AA21" s="1152"/>
      <c r="AB21" s="1156"/>
      <c r="AC21" s="1157"/>
      <c r="AD21" s="1054"/>
      <c r="AE21" s="1054"/>
      <c r="AF21" s="1127"/>
      <c r="AG21" s="1128"/>
      <c r="AH21" s="1064"/>
      <c r="AI21" s="1065"/>
      <c r="AJ21" s="1065"/>
      <c r="AK21" s="1066"/>
      <c r="AL21" s="1066"/>
      <c r="AM21" s="1066"/>
      <c r="AN21" s="1049"/>
      <c r="AO21" s="1050"/>
      <c r="AP21" s="1050"/>
      <c r="AQ21" s="1050"/>
      <c r="AR21" s="355"/>
      <c r="AS21" s="355"/>
      <c r="AT21" s="1104"/>
      <c r="AU21" s="1104"/>
      <c r="AV21" s="1105"/>
      <c r="AW21" s="1025"/>
      <c r="AX21" s="1025"/>
      <c r="AY21" s="1114"/>
      <c r="AZ21" s="1116"/>
      <c r="BA21" s="1109"/>
      <c r="BB21" s="1121"/>
      <c r="BC21" s="931"/>
      <c r="BD21" s="931"/>
      <c r="BE21" s="931"/>
      <c r="BF21" s="931"/>
      <c r="BG21" s="931"/>
      <c r="BH21" s="1107"/>
      <c r="BI21" s="1105"/>
      <c r="BJ21" s="1105"/>
      <c r="BK21" s="931"/>
      <c r="BL21" s="1119"/>
    </row>
    <row r="22" spans="1:64" s="36" customFormat="1" ht="15.95" customHeight="1">
      <c r="A22" s="195"/>
      <c r="B22" s="905">
        <v>3</v>
      </c>
      <c r="C22" s="1037"/>
      <c r="D22" s="1037"/>
      <c r="E22" s="1037"/>
      <c r="F22" s="1037"/>
      <c r="G22" s="1037"/>
      <c r="H22" s="1037"/>
      <c r="I22" s="1037"/>
      <c r="J22" s="1037"/>
      <c r="K22" s="1039"/>
      <c r="L22" s="1040"/>
      <c r="M22" s="1037"/>
      <c r="N22" s="1037"/>
      <c r="O22" s="1037"/>
      <c r="P22" s="1041"/>
      <c r="Q22" s="1041"/>
      <c r="R22" s="1041"/>
      <c r="S22" s="1152"/>
      <c r="T22" s="1040"/>
      <c r="U22" s="1037"/>
      <c r="V22" s="1037"/>
      <c r="W22" s="1037"/>
      <c r="X22" s="1041"/>
      <c r="Y22" s="1041"/>
      <c r="Z22" s="1041"/>
      <c r="AA22" s="1152"/>
      <c r="AB22" s="1156" t="str">
        <f t="shared" ref="AB22" si="6">IF(OR(C22="New Construction",C22="Replace Failed Equip."),"Incremental",IF(C22="Retrofit","Total",""))</f>
        <v/>
      </c>
      <c r="AC22" s="1157"/>
      <c r="AD22" s="1054"/>
      <c r="AE22" s="1054"/>
      <c r="AF22" s="1127" t="str">
        <f t="shared" ref="AF22" si="7">IF(AB22="Incremental",0,"")</f>
        <v/>
      </c>
      <c r="AG22" s="1128"/>
      <c r="AH22" s="1064" t="str">
        <f t="shared" ref="AH22" si="8">IF(OR(C22="",F22="",L22="",P22="",R22="",T22="",X22="",Z22="",AB22="",AD22="",AF22=""),"",ROUND(AD22+AF22,2))</f>
        <v/>
      </c>
      <c r="AI22" s="1065"/>
      <c r="AJ22" s="1065"/>
      <c r="AK22" s="1081" t="str">
        <f t="shared" ref="AK22" si="9">IF(OR(C22="",F22="",L22="",P22="",R22="",T22="",X22="",Z22="",AB22="",AD22="",AF22=""),"",IF(AW22-AX22&lt;=0,0,ROUND(AW22-AX22,4)))</f>
        <v/>
      </c>
      <c r="AL22" s="1081"/>
      <c r="AM22" s="1081"/>
      <c r="AN22" s="1047" t="str">
        <f>IF(OR(C22="",F22="",L22="",P22="",R22="",T22="",X22="",Z22="",AB22="",AD22="",AF22=""),"",
IF(BJ22&lt;&gt;"",BJ22,IF(BL22&gt;0,BL22,
IF(AB22="Incremental",
IF(ACTIVEBLOCK="Yes",ROUND(MIN(AH22*INCCOSTCAP,AK22*BLOCKBIDRATE),2),
IF(BG22&lt;&gt;"",ROUND(MIN(AH22*INCCOSTCAP,BG22),2),
IF(BD22&lt;KWHRATEMIN,ROUND(MIN(AH22*INCCOSTCAP,BE22),2),
IF(BD22&gt;KWHRATEMAX,ROUND(MIN(AH22*INCCOSTCAP,BF22),2),
ROUND(MIN(AH22*INCCOSTCAP,BC22),2))))),
IF(ACTIVEBLOCK="Yes",ROUND(MIN(AH22*TOTCOSTCAP,AK22*BLOCKBIDRATE),2),
IF(BG22&lt;&gt;"",ROUND(MIN(AH22*TOTCOSTCAP,BG22),2),
IF(BD22&lt;KWHRATEMIN,ROUND(MIN(AH22*TOTCOSTCAP,BE22),2),
IF(BD22&gt;KWHRATEMAX,ROUND(MIN(AH22*TOTCOSTCAP,BF22),2),
ROUND(MIN(AH22*TOTCOSTCAP,BC22),2)))))))))</f>
        <v/>
      </c>
      <c r="AO22" s="1048"/>
      <c r="AP22" s="1048"/>
      <c r="AQ22" s="1048"/>
      <c r="AR22" s="354"/>
      <c r="AS22" s="354"/>
      <c r="AT22" s="1104" t="str">
        <f>IFERROR(IF(OR(C22="",F22="",L22="",P22="",R22="",T22="",X22="",Z22="",AB22="",AD22="",AF22=""),"",
ROUND(((1+ELOSS)*((AK22*INDEX(ELECCB[NPV AEC $/kWh],MATCH(AY22,ELECCB[Year Number],1)))+(BA22*INDEX(ELECCB[NPV ACC $/kW],MATCH(AY22,ELECCB[Year Number],1))))/AH22),2)),0)</f>
        <v/>
      </c>
      <c r="AU22" s="1112" t="str">
        <f>IFERROR(AH22/M02S04F06/AK22,"")</f>
        <v/>
      </c>
      <c r="AV22" s="1108" t="str">
        <f>IF(OR(C22="",F22=""),"",INDEX(CMECOOK[Unit of Measure],MATCH(F22,CMECOOK[Proj Desc 1],0)))</f>
        <v/>
      </c>
      <c r="AW22" s="1103" t="str">
        <f t="shared" ref="AW22" si="10">IF(OR(C22="",F22="",L22="",P22="",R22="",T22="",X22="",Z22="",AB22="",AD22="",AF22=""),"",ROUND(P22*R22,4))</f>
        <v/>
      </c>
      <c r="AX22" s="1103" t="str">
        <f t="shared" ref="AX22" si="11">IF(OR(C22="",F22="",L22="",P22="",R22="",T22="",X22="",Z22="",AB22="",AD22="",AF22=""),"",ROUND(X22*Z22,4))</f>
        <v/>
      </c>
      <c r="AY22" s="1113" t="str">
        <f>IF(OR(C22="",F22=""),"",IF(INDEX(CMECOOK[EUL],MATCH(F22,CMECOOK[Proj Desc 1],0))="","",INDEX(CMECOOK[EUL],MATCH(F22,CMECOOK[Proj Desc 1],0))))</f>
        <v/>
      </c>
      <c r="AZ22" s="1115" t="str">
        <f>IF(OR(C22="",F22=""),"",IF(INDEX(CMECOOK[End Use Category],MATCH(F22,CMECOOK[Proj Desc 1],0))="","",INDEX(CMECOOK[End Use Category],MATCH(F22,CMECOOK[Proj Desc 1],0))))</f>
        <v/>
      </c>
      <c r="BA22" s="1027" t="str">
        <f>IFERROR(IF(OR(C22="",F22="",L22="",P22="",R22="",T22="",X22="",Z22="",AB22="",AD22="",AF22=""),"",ROUND(AK22*INDEX(ENDUSEALL[Factor],MATCH(AZ22,ENDUSEALL[End Use to Coincident Peak Demand Factors],0)),4)),"")</f>
        <v/>
      </c>
      <c r="BB22" s="1120"/>
      <c r="BC22" s="930" t="str">
        <f t="shared" ref="BC22" si="12">IFERROR(ROUND(AK22*BD22,2),"")</f>
        <v/>
      </c>
      <c r="BD22" s="930" t="str">
        <f>IFERROR(INDEX(ENDUSEALL[Rate ($/kWh)],MATCH(AZ22,ENDUSEALL[End Use to Coincident Peak Demand Factors],0)),"")</f>
        <v/>
      </c>
      <c r="BE22" s="931" t="str">
        <f>IFERROR(ROUND(AK22*KWHRATEMIN,2),"")</f>
        <v/>
      </c>
      <c r="BF22" s="931" t="str">
        <f>IFERROR(ROUND(AK22*KWHRATEMAX,2),"")</f>
        <v/>
      </c>
      <c r="BG22" s="930" t="str">
        <f>IFERROR(IF(INDEX(ENDUSEALL[Bonus Rate ($/kWh)],MATCH(AZ22,ENDUSEALL[End Use to Coincident Peak Demand Factors],0))="","",INDEX(ENDUSEALL[Bonus Rate ($/kWh)],MATCH(AZ22,ENDUSEALL[End Use to Coincident Peak Demand Factors],0))*AK22),"")</f>
        <v/>
      </c>
      <c r="BH22" s="1106" t="str">
        <f>IF(OR(C22="",F22="",L22="",P22="",R22="",T22="",X22="",Z22="",AB22="",AD22="",AF22=""),"",IF(BJ22&lt;&gt;"",SPILLOVERNUMBER,INDEX(CMECOOK[Measure Number],MATCH(F22,CMECOOK[Proj Desc 1],0))))</f>
        <v/>
      </c>
      <c r="BI22" s="1108" t="str">
        <f>IFERROR(IF(AND(AB22="Total",ROUND(AN22/AH22,2)=TOTCOSTCAP),"75% Total Cost",
IF(AND(AB22="Incremental",AH22=AN22),"100% Incremental Cost",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IF(AND((ISNUMBER(SEARCH("Other",F22))),OR(AY22="",AZ22="")),MEASURESUBMIT,
 IF(PAYCUSE&lt;PAYBACKREQ,PROJECTSTATPAYBACK,
IF(CBCUSE&lt;CBREQ,PROJECTSTATCB,""))))))),MEASURESUBMIT)</f>
        <v>Submit for Review</v>
      </c>
      <c r="BK22" s="930" t="str">
        <f>IFERROR(IF(OR(C22="",F22="",L22="",P22="",R22="",T22="",X22="",Z22="",AB22="",AD22="",AF22=""),"",
ROUND(((1+ELOSS)*((AK22*INDEX(ELECCB[NPV AEC $/kWh],MATCH(AY22,ELECCB[Year Number],1)))+(BA22*INDEX(ELECCB[NPV ACC $/kW],MATCH(AY22,ELECCB[Year Number],1))))),2)),0)</f>
        <v/>
      </c>
      <c r="BL22" s="1118"/>
    </row>
    <row r="23" spans="1:64" s="36" customFormat="1" ht="15.95" customHeight="1">
      <c r="A23" s="195"/>
      <c r="B23" s="905"/>
      <c r="C23" s="1037"/>
      <c r="D23" s="1037"/>
      <c r="E23" s="1037"/>
      <c r="F23" s="1037"/>
      <c r="G23" s="1037"/>
      <c r="H23" s="1037"/>
      <c r="I23" s="1037"/>
      <c r="J23" s="1037"/>
      <c r="K23" s="1039"/>
      <c r="L23" s="1040"/>
      <c r="M23" s="1037"/>
      <c r="N23" s="1037"/>
      <c r="O23" s="1037"/>
      <c r="P23" s="1041"/>
      <c r="Q23" s="1041"/>
      <c r="R23" s="1041"/>
      <c r="S23" s="1152"/>
      <c r="T23" s="1040"/>
      <c r="U23" s="1037"/>
      <c r="V23" s="1037"/>
      <c r="W23" s="1037"/>
      <c r="X23" s="1041"/>
      <c r="Y23" s="1041"/>
      <c r="Z23" s="1041"/>
      <c r="AA23" s="1152"/>
      <c r="AB23" s="1156"/>
      <c r="AC23" s="1157"/>
      <c r="AD23" s="1054"/>
      <c r="AE23" s="1054"/>
      <c r="AF23" s="1127"/>
      <c r="AG23" s="1128"/>
      <c r="AH23" s="1064"/>
      <c r="AI23" s="1065"/>
      <c r="AJ23" s="1065"/>
      <c r="AK23" s="1066"/>
      <c r="AL23" s="1066"/>
      <c r="AM23" s="1066"/>
      <c r="AN23" s="1049"/>
      <c r="AO23" s="1050"/>
      <c r="AP23" s="1050"/>
      <c r="AQ23" s="1050"/>
      <c r="AR23" s="354"/>
      <c r="AS23" s="354"/>
      <c r="AT23" s="1104"/>
      <c r="AU23" s="1104"/>
      <c r="AV23" s="1105"/>
      <c r="AW23" s="1025"/>
      <c r="AX23" s="1025"/>
      <c r="AY23" s="1114"/>
      <c r="AZ23" s="1116"/>
      <c r="BA23" s="1109"/>
      <c r="BB23" s="1121"/>
      <c r="BC23" s="931"/>
      <c r="BD23" s="931"/>
      <c r="BE23" s="931"/>
      <c r="BF23" s="931"/>
      <c r="BG23" s="931"/>
      <c r="BH23" s="1107"/>
      <c r="BI23" s="1105"/>
      <c r="BJ23" s="1105"/>
      <c r="BK23" s="931"/>
      <c r="BL23" s="1119"/>
    </row>
    <row r="24" spans="1:64" ht="15.95" customHeight="1">
      <c r="B24" s="905">
        <v>4</v>
      </c>
      <c r="C24" s="1037"/>
      <c r="D24" s="1037"/>
      <c r="E24" s="1037"/>
      <c r="F24" s="1037"/>
      <c r="G24" s="1037"/>
      <c r="H24" s="1037"/>
      <c r="I24" s="1037"/>
      <c r="J24" s="1037"/>
      <c r="K24" s="1039"/>
      <c r="L24" s="1040"/>
      <c r="M24" s="1037"/>
      <c r="N24" s="1037"/>
      <c r="O24" s="1037"/>
      <c r="P24" s="1041"/>
      <c r="Q24" s="1041"/>
      <c r="R24" s="1041"/>
      <c r="S24" s="1152"/>
      <c r="T24" s="1040"/>
      <c r="U24" s="1037"/>
      <c r="V24" s="1037"/>
      <c r="W24" s="1037"/>
      <c r="X24" s="1041"/>
      <c r="Y24" s="1041"/>
      <c r="Z24" s="1041"/>
      <c r="AA24" s="1152"/>
      <c r="AB24" s="1156" t="str">
        <f t="shared" ref="AB24" si="13">IF(OR(C24="New Construction",C24="Replace Failed Equip."),"Incremental",IF(C24="Retrofit","Total",""))</f>
        <v/>
      </c>
      <c r="AC24" s="1157"/>
      <c r="AD24" s="1054"/>
      <c r="AE24" s="1054"/>
      <c r="AF24" s="1127" t="str">
        <f t="shared" ref="AF24" si="14">IF(AB24="Incremental",0,"")</f>
        <v/>
      </c>
      <c r="AG24" s="1128"/>
      <c r="AH24" s="1064" t="str">
        <f t="shared" ref="AH24" si="15">IF(OR(C24="",F24="",L24="",P24="",R24="",T24="",X24="",Z24="",AB24="",AD24="",AF24=""),"",ROUND(AD24+AF24,2))</f>
        <v/>
      </c>
      <c r="AI24" s="1065"/>
      <c r="AJ24" s="1065"/>
      <c r="AK24" s="1081" t="str">
        <f t="shared" ref="AK24" si="16">IF(OR(C24="",F24="",L24="",P24="",R24="",T24="",X24="",Z24="",AB24="",AD24="",AF24=""),"",IF(AW24-AX24&lt;=0,0,ROUND(AW24-AX24,4)))</f>
        <v/>
      </c>
      <c r="AL24" s="1081"/>
      <c r="AM24" s="1081"/>
      <c r="AN24" s="1047" t="str">
        <f>IF(OR(C24="",F24="",L24="",P24="",R24="",T24="",X24="",Z24="",AB24="",AD24="",AF24=""),"",
IF(BJ24&lt;&gt;"",BJ24,IF(BL24&gt;0,BL24,
IF(AB24="Incremental",
IF(ACTIVEBLOCK="Yes",ROUND(MIN(AH24*INCCOSTCAP,AK24*BLOCKBIDRATE),2),
IF(BG24&lt;&gt;"",ROUND(MIN(AH24*INCCOSTCAP,BG24),2),
IF(BD24&lt;KWHRATEMIN,ROUND(MIN(AH24*INCCOSTCAP,BE24),2),
IF(BD24&gt;KWHRATEMAX,ROUND(MIN(AH24*INCCOSTCAP,BF24),2),
ROUND(MIN(AH24*INCCOSTCAP,BC24),2))))),
IF(ACTIVEBLOCK="Yes",ROUND(MIN(AH24*TOTCOSTCAP,AK24*BLOCKBIDRATE),2),
IF(BG24&lt;&gt;"",ROUND(MIN(AH24*TOTCOSTCAP,BG24),2),
IF(BD24&lt;KWHRATEMIN,ROUND(MIN(AH24*TOTCOSTCAP,BE24),2),
IF(BD24&gt;KWHRATEMAX,ROUND(MIN(AH24*TOTCOSTCAP,BF24),2),
ROUND(MIN(AH24*TOTCOSTCAP,BC24),2)))))))))</f>
        <v/>
      </c>
      <c r="AO24" s="1048"/>
      <c r="AP24" s="1048"/>
      <c r="AQ24" s="1048"/>
      <c r="AR24" s="355"/>
      <c r="AS24" s="355"/>
      <c r="AT24" s="1104" t="str">
        <f>IFERROR(IF(OR(C24="",F24="",L24="",P24="",R24="",T24="",X24="",Z24="",AB24="",AD24="",AF24=""),"",
ROUND(((1+ELOSS)*((AK24*INDEX(ELECCB[NPV AEC $/kWh],MATCH(AY24,ELECCB[Year Number],1)))+(BA24*INDEX(ELECCB[NPV ACC $/kW],MATCH(AY24,ELECCB[Year Number],1))))/AH24),2)),0)</f>
        <v/>
      </c>
      <c r="AU24" s="1112" t="str">
        <f>IFERROR(AH24/M02S04F06/AK24,"")</f>
        <v/>
      </c>
      <c r="AV24" s="1108" t="str">
        <f>IF(OR(C24="",F24=""),"",INDEX(CMECOOK[Unit of Measure],MATCH(F24,CMECOOK[Proj Desc 1],0)))</f>
        <v/>
      </c>
      <c r="AW24" s="1103" t="str">
        <f t="shared" ref="AW24" si="17">IF(OR(C24="",F24="",L24="",P24="",R24="",T24="",X24="",Z24="",AB24="",AD24="",AF24=""),"",ROUND(P24*R24,4))</f>
        <v/>
      </c>
      <c r="AX24" s="1103" t="str">
        <f t="shared" ref="AX24" si="18">IF(OR(C24="",F24="",L24="",P24="",R24="",T24="",X24="",Z24="",AB24="",AD24="",AF24=""),"",ROUND(X24*Z24,4))</f>
        <v/>
      </c>
      <c r="AY24" s="1113" t="str">
        <f>IF(OR(C24="",F24=""),"",IF(INDEX(CMECOOK[EUL],MATCH(F24,CMECOOK[Proj Desc 1],0))="","",INDEX(CMECOOK[EUL],MATCH(F24,CMECOOK[Proj Desc 1],0))))</f>
        <v/>
      </c>
      <c r="AZ24" s="1115" t="str">
        <f>IF(OR(C24="",F24=""),"",IF(INDEX(CMECOOK[End Use Category],MATCH(F24,CMECOOK[Proj Desc 1],0))="","",INDEX(CMECOOK[End Use Category],MATCH(F24,CMECOOK[Proj Desc 1],0))))</f>
        <v/>
      </c>
      <c r="BA24" s="1027" t="str">
        <f>IFERROR(IF(OR(C24="",F24="",L24="",P24="",R24="",T24="",X24="",Z24="",AB24="",AD24="",AF24=""),"",ROUND(AK24*INDEX(ENDUSEALL[Factor],MATCH(AZ24,ENDUSEALL[End Use to Coincident Peak Demand Factors],0)),4)),"")</f>
        <v/>
      </c>
      <c r="BB24" s="1120"/>
      <c r="BC24" s="930" t="str">
        <f t="shared" ref="BC24" si="19">IFERROR(ROUND(AK24*BD24,2),"")</f>
        <v/>
      </c>
      <c r="BD24" s="930" t="str">
        <f>IFERROR(INDEX(ENDUSEALL[Rate ($/kWh)],MATCH(AZ24,ENDUSEALL[End Use to Coincident Peak Demand Factors],0)),"")</f>
        <v/>
      </c>
      <c r="BE24" s="931" t="str">
        <f>IFERROR(ROUND(AK24*KWHRATEMIN,2),"")</f>
        <v/>
      </c>
      <c r="BF24" s="931" t="str">
        <f>IFERROR(ROUND(AK24*KWHRATEMAX,2),"")</f>
        <v/>
      </c>
      <c r="BG24" s="930" t="str">
        <f>IFERROR(IF(INDEX(ENDUSEALL[Bonus Rate ($/kWh)],MATCH(AZ24,ENDUSEALL[End Use to Coincident Peak Demand Factors],0))="","",INDEX(ENDUSEALL[Bonus Rate ($/kWh)],MATCH(AZ24,ENDUSEALL[End Use to Coincident Peak Demand Factors],0))*AK24),"")</f>
        <v/>
      </c>
      <c r="BH24" s="1106" t="str">
        <f>IF(OR(C24="",F24="",L24="",P24="",R24="",T24="",X24="",Z24="",AB24="",AD24="",AF24=""),"",IF(BJ24&lt;&gt;"",SPILLOVERNUMBER,INDEX(CMECOOK[Measure Number],MATCH(F24,CMECOOK[Proj Desc 1],0))))</f>
        <v/>
      </c>
      <c r="BI24" s="1108" t="str">
        <f>IFERROR(IF(AND(AB24="Total",ROUND(AN24/AH24,2)=TOTCOSTCAP),"75% Total Cost",
IF(AND(AB24="Incremental",AH24=AN24),"100% Incremental Cost",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IF(AND((ISNUMBER(SEARCH("Other",F24))),OR(AY24="",AZ24="")),MEASURESUBMIT,
 IF(PAYCUSE&lt;PAYBACKREQ,PROJECTSTATPAYBACK,
IF(CBCUSE&lt;CBREQ,PROJECTSTATCB,""))))))),MEASURESUBMIT)</f>
        <v>Submit for Review</v>
      </c>
      <c r="BK24" s="930" t="str">
        <f>IFERROR(IF(OR(C24="",F24="",L24="",P24="",R24="",T24="",X24="",Z24="",AB24="",AD24="",AF24=""),"",
ROUND(((1+ELOSS)*((AK24*INDEX(ELECCB[NPV AEC $/kWh],MATCH(AY24,ELECCB[Year Number],1)))+(BA24*INDEX(ELECCB[NPV ACC $/kW],MATCH(AY24,ELECCB[Year Number],1))))),2)),0)</f>
        <v/>
      </c>
      <c r="BL24" s="1118"/>
    </row>
    <row r="25" spans="1:64" ht="15.95" customHeight="1">
      <c r="A25" s="145"/>
      <c r="B25" s="905"/>
      <c r="C25" s="1037"/>
      <c r="D25" s="1037"/>
      <c r="E25" s="1037"/>
      <c r="F25" s="1037"/>
      <c r="G25" s="1037"/>
      <c r="H25" s="1037"/>
      <c r="I25" s="1037"/>
      <c r="J25" s="1037"/>
      <c r="K25" s="1039"/>
      <c r="L25" s="1040"/>
      <c r="M25" s="1037"/>
      <c r="N25" s="1037"/>
      <c r="O25" s="1037"/>
      <c r="P25" s="1041"/>
      <c r="Q25" s="1041"/>
      <c r="R25" s="1041"/>
      <c r="S25" s="1152"/>
      <c r="T25" s="1040"/>
      <c r="U25" s="1037"/>
      <c r="V25" s="1037"/>
      <c r="W25" s="1037"/>
      <c r="X25" s="1041"/>
      <c r="Y25" s="1041"/>
      <c r="Z25" s="1041"/>
      <c r="AA25" s="1152"/>
      <c r="AB25" s="1156"/>
      <c r="AC25" s="1157"/>
      <c r="AD25" s="1054"/>
      <c r="AE25" s="1054"/>
      <c r="AF25" s="1127"/>
      <c r="AG25" s="1128"/>
      <c r="AH25" s="1064"/>
      <c r="AI25" s="1065"/>
      <c r="AJ25" s="1065"/>
      <c r="AK25" s="1066"/>
      <c r="AL25" s="1066"/>
      <c r="AM25" s="1066"/>
      <c r="AN25" s="1049"/>
      <c r="AO25" s="1050"/>
      <c r="AP25" s="1050"/>
      <c r="AQ25" s="1050"/>
      <c r="AR25" s="355"/>
      <c r="AS25" s="355"/>
      <c r="AT25" s="1104"/>
      <c r="AU25" s="1104"/>
      <c r="AV25" s="1105"/>
      <c r="AW25" s="1025"/>
      <c r="AX25" s="1025"/>
      <c r="AY25" s="1114"/>
      <c r="AZ25" s="1116"/>
      <c r="BA25" s="1109"/>
      <c r="BB25" s="1121"/>
      <c r="BC25" s="931"/>
      <c r="BD25" s="931"/>
      <c r="BE25" s="931"/>
      <c r="BF25" s="931"/>
      <c r="BG25" s="931"/>
      <c r="BH25" s="1107"/>
      <c r="BI25" s="1105"/>
      <c r="BJ25" s="1105"/>
      <c r="BK25" s="931"/>
      <c r="BL25" s="1119"/>
    </row>
    <row r="26" spans="1:64" ht="15.95" customHeight="1">
      <c r="B26" s="905">
        <v>5</v>
      </c>
      <c r="C26" s="1037"/>
      <c r="D26" s="1037"/>
      <c r="E26" s="1037"/>
      <c r="F26" s="1037"/>
      <c r="G26" s="1037"/>
      <c r="H26" s="1037"/>
      <c r="I26" s="1037"/>
      <c r="J26" s="1037"/>
      <c r="K26" s="1039"/>
      <c r="L26" s="1040"/>
      <c r="M26" s="1037"/>
      <c r="N26" s="1037"/>
      <c r="O26" s="1037"/>
      <c r="P26" s="1041"/>
      <c r="Q26" s="1041"/>
      <c r="R26" s="1041"/>
      <c r="S26" s="1152"/>
      <c r="T26" s="1040"/>
      <c r="U26" s="1037"/>
      <c r="V26" s="1037"/>
      <c r="W26" s="1037"/>
      <c r="X26" s="1041"/>
      <c r="Y26" s="1041"/>
      <c r="Z26" s="1041"/>
      <c r="AA26" s="1152"/>
      <c r="AB26" s="1156" t="str">
        <f t="shared" ref="AB26" si="20">IF(OR(C26="New Construction",C26="Replace Failed Equip."),"Incremental",IF(C26="Retrofit","Total",""))</f>
        <v/>
      </c>
      <c r="AC26" s="1157"/>
      <c r="AD26" s="1054"/>
      <c r="AE26" s="1054"/>
      <c r="AF26" s="1127" t="str">
        <f t="shared" ref="AF26" si="21">IF(AB26="Incremental",0,"")</f>
        <v/>
      </c>
      <c r="AG26" s="1128"/>
      <c r="AH26" s="1064" t="str">
        <f t="shared" ref="AH26" si="22">IF(OR(C26="",F26="",L26="",P26="",R26="",T26="",X26="",Z26="",AB26="",AD26="",AF26=""),"",ROUND(AD26+AF26,2))</f>
        <v/>
      </c>
      <c r="AI26" s="1065"/>
      <c r="AJ26" s="1065"/>
      <c r="AK26" s="1081" t="str">
        <f t="shared" ref="AK26" si="23">IF(OR(C26="",F26="",L26="",P26="",R26="",T26="",X26="",Z26="",AB26="",AD26="",AF26=""),"",IF(AW26-AX26&lt;=0,0,ROUND(AW26-AX26,4)))</f>
        <v/>
      </c>
      <c r="AL26" s="1081"/>
      <c r="AM26" s="1081"/>
      <c r="AN26" s="1047" t="str">
        <f>IF(OR(C26="",F26="",L26="",P26="",R26="",T26="",X26="",Z26="",AB26="",AD26="",AF26=""),"",
IF(BJ26&lt;&gt;"",BJ26,IF(BL26&gt;0,BL26,
IF(AB26="Incremental",
IF(ACTIVEBLOCK="Yes",ROUND(MIN(AH26*INCCOSTCAP,AK26*BLOCKBIDRATE),2),
IF(BG26&lt;&gt;"",ROUND(MIN(AH26*INCCOSTCAP,BG26),2),
IF(BD26&lt;KWHRATEMIN,ROUND(MIN(AH26*INCCOSTCAP,BE26),2),
IF(BD26&gt;KWHRATEMAX,ROUND(MIN(AH26*INCCOSTCAP,BF26),2),
ROUND(MIN(AH26*INCCOSTCAP,BC26),2))))),
IF(ACTIVEBLOCK="Yes",ROUND(MIN(AH26*TOTCOSTCAP,AK26*BLOCKBIDRATE),2),
IF(BG26&lt;&gt;"",ROUND(MIN(AH26*TOTCOSTCAP,BG26),2),
IF(BD26&lt;KWHRATEMIN,ROUND(MIN(AH26*TOTCOSTCAP,BE26),2),
IF(BD26&gt;KWHRATEMAX,ROUND(MIN(AH26*TOTCOSTCAP,BF26),2),
ROUND(MIN(AH26*TOTCOSTCAP,BC26),2)))))))))</f>
        <v/>
      </c>
      <c r="AO26" s="1048"/>
      <c r="AP26" s="1048"/>
      <c r="AQ26" s="1048"/>
      <c r="AR26" s="355"/>
      <c r="AS26" s="355"/>
      <c r="AT26" s="1104" t="str">
        <f>IFERROR(IF(OR(C26="",F26="",L26="",P26="",R26="",T26="",X26="",Z26="",AB26="",AD26="",AF26=""),"",
ROUND(((1+ELOSS)*((AK26*INDEX(ELECCB[NPV AEC $/kWh],MATCH(AY26,ELECCB[Year Number],1)))+(BA26*INDEX(ELECCB[NPV ACC $/kW],MATCH(AY26,ELECCB[Year Number],1))))/AH26),2)),0)</f>
        <v/>
      </c>
      <c r="AU26" s="1112" t="str">
        <f>IFERROR(AH26/M02S04F06/AK26,"")</f>
        <v/>
      </c>
      <c r="AV26" s="1108" t="str">
        <f>IF(OR(C26="",F26=""),"",INDEX(CMECOOK[Unit of Measure],MATCH(F26,CMECOOK[Proj Desc 1],0)))</f>
        <v/>
      </c>
      <c r="AW26" s="1103" t="str">
        <f t="shared" ref="AW26" si="24">IF(OR(C26="",F26="",L26="",P26="",R26="",T26="",X26="",Z26="",AB26="",AD26="",AF26=""),"",ROUND(P26*R26,4))</f>
        <v/>
      </c>
      <c r="AX26" s="1103" t="str">
        <f t="shared" ref="AX26" si="25">IF(OR(C26="",F26="",L26="",P26="",R26="",T26="",X26="",Z26="",AB26="",AD26="",AF26=""),"",ROUND(X26*Z26,4))</f>
        <v/>
      </c>
      <c r="AY26" s="1113" t="str">
        <f>IF(OR(C26="",F26=""),"",IF(INDEX(CMECOOK[EUL],MATCH(F26,CMECOOK[Proj Desc 1],0))="","",INDEX(CMECOOK[EUL],MATCH(F26,CMECOOK[Proj Desc 1],0))))</f>
        <v/>
      </c>
      <c r="AZ26" s="1115" t="str">
        <f>IF(OR(C26="",F26=""),"",IF(INDEX(CMECOOK[End Use Category],MATCH(F26,CMECOOK[Proj Desc 1],0))="","",INDEX(CMECOOK[End Use Category],MATCH(F26,CMECOOK[Proj Desc 1],0))))</f>
        <v/>
      </c>
      <c r="BA26" s="1027" t="str">
        <f>IFERROR(IF(OR(C26="",F26="",L26="",P26="",R26="",T26="",X26="",Z26="",AB26="",AD26="",AF26=""),"",ROUND(AK26*INDEX(ENDUSEALL[Factor],MATCH(AZ26,ENDUSEALL[End Use to Coincident Peak Demand Factors],0)),4)),"")</f>
        <v/>
      </c>
      <c r="BB26" s="1120"/>
      <c r="BC26" s="930" t="str">
        <f t="shared" ref="BC26" si="26">IFERROR(ROUND(AK26*BD26,2),"")</f>
        <v/>
      </c>
      <c r="BD26" s="930" t="str">
        <f>IFERROR(INDEX(ENDUSEALL[Rate ($/kWh)],MATCH(AZ26,ENDUSEALL[End Use to Coincident Peak Demand Factors],0)),"")</f>
        <v/>
      </c>
      <c r="BE26" s="931" t="str">
        <f>IFERROR(ROUND(AK26*KWHRATEMIN,2),"")</f>
        <v/>
      </c>
      <c r="BF26" s="931" t="str">
        <f>IFERROR(ROUND(AK26*KWHRATEMAX,2),"")</f>
        <v/>
      </c>
      <c r="BG26" s="930" t="str">
        <f>IFERROR(IF(INDEX(ENDUSEALL[Bonus Rate ($/kWh)],MATCH(AZ26,ENDUSEALL[End Use to Coincident Peak Demand Factors],0))="","",INDEX(ENDUSEALL[Bonus Rate ($/kWh)],MATCH(AZ26,ENDUSEALL[End Use to Coincident Peak Demand Factors],0))*AK26),"")</f>
        <v/>
      </c>
      <c r="BH26" s="1106" t="str">
        <f>IF(OR(C26="",F26="",L26="",P26="",R26="",T26="",X26="",Z26="",AB26="",AD26="",AF26=""),"",IF(BJ26&lt;&gt;"",SPILLOVERNUMBER,INDEX(CMECOOK[Measure Number],MATCH(F26,CMECOOK[Proj Desc 1],0))))</f>
        <v/>
      </c>
      <c r="BI26" s="1108" t="str">
        <f>IFERROR(IF(AND(AB26="Total",ROUND(AN26/AH26,2)=TOTCOSTCAP),"75% Total Cost",
IF(AND(AB26="Incremental",AH26=AN26),"100% Incremental Cost",
IF(BD26&lt;KWHRATEMIN, "kWh Incentive Rate Min",
IF(BD26&gt;KWHRATEMAX,"kWh Incentive Rate Cap",
IF(AN26=BG26,"Bonus Incentive",
"kWh Incentive"))))),"")</f>
        <v/>
      </c>
      <c r="BJ26" s="1108" t="str">
        <f ca="1">IFERROR(IF(EXPIRATION&lt;&gt;"",PROJSTATEXP,
IF(BL26&gt;0,"",
IF(AW26-AX26&lt;=0,MEASURESAVE,
IF(OR(M02S04F06="",M02S04F06="Select Rate Code",M02S04F06=0),MEASURERATE,
IF(AND((ISNUMBER(SEARCH("Other",F26))),OR(AY26="",AZ26="")),MEASURESUBMIT,
 IF(PAYCUSE&lt;PAYBACKREQ,PROJECTSTATPAYBACK,
IF(CBCUSE&lt;CBREQ,PROJECTSTATCB,""))))))),MEASURESUBMIT)</f>
        <v>Submit for Review</v>
      </c>
      <c r="BK26" s="930" t="str">
        <f>IFERROR(IF(OR(C26="",F26="",L26="",P26="",R26="",T26="",X26="",Z26="",AB26="",AD26="",AF26=""),"",
ROUND(((1+ELOSS)*((AK26*INDEX(ELECCB[NPV AEC $/kWh],MATCH(AY26,ELECCB[Year Number],1)))+(BA26*INDEX(ELECCB[NPV ACC $/kW],MATCH(AY26,ELECCB[Year Number],1))))),2)),0)</f>
        <v/>
      </c>
      <c r="BL26" s="1118"/>
    </row>
    <row r="27" spans="1:64" ht="15.95" customHeight="1">
      <c r="B27" s="905"/>
      <c r="C27" s="1037"/>
      <c r="D27" s="1037"/>
      <c r="E27" s="1037"/>
      <c r="F27" s="1037"/>
      <c r="G27" s="1037"/>
      <c r="H27" s="1037"/>
      <c r="I27" s="1037"/>
      <c r="J27" s="1037"/>
      <c r="K27" s="1039"/>
      <c r="L27" s="1040"/>
      <c r="M27" s="1037"/>
      <c r="N27" s="1037"/>
      <c r="O27" s="1037"/>
      <c r="P27" s="1041"/>
      <c r="Q27" s="1041"/>
      <c r="R27" s="1041"/>
      <c r="S27" s="1152"/>
      <c r="T27" s="1040"/>
      <c r="U27" s="1037"/>
      <c r="V27" s="1037"/>
      <c r="W27" s="1037"/>
      <c r="X27" s="1041"/>
      <c r="Y27" s="1041"/>
      <c r="Z27" s="1041"/>
      <c r="AA27" s="1152"/>
      <c r="AB27" s="1156"/>
      <c r="AC27" s="1157"/>
      <c r="AD27" s="1054"/>
      <c r="AE27" s="1054"/>
      <c r="AF27" s="1127"/>
      <c r="AG27" s="1128"/>
      <c r="AH27" s="1064"/>
      <c r="AI27" s="1065"/>
      <c r="AJ27" s="1065"/>
      <c r="AK27" s="1066"/>
      <c r="AL27" s="1066"/>
      <c r="AM27" s="1066"/>
      <c r="AN27" s="1049"/>
      <c r="AO27" s="1050"/>
      <c r="AP27" s="1050"/>
      <c r="AQ27" s="1050"/>
      <c r="AR27" s="355"/>
      <c r="AS27" s="355"/>
      <c r="AT27" s="1104"/>
      <c r="AU27" s="1104"/>
      <c r="AV27" s="1105"/>
      <c r="AW27" s="1025"/>
      <c r="AX27" s="1025"/>
      <c r="AY27" s="1114"/>
      <c r="AZ27" s="1116"/>
      <c r="BA27" s="1109"/>
      <c r="BB27" s="1121"/>
      <c r="BC27" s="931"/>
      <c r="BD27" s="931"/>
      <c r="BE27" s="931"/>
      <c r="BF27" s="931"/>
      <c r="BG27" s="931"/>
      <c r="BH27" s="1107"/>
      <c r="BI27" s="1105"/>
      <c r="BJ27" s="1105"/>
      <c r="BK27" s="931"/>
      <c r="BL27" s="1119"/>
    </row>
    <row r="28" spans="1:64" ht="15.95" customHeight="1">
      <c r="B28" s="905">
        <v>6</v>
      </c>
      <c r="C28" s="1037"/>
      <c r="D28" s="1037"/>
      <c r="E28" s="1037"/>
      <c r="F28" s="1037"/>
      <c r="G28" s="1037"/>
      <c r="H28" s="1037"/>
      <c r="I28" s="1037"/>
      <c r="J28" s="1037"/>
      <c r="K28" s="1039"/>
      <c r="L28" s="1040"/>
      <c r="M28" s="1037"/>
      <c r="N28" s="1037"/>
      <c r="O28" s="1037"/>
      <c r="P28" s="1041"/>
      <c r="Q28" s="1041"/>
      <c r="R28" s="1041"/>
      <c r="S28" s="1152"/>
      <c r="T28" s="1040"/>
      <c r="U28" s="1037"/>
      <c r="V28" s="1037"/>
      <c r="W28" s="1037"/>
      <c r="X28" s="1041"/>
      <c r="Y28" s="1041"/>
      <c r="Z28" s="1041"/>
      <c r="AA28" s="1152"/>
      <c r="AB28" s="1156" t="str">
        <f t="shared" ref="AB28" si="27">IF(OR(C28="New Construction",C28="Replace Failed Equip."),"Incremental",IF(C28="Retrofit","Total",""))</f>
        <v/>
      </c>
      <c r="AC28" s="1157"/>
      <c r="AD28" s="1054"/>
      <c r="AE28" s="1054"/>
      <c r="AF28" s="1127" t="str">
        <f t="shared" ref="AF28" si="28">IF(AB28="Incremental",0,"")</f>
        <v/>
      </c>
      <c r="AG28" s="1128"/>
      <c r="AH28" s="1064" t="str">
        <f t="shared" ref="AH28" si="29">IF(OR(C28="",F28="",L28="",P28="",R28="",T28="",X28="",Z28="",AB28="",AD28="",AF28=""),"",ROUND(AD28+AF28,2))</f>
        <v/>
      </c>
      <c r="AI28" s="1065"/>
      <c r="AJ28" s="1065"/>
      <c r="AK28" s="1081" t="str">
        <f t="shared" ref="AK28" si="30">IF(OR(C28="",F28="",L28="",P28="",R28="",T28="",X28="",Z28="",AB28="",AD28="",AF28=""),"",IF(AW28-AX28&lt;=0,0,ROUND(AW28-AX28,4)))</f>
        <v/>
      </c>
      <c r="AL28" s="1081"/>
      <c r="AM28" s="1081"/>
      <c r="AN28" s="1047" t="str">
        <f>IF(OR(C28="",F28="",L28="",P28="",R28="",T28="",X28="",Z28="",AB28="",AD28="",AF28=""),"",
IF(BJ28&lt;&gt;"",BJ28,IF(BL28&gt;0,BL28,
IF(AB28="Incremental",
IF(ACTIVEBLOCK="Yes",ROUND(MIN(AH28*INCCOSTCAP,AK28*BLOCKBIDRATE),2),
IF(BG28&lt;&gt;"",ROUND(MIN(AH28*INCCOSTCAP,BG28),2),
IF(BD28&lt;KWHRATEMIN,ROUND(MIN(AH28*INCCOSTCAP,BE28),2),
IF(BD28&gt;KWHRATEMAX,ROUND(MIN(AH28*INCCOSTCAP,BF28),2),
ROUND(MIN(AH28*INCCOSTCAP,BC28),2))))),
IF(ACTIVEBLOCK="Yes",ROUND(MIN(AH28*TOTCOSTCAP,AK28*BLOCKBIDRATE),2),
IF(BG28&lt;&gt;"",ROUND(MIN(AH28*TOTCOSTCAP,BG28),2),
IF(BD28&lt;KWHRATEMIN,ROUND(MIN(AH28*TOTCOSTCAP,BE28),2),
IF(BD28&gt;KWHRATEMAX,ROUND(MIN(AH28*TOTCOSTCAP,BF28),2),
ROUND(MIN(AH28*TOTCOSTCAP,BC28),2)))))))))</f>
        <v/>
      </c>
      <c r="AO28" s="1048"/>
      <c r="AP28" s="1048"/>
      <c r="AQ28" s="1048"/>
      <c r="AR28" s="355"/>
      <c r="AS28" s="355"/>
      <c r="AT28" s="1104" t="str">
        <f>IFERROR(IF(OR(C28="",F28="",L28="",P28="",R28="",T28="",X28="",Z28="",AB28="",AD28="",AF28=""),"",
ROUND(((1+ELOSS)*((AK28*INDEX(ELECCB[NPV AEC $/kWh],MATCH(AY28,ELECCB[Year Number],1)))+(BA28*INDEX(ELECCB[NPV ACC $/kW],MATCH(AY28,ELECCB[Year Number],1))))/AH28),2)),0)</f>
        <v/>
      </c>
      <c r="AU28" s="1112" t="str">
        <f>IFERROR(AH28/M02S04F06/AK28,"")</f>
        <v/>
      </c>
      <c r="AV28" s="1108" t="str">
        <f>IF(OR(C28="",F28=""),"",INDEX(CMECOOK[Unit of Measure],MATCH(F28,CMECOOK[Proj Desc 1],0)))</f>
        <v/>
      </c>
      <c r="AW28" s="1103" t="str">
        <f t="shared" ref="AW28" si="31">IF(OR(C28="",F28="",L28="",P28="",R28="",T28="",X28="",Z28="",AB28="",AD28="",AF28=""),"",ROUND(P28*R28,4))</f>
        <v/>
      </c>
      <c r="AX28" s="1103" t="str">
        <f t="shared" ref="AX28" si="32">IF(OR(C28="",F28="",L28="",P28="",R28="",T28="",X28="",Z28="",AB28="",AD28="",AF28=""),"",ROUND(X28*Z28,4))</f>
        <v/>
      </c>
      <c r="AY28" s="1113" t="str">
        <f>IF(OR(C28="",F28=""),"",IF(INDEX(CMECOOK[EUL],MATCH(F28,CMECOOK[Proj Desc 1],0))="","",INDEX(CMECOOK[EUL],MATCH(F28,CMECOOK[Proj Desc 1],0))))</f>
        <v/>
      </c>
      <c r="AZ28" s="1115" t="str">
        <f>IF(OR(C28="",F28=""),"",IF(INDEX(CMECOOK[End Use Category],MATCH(F28,CMECOOK[Proj Desc 1],0))="","",INDEX(CMECOOK[End Use Category],MATCH(F28,CMECOOK[Proj Desc 1],0))))</f>
        <v/>
      </c>
      <c r="BA28" s="1027" t="str">
        <f>IFERROR(IF(OR(C28="",F28="",L28="",P28="",R28="",T28="",X28="",Z28="",AB28="",AD28="",AF28=""),"",ROUND(AK28*INDEX(ENDUSEALL[Factor],MATCH(AZ28,ENDUSEALL[End Use to Coincident Peak Demand Factors],0)),4)),"")</f>
        <v/>
      </c>
      <c r="BB28" s="1120"/>
      <c r="BC28" s="930" t="str">
        <f t="shared" ref="BC28" si="33">IFERROR(ROUND(AK28*BD28,2),"")</f>
        <v/>
      </c>
      <c r="BD28" s="930" t="str">
        <f>IFERROR(INDEX(ENDUSEALL[Rate ($/kWh)],MATCH(AZ28,ENDUSEALL[End Use to Coincident Peak Demand Factors],0)),"")</f>
        <v/>
      </c>
      <c r="BE28" s="931" t="str">
        <f>IFERROR(ROUND(AK28*KWHRATEMIN,2),"")</f>
        <v/>
      </c>
      <c r="BF28" s="931" t="str">
        <f>IFERROR(ROUND(AK28*KWHRATEMAX,2),"")</f>
        <v/>
      </c>
      <c r="BG28" s="930" t="str">
        <f>IFERROR(IF(INDEX(ENDUSEALL[Bonus Rate ($/kWh)],MATCH(AZ28,ENDUSEALL[End Use to Coincident Peak Demand Factors],0))="","",INDEX(ENDUSEALL[Bonus Rate ($/kWh)],MATCH(AZ28,ENDUSEALL[End Use to Coincident Peak Demand Factors],0))*AK28),"")</f>
        <v/>
      </c>
      <c r="BH28" s="1106" t="str">
        <f>IF(OR(C28="",F28="",L28="",P28="",R28="",T28="",X28="",Z28="",AB28="",AD28="",AF28=""),"",IF(BJ28&lt;&gt;"",SPILLOVERNUMBER,INDEX(CMECOOK[Measure Number],MATCH(F28,CMECOOK[Proj Desc 1],0))))</f>
        <v/>
      </c>
      <c r="BI28" s="1108" t="str">
        <f>IFERROR(IF(AND(AB28="Total",ROUND(AN28/AH28,2)=TOTCOSTCAP),"75% Total Cost",
IF(AND(AB28="Incremental",AH28=AN28),"100% Incremental Cost",
IF(BD28&lt;KWHRATEMIN, "kWh Incentive Rate Min",
IF(BD28&gt;KWHRATEMAX,"kWh Incentive Rate Cap",
IF(AN28=BG28,"Bonus Incentive",
"kWh Incentive"))))),"")</f>
        <v/>
      </c>
      <c r="BJ28" s="1108" t="str">
        <f ca="1">IFERROR(IF(EXPIRATION&lt;&gt;"",PROJSTATEXP,
IF(BL28&gt;0,"",
IF(AW28-AX28&lt;=0,MEASURESAVE,
IF(OR(M02S04F06="",M02S04F06="Select Rate Code",M02S04F06=0),MEASURERATE,
IF(AND((ISNUMBER(SEARCH("Other",F28))),OR(AY28="",AZ28="")),MEASURESUBMIT,
 IF(PAYCUSE&lt;PAYBACKREQ,PROJECTSTATPAYBACK,
IF(CBCUSE&lt;CBREQ,PROJECTSTATCB,""))))))),MEASURESUBMIT)</f>
        <v>Submit for Review</v>
      </c>
      <c r="BK28" s="930" t="str">
        <f>IFERROR(IF(OR(C28="",F28="",L28="",P28="",R28="",T28="",X28="",Z28="",AB28="",AD28="",AF28=""),"",
ROUND(((1+ELOSS)*((AK28*INDEX(ELECCB[NPV AEC $/kWh],MATCH(AY28,ELECCB[Year Number],1)))+(BA28*INDEX(ELECCB[NPV ACC $/kW],MATCH(AY28,ELECCB[Year Number],1))))),2)),0)</f>
        <v/>
      </c>
      <c r="BL28" s="1118"/>
    </row>
    <row r="29" spans="1:64" ht="15.95" customHeight="1">
      <c r="B29" s="905"/>
      <c r="C29" s="1037"/>
      <c r="D29" s="1037"/>
      <c r="E29" s="1037"/>
      <c r="F29" s="1037"/>
      <c r="G29" s="1037"/>
      <c r="H29" s="1037"/>
      <c r="I29" s="1037"/>
      <c r="J29" s="1037"/>
      <c r="K29" s="1039"/>
      <c r="L29" s="1040"/>
      <c r="M29" s="1037"/>
      <c r="N29" s="1037"/>
      <c r="O29" s="1037"/>
      <c r="P29" s="1041"/>
      <c r="Q29" s="1041"/>
      <c r="R29" s="1041"/>
      <c r="S29" s="1152"/>
      <c r="T29" s="1040"/>
      <c r="U29" s="1037"/>
      <c r="V29" s="1037"/>
      <c r="W29" s="1037"/>
      <c r="X29" s="1041"/>
      <c r="Y29" s="1041"/>
      <c r="Z29" s="1041"/>
      <c r="AA29" s="1152"/>
      <c r="AB29" s="1156"/>
      <c r="AC29" s="1157"/>
      <c r="AD29" s="1054"/>
      <c r="AE29" s="1054"/>
      <c r="AF29" s="1127"/>
      <c r="AG29" s="1128"/>
      <c r="AH29" s="1064"/>
      <c r="AI29" s="1065"/>
      <c r="AJ29" s="1065"/>
      <c r="AK29" s="1066"/>
      <c r="AL29" s="1066"/>
      <c r="AM29" s="1066"/>
      <c r="AN29" s="1049"/>
      <c r="AO29" s="1050"/>
      <c r="AP29" s="1050"/>
      <c r="AQ29" s="1050"/>
      <c r="AR29" s="355"/>
      <c r="AS29" s="355"/>
      <c r="AT29" s="1104"/>
      <c r="AU29" s="1104"/>
      <c r="AV29" s="1105"/>
      <c r="AW29" s="1025"/>
      <c r="AX29" s="1025"/>
      <c r="AY29" s="1114"/>
      <c r="AZ29" s="1116"/>
      <c r="BA29" s="1109"/>
      <c r="BB29" s="1121"/>
      <c r="BC29" s="931"/>
      <c r="BD29" s="931"/>
      <c r="BE29" s="931"/>
      <c r="BF29" s="931"/>
      <c r="BG29" s="931"/>
      <c r="BH29" s="1107"/>
      <c r="BI29" s="1105"/>
      <c r="BJ29" s="1105"/>
      <c r="BK29" s="931"/>
      <c r="BL29" s="1119"/>
    </row>
    <row r="30" spans="1:64" ht="15.95" customHeight="1">
      <c r="B30" s="905">
        <v>7</v>
      </c>
      <c r="C30" s="1037"/>
      <c r="D30" s="1037"/>
      <c r="E30" s="1037"/>
      <c r="F30" s="1037"/>
      <c r="G30" s="1037"/>
      <c r="H30" s="1037"/>
      <c r="I30" s="1037"/>
      <c r="J30" s="1037"/>
      <c r="K30" s="1039"/>
      <c r="L30" s="1040"/>
      <c r="M30" s="1037"/>
      <c r="N30" s="1037"/>
      <c r="O30" s="1037"/>
      <c r="P30" s="1041"/>
      <c r="Q30" s="1041"/>
      <c r="R30" s="1041"/>
      <c r="S30" s="1152"/>
      <c r="T30" s="1040"/>
      <c r="U30" s="1037"/>
      <c r="V30" s="1037"/>
      <c r="W30" s="1037"/>
      <c r="X30" s="1041"/>
      <c r="Y30" s="1041"/>
      <c r="Z30" s="1041"/>
      <c r="AA30" s="1152"/>
      <c r="AB30" s="1156" t="str">
        <f t="shared" ref="AB30" si="34">IF(OR(C30="New Construction",C30="Replace Failed Equip."),"Incremental",IF(C30="Retrofit","Total",""))</f>
        <v/>
      </c>
      <c r="AC30" s="1157"/>
      <c r="AD30" s="1054"/>
      <c r="AE30" s="1054"/>
      <c r="AF30" s="1127" t="str">
        <f t="shared" ref="AF30" si="35">IF(AB30="Incremental",0,"")</f>
        <v/>
      </c>
      <c r="AG30" s="1128"/>
      <c r="AH30" s="1064" t="str">
        <f t="shared" ref="AH30" si="36">IF(OR(C30="",F30="",L30="",P30="",R30="",T30="",X30="",Z30="",AB30="",AD30="",AF30=""),"",ROUND(AD30+AF30,2))</f>
        <v/>
      </c>
      <c r="AI30" s="1065"/>
      <c r="AJ30" s="1065"/>
      <c r="AK30" s="1081" t="str">
        <f t="shared" ref="AK30" si="37">IF(OR(C30="",F30="",L30="",P30="",R30="",T30="",X30="",Z30="",AB30="",AD30="",AF30=""),"",IF(AW30-AX30&lt;=0,0,ROUND(AW30-AX30,4)))</f>
        <v/>
      </c>
      <c r="AL30" s="1081"/>
      <c r="AM30" s="1081"/>
      <c r="AN30" s="1047" t="str">
        <f>IF(OR(C30="",F30="",L30="",P30="",R30="",T30="",X30="",Z30="",AB30="",AD30="",AF30=""),"",
IF(BJ30&lt;&gt;"",BJ30,IF(BL30&gt;0,BL30,
IF(AB30="Incremental",
IF(ACTIVEBLOCK="Yes",ROUND(MIN(AH30*INCCOSTCAP,AK30*BLOCKBIDRATE),2),
IF(BG30&lt;&gt;"",ROUND(MIN(AH30*INCCOSTCAP,BG30),2),
IF(BD30&lt;KWHRATEMIN,ROUND(MIN(AH30*INCCOSTCAP,BE30),2),
IF(BD30&gt;KWHRATEMAX,ROUND(MIN(AH30*INCCOSTCAP,BF30),2),
ROUND(MIN(AH30*INCCOSTCAP,BC30),2))))),
IF(ACTIVEBLOCK="Yes",ROUND(MIN(AH30*TOTCOSTCAP,AK30*BLOCKBIDRATE),2),
IF(BG30&lt;&gt;"",ROUND(MIN(AH30*TOTCOSTCAP,BG30),2),
IF(BD30&lt;KWHRATEMIN,ROUND(MIN(AH30*TOTCOSTCAP,BE30),2),
IF(BD30&gt;KWHRATEMAX,ROUND(MIN(AH30*TOTCOSTCAP,BF30),2),
ROUND(MIN(AH30*TOTCOSTCAP,BC30),2)))))))))</f>
        <v/>
      </c>
      <c r="AO30" s="1048"/>
      <c r="AP30" s="1048"/>
      <c r="AQ30" s="1048"/>
      <c r="AR30" s="355"/>
      <c r="AS30" s="355"/>
      <c r="AT30" s="1104" t="str">
        <f>IFERROR(IF(OR(C30="",F30="",L30="",P30="",R30="",T30="",X30="",Z30="",AB30="",AD30="",AF30=""),"",
ROUND(((1+ELOSS)*((AK30*INDEX(ELECCB[NPV AEC $/kWh],MATCH(AY30,ELECCB[Year Number],1)))+(BA30*INDEX(ELECCB[NPV ACC $/kW],MATCH(AY30,ELECCB[Year Number],1))))/AH30),2)),0)</f>
        <v/>
      </c>
      <c r="AU30" s="1112" t="str">
        <f>IFERROR(AH30/M02S04F06/AK30,"")</f>
        <v/>
      </c>
      <c r="AV30" s="1108" t="str">
        <f>IF(OR(C30="",F30=""),"",INDEX(CMECOOK[Unit of Measure],MATCH(F30,CMECOOK[Proj Desc 1],0)))</f>
        <v/>
      </c>
      <c r="AW30" s="1103" t="str">
        <f t="shared" ref="AW30" si="38">IF(OR(C30="",F30="",L30="",P30="",R30="",T30="",X30="",Z30="",AB30="",AD30="",AF30=""),"",ROUND(P30*R30,4))</f>
        <v/>
      </c>
      <c r="AX30" s="1103" t="str">
        <f t="shared" ref="AX30" si="39">IF(OR(C30="",F30="",L30="",P30="",R30="",T30="",X30="",Z30="",AB30="",AD30="",AF30=""),"",ROUND(X30*Z30,4))</f>
        <v/>
      </c>
      <c r="AY30" s="1113" t="str">
        <f>IF(OR(C30="",F30=""),"",IF(INDEX(CMECOOK[EUL],MATCH(F30,CMECOOK[Proj Desc 1],0))="","",INDEX(CMECOOK[EUL],MATCH(F30,CMECOOK[Proj Desc 1],0))))</f>
        <v/>
      </c>
      <c r="AZ30" s="1115" t="str">
        <f>IF(OR(C30="",F30=""),"",IF(INDEX(CMECOOK[End Use Category],MATCH(F30,CMECOOK[Proj Desc 1],0))="","",INDEX(CMECOOK[End Use Category],MATCH(F30,CMECOOK[Proj Desc 1],0))))</f>
        <v/>
      </c>
      <c r="BA30" s="1027" t="str">
        <f>IFERROR(IF(OR(C30="",F30="",L30="",P30="",R30="",T30="",X30="",Z30="",AB30="",AD30="",AF30=""),"",ROUND(AK30*INDEX(ENDUSEALL[Factor],MATCH(AZ30,ENDUSEALL[End Use to Coincident Peak Demand Factors],0)),4)),"")</f>
        <v/>
      </c>
      <c r="BB30" s="1120"/>
      <c r="BC30" s="930" t="str">
        <f t="shared" ref="BC30" si="40">IFERROR(ROUND(AK30*BD30,2),"")</f>
        <v/>
      </c>
      <c r="BD30" s="930" t="str">
        <f>IFERROR(INDEX(ENDUSEALL[Rate ($/kWh)],MATCH(AZ30,ENDUSEALL[End Use to Coincident Peak Demand Factors],0)),"")</f>
        <v/>
      </c>
      <c r="BE30" s="931" t="str">
        <f>IFERROR(ROUND(AK30*KWHRATEMIN,2),"")</f>
        <v/>
      </c>
      <c r="BF30" s="931" t="str">
        <f>IFERROR(ROUND(AK30*KWHRATEMAX,2),"")</f>
        <v/>
      </c>
      <c r="BG30" s="930" t="str">
        <f>IFERROR(IF(INDEX(ENDUSEALL[Bonus Rate ($/kWh)],MATCH(AZ30,ENDUSEALL[End Use to Coincident Peak Demand Factors],0))="","",INDEX(ENDUSEALL[Bonus Rate ($/kWh)],MATCH(AZ30,ENDUSEALL[End Use to Coincident Peak Demand Factors],0))*AK30),"")</f>
        <v/>
      </c>
      <c r="BH30" s="1106" t="str">
        <f>IF(OR(C30="",F30="",L30="",P30="",R30="",T30="",X30="",Z30="",AB30="",AD30="",AF30=""),"",IF(BJ30&lt;&gt;"",SPILLOVERNUMBER,INDEX(CMECOOK[Measure Number],MATCH(F30,CMECOOK[Proj Desc 1],0))))</f>
        <v/>
      </c>
      <c r="BI30" s="1108" t="str">
        <f>IFERROR(IF(AND(AB30="Total",ROUND(AN30/AH30,2)=TOTCOSTCAP),"75% Total Cost",
IF(AND(AB30="Incremental",AH30=AN30),"100% Incremental Cost",
IF(BD30&lt;KWHRATEMIN, "kWh Incentive Rate Min",
IF(BD30&gt;KWHRATEMAX,"kWh Incentive Rate Cap",
IF(AN30=BG30,"Bonus Incentive",
"kWh Incentive"))))),"")</f>
        <v/>
      </c>
      <c r="BJ30" s="1108" t="str">
        <f ca="1">IFERROR(IF(EXPIRATION&lt;&gt;"",PROJSTATEXP,
IF(BL30&gt;0,"",
IF(AW30-AX30&lt;=0,MEASURESAVE,
IF(OR(M02S04F06="",M02S04F06="Select Rate Code",M02S04F06=0),MEASURERATE,
IF(AND((ISNUMBER(SEARCH("Other",F30))),OR(AY30="",AZ30="")),MEASURESUBMIT,
 IF(PAYCUSE&lt;PAYBACKREQ,PROJECTSTATPAYBACK,
IF(CBCUSE&lt;CBREQ,PROJECTSTATCB,""))))))),MEASURESUBMIT)</f>
        <v>Submit for Review</v>
      </c>
      <c r="BK30" s="930" t="str">
        <f>IFERROR(IF(OR(C30="",F30="",L30="",P30="",R30="",T30="",X30="",Z30="",AB30="",AD30="",AF30=""),"",
ROUND(((1+ELOSS)*((AK30*INDEX(ELECCB[NPV AEC $/kWh],MATCH(AY30,ELECCB[Year Number],1)))+(BA30*INDEX(ELECCB[NPV ACC $/kW],MATCH(AY30,ELECCB[Year Number],1))))),2)),0)</f>
        <v/>
      </c>
      <c r="BL30" s="1118"/>
    </row>
    <row r="31" spans="1:64" ht="15.95" customHeight="1">
      <c r="B31" s="905"/>
      <c r="C31" s="1037"/>
      <c r="D31" s="1037"/>
      <c r="E31" s="1037"/>
      <c r="F31" s="1037"/>
      <c r="G31" s="1037"/>
      <c r="H31" s="1037"/>
      <c r="I31" s="1037"/>
      <c r="J31" s="1037"/>
      <c r="K31" s="1039"/>
      <c r="L31" s="1040"/>
      <c r="M31" s="1037"/>
      <c r="N31" s="1037"/>
      <c r="O31" s="1037"/>
      <c r="P31" s="1041"/>
      <c r="Q31" s="1041"/>
      <c r="R31" s="1041"/>
      <c r="S31" s="1152"/>
      <c r="T31" s="1040"/>
      <c r="U31" s="1037"/>
      <c r="V31" s="1037"/>
      <c r="W31" s="1037"/>
      <c r="X31" s="1041"/>
      <c r="Y31" s="1041"/>
      <c r="Z31" s="1041"/>
      <c r="AA31" s="1152"/>
      <c r="AB31" s="1156"/>
      <c r="AC31" s="1157"/>
      <c r="AD31" s="1054"/>
      <c r="AE31" s="1054"/>
      <c r="AF31" s="1127"/>
      <c r="AG31" s="1128"/>
      <c r="AH31" s="1064"/>
      <c r="AI31" s="1065"/>
      <c r="AJ31" s="1065"/>
      <c r="AK31" s="1066"/>
      <c r="AL31" s="1066"/>
      <c r="AM31" s="1066"/>
      <c r="AN31" s="1049"/>
      <c r="AO31" s="1050"/>
      <c r="AP31" s="1050"/>
      <c r="AQ31" s="1050"/>
      <c r="AR31" s="355"/>
      <c r="AS31" s="355"/>
      <c r="AT31" s="1104"/>
      <c r="AU31" s="1104"/>
      <c r="AV31" s="1105"/>
      <c r="AW31" s="1025"/>
      <c r="AX31" s="1025"/>
      <c r="AY31" s="1114"/>
      <c r="AZ31" s="1116"/>
      <c r="BA31" s="1109"/>
      <c r="BB31" s="1121"/>
      <c r="BC31" s="931"/>
      <c r="BD31" s="931"/>
      <c r="BE31" s="931"/>
      <c r="BF31" s="931"/>
      <c r="BG31" s="931"/>
      <c r="BH31" s="1107"/>
      <c r="BI31" s="1105"/>
      <c r="BJ31" s="1105"/>
      <c r="BK31" s="931"/>
      <c r="BL31" s="1119"/>
    </row>
    <row r="32" spans="1:64" ht="15.95" customHeight="1">
      <c r="B32" s="905">
        <v>8</v>
      </c>
      <c r="C32" s="1037"/>
      <c r="D32" s="1037"/>
      <c r="E32" s="1037"/>
      <c r="F32" s="1037"/>
      <c r="G32" s="1037"/>
      <c r="H32" s="1037"/>
      <c r="I32" s="1037"/>
      <c r="J32" s="1037"/>
      <c r="K32" s="1039"/>
      <c r="L32" s="1040"/>
      <c r="M32" s="1037"/>
      <c r="N32" s="1037"/>
      <c r="O32" s="1037"/>
      <c r="P32" s="1041"/>
      <c r="Q32" s="1041"/>
      <c r="R32" s="1041"/>
      <c r="S32" s="1152"/>
      <c r="T32" s="1040"/>
      <c r="U32" s="1037"/>
      <c r="V32" s="1037"/>
      <c r="W32" s="1037"/>
      <c r="X32" s="1041"/>
      <c r="Y32" s="1041"/>
      <c r="Z32" s="1041"/>
      <c r="AA32" s="1152"/>
      <c r="AB32" s="1156" t="str">
        <f t="shared" ref="AB32" si="41">IF(OR(C32="New Construction",C32="Replace Failed Equip."),"Incremental",IF(C32="Retrofit","Total",""))</f>
        <v/>
      </c>
      <c r="AC32" s="1157"/>
      <c r="AD32" s="1054"/>
      <c r="AE32" s="1054"/>
      <c r="AF32" s="1127" t="str">
        <f t="shared" ref="AF32" si="42">IF(AB32="Incremental",0,"")</f>
        <v/>
      </c>
      <c r="AG32" s="1128"/>
      <c r="AH32" s="1064" t="str">
        <f t="shared" ref="AH32" si="43">IF(OR(C32="",F32="",L32="",P32="",R32="",T32="",X32="",Z32="",AB32="",AD32="",AF32=""),"",ROUND(AD32+AF32,2))</f>
        <v/>
      </c>
      <c r="AI32" s="1065"/>
      <c r="AJ32" s="1065"/>
      <c r="AK32" s="1081" t="str">
        <f t="shared" ref="AK32" si="44">IF(OR(C32="",F32="",L32="",P32="",R32="",T32="",X32="",Z32="",AB32="",AD32="",AF32=""),"",IF(AW32-AX32&lt;=0,0,ROUND(AW32-AX32,4)))</f>
        <v/>
      </c>
      <c r="AL32" s="1081"/>
      <c r="AM32" s="1081"/>
      <c r="AN32" s="1047" t="str">
        <f>IF(OR(C32="",F32="",L32="",P32="",R32="",T32="",X32="",Z32="",AB32="",AD32="",AF32=""),"",
IF(BJ32&lt;&gt;"",BJ32,IF(BL32&gt;0,BL32,
IF(AB32="Incremental",
IF(ACTIVEBLOCK="Yes",ROUND(MIN(AH32*INCCOSTCAP,AK32*BLOCKBIDRATE),2),
IF(BG32&lt;&gt;"",ROUND(MIN(AH32*INCCOSTCAP,BG32),2),
IF(BD32&lt;KWHRATEMIN,ROUND(MIN(AH32*INCCOSTCAP,BE32),2),
IF(BD32&gt;KWHRATEMAX,ROUND(MIN(AH32*INCCOSTCAP,BF32),2),
ROUND(MIN(AH32*INCCOSTCAP,BC32),2))))),
IF(ACTIVEBLOCK="Yes",ROUND(MIN(AH32*TOTCOSTCAP,AK32*BLOCKBIDRATE),2),
IF(BG32&lt;&gt;"",ROUND(MIN(AH32*TOTCOSTCAP,BG32),2),
IF(BD32&lt;KWHRATEMIN,ROUND(MIN(AH32*TOTCOSTCAP,BE32),2),
IF(BD32&gt;KWHRATEMAX,ROUND(MIN(AH32*TOTCOSTCAP,BF32),2),
ROUND(MIN(AH32*TOTCOSTCAP,BC32),2)))))))))</f>
        <v/>
      </c>
      <c r="AO32" s="1048"/>
      <c r="AP32" s="1048"/>
      <c r="AQ32" s="1048"/>
      <c r="AR32" s="355"/>
      <c r="AS32" s="355"/>
      <c r="AT32" s="1104" t="str">
        <f>IFERROR(IF(OR(C32="",F32="",L32="",P32="",R32="",T32="",X32="",Z32="",AB32="",AD32="",AF32=""),"",
ROUND(((1+ELOSS)*((AK32*INDEX(ELECCB[NPV AEC $/kWh],MATCH(AY32,ELECCB[Year Number],1)))+(BA32*INDEX(ELECCB[NPV ACC $/kW],MATCH(AY32,ELECCB[Year Number],1))))/AH32),2)),0)</f>
        <v/>
      </c>
      <c r="AU32" s="1112" t="str">
        <f>IFERROR(AH32/M02S04F06/AK32,"")</f>
        <v/>
      </c>
      <c r="AV32" s="1108" t="str">
        <f>IF(OR(C32="",F32=""),"",INDEX(CMECOOK[Unit of Measure],MATCH(F32,CMECOOK[Proj Desc 1],0)))</f>
        <v/>
      </c>
      <c r="AW32" s="1103" t="str">
        <f t="shared" ref="AW32" si="45">IF(OR(C32="",F32="",L32="",P32="",R32="",T32="",X32="",Z32="",AB32="",AD32="",AF32=""),"",ROUND(P32*R32,4))</f>
        <v/>
      </c>
      <c r="AX32" s="1103" t="str">
        <f t="shared" ref="AX32" si="46">IF(OR(C32="",F32="",L32="",P32="",R32="",T32="",X32="",Z32="",AB32="",AD32="",AF32=""),"",ROUND(X32*Z32,4))</f>
        <v/>
      </c>
      <c r="AY32" s="1113" t="str">
        <f>IF(OR(C32="",F32=""),"",IF(INDEX(CMECOOK[EUL],MATCH(F32,CMECOOK[Proj Desc 1],0))="","",INDEX(CMECOOK[EUL],MATCH(F32,CMECOOK[Proj Desc 1],0))))</f>
        <v/>
      </c>
      <c r="AZ32" s="1115" t="str">
        <f>IF(OR(C32="",F32=""),"",IF(INDEX(CMECOOK[End Use Category],MATCH(F32,CMECOOK[Proj Desc 1],0))="","",INDEX(CMECOOK[End Use Category],MATCH(F32,CMECOOK[Proj Desc 1],0))))</f>
        <v/>
      </c>
      <c r="BA32" s="1027" t="str">
        <f>IFERROR(IF(OR(C32="",F32="",L32="",P32="",R32="",T32="",X32="",Z32="",AB32="",AD32="",AF32=""),"",ROUND(AK32*INDEX(ENDUSEALL[Factor],MATCH(AZ32,ENDUSEALL[End Use to Coincident Peak Demand Factors],0)),4)),"")</f>
        <v/>
      </c>
      <c r="BB32" s="1120"/>
      <c r="BC32" s="930" t="str">
        <f t="shared" ref="BC32" si="47">IFERROR(ROUND(AK32*BD32,2),"")</f>
        <v/>
      </c>
      <c r="BD32" s="930" t="str">
        <f>IFERROR(INDEX(ENDUSEALL[Rate ($/kWh)],MATCH(AZ32,ENDUSEALL[End Use to Coincident Peak Demand Factors],0)),"")</f>
        <v/>
      </c>
      <c r="BE32" s="931" t="str">
        <f>IFERROR(ROUND(AK32*KWHRATEMIN,2),"")</f>
        <v/>
      </c>
      <c r="BF32" s="931" t="str">
        <f>IFERROR(ROUND(AK32*KWHRATEMAX,2),"")</f>
        <v/>
      </c>
      <c r="BG32" s="930" t="str">
        <f>IFERROR(IF(INDEX(ENDUSEALL[Bonus Rate ($/kWh)],MATCH(AZ32,ENDUSEALL[End Use to Coincident Peak Demand Factors],0))="","",INDEX(ENDUSEALL[Bonus Rate ($/kWh)],MATCH(AZ32,ENDUSEALL[End Use to Coincident Peak Demand Factors],0))*AK32),"")</f>
        <v/>
      </c>
      <c r="BH32" s="1106" t="str">
        <f>IF(OR(C32="",F32="",L32="",P32="",R32="",T32="",X32="",Z32="",AB32="",AD32="",AF32=""),"",IF(BJ32&lt;&gt;"",SPILLOVERNUMBER,INDEX(CMECOOK[Measure Number],MATCH(F32,CMECOOK[Proj Desc 1],0))))</f>
        <v/>
      </c>
      <c r="BI32" s="1108" t="str">
        <f>IFERROR(IF(AND(AB32="Total",ROUND(AN32/AH32,2)=TOTCOSTCAP),"75% Total Cost",
IF(AND(AB32="Incremental",AH32=AN32),"100% Incremental Cost",
IF(BD32&lt;KWHRATEMIN, "kWh Incentive Rate Min",
IF(BD32&gt;KWHRATEMAX,"kWh Incentive Rate Cap",
IF(AN32=BG32,"Bonus Incentive",
"kWh Incentive"))))),"")</f>
        <v/>
      </c>
      <c r="BJ32" s="1108" t="str">
        <f ca="1">IFERROR(IF(EXPIRATION&lt;&gt;"",PROJSTATEXP,
IF(BL32&gt;0,"",
IF(AW32-AX32&lt;=0,MEASURESAVE,
IF(OR(M02S04F06="",M02S04F06="Select Rate Code",M02S04F06=0),MEASURERATE,
IF(AND((ISNUMBER(SEARCH("Other",F32))),OR(AY32="",AZ32="")),MEASURESUBMIT,
 IF(PAYCUSE&lt;PAYBACKREQ,PROJECTSTATPAYBACK,
IF(CBCUSE&lt;CBREQ,PROJECTSTATCB,""))))))),MEASURESUBMIT)</f>
        <v>Submit for Review</v>
      </c>
      <c r="BK32" s="930" t="str">
        <f>IFERROR(IF(OR(C32="",F32="",L32="",P32="",R32="",T32="",X32="",Z32="",AB32="",AD32="",AF32=""),"",
ROUND(((1+ELOSS)*((AK32*INDEX(ELECCB[NPV AEC $/kWh],MATCH(AY32,ELECCB[Year Number],1)))+(BA32*INDEX(ELECCB[NPV ACC $/kW],MATCH(AY32,ELECCB[Year Number],1))))),2)),0)</f>
        <v/>
      </c>
      <c r="BL32" s="1118"/>
    </row>
    <row r="33" spans="2:64" ht="15.95" customHeight="1">
      <c r="B33" s="905"/>
      <c r="C33" s="1037"/>
      <c r="D33" s="1037"/>
      <c r="E33" s="1037"/>
      <c r="F33" s="1037"/>
      <c r="G33" s="1037"/>
      <c r="H33" s="1037"/>
      <c r="I33" s="1037"/>
      <c r="J33" s="1037"/>
      <c r="K33" s="1039"/>
      <c r="L33" s="1040"/>
      <c r="M33" s="1037"/>
      <c r="N33" s="1037"/>
      <c r="O33" s="1037"/>
      <c r="P33" s="1041"/>
      <c r="Q33" s="1041"/>
      <c r="R33" s="1041"/>
      <c r="S33" s="1152"/>
      <c r="T33" s="1040"/>
      <c r="U33" s="1037"/>
      <c r="V33" s="1037"/>
      <c r="W33" s="1037"/>
      <c r="X33" s="1041"/>
      <c r="Y33" s="1041"/>
      <c r="Z33" s="1041"/>
      <c r="AA33" s="1152"/>
      <c r="AB33" s="1156"/>
      <c r="AC33" s="1157"/>
      <c r="AD33" s="1054"/>
      <c r="AE33" s="1054"/>
      <c r="AF33" s="1127"/>
      <c r="AG33" s="1128"/>
      <c r="AH33" s="1064"/>
      <c r="AI33" s="1065"/>
      <c r="AJ33" s="1065"/>
      <c r="AK33" s="1066"/>
      <c r="AL33" s="1066"/>
      <c r="AM33" s="1066"/>
      <c r="AN33" s="1049"/>
      <c r="AO33" s="1050"/>
      <c r="AP33" s="1050"/>
      <c r="AQ33" s="1050"/>
      <c r="AR33" s="355"/>
      <c r="AS33" s="355"/>
      <c r="AT33" s="1104"/>
      <c r="AU33" s="1104"/>
      <c r="AV33" s="1105"/>
      <c r="AW33" s="1025"/>
      <c r="AX33" s="1025"/>
      <c r="AY33" s="1114"/>
      <c r="AZ33" s="1116"/>
      <c r="BA33" s="1109"/>
      <c r="BB33" s="1121"/>
      <c r="BC33" s="931"/>
      <c r="BD33" s="931"/>
      <c r="BE33" s="931"/>
      <c r="BF33" s="931"/>
      <c r="BG33" s="931"/>
      <c r="BH33" s="1107"/>
      <c r="BI33" s="1105"/>
      <c r="BJ33" s="1105"/>
      <c r="BK33" s="931"/>
      <c r="BL33" s="1119"/>
    </row>
    <row r="34" spans="2:64" ht="15.95" customHeight="1">
      <c r="B34" s="905">
        <v>9</v>
      </c>
      <c r="C34" s="1037"/>
      <c r="D34" s="1037"/>
      <c r="E34" s="1037"/>
      <c r="F34" s="1037"/>
      <c r="G34" s="1037"/>
      <c r="H34" s="1037"/>
      <c r="I34" s="1037"/>
      <c r="J34" s="1037"/>
      <c r="K34" s="1039"/>
      <c r="L34" s="1040"/>
      <c r="M34" s="1037"/>
      <c r="N34" s="1037"/>
      <c r="O34" s="1037"/>
      <c r="P34" s="1041"/>
      <c r="Q34" s="1041"/>
      <c r="R34" s="1041"/>
      <c r="S34" s="1152"/>
      <c r="T34" s="1040"/>
      <c r="U34" s="1037"/>
      <c r="V34" s="1037"/>
      <c r="W34" s="1037"/>
      <c r="X34" s="1041"/>
      <c r="Y34" s="1041"/>
      <c r="Z34" s="1041"/>
      <c r="AA34" s="1152"/>
      <c r="AB34" s="1156" t="str">
        <f t="shared" ref="AB34" si="48">IF(OR(C34="New Construction",C34="Replace Failed Equip."),"Incremental",IF(C34="Retrofit","Total",""))</f>
        <v/>
      </c>
      <c r="AC34" s="1157"/>
      <c r="AD34" s="1054"/>
      <c r="AE34" s="1054"/>
      <c r="AF34" s="1127" t="str">
        <f t="shared" ref="AF34" si="49">IF(AB34="Incremental",0,"")</f>
        <v/>
      </c>
      <c r="AG34" s="1128"/>
      <c r="AH34" s="1064" t="str">
        <f t="shared" ref="AH34" si="50">IF(OR(C34="",F34="",L34="",P34="",R34="",T34="",X34="",Z34="",AB34="",AD34="",AF34=""),"",ROUND(AD34+AF34,2))</f>
        <v/>
      </c>
      <c r="AI34" s="1065"/>
      <c r="AJ34" s="1065"/>
      <c r="AK34" s="1081" t="str">
        <f t="shared" ref="AK34" si="51">IF(OR(C34="",F34="",L34="",P34="",R34="",T34="",X34="",Z34="",AB34="",AD34="",AF34=""),"",IF(AW34-AX34&lt;=0,0,ROUND(AW34-AX34,4)))</f>
        <v/>
      </c>
      <c r="AL34" s="1081"/>
      <c r="AM34" s="1081"/>
      <c r="AN34" s="1047" t="str">
        <f>IF(OR(C34="",F34="",L34="",P34="",R34="",T34="",X34="",Z34="",AB34="",AD34="",AF34=""),"",
IF(BJ34&lt;&gt;"",BJ34,IF(BL34&gt;0,BL34,
IF(AB34="Incremental",
IF(ACTIVEBLOCK="Yes",ROUND(MIN(AH34*INCCOSTCAP,AK34*BLOCKBIDRATE),2),
IF(BG34&lt;&gt;"",ROUND(MIN(AH34*INCCOSTCAP,BG34),2),
IF(BD34&lt;KWHRATEMIN,ROUND(MIN(AH34*INCCOSTCAP,BE34),2),
IF(BD34&gt;KWHRATEMAX,ROUND(MIN(AH34*INCCOSTCAP,BF34),2),
ROUND(MIN(AH34*INCCOSTCAP,BC34),2))))),
IF(ACTIVEBLOCK="Yes",ROUND(MIN(AH34*TOTCOSTCAP,AK34*BLOCKBIDRATE),2),
IF(BG34&lt;&gt;"",ROUND(MIN(AH34*TOTCOSTCAP,BG34),2),
IF(BD34&lt;KWHRATEMIN,ROUND(MIN(AH34*TOTCOSTCAP,BE34),2),
IF(BD34&gt;KWHRATEMAX,ROUND(MIN(AH34*TOTCOSTCAP,BF34),2),
ROUND(MIN(AH34*TOTCOSTCAP,BC34),2)))))))))</f>
        <v/>
      </c>
      <c r="AO34" s="1048"/>
      <c r="AP34" s="1048"/>
      <c r="AQ34" s="1048"/>
      <c r="AR34" s="355"/>
      <c r="AS34" s="355"/>
      <c r="AT34" s="1104" t="str">
        <f>IFERROR(IF(OR(C34="",F34="",L34="",P34="",R34="",T34="",X34="",Z34="",AB34="",AD34="",AF34=""),"",
ROUND(((1+ELOSS)*((AK34*INDEX(ELECCB[NPV AEC $/kWh],MATCH(AY34,ELECCB[Year Number],1)))+(BA34*INDEX(ELECCB[NPV ACC $/kW],MATCH(AY34,ELECCB[Year Number],1))))/AH34),2)),0)</f>
        <v/>
      </c>
      <c r="AU34" s="1112" t="str">
        <f>IFERROR(AH34/M02S04F06/AK34,"")</f>
        <v/>
      </c>
      <c r="AV34" s="1108" t="str">
        <f>IF(OR(C34="",F34=""),"",INDEX(CMECOOK[Unit of Measure],MATCH(F34,CMECOOK[Proj Desc 1],0)))</f>
        <v/>
      </c>
      <c r="AW34" s="1103" t="str">
        <f t="shared" ref="AW34" si="52">IF(OR(C34="",F34="",L34="",P34="",R34="",T34="",X34="",Z34="",AB34="",AD34="",AF34=""),"",ROUND(P34*R34,4))</f>
        <v/>
      </c>
      <c r="AX34" s="1103" t="str">
        <f t="shared" ref="AX34" si="53">IF(OR(C34="",F34="",L34="",P34="",R34="",T34="",X34="",Z34="",AB34="",AD34="",AF34=""),"",ROUND(X34*Z34,4))</f>
        <v/>
      </c>
      <c r="AY34" s="1113" t="str">
        <f>IF(OR(C34="",F34=""),"",IF(INDEX(CMECOOK[EUL],MATCH(F34,CMECOOK[Proj Desc 1],0))="","",INDEX(CMECOOK[EUL],MATCH(F34,CMECOOK[Proj Desc 1],0))))</f>
        <v/>
      </c>
      <c r="AZ34" s="1115" t="str">
        <f>IF(OR(C34="",F34=""),"",IF(INDEX(CMECOOK[End Use Category],MATCH(F34,CMECOOK[Proj Desc 1],0))="","",INDEX(CMECOOK[End Use Category],MATCH(F34,CMECOOK[Proj Desc 1],0))))</f>
        <v/>
      </c>
      <c r="BA34" s="1027" t="str">
        <f>IFERROR(IF(OR(C34="",F34="",L34="",P34="",R34="",T34="",X34="",Z34="",AB34="",AD34="",AF34=""),"",ROUND(AK34*INDEX(ENDUSEALL[Factor],MATCH(AZ34,ENDUSEALL[End Use to Coincident Peak Demand Factors],0)),4)),"")</f>
        <v/>
      </c>
      <c r="BB34" s="1120"/>
      <c r="BC34" s="930" t="str">
        <f t="shared" ref="BC34" si="54">IFERROR(ROUND(AK34*BD34,2),"")</f>
        <v/>
      </c>
      <c r="BD34" s="930" t="str">
        <f>IFERROR(INDEX(ENDUSEALL[Rate ($/kWh)],MATCH(AZ34,ENDUSEALL[End Use to Coincident Peak Demand Factors],0)),"")</f>
        <v/>
      </c>
      <c r="BE34" s="931" t="str">
        <f>IFERROR(ROUND(AK34*KWHRATEMIN,2),"")</f>
        <v/>
      </c>
      <c r="BF34" s="931" t="str">
        <f>IFERROR(ROUND(AK34*KWHRATEMAX,2),"")</f>
        <v/>
      </c>
      <c r="BG34" s="930" t="str">
        <f>IFERROR(IF(INDEX(ENDUSEALL[Bonus Rate ($/kWh)],MATCH(AZ34,ENDUSEALL[End Use to Coincident Peak Demand Factors],0))="","",INDEX(ENDUSEALL[Bonus Rate ($/kWh)],MATCH(AZ34,ENDUSEALL[End Use to Coincident Peak Demand Factors],0))*AK34),"")</f>
        <v/>
      </c>
      <c r="BH34" s="1106" t="str">
        <f>IF(OR(C34="",F34="",L34="",P34="",R34="",T34="",X34="",Z34="",AB34="",AD34="",AF34=""),"",IF(BJ34&lt;&gt;"",SPILLOVERNUMBER,INDEX(CMECOOK[Measure Number],MATCH(F34,CMECOOK[Proj Desc 1],0))))</f>
        <v/>
      </c>
      <c r="BI34" s="1108" t="str">
        <f>IFERROR(IF(AND(AB34="Total",ROUND(AN34/AH34,2)=TOTCOSTCAP),"75% Total Cost",
IF(AND(AB34="Incremental",AH34=AN34),"100% Incremental Cost",
IF(BD34&lt;KWHRATEMIN, "kWh Incentive Rate Min",
IF(BD34&gt;KWHRATEMAX,"kWh Incentive Rate Cap",
IF(AN34=BG34,"Bonus Incentive",
"kWh Incentive"))))),"")</f>
        <v/>
      </c>
      <c r="BJ34" s="1108" t="str">
        <f ca="1">IFERROR(IF(EXPIRATION&lt;&gt;"",PROJSTATEXP,
IF(BL34&gt;0,"",
IF(AW34-AX34&lt;=0,MEASURESAVE,
IF(OR(M02S04F06="",M02S04F06="Select Rate Code",M02S04F06=0),MEASURERATE,
IF(AND((ISNUMBER(SEARCH("Other",F34))),OR(AY34="",AZ34="")),MEASURESUBMIT,
 IF(PAYCUSE&lt;PAYBACKREQ,PROJECTSTATPAYBACK,
IF(CBCUSE&lt;CBREQ,PROJECTSTATCB,""))))))),MEASURESUBMIT)</f>
        <v>Submit for Review</v>
      </c>
      <c r="BK34" s="930" t="str">
        <f>IFERROR(IF(OR(C34="",F34="",L34="",P34="",R34="",T34="",X34="",Z34="",AB34="",AD34="",AF34=""),"",
ROUND(((1+ELOSS)*((AK34*INDEX(ELECCB[NPV AEC $/kWh],MATCH(AY34,ELECCB[Year Number],1)))+(BA34*INDEX(ELECCB[NPV ACC $/kW],MATCH(AY34,ELECCB[Year Number],1))))),2)),0)</f>
        <v/>
      </c>
      <c r="BL34" s="1118"/>
    </row>
    <row r="35" spans="2:64" ht="15.95" customHeight="1">
      <c r="B35" s="905"/>
      <c r="C35" s="1037"/>
      <c r="D35" s="1037"/>
      <c r="E35" s="1037"/>
      <c r="F35" s="1037"/>
      <c r="G35" s="1037"/>
      <c r="H35" s="1037"/>
      <c r="I35" s="1037"/>
      <c r="J35" s="1037"/>
      <c r="K35" s="1039"/>
      <c r="L35" s="1040"/>
      <c r="M35" s="1037"/>
      <c r="N35" s="1037"/>
      <c r="O35" s="1037"/>
      <c r="P35" s="1041"/>
      <c r="Q35" s="1041"/>
      <c r="R35" s="1041"/>
      <c r="S35" s="1152"/>
      <c r="T35" s="1040"/>
      <c r="U35" s="1037"/>
      <c r="V35" s="1037"/>
      <c r="W35" s="1037"/>
      <c r="X35" s="1041"/>
      <c r="Y35" s="1041"/>
      <c r="Z35" s="1041"/>
      <c r="AA35" s="1152"/>
      <c r="AB35" s="1156"/>
      <c r="AC35" s="1157"/>
      <c r="AD35" s="1054"/>
      <c r="AE35" s="1054"/>
      <c r="AF35" s="1127"/>
      <c r="AG35" s="1128"/>
      <c r="AH35" s="1064"/>
      <c r="AI35" s="1065"/>
      <c r="AJ35" s="1065"/>
      <c r="AK35" s="1066"/>
      <c r="AL35" s="1066"/>
      <c r="AM35" s="1066"/>
      <c r="AN35" s="1049"/>
      <c r="AO35" s="1050"/>
      <c r="AP35" s="1050"/>
      <c r="AQ35" s="1050"/>
      <c r="AR35" s="355"/>
      <c r="AS35" s="355"/>
      <c r="AT35" s="1104"/>
      <c r="AU35" s="1104"/>
      <c r="AV35" s="1105"/>
      <c r="AW35" s="1025"/>
      <c r="AX35" s="1025"/>
      <c r="AY35" s="1114"/>
      <c r="AZ35" s="1116"/>
      <c r="BA35" s="1109"/>
      <c r="BB35" s="1121"/>
      <c r="BC35" s="931"/>
      <c r="BD35" s="931"/>
      <c r="BE35" s="931"/>
      <c r="BF35" s="931"/>
      <c r="BG35" s="931"/>
      <c r="BH35" s="1107"/>
      <c r="BI35" s="1105"/>
      <c r="BJ35" s="1105"/>
      <c r="BK35" s="931"/>
      <c r="BL35" s="1119"/>
    </row>
    <row r="36" spans="2:64" ht="15.95" customHeight="1">
      <c r="B36" s="905">
        <v>10</v>
      </c>
      <c r="C36" s="1037"/>
      <c r="D36" s="1037"/>
      <c r="E36" s="1037"/>
      <c r="F36" s="1037"/>
      <c r="G36" s="1037"/>
      <c r="H36" s="1037"/>
      <c r="I36" s="1037"/>
      <c r="J36" s="1037"/>
      <c r="K36" s="1039"/>
      <c r="L36" s="1040"/>
      <c r="M36" s="1037"/>
      <c r="N36" s="1037"/>
      <c r="O36" s="1037"/>
      <c r="P36" s="1041"/>
      <c r="Q36" s="1041"/>
      <c r="R36" s="1041"/>
      <c r="S36" s="1152"/>
      <c r="T36" s="1040"/>
      <c r="U36" s="1037"/>
      <c r="V36" s="1037"/>
      <c r="W36" s="1037"/>
      <c r="X36" s="1041"/>
      <c r="Y36" s="1041"/>
      <c r="Z36" s="1041"/>
      <c r="AA36" s="1152"/>
      <c r="AB36" s="1156" t="str">
        <f t="shared" ref="AB36" si="55">IF(OR(C36="New Construction",C36="Replace Failed Equip."),"Incremental",IF(C36="Retrofit","Total",""))</f>
        <v/>
      </c>
      <c r="AC36" s="1157"/>
      <c r="AD36" s="1054"/>
      <c r="AE36" s="1054"/>
      <c r="AF36" s="1127" t="str">
        <f t="shared" ref="AF36" si="56">IF(AB36="Incremental",0,"")</f>
        <v/>
      </c>
      <c r="AG36" s="1128"/>
      <c r="AH36" s="1064" t="str">
        <f t="shared" ref="AH36" si="57">IF(OR(C36="",F36="",L36="",P36="",R36="",T36="",X36="",Z36="",AB36="",AD36="",AF36=""),"",ROUND(AD36+AF36,2))</f>
        <v/>
      </c>
      <c r="AI36" s="1065"/>
      <c r="AJ36" s="1065"/>
      <c r="AK36" s="1081" t="str">
        <f t="shared" ref="AK36" si="58">IF(OR(C36="",F36="",L36="",P36="",R36="",T36="",X36="",Z36="",AB36="",AD36="",AF36=""),"",IF(AW36-AX36&lt;=0,0,ROUND(AW36-AX36,4)))</f>
        <v/>
      </c>
      <c r="AL36" s="1081"/>
      <c r="AM36" s="1081"/>
      <c r="AN36" s="1047" t="str">
        <f>IF(OR(C36="",F36="",L36="",P36="",R36="",T36="",X36="",Z36="",AB36="",AD36="",AF36=""),"",
IF(BJ36&lt;&gt;"",BJ36,IF(BL36&gt;0,BL36,
IF(AB36="Incremental",
IF(ACTIVEBLOCK="Yes",ROUND(MIN(AH36*INCCOSTCAP,AK36*BLOCKBIDRATE),2),
IF(BG36&lt;&gt;"",ROUND(MIN(AH36*INCCOSTCAP,BG36),2),
IF(BD36&lt;KWHRATEMIN,ROUND(MIN(AH36*INCCOSTCAP,BE36),2),
IF(BD36&gt;KWHRATEMAX,ROUND(MIN(AH36*INCCOSTCAP,BF36),2),
ROUND(MIN(AH36*INCCOSTCAP,BC36),2))))),
IF(ACTIVEBLOCK="Yes",ROUND(MIN(AH36*TOTCOSTCAP,AK36*BLOCKBIDRATE),2),
IF(BG36&lt;&gt;"",ROUND(MIN(AH36*TOTCOSTCAP,BG36),2),
IF(BD36&lt;KWHRATEMIN,ROUND(MIN(AH36*TOTCOSTCAP,BE36),2),
IF(BD36&gt;KWHRATEMAX,ROUND(MIN(AH36*TOTCOSTCAP,BF36),2),
ROUND(MIN(AH36*TOTCOSTCAP,BC36),2)))))))))</f>
        <v/>
      </c>
      <c r="AO36" s="1048"/>
      <c r="AP36" s="1048"/>
      <c r="AQ36" s="1048"/>
      <c r="AR36" s="355"/>
      <c r="AS36" s="355"/>
      <c r="AT36" s="1104" t="str">
        <f>IFERROR(IF(OR(C36="",F36="",L36="",P36="",R36="",T36="",X36="",Z36="",AB36="",AD36="",AF36=""),"",
ROUND(((1+ELOSS)*((AK36*INDEX(ELECCB[NPV AEC $/kWh],MATCH(AY36,ELECCB[Year Number],1)))+(BA36*INDEX(ELECCB[NPV ACC $/kW],MATCH(AY36,ELECCB[Year Number],1))))/AH36),2)),0)</f>
        <v/>
      </c>
      <c r="AU36" s="1112" t="str">
        <f>IFERROR(AH36/M02S04F06/AK36,"")</f>
        <v/>
      </c>
      <c r="AV36" s="1108" t="str">
        <f>IF(OR(C36="",F36=""),"",INDEX(CMECOOK[Unit of Measure],MATCH(F36,CMECOOK[Proj Desc 1],0)))</f>
        <v/>
      </c>
      <c r="AW36" s="1103" t="str">
        <f t="shared" ref="AW36" si="59">IF(OR(C36="",F36="",L36="",P36="",R36="",T36="",X36="",Z36="",AB36="",AD36="",AF36=""),"",ROUND(P36*R36,4))</f>
        <v/>
      </c>
      <c r="AX36" s="1103" t="str">
        <f t="shared" ref="AX36" si="60">IF(OR(C36="",F36="",L36="",P36="",R36="",T36="",X36="",Z36="",AB36="",AD36="",AF36=""),"",ROUND(X36*Z36,4))</f>
        <v/>
      </c>
      <c r="AY36" s="1113" t="str">
        <f>IF(OR(C36="",F36=""),"",IF(INDEX(CMECOOK[EUL],MATCH(F36,CMECOOK[Proj Desc 1],0))="","",INDEX(CMECOOK[EUL],MATCH(F36,CMECOOK[Proj Desc 1],0))))</f>
        <v/>
      </c>
      <c r="AZ36" s="1115" t="str">
        <f>IF(OR(C36="",F36=""),"",IF(INDEX(CMECOOK[End Use Category],MATCH(F36,CMECOOK[Proj Desc 1],0))="","",INDEX(CMECOOK[End Use Category],MATCH(F36,CMECOOK[Proj Desc 1],0))))</f>
        <v/>
      </c>
      <c r="BA36" s="1027" t="str">
        <f>IFERROR(IF(OR(C36="",F36="",L36="",P36="",R36="",T36="",X36="",Z36="",AB36="",AD36="",AF36=""),"",ROUND(AK36*INDEX(ENDUSEALL[Factor],MATCH(AZ36,ENDUSEALL[End Use to Coincident Peak Demand Factors],0)),4)),"")</f>
        <v/>
      </c>
      <c r="BB36" s="1120"/>
      <c r="BC36" s="930" t="str">
        <f t="shared" ref="BC36" si="61">IFERROR(ROUND(AK36*BD36,2),"")</f>
        <v/>
      </c>
      <c r="BD36" s="930" t="str">
        <f>IFERROR(INDEX(ENDUSEALL[Rate ($/kWh)],MATCH(AZ36,ENDUSEALL[End Use to Coincident Peak Demand Factors],0)),"")</f>
        <v/>
      </c>
      <c r="BE36" s="931" t="str">
        <f>IFERROR(ROUND(AK36*KWHRATEMIN,2),"")</f>
        <v/>
      </c>
      <c r="BF36" s="931" t="str">
        <f>IFERROR(ROUND(AK36*KWHRATEMAX,2),"")</f>
        <v/>
      </c>
      <c r="BG36" s="930" t="str">
        <f>IFERROR(IF(INDEX(ENDUSEALL[Bonus Rate ($/kWh)],MATCH(AZ36,ENDUSEALL[End Use to Coincident Peak Demand Factors],0))="","",INDEX(ENDUSEALL[Bonus Rate ($/kWh)],MATCH(AZ36,ENDUSEALL[End Use to Coincident Peak Demand Factors],0))*AK36),"")</f>
        <v/>
      </c>
      <c r="BH36" s="1106" t="str">
        <f>IF(OR(C36="",F36="",L36="",P36="",R36="",T36="",X36="",Z36="",AB36="",AD36="",AF36=""),"",IF(BJ36&lt;&gt;"",SPILLOVERNUMBER,INDEX(CMECOOK[Measure Number],MATCH(F36,CMECOOK[Proj Desc 1],0))))</f>
        <v/>
      </c>
      <c r="BI36" s="1108" t="str">
        <f>IFERROR(IF(AND(AB36="Total",ROUND(AN36/AH36,2)=TOTCOSTCAP),"75% Total Cost",
IF(AND(AB36="Incremental",AH36=AN36),"100% Incremental Cost",
IF(BD36&lt;KWHRATEMIN, "kWh Incentive Rate Min",
IF(BD36&gt;KWHRATEMAX,"kWh Incentive Rate Cap",
IF(AN36=BG36,"Bonus Incentive",
"kWh Incentive"))))),"")</f>
        <v/>
      </c>
      <c r="BJ36" s="1108" t="str">
        <f ca="1">IFERROR(IF(EXPIRATION&lt;&gt;"",PROJSTATEXP,
IF(BL36&gt;0,"",
IF(AW36-AX36&lt;=0,MEASURESAVE,
IF(OR(M02S04F06="",M02S04F06="Select Rate Code",M02S04F06=0),MEASURERATE,
IF(AND((ISNUMBER(SEARCH("Other",F36))),OR(AY36="",AZ36="")),MEASURESUBMIT,
 IF(PAYCUSE&lt;PAYBACKREQ,PROJECTSTATPAYBACK,
IF(CBCUSE&lt;CBREQ,PROJECTSTATCB,""))))))),MEASURESUBMIT)</f>
        <v>Submit for Review</v>
      </c>
      <c r="BK36" s="930" t="str">
        <f>IFERROR(IF(OR(C36="",F36="",L36="",P36="",R36="",T36="",X36="",Z36="",AB36="",AD36="",AF36=""),"",
ROUND(((1+ELOSS)*((AK36*INDEX(ELECCB[NPV AEC $/kWh],MATCH(AY36,ELECCB[Year Number],1)))+(BA36*INDEX(ELECCB[NPV ACC $/kW],MATCH(AY36,ELECCB[Year Number],1))))),2)),0)</f>
        <v/>
      </c>
      <c r="BL36" s="1118"/>
    </row>
    <row r="37" spans="2:64" ht="15.95" customHeight="1">
      <c r="B37" s="905"/>
      <c r="C37" s="1037"/>
      <c r="D37" s="1037"/>
      <c r="E37" s="1037"/>
      <c r="F37" s="1037"/>
      <c r="G37" s="1037"/>
      <c r="H37" s="1037"/>
      <c r="I37" s="1037"/>
      <c r="J37" s="1037"/>
      <c r="K37" s="1039"/>
      <c r="L37" s="1040"/>
      <c r="M37" s="1037"/>
      <c r="N37" s="1037"/>
      <c r="O37" s="1037"/>
      <c r="P37" s="1041"/>
      <c r="Q37" s="1041"/>
      <c r="R37" s="1041"/>
      <c r="S37" s="1152"/>
      <c r="T37" s="1040"/>
      <c r="U37" s="1037"/>
      <c r="V37" s="1037"/>
      <c r="W37" s="1037"/>
      <c r="X37" s="1041"/>
      <c r="Y37" s="1041"/>
      <c r="Z37" s="1041"/>
      <c r="AA37" s="1152"/>
      <c r="AB37" s="1156"/>
      <c r="AC37" s="1157"/>
      <c r="AD37" s="1054"/>
      <c r="AE37" s="1054"/>
      <c r="AF37" s="1127"/>
      <c r="AG37" s="1128"/>
      <c r="AH37" s="1064"/>
      <c r="AI37" s="1065"/>
      <c r="AJ37" s="1065"/>
      <c r="AK37" s="1066"/>
      <c r="AL37" s="1066"/>
      <c r="AM37" s="1066"/>
      <c r="AN37" s="1049"/>
      <c r="AO37" s="1050"/>
      <c r="AP37" s="1050"/>
      <c r="AQ37" s="1050"/>
      <c r="AR37" s="355"/>
      <c r="AS37" s="355"/>
      <c r="AT37" s="1104"/>
      <c r="AU37" s="1104"/>
      <c r="AV37" s="1105"/>
      <c r="AW37" s="1025"/>
      <c r="AX37" s="1025"/>
      <c r="AY37" s="1114"/>
      <c r="AZ37" s="1116"/>
      <c r="BA37" s="1109"/>
      <c r="BB37" s="1121"/>
      <c r="BC37" s="931"/>
      <c r="BD37" s="931"/>
      <c r="BE37" s="931"/>
      <c r="BF37" s="931"/>
      <c r="BG37" s="931"/>
      <c r="BH37" s="1107"/>
      <c r="BI37" s="1105"/>
      <c r="BJ37" s="1105"/>
      <c r="BK37" s="931"/>
      <c r="BL37" s="1119"/>
    </row>
    <row r="38" spans="2:64" ht="15.95" customHeight="1">
      <c r="B38" s="905"/>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s="235"/>
      <c r="AP38" s="235"/>
      <c r="AQ38" s="235"/>
      <c r="AR38" s="235"/>
      <c r="AS38" s="235"/>
      <c r="AT38"/>
      <c r="AU38"/>
      <c r="AV38"/>
      <c r="AY38"/>
      <c r="AZ38"/>
      <c r="BA38"/>
      <c r="BB38"/>
      <c r="BC38"/>
      <c r="BD38"/>
    </row>
    <row r="39" spans="2:64" ht="15.95" hidden="1" customHeight="1">
      <c r="B39" s="90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s="235"/>
      <c r="AP39" s="235"/>
      <c r="AQ39" s="235"/>
      <c r="AR39" s="235"/>
      <c r="AS39" s="235"/>
      <c r="AT39"/>
      <c r="AU39"/>
      <c r="AV39"/>
      <c r="AY39"/>
      <c r="AZ39"/>
      <c r="BA39"/>
      <c r="BB39"/>
      <c r="BC39"/>
      <c r="BD39"/>
    </row>
    <row r="40" spans="2:64" ht="15.95" hidden="1" customHeight="1">
      <c r="B40" s="90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s="235"/>
      <c r="AP40" s="235"/>
      <c r="AQ40" s="235"/>
      <c r="AR40" s="235"/>
      <c r="AS40" s="235"/>
      <c r="AT40"/>
      <c r="AU40"/>
      <c r="AV40"/>
      <c r="AY40"/>
      <c r="AZ40"/>
      <c r="BA40"/>
      <c r="BB40"/>
      <c r="BC40"/>
      <c r="BD40"/>
    </row>
    <row r="41" spans="2:64" ht="15.95" hidden="1" customHeight="1">
      <c r="B41" s="905"/>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s="235"/>
      <c r="AP41" s="235"/>
      <c r="AQ41" s="235"/>
      <c r="AR41" s="235"/>
      <c r="AS41" s="235"/>
      <c r="AT41"/>
      <c r="AU41"/>
      <c r="AV41"/>
      <c r="AY41"/>
      <c r="AZ41"/>
      <c r="BA41"/>
      <c r="BB41"/>
      <c r="BC41"/>
      <c r="BD41"/>
    </row>
    <row r="42" spans="2:64" ht="15.95" hidden="1" customHeight="1">
      <c r="B42" s="90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s="235"/>
      <c r="AP42" s="235"/>
      <c r="AQ42" s="235"/>
      <c r="AR42" s="235"/>
      <c r="AS42" s="235"/>
      <c r="AT42"/>
      <c r="AU42"/>
      <c r="AV42"/>
      <c r="AY42"/>
      <c r="AZ42"/>
      <c r="BA42"/>
      <c r="BB42"/>
      <c r="BC42"/>
      <c r="BD42"/>
    </row>
    <row r="43" spans="2:64" ht="15.95" hidden="1" customHeight="1">
      <c r="B43" s="90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s="235"/>
      <c r="AP43" s="235"/>
      <c r="AQ43" s="235"/>
      <c r="AR43" s="235"/>
      <c r="AS43" s="235"/>
      <c r="AT43"/>
      <c r="AU43"/>
      <c r="AV43"/>
      <c r="AY43"/>
      <c r="AZ43"/>
      <c r="BA43"/>
      <c r="BB43"/>
      <c r="BC43"/>
      <c r="BD43"/>
    </row>
    <row r="44" spans="2:64" ht="15.95" hidden="1" customHeight="1">
      <c r="B44" s="905"/>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s="235"/>
      <c r="AP44" s="235"/>
      <c r="AQ44" s="235"/>
      <c r="AR44" s="235"/>
      <c r="AS44" s="235"/>
      <c r="AT44"/>
      <c r="AU44"/>
      <c r="AV44"/>
      <c r="AY44"/>
      <c r="AZ44"/>
      <c r="BA44"/>
      <c r="BB44"/>
      <c r="BC44"/>
      <c r="BD44"/>
    </row>
    <row r="45" spans="2:64" ht="15.95" hidden="1" customHeight="1">
      <c r="B45" s="90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s="235"/>
      <c r="AP45" s="235"/>
      <c r="AQ45" s="235"/>
      <c r="AR45" s="235"/>
      <c r="AS45" s="235"/>
      <c r="AT45"/>
      <c r="AU45"/>
      <c r="AV45"/>
      <c r="AY45"/>
      <c r="AZ45"/>
      <c r="BA45"/>
      <c r="BB45"/>
      <c r="BC45"/>
      <c r="BD45"/>
    </row>
    <row r="46" spans="2:64" ht="15.95" hidden="1" customHeight="1">
      <c r="B46" s="905"/>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s="235"/>
      <c r="AP46" s="235"/>
      <c r="AQ46" s="235"/>
      <c r="AR46" s="235"/>
      <c r="AS46" s="235"/>
      <c r="AT46"/>
      <c r="AU46"/>
      <c r="AV46"/>
      <c r="AY46"/>
      <c r="AZ46"/>
      <c r="BA46"/>
      <c r="BB46"/>
      <c r="BC46"/>
      <c r="BD46"/>
    </row>
    <row r="47" spans="2:64" ht="15.95" hidden="1" customHeight="1">
      <c r="B47" s="905"/>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s="235"/>
      <c r="AP47" s="235"/>
      <c r="AQ47" s="235"/>
      <c r="AR47" s="235"/>
      <c r="AS47" s="235"/>
      <c r="AT47"/>
      <c r="AU47"/>
      <c r="AV47"/>
      <c r="AY47"/>
      <c r="AZ47"/>
      <c r="BA47"/>
      <c r="BB47"/>
      <c r="BC47"/>
      <c r="BD47"/>
    </row>
    <row r="48" spans="2:64" ht="15.95" hidden="1" customHeight="1">
      <c r="AO48" s="235"/>
      <c r="AP48" s="235"/>
      <c r="AQ48" s="235"/>
      <c r="AR48" s="235"/>
      <c r="AS48" s="235"/>
      <c r="AU48" s="57"/>
      <c r="AV48" s="64"/>
      <c r="AW48" s="64"/>
      <c r="AX48" s="64"/>
    </row>
    <row r="49" spans="41:50" ht="15.95" hidden="1" customHeight="1">
      <c r="AO49" s="235"/>
      <c r="AP49" s="235"/>
      <c r="AQ49" s="235"/>
      <c r="AR49" s="235"/>
      <c r="AS49" s="235"/>
      <c r="AU49" s="57"/>
      <c r="AV49" s="64"/>
      <c r="AW49" s="64"/>
      <c r="AX49" s="64"/>
    </row>
    <row r="50" spans="41:50" ht="15.95" hidden="1" customHeight="1">
      <c r="AO50" s="235"/>
      <c r="AP50" s="235"/>
      <c r="AQ50" s="235"/>
      <c r="AR50" s="235"/>
      <c r="AS50" s="235"/>
      <c r="AU50" s="57"/>
      <c r="AV50" s="64"/>
      <c r="AW50" s="64"/>
      <c r="AX50" s="64"/>
    </row>
    <row r="51" spans="41:50" ht="15.95" hidden="1" customHeight="1">
      <c r="AO51" s="235"/>
      <c r="AP51" s="235"/>
      <c r="AQ51" s="235"/>
      <c r="AR51" s="235"/>
      <c r="AS51" s="235"/>
      <c r="AU51" s="57"/>
      <c r="AV51" s="64"/>
      <c r="AW51" s="64"/>
      <c r="AX51" s="64"/>
    </row>
    <row r="52" spans="41:50" ht="15.95" hidden="1" customHeight="1">
      <c r="AO52" s="235"/>
      <c r="AP52" s="235"/>
      <c r="AQ52" s="235"/>
      <c r="AR52" s="235"/>
      <c r="AS52" s="235"/>
      <c r="AU52" s="57"/>
      <c r="AV52" s="64"/>
      <c r="AW52" s="64"/>
      <c r="AX52" s="64"/>
    </row>
    <row r="53" spans="41:50" ht="15.95" hidden="1" customHeight="1">
      <c r="AO53" s="235"/>
      <c r="AP53" s="235"/>
      <c r="AQ53" s="235"/>
      <c r="AR53" s="235"/>
      <c r="AS53" s="235"/>
      <c r="AU53" s="57"/>
      <c r="AV53" s="64"/>
      <c r="AW53" s="64"/>
      <c r="AX53" s="64"/>
    </row>
    <row r="54" spans="41:50" ht="15.95" hidden="1" customHeight="1">
      <c r="AO54" s="235"/>
      <c r="AP54" s="235"/>
      <c r="AQ54" s="235"/>
      <c r="AR54" s="235"/>
      <c r="AS54" s="235"/>
      <c r="AU54" s="57"/>
      <c r="AV54" s="64"/>
      <c r="AW54" s="64"/>
      <c r="AX54" s="64"/>
    </row>
    <row r="55" spans="41:50" ht="15.95" hidden="1" customHeight="1">
      <c r="AO55" s="235"/>
      <c r="AP55" s="235"/>
      <c r="AQ55" s="235"/>
      <c r="AR55" s="235"/>
      <c r="AS55" s="235"/>
      <c r="AU55" s="57"/>
      <c r="AV55" s="64"/>
      <c r="AW55" s="64"/>
      <c r="AX55" s="64"/>
    </row>
    <row r="56" spans="41:50" ht="15.95" hidden="1" customHeight="1">
      <c r="AO56" s="235"/>
      <c r="AP56" s="235"/>
      <c r="AQ56" s="235"/>
      <c r="AR56" s="235"/>
      <c r="AS56" s="235"/>
      <c r="AU56" s="57"/>
      <c r="AV56" s="64"/>
      <c r="AW56" s="64"/>
      <c r="AX56" s="64"/>
    </row>
    <row r="57" spans="41:50" ht="15.95" hidden="1" customHeight="1">
      <c r="AO57" s="235"/>
      <c r="AP57" s="235"/>
      <c r="AQ57" s="235"/>
      <c r="AR57" s="235"/>
      <c r="AS57" s="235"/>
      <c r="AU57" s="57"/>
      <c r="AV57" s="64"/>
      <c r="AW57" s="64"/>
      <c r="AX57" s="64"/>
    </row>
    <row r="58" spans="41:50" ht="15.95" hidden="1" customHeight="1">
      <c r="AO58" s="235"/>
      <c r="AP58" s="235"/>
      <c r="AQ58" s="235"/>
      <c r="AR58" s="235"/>
      <c r="AS58" s="235"/>
      <c r="AU58" s="57"/>
      <c r="AV58" s="64"/>
      <c r="AW58" s="64"/>
      <c r="AX58" s="64"/>
    </row>
    <row r="59" spans="41:50" ht="15.95" hidden="1" customHeight="1">
      <c r="AO59" s="235"/>
      <c r="AP59" s="235"/>
      <c r="AQ59" s="235"/>
      <c r="AR59" s="235"/>
      <c r="AS59" s="235"/>
      <c r="AU59" s="57"/>
      <c r="AV59" s="64"/>
      <c r="AW59" s="64"/>
      <c r="AX59" s="64"/>
    </row>
    <row r="60" spans="41:50" ht="15.95" hidden="1" customHeight="1">
      <c r="AO60" s="235"/>
      <c r="AP60" s="235"/>
      <c r="AQ60" s="235"/>
      <c r="AR60" s="235"/>
      <c r="AS60" s="235"/>
      <c r="AU60" s="57"/>
      <c r="AV60" s="64"/>
      <c r="AW60" s="64"/>
      <c r="AX60" s="64"/>
    </row>
    <row r="61" spans="41:50" ht="15.95" hidden="1" customHeight="1">
      <c r="AO61" s="235"/>
      <c r="AP61" s="235"/>
      <c r="AQ61" s="235"/>
      <c r="AR61" s="235"/>
      <c r="AS61" s="235"/>
      <c r="AU61" s="57"/>
      <c r="AV61" s="64"/>
      <c r="AW61" s="64"/>
      <c r="AX61" s="64"/>
    </row>
    <row r="62" spans="41:50" ht="15.95" hidden="1" customHeight="1">
      <c r="AU62" s="57"/>
      <c r="AV62" s="64"/>
      <c r="AW62" s="64"/>
      <c r="AX62" s="64"/>
    </row>
    <row r="63" spans="41:50" ht="15.95" hidden="1" customHeight="1">
      <c r="AU63" s="57"/>
      <c r="AV63" s="64"/>
      <c r="AW63" s="64"/>
      <c r="AX63" s="64"/>
    </row>
    <row r="64" spans="41:50" ht="15.95" hidden="1" customHeight="1">
      <c r="AU64" s="57"/>
      <c r="AV64" s="64"/>
      <c r="AW64" s="64"/>
      <c r="AX64" s="64"/>
    </row>
    <row r="65" spans="47:50" ht="15.95" hidden="1" customHeight="1">
      <c r="AU65" s="57"/>
      <c r="AV65" s="64"/>
      <c r="AW65" s="64"/>
      <c r="AX65" s="64"/>
    </row>
    <row r="66" spans="47:50" ht="15.95" hidden="1" customHeight="1">
      <c r="AU66" s="57"/>
      <c r="AV66" s="64"/>
      <c r="AW66" s="64"/>
      <c r="AX66" s="64"/>
    </row>
    <row r="67" spans="47:50" ht="15.95" hidden="1" customHeight="1">
      <c r="AU67" s="57"/>
      <c r="AV67" s="64"/>
      <c r="AW67" s="64"/>
      <c r="AX67" s="64"/>
    </row>
    <row r="68" spans="47:50" ht="15.95" hidden="1" customHeight="1">
      <c r="AU68" s="57"/>
      <c r="AV68" s="64"/>
      <c r="AW68" s="64"/>
      <c r="AX68" s="64"/>
    </row>
    <row r="69" spans="47:50" ht="15.95" hidden="1" customHeight="1">
      <c r="AU69" s="57"/>
      <c r="AV69" s="64"/>
      <c r="AW69" s="64"/>
      <c r="AX69" s="64"/>
    </row>
    <row r="70" spans="47:50" ht="15.95" hidden="1" customHeight="1">
      <c r="AU70" s="57"/>
      <c r="AV70" s="64"/>
      <c r="AW70" s="64"/>
      <c r="AX70" s="64"/>
    </row>
    <row r="71" spans="47:50" ht="15.95" hidden="1" customHeight="1">
      <c r="AU71" s="57"/>
      <c r="AV71" s="64"/>
      <c r="AW71" s="64"/>
      <c r="AX71" s="64"/>
    </row>
    <row r="72" spans="47:50" ht="15.95" hidden="1" customHeight="1">
      <c r="AU72" s="57"/>
      <c r="AV72" s="64"/>
      <c r="AW72" s="64"/>
      <c r="AX72" s="64"/>
    </row>
    <row r="73" spans="47:50" ht="15.95" hidden="1" customHeight="1">
      <c r="AU73" s="57"/>
      <c r="AV73" s="64"/>
      <c r="AW73" s="64"/>
      <c r="AX73" s="64"/>
    </row>
    <row r="74" spans="47:50" ht="15.95" hidden="1" customHeight="1">
      <c r="AU74" s="57"/>
      <c r="AV74" s="64"/>
      <c r="AW74" s="64"/>
      <c r="AX74" s="64"/>
    </row>
    <row r="75" spans="47:50" ht="15.95" hidden="1" customHeight="1">
      <c r="AU75" s="57"/>
      <c r="AV75" s="64"/>
      <c r="AW75" s="64"/>
      <c r="AX75" s="64"/>
    </row>
    <row r="76" spans="47:50" ht="15.95" hidden="1" customHeight="1">
      <c r="AU76" s="57"/>
      <c r="AV76" s="64"/>
      <c r="AW76" s="64"/>
      <c r="AX76" s="64"/>
    </row>
    <row r="77" spans="47:50" ht="15.95" hidden="1" customHeight="1">
      <c r="AU77" s="57"/>
      <c r="AV77" s="64"/>
      <c r="AW77" s="64"/>
      <c r="AX77" s="64"/>
    </row>
    <row r="78" spans="47:50" ht="15.95" hidden="1" customHeight="1">
      <c r="AU78" s="57"/>
      <c r="AV78" s="64"/>
      <c r="AW78" s="64"/>
      <c r="AX78" s="64"/>
    </row>
    <row r="79" spans="47:50" ht="15.95" hidden="1" customHeight="1">
      <c r="AU79" s="57"/>
      <c r="AV79" s="64"/>
      <c r="AW79" s="64"/>
      <c r="AX79" s="64"/>
    </row>
    <row r="80" spans="47:50" ht="15.95" hidden="1" customHeight="1">
      <c r="AU80" s="57"/>
      <c r="AV80" s="64"/>
      <c r="AW80" s="64"/>
      <c r="AX80" s="64"/>
    </row>
    <row r="81" spans="47:50" ht="15.95" hidden="1" customHeight="1">
      <c r="AU81" s="57"/>
      <c r="AV81" s="64"/>
      <c r="AW81" s="64"/>
      <c r="AX81" s="64"/>
    </row>
    <row r="82" spans="47:50" ht="15.95" hidden="1" customHeight="1">
      <c r="AU82" s="57"/>
      <c r="AV82" s="64"/>
      <c r="AW82" s="64"/>
      <c r="AX82" s="64"/>
    </row>
    <row r="83" spans="47:50" ht="15.95" hidden="1" customHeight="1">
      <c r="AU83" s="57"/>
      <c r="AV83" s="64"/>
      <c r="AW83" s="64"/>
      <c r="AX83" s="64"/>
    </row>
    <row r="84" spans="47:50" ht="15.95" hidden="1" customHeight="1">
      <c r="AU84" s="57"/>
      <c r="AV84" s="64"/>
      <c r="AW84" s="64"/>
      <c r="AX84" s="64"/>
    </row>
    <row r="85" spans="47:50" ht="15.95" hidden="1" customHeight="1">
      <c r="AU85" s="57"/>
      <c r="AV85" s="64"/>
      <c r="AW85" s="64"/>
      <c r="AX85" s="64"/>
    </row>
    <row r="86" spans="47:50" ht="15.95" hidden="1" customHeight="1">
      <c r="AU86" s="57"/>
      <c r="AV86" s="64"/>
      <c r="AW86" s="64"/>
      <c r="AX86" s="64"/>
    </row>
    <row r="87" spans="47:50" ht="15.95" hidden="1" customHeight="1">
      <c r="AU87" s="57"/>
      <c r="AV87" s="64"/>
      <c r="AW87" s="64"/>
      <c r="AX87" s="64"/>
    </row>
    <row r="88" spans="47:50" ht="15.95" hidden="1" customHeight="1">
      <c r="AU88" s="57"/>
      <c r="AV88" s="64"/>
      <c r="AW88" s="64"/>
      <c r="AX88" s="64"/>
    </row>
    <row r="89" spans="47:50" ht="15.95" hidden="1" customHeight="1">
      <c r="AU89" s="57"/>
      <c r="AV89" s="64"/>
      <c r="AW89" s="64"/>
      <c r="AX89" s="64"/>
    </row>
    <row r="90" spans="47:50" ht="15.95" hidden="1" customHeight="1">
      <c r="AU90" s="57"/>
      <c r="AV90" s="64"/>
      <c r="AW90" s="64"/>
      <c r="AX90" s="64"/>
    </row>
    <row r="91" spans="47:50" ht="15.95" hidden="1" customHeight="1">
      <c r="AU91" s="57"/>
      <c r="AV91" s="64"/>
      <c r="AW91" s="64"/>
      <c r="AX91" s="64"/>
    </row>
    <row r="92" spans="47:50" ht="15.95" hidden="1" customHeight="1">
      <c r="AU92" s="57"/>
      <c r="AV92" s="64"/>
      <c r="AW92" s="64"/>
      <c r="AX92" s="64"/>
    </row>
    <row r="93" spans="47:50" ht="15.95" hidden="1" customHeight="1">
      <c r="AU93" s="57"/>
      <c r="AV93" s="64"/>
      <c r="AW93" s="64"/>
      <c r="AX93" s="64"/>
    </row>
    <row r="94" spans="47:50" ht="15.95" hidden="1" customHeight="1">
      <c r="AU94" s="57"/>
      <c r="AV94" s="64"/>
      <c r="AW94" s="64"/>
      <c r="AX94" s="64"/>
    </row>
    <row r="95" spans="47:50" ht="15.95" hidden="1" customHeight="1">
      <c r="AU95" s="57"/>
      <c r="AV95" s="64"/>
      <c r="AW95" s="64"/>
      <c r="AX95" s="64"/>
    </row>
    <row r="96" spans="47:50" ht="15.95" hidden="1" customHeight="1">
      <c r="AU96" s="57"/>
      <c r="AV96" s="64"/>
      <c r="AW96" s="64"/>
      <c r="AX96" s="64"/>
    </row>
    <row r="97" spans="47:50" ht="15.95" hidden="1" customHeight="1">
      <c r="AU97" s="57"/>
      <c r="AV97" s="64"/>
      <c r="AW97" s="64"/>
      <c r="AX97" s="64"/>
    </row>
    <row r="98" spans="47:50" ht="15.95" hidden="1" customHeight="1">
      <c r="AU98" s="57"/>
      <c r="AV98" s="64"/>
      <c r="AW98" s="64"/>
      <c r="AX98" s="64"/>
    </row>
    <row r="99" spans="47:50" ht="15.95" hidden="1" customHeight="1">
      <c r="AU99" s="57"/>
      <c r="AV99" s="64"/>
      <c r="AW99" s="64"/>
      <c r="AX99" s="64"/>
    </row>
    <row r="100" spans="47:50" ht="15.95" hidden="1" customHeight="1">
      <c r="AU100" s="57"/>
      <c r="AV100" s="64"/>
      <c r="AW100" s="64"/>
      <c r="AX100" s="64"/>
    </row>
    <row r="101" spans="47:50" ht="15.95" hidden="1" customHeight="1">
      <c r="AU101" s="57"/>
      <c r="AV101" s="64"/>
      <c r="AW101" s="64"/>
      <c r="AX101" s="64"/>
    </row>
    <row r="102" spans="47:50" ht="15.95" hidden="1" customHeight="1">
      <c r="AU102" s="57"/>
      <c r="AV102" s="64"/>
      <c r="AW102" s="64"/>
      <c r="AX102" s="64"/>
    </row>
    <row r="103" spans="47:50" ht="15.95" hidden="1" customHeight="1">
      <c r="AU103" s="57"/>
      <c r="AV103" s="64"/>
      <c r="AW103" s="64"/>
      <c r="AX103" s="64"/>
    </row>
    <row r="104" spans="47:50" ht="15.95" hidden="1" customHeight="1">
      <c r="AU104" s="57"/>
      <c r="AV104" s="64"/>
      <c r="AW104" s="64"/>
      <c r="AX104" s="64"/>
    </row>
    <row r="105" spans="47:50" ht="15.95" hidden="1" customHeight="1">
      <c r="AU105" s="57"/>
      <c r="AV105" s="64"/>
      <c r="AW105" s="64"/>
      <c r="AX105" s="64"/>
    </row>
    <row r="106" spans="47:50" ht="15.95" hidden="1" customHeight="1">
      <c r="AU106" s="57"/>
      <c r="AV106" s="64"/>
      <c r="AW106" s="64"/>
      <c r="AX106" s="64"/>
    </row>
    <row r="107" spans="47:50" ht="15.95" hidden="1" customHeight="1">
      <c r="AU107" s="57"/>
      <c r="AV107" s="64"/>
      <c r="AW107" s="64"/>
      <c r="AX107" s="64"/>
    </row>
    <row r="108" spans="47:50" ht="15.95" hidden="1" customHeight="1">
      <c r="AU108" s="57"/>
      <c r="AV108" s="64"/>
      <c r="AW108" s="64"/>
      <c r="AX108" s="64"/>
    </row>
    <row r="109" spans="47:50" ht="15.95" hidden="1" customHeight="1">
      <c r="AU109" s="57"/>
      <c r="AV109" s="64"/>
      <c r="AW109" s="64"/>
      <c r="AX109" s="64"/>
    </row>
    <row r="110" spans="47:50" ht="15.95" hidden="1" customHeight="1">
      <c r="AU110" s="57"/>
      <c r="AV110" s="64"/>
      <c r="AW110" s="64"/>
      <c r="AX110" s="64"/>
    </row>
    <row r="111" spans="47:50" ht="15.95" hidden="1" customHeight="1">
      <c r="AU111" s="57"/>
      <c r="AV111" s="64"/>
      <c r="AW111" s="64"/>
      <c r="AX111" s="64"/>
    </row>
    <row r="112" spans="47:50" ht="15.95" hidden="1" customHeight="1">
      <c r="AU112" s="57"/>
      <c r="AV112" s="64"/>
      <c r="AW112" s="64"/>
      <c r="AX112" s="64"/>
    </row>
    <row r="113" spans="47:50" ht="15.95" hidden="1" customHeight="1">
      <c r="AU113" s="57"/>
      <c r="AV113" s="64"/>
      <c r="AW113" s="64"/>
      <c r="AX113" s="64"/>
    </row>
    <row r="114" spans="47:50" ht="15.95" hidden="1" customHeight="1">
      <c r="AU114" s="57"/>
      <c r="AV114" s="64"/>
      <c r="AW114" s="64"/>
      <c r="AX114" s="64"/>
    </row>
    <row r="115" spans="47:50" ht="15.95" hidden="1" customHeight="1">
      <c r="AU115" s="57"/>
      <c r="AV115" s="64"/>
      <c r="AW115" s="64"/>
      <c r="AX115" s="64"/>
    </row>
    <row r="116" spans="47:50" ht="15.95" hidden="1" customHeight="1">
      <c r="AU116" s="57"/>
      <c r="AV116" s="64"/>
      <c r="AW116" s="64"/>
      <c r="AX116" s="64"/>
    </row>
    <row r="117" spans="47:50" ht="15.95" hidden="1" customHeight="1">
      <c r="AU117" s="57"/>
      <c r="AV117" s="64"/>
      <c r="AW117" s="64"/>
      <c r="AX117" s="64"/>
    </row>
    <row r="118" spans="47:50" ht="15.95" hidden="1" customHeight="1">
      <c r="AU118" s="57"/>
      <c r="AV118" s="64"/>
      <c r="AW118" s="64"/>
      <c r="AX118" s="64"/>
    </row>
    <row r="119" spans="47:50" ht="15.95" hidden="1" customHeight="1">
      <c r="AU119" s="57"/>
      <c r="AV119" s="64"/>
      <c r="AW119" s="64"/>
      <c r="AX119" s="64"/>
    </row>
    <row r="120" spans="47:50" ht="15.95" hidden="1" customHeight="1">
      <c r="AU120" s="57"/>
      <c r="AV120" s="64"/>
      <c r="AW120" s="64"/>
      <c r="AX120" s="64"/>
    </row>
    <row r="121" spans="47:50" ht="15.95" hidden="1" customHeight="1">
      <c r="AU121" s="57"/>
      <c r="AV121" s="64"/>
      <c r="AW121" s="64"/>
      <c r="AX121" s="64"/>
    </row>
    <row r="122" spans="47:50" ht="15.95" hidden="1" customHeight="1">
      <c r="AU122" s="57"/>
      <c r="AV122" s="64"/>
      <c r="AW122" s="64"/>
      <c r="AX122" s="64"/>
    </row>
    <row r="123" spans="47:50" ht="15.95" hidden="1" customHeight="1">
      <c r="AU123" s="57"/>
      <c r="AV123" s="64"/>
      <c r="AW123" s="64"/>
      <c r="AX123" s="64"/>
    </row>
    <row r="124" spans="47:50" ht="15.95" hidden="1" customHeight="1">
      <c r="AU124" s="57"/>
      <c r="AV124" s="64"/>
      <c r="AW124" s="64"/>
      <c r="AX124" s="64"/>
    </row>
    <row r="125" spans="47:50" ht="15.95" hidden="1" customHeight="1">
      <c r="AU125" s="57"/>
      <c r="AV125" s="64"/>
      <c r="AW125" s="64"/>
      <c r="AX125" s="64"/>
    </row>
    <row r="126" spans="47:50" ht="15.95" hidden="1" customHeight="1">
      <c r="AU126" s="57"/>
      <c r="AV126" s="64"/>
      <c r="AW126" s="64"/>
      <c r="AX126" s="64"/>
    </row>
    <row r="127" spans="47:50" ht="15.95" hidden="1" customHeight="1">
      <c r="AU127" s="57"/>
      <c r="AV127" s="64"/>
      <c r="AW127" s="64"/>
      <c r="AX127" s="64"/>
    </row>
    <row r="128" spans="47:50" ht="15.95" hidden="1" customHeight="1">
      <c r="AU128" s="57"/>
      <c r="AV128" s="64"/>
      <c r="AW128" s="64"/>
      <c r="AX128" s="64"/>
    </row>
    <row r="129" spans="47:50" ht="15.95" hidden="1" customHeight="1">
      <c r="AU129" s="57"/>
      <c r="AV129" s="64"/>
      <c r="AW129" s="64"/>
      <c r="AX129" s="64"/>
    </row>
    <row r="130" spans="47:50" ht="15.95" hidden="1" customHeight="1">
      <c r="AU130" s="57"/>
      <c r="AV130" s="64"/>
      <c r="AW130" s="64"/>
      <c r="AX130" s="64"/>
    </row>
    <row r="131" spans="47:50" ht="15.95" hidden="1" customHeight="1">
      <c r="AU131" s="57"/>
      <c r="AV131" s="64"/>
      <c r="AW131" s="64"/>
      <c r="AX131" s="64"/>
    </row>
    <row r="132" spans="47:50" ht="15.95" hidden="1" customHeight="1">
      <c r="AU132" s="57"/>
      <c r="AV132" s="64"/>
      <c r="AW132" s="64"/>
      <c r="AX132" s="64"/>
    </row>
    <row r="133" spans="47:50" ht="15.95" hidden="1" customHeight="1">
      <c r="AU133" s="57"/>
      <c r="AV133" s="64"/>
      <c r="AW133" s="64"/>
      <c r="AX133" s="64"/>
    </row>
    <row r="134" spans="47:50" ht="15.95" hidden="1" customHeight="1">
      <c r="AU134" s="57"/>
      <c r="AV134" s="64"/>
      <c r="AW134" s="64"/>
      <c r="AX134" s="64"/>
    </row>
    <row r="135" spans="47:50" ht="15.95" hidden="1" customHeight="1">
      <c r="AU135" s="57"/>
      <c r="AV135" s="64"/>
      <c r="AW135" s="64"/>
      <c r="AX135" s="64"/>
    </row>
    <row r="136" spans="47:50" ht="15.95" hidden="1" customHeight="1">
      <c r="AU136" s="57"/>
      <c r="AV136" s="64"/>
      <c r="AW136" s="64"/>
      <c r="AX136" s="64"/>
    </row>
    <row r="137" spans="47:50" ht="15.95" hidden="1" customHeight="1">
      <c r="AU137" s="57"/>
      <c r="AV137" s="64"/>
      <c r="AW137" s="64"/>
      <c r="AX137" s="64"/>
    </row>
    <row r="138" spans="47:50" ht="15.95" hidden="1" customHeight="1">
      <c r="AU138" s="57"/>
      <c r="AV138" s="64"/>
      <c r="AW138" s="64"/>
      <c r="AX138" s="64"/>
    </row>
    <row r="139" spans="47:50" ht="15.95" hidden="1" customHeight="1">
      <c r="AU139" s="57"/>
      <c r="AV139" s="64"/>
      <c r="AW139" s="64"/>
      <c r="AX139" s="64"/>
    </row>
    <row r="140" spans="47:50" ht="15.95" hidden="1" customHeight="1">
      <c r="AU140" s="57"/>
      <c r="AV140" s="64"/>
      <c r="AW140" s="64"/>
      <c r="AX140" s="64"/>
    </row>
    <row r="141" spans="47:50" ht="15.95" hidden="1" customHeight="1">
      <c r="AU141" s="57"/>
      <c r="AV141" s="64"/>
      <c r="AW141" s="64"/>
      <c r="AX141" s="64"/>
    </row>
    <row r="142" spans="47:50" ht="15.95" hidden="1" customHeight="1">
      <c r="AU142" s="57"/>
      <c r="AV142" s="64"/>
      <c r="AW142" s="64"/>
      <c r="AX142" s="64"/>
    </row>
    <row r="143" spans="47:50" ht="15.95" hidden="1" customHeight="1">
      <c r="AU143" s="57"/>
      <c r="AV143" s="64"/>
      <c r="AW143" s="64"/>
      <c r="AX143" s="64"/>
    </row>
    <row r="144" spans="47:50" ht="15.95" hidden="1" customHeight="1">
      <c r="AU144" s="57"/>
      <c r="AV144" s="64"/>
      <c r="AW144" s="64"/>
      <c r="AX144" s="64"/>
    </row>
    <row r="145" spans="47:50" ht="15.95" hidden="1" customHeight="1">
      <c r="AU145" s="57"/>
      <c r="AV145" s="64"/>
      <c r="AW145" s="64"/>
      <c r="AX145" s="64"/>
    </row>
    <row r="146" spans="47:50" ht="15.95" hidden="1" customHeight="1">
      <c r="AU146" s="57"/>
      <c r="AV146" s="64"/>
      <c r="AW146" s="64"/>
      <c r="AX146" s="64"/>
    </row>
    <row r="147" spans="47:50" ht="15.95" hidden="1" customHeight="1">
      <c r="AU147" s="57"/>
      <c r="AV147" s="64"/>
      <c r="AW147" s="64"/>
      <c r="AX147" s="64"/>
    </row>
    <row r="148" spans="47:50" ht="15.95" hidden="1" customHeight="1">
      <c r="AU148" s="57"/>
      <c r="AV148" s="64"/>
      <c r="AW148" s="64"/>
      <c r="AX148" s="64"/>
    </row>
    <row r="149" spans="47:50" ht="15.95" hidden="1" customHeight="1">
      <c r="AU149" s="57"/>
      <c r="AV149" s="64"/>
      <c r="AW149" s="64"/>
      <c r="AX149" s="64"/>
    </row>
    <row r="150" spans="47:50" ht="15.95" hidden="1" customHeight="1">
      <c r="AU150" s="57"/>
      <c r="AV150" s="64"/>
      <c r="AW150" s="64"/>
      <c r="AX150" s="64"/>
    </row>
    <row r="151" spans="47:50" ht="15.95" hidden="1" customHeight="1">
      <c r="AU151" s="57"/>
      <c r="AV151" s="64"/>
      <c r="AW151" s="64"/>
      <c r="AX151" s="64"/>
    </row>
    <row r="152" spans="47:50" ht="15.95" hidden="1" customHeight="1">
      <c r="AU152" s="57"/>
      <c r="AV152" s="64"/>
      <c r="AW152" s="64"/>
      <c r="AX152" s="64"/>
    </row>
    <row r="153" spans="47:50" ht="15.95" hidden="1" customHeight="1">
      <c r="AU153" s="57"/>
      <c r="AV153" s="64"/>
      <c r="AW153" s="64"/>
      <c r="AX153" s="64"/>
    </row>
    <row r="154" spans="47:50" ht="15.95" hidden="1" customHeight="1">
      <c r="AU154" s="57"/>
      <c r="AV154" s="64"/>
      <c r="AW154" s="64"/>
      <c r="AX154" s="64"/>
    </row>
    <row r="155" spans="47:50" ht="15.95" hidden="1" customHeight="1">
      <c r="AU155" s="57"/>
      <c r="AV155" s="64"/>
      <c r="AW155" s="64"/>
      <c r="AX155" s="64"/>
    </row>
    <row r="156" spans="47:50" ht="15.95" hidden="1" customHeight="1">
      <c r="AU156" s="57"/>
      <c r="AV156" s="64"/>
      <c r="AW156" s="64"/>
      <c r="AX156" s="64"/>
    </row>
    <row r="157" spans="47:50" ht="15.95" hidden="1" customHeight="1">
      <c r="AU157" s="57"/>
      <c r="AV157" s="64"/>
      <c r="AW157" s="64"/>
      <c r="AX157" s="64"/>
    </row>
    <row r="158" spans="47:50" ht="15.95" hidden="1" customHeight="1">
      <c r="AU158" s="57"/>
      <c r="AV158" s="64"/>
      <c r="AW158" s="64"/>
      <c r="AX158" s="64"/>
    </row>
    <row r="159" spans="47:50" ht="15.95" hidden="1" customHeight="1">
      <c r="AU159" s="57"/>
      <c r="AV159" s="64"/>
      <c r="AW159" s="64"/>
      <c r="AX159" s="64"/>
    </row>
    <row r="160" spans="47:50" ht="15.95" hidden="1" customHeight="1">
      <c r="AU160" s="57"/>
      <c r="AV160" s="64"/>
      <c r="AW160" s="64"/>
      <c r="AX160" s="64"/>
    </row>
    <row r="161" spans="47:50" ht="15.95" hidden="1" customHeight="1">
      <c r="AU161" s="57"/>
      <c r="AV161" s="64"/>
      <c r="AW161" s="64"/>
      <c r="AX161" s="64"/>
    </row>
    <row r="162" spans="47:50" ht="15.95" hidden="1" customHeight="1">
      <c r="AU162" s="57"/>
      <c r="AV162" s="64"/>
      <c r="AW162" s="64"/>
      <c r="AX162" s="64"/>
    </row>
    <row r="163" spans="47:50" ht="15.95" hidden="1" customHeight="1">
      <c r="AU163" s="57"/>
      <c r="AV163" s="64"/>
      <c r="AW163" s="64"/>
      <c r="AX163" s="64"/>
    </row>
    <row r="164" spans="47:50" ht="15.95" hidden="1" customHeight="1">
      <c r="AU164" s="57"/>
      <c r="AV164" s="64"/>
      <c r="AW164" s="64"/>
      <c r="AX164" s="64"/>
    </row>
    <row r="165" spans="47:50" ht="15.95" hidden="1" customHeight="1">
      <c r="AU165" s="57"/>
      <c r="AV165" s="64"/>
      <c r="AW165" s="64"/>
      <c r="AX165" s="64"/>
    </row>
    <row r="166" spans="47:50" ht="15.95" hidden="1" customHeight="1">
      <c r="AU166" s="57"/>
      <c r="AV166" s="64"/>
      <c r="AW166" s="64"/>
      <c r="AX166" s="64"/>
    </row>
    <row r="167" spans="47:50" ht="15.95" hidden="1" customHeight="1">
      <c r="AU167" s="57"/>
      <c r="AV167" s="64"/>
      <c r="AW167" s="64"/>
      <c r="AX167" s="64"/>
    </row>
    <row r="168" spans="47:50" ht="15.95" hidden="1" customHeight="1">
      <c r="AU168" s="57"/>
      <c r="AV168" s="64"/>
      <c r="AW168" s="64"/>
      <c r="AX168" s="64"/>
    </row>
    <row r="169" spans="47:50" ht="15.95" hidden="1" customHeight="1">
      <c r="AU169" s="57"/>
      <c r="AV169" s="64"/>
      <c r="AW169" s="64"/>
      <c r="AX169" s="64"/>
    </row>
    <row r="170" spans="47:50" ht="15.95" hidden="1" customHeight="1">
      <c r="AU170" s="57"/>
      <c r="AV170" s="64"/>
      <c r="AW170" s="64"/>
      <c r="AX170" s="64"/>
    </row>
    <row r="171" spans="47:50" ht="15.95" hidden="1" customHeight="1">
      <c r="AU171" s="57"/>
      <c r="AV171" s="64"/>
      <c r="AW171" s="64"/>
      <c r="AX171" s="64"/>
    </row>
    <row r="172" spans="47:50" ht="15.95" hidden="1" customHeight="1">
      <c r="AU172" s="57"/>
      <c r="AV172" s="64"/>
      <c r="AW172" s="64"/>
      <c r="AX172" s="64"/>
    </row>
    <row r="173" spans="47:50" ht="15.95" hidden="1" customHeight="1">
      <c r="AU173" s="57"/>
      <c r="AV173" s="64"/>
      <c r="AW173" s="64"/>
      <c r="AX173" s="64"/>
    </row>
    <row r="174" spans="47:50" ht="15.95" hidden="1" customHeight="1">
      <c r="AU174" s="57"/>
      <c r="AV174" s="64"/>
      <c r="AW174" s="64"/>
      <c r="AX174" s="64"/>
    </row>
    <row r="175" spans="47:50" ht="15.95" hidden="1" customHeight="1">
      <c r="AU175" s="57"/>
      <c r="AV175" s="64"/>
      <c r="AW175" s="64"/>
      <c r="AX175" s="64"/>
    </row>
    <row r="176" spans="47:50" ht="15.95" hidden="1" customHeight="1">
      <c r="AU176" s="57"/>
      <c r="AV176" s="64"/>
      <c r="AW176" s="64"/>
      <c r="AX176" s="64"/>
    </row>
    <row r="177" spans="47:50" ht="15.95" hidden="1" customHeight="1">
      <c r="AU177" s="57"/>
      <c r="AV177" s="64"/>
      <c r="AW177" s="64"/>
      <c r="AX177" s="64"/>
    </row>
    <row r="178" spans="47:50" ht="15.95" hidden="1" customHeight="1">
      <c r="AU178" s="57"/>
      <c r="AV178" s="64"/>
      <c r="AW178" s="64"/>
      <c r="AX178" s="64"/>
    </row>
    <row r="179" spans="47:50" ht="15.95" hidden="1" customHeight="1">
      <c r="AU179" s="57"/>
      <c r="AV179" s="64"/>
      <c r="AW179" s="64"/>
      <c r="AX179" s="64"/>
    </row>
    <row r="180" spans="47:50" ht="15.95" hidden="1" customHeight="1">
      <c r="AU180" s="57"/>
      <c r="AV180" s="64"/>
      <c r="AW180" s="64"/>
      <c r="AX180" s="64"/>
    </row>
    <row r="181" spans="47:50" ht="15.95" hidden="1" customHeight="1">
      <c r="AU181" s="57"/>
      <c r="AV181" s="64"/>
      <c r="AW181" s="64"/>
      <c r="AX181" s="64"/>
    </row>
    <row r="182" spans="47:50" ht="15.95" hidden="1" customHeight="1">
      <c r="AU182" s="57"/>
      <c r="AV182" s="64"/>
      <c r="AW182" s="64"/>
      <c r="AX182" s="64"/>
    </row>
    <row r="183" spans="47:50" ht="15.95" hidden="1" customHeight="1">
      <c r="AU183" s="57"/>
      <c r="AV183" s="64"/>
      <c r="AW183" s="64"/>
      <c r="AX183" s="64"/>
    </row>
    <row r="184" spans="47:50" ht="15.95" hidden="1" customHeight="1">
      <c r="AU184" s="57"/>
      <c r="AV184" s="64"/>
      <c r="AW184" s="64"/>
      <c r="AX184" s="64"/>
    </row>
    <row r="185" spans="47:50" ht="15.95" hidden="1" customHeight="1">
      <c r="AU185" s="57"/>
      <c r="AV185" s="64"/>
      <c r="AW185" s="64"/>
      <c r="AX185" s="64"/>
    </row>
    <row r="186" spans="47:50" ht="15.95" hidden="1" customHeight="1">
      <c r="AU186" s="57"/>
      <c r="AV186" s="64"/>
      <c r="AW186" s="64"/>
      <c r="AX186" s="64"/>
    </row>
    <row r="187" spans="47:50" ht="15.95" hidden="1" customHeight="1">
      <c r="AU187" s="57"/>
      <c r="AV187" s="64"/>
      <c r="AW187" s="64"/>
      <c r="AX187" s="64"/>
    </row>
    <row r="188" spans="47:50" ht="15.95" hidden="1" customHeight="1">
      <c r="AU188" s="57"/>
      <c r="AV188" s="64"/>
      <c r="AW188" s="64"/>
      <c r="AX188" s="64"/>
    </row>
    <row r="189" spans="47:50" ht="15.95" hidden="1" customHeight="1">
      <c r="AU189" s="57"/>
      <c r="AV189" s="64"/>
      <c r="AW189" s="64"/>
      <c r="AX189" s="64"/>
    </row>
    <row r="190" spans="47:50" ht="15.95" hidden="1" customHeight="1">
      <c r="AU190" s="57"/>
      <c r="AV190" s="64"/>
      <c r="AW190" s="64"/>
      <c r="AX190" s="64"/>
    </row>
    <row r="191" spans="47:50" ht="15.95" hidden="1" customHeight="1">
      <c r="AU191" s="57"/>
      <c r="AV191" s="64"/>
      <c r="AW191" s="64"/>
      <c r="AX191" s="64"/>
    </row>
    <row r="192" spans="47:50" ht="15.95" hidden="1" customHeight="1">
      <c r="AU192" s="57"/>
      <c r="AV192" s="64"/>
      <c r="AW192" s="64"/>
      <c r="AX192" s="64"/>
    </row>
    <row r="193" spans="1:53" ht="15.95" hidden="1" customHeight="1">
      <c r="AU193" s="57"/>
      <c r="AV193" s="64"/>
      <c r="AW193" s="64"/>
      <c r="AX193" s="64"/>
    </row>
    <row r="194" spans="1:53" ht="15.95" hidden="1" customHeight="1">
      <c r="AU194" s="57"/>
      <c r="AV194" s="64"/>
      <c r="AW194" s="64"/>
      <c r="AX194" s="64"/>
    </row>
    <row r="195" spans="1:53" ht="15.95" hidden="1" customHeight="1">
      <c r="AU195" s="57"/>
      <c r="AV195" s="64"/>
      <c r="AW195" s="64"/>
      <c r="AX195" s="64"/>
    </row>
    <row r="196" spans="1:53" ht="15.95" hidden="1" customHeight="1">
      <c r="AU196" s="57"/>
      <c r="AV196" s="64"/>
      <c r="AW196" s="64"/>
      <c r="AX196" s="64"/>
    </row>
    <row r="197" spans="1:53" ht="15.95" hidden="1" customHeight="1">
      <c r="AU197" s="57"/>
      <c r="AV197" s="64"/>
      <c r="AW197" s="64"/>
      <c r="AX197" s="64"/>
    </row>
    <row r="198" spans="1:53" ht="15.95" hidden="1" customHeight="1">
      <c r="AU198" s="57"/>
      <c r="AV198" s="64"/>
      <c r="AW198" s="64"/>
      <c r="AX198" s="64"/>
    </row>
    <row r="199" spans="1:53" ht="15.95" hidden="1" customHeight="1">
      <c r="AU199" s="57"/>
      <c r="AV199" s="64"/>
      <c r="AW199" s="64"/>
      <c r="AX199" s="64"/>
    </row>
    <row r="200" spans="1:53"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c r="AU200"/>
      <c r="AV200"/>
      <c r="AW200" s="1025">
        <f>SUM(AW18:AW37)</f>
        <v>0</v>
      </c>
      <c r="AX200" s="1025">
        <f>SUM(AX18:AX37)</f>
        <v>0</v>
      </c>
      <c r="BA200" s="1026">
        <f>SUM(BA18:BA37)</f>
        <v>0</v>
      </c>
    </row>
    <row r="201" spans="1:53"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c r="AU201"/>
      <c r="AV201"/>
      <c r="AW201" s="1025"/>
      <c r="AX201" s="1025"/>
      <c r="BA201" s="1027"/>
    </row>
    <row r="202" spans="1:53"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53" ht="15.95" hidden="1" customHeight="1"/>
    <row r="204" spans="1:53" ht="15.95" hidden="1" customHeight="1"/>
  </sheetData>
  <sheetProtection algorithmName="SHA-512" hashValue="yXRiLH5DedR0jVbSe/fjdSpGlVd8n3f+Eg4LgFeBnl+CZyKR7aHeqxl9pIkV/BPXJ3a4+FzcHvoarcn6Aentag==" saltValue="ifnDa/zbs09vP4HZVAEfWA==" spinCount="100000" sheet="1" objects="1" scenarios="1" selectLockedCells="1"/>
  <mergeCells count="409">
    <mergeCell ref="BL34:BL35"/>
    <mergeCell ref="BL36:BL37"/>
    <mergeCell ref="BL16:BL17"/>
    <mergeCell ref="BL18:BL19"/>
    <mergeCell ref="BL20:BL21"/>
    <mergeCell ref="BL22:BL23"/>
    <mergeCell ref="BL24:BL25"/>
    <mergeCell ref="BL26:BL27"/>
    <mergeCell ref="BL28:BL29"/>
    <mergeCell ref="BL30:BL31"/>
    <mergeCell ref="BL32:BL33"/>
    <mergeCell ref="BK34:BK35"/>
    <mergeCell ref="BK36:BK37"/>
    <mergeCell ref="BK16:BK17"/>
    <mergeCell ref="BK18:BK19"/>
    <mergeCell ref="BK20:BK21"/>
    <mergeCell ref="BK22:BK23"/>
    <mergeCell ref="BK24:BK25"/>
    <mergeCell ref="BK26:BK27"/>
    <mergeCell ref="BK28:BK29"/>
    <mergeCell ref="BK30:BK31"/>
    <mergeCell ref="BK32:BK33"/>
    <mergeCell ref="BG16:BG17"/>
    <mergeCell ref="BG18:BG19"/>
    <mergeCell ref="BG20:BG21"/>
    <mergeCell ref="BG22:BG23"/>
    <mergeCell ref="BG24:BG25"/>
    <mergeCell ref="BG26:BG27"/>
    <mergeCell ref="BG28:BG29"/>
    <mergeCell ref="BG30:BG31"/>
    <mergeCell ref="BG32:BG33"/>
    <mergeCell ref="BI30:BI31"/>
    <mergeCell ref="BA32:BA33"/>
    <mergeCell ref="BJ28:BJ29"/>
    <mergeCell ref="BJ30:BJ31"/>
    <mergeCell ref="BJ26:BJ27"/>
    <mergeCell ref="BA26:BA27"/>
    <mergeCell ref="BB26:BB27"/>
    <mergeCell ref="BC26:BC27"/>
    <mergeCell ref="AO5:AS6"/>
    <mergeCell ref="AO7:AS7"/>
    <mergeCell ref="AO8:AS8"/>
    <mergeCell ref="AW20:AW21"/>
    <mergeCell ref="AX20:AX21"/>
    <mergeCell ref="AW22:AW23"/>
    <mergeCell ref="AX22:AX23"/>
    <mergeCell ref="AW24:AW25"/>
    <mergeCell ref="AX24:AX25"/>
    <mergeCell ref="AV22:AV23"/>
    <mergeCell ref="BE30:BE31"/>
    <mergeCell ref="BF30:BF31"/>
    <mergeCell ref="BH30:BH31"/>
    <mergeCell ref="BD30:BD31"/>
    <mergeCell ref="AN30:AQ31"/>
    <mergeCell ref="AT30:AT31"/>
    <mergeCell ref="BJ36:BJ37"/>
    <mergeCell ref="BB36:BB37"/>
    <mergeCell ref="BC36:BC37"/>
    <mergeCell ref="BD36:BD37"/>
    <mergeCell ref="BE36:BE37"/>
    <mergeCell ref="BF36:BF37"/>
    <mergeCell ref="BI34:BI35"/>
    <mergeCell ref="BI36:BI37"/>
    <mergeCell ref="BF32:BF33"/>
    <mergeCell ref="BF34:BF35"/>
    <mergeCell ref="BH34:BH35"/>
    <mergeCell ref="BH36:BH37"/>
    <mergeCell ref="BE32:BE33"/>
    <mergeCell ref="BJ34:BJ35"/>
    <mergeCell ref="BJ32:BJ33"/>
    <mergeCell ref="BH32:BH33"/>
    <mergeCell ref="BI32:BI33"/>
    <mergeCell ref="BD32:BD33"/>
    <mergeCell ref="BG34:BG35"/>
    <mergeCell ref="BG36:BG37"/>
    <mergeCell ref="AB36:AC37"/>
    <mergeCell ref="AD36:AE37"/>
    <mergeCell ref="AU36:AU37"/>
    <mergeCell ref="AV36:AV37"/>
    <mergeCell ref="AY36:AY37"/>
    <mergeCell ref="AZ36:AZ37"/>
    <mergeCell ref="BA36:BA37"/>
    <mergeCell ref="AW36:AW37"/>
    <mergeCell ref="AX36:AX37"/>
    <mergeCell ref="L36:O37"/>
    <mergeCell ref="P36:Q37"/>
    <mergeCell ref="R36:S37"/>
    <mergeCell ref="BE34:BE35"/>
    <mergeCell ref="AW32:AW33"/>
    <mergeCell ref="AX32:AX33"/>
    <mergeCell ref="F34:K35"/>
    <mergeCell ref="L34:O35"/>
    <mergeCell ref="P34:Q35"/>
    <mergeCell ref="R34:S35"/>
    <mergeCell ref="T34:W35"/>
    <mergeCell ref="X34:Y35"/>
    <mergeCell ref="Z34:AA35"/>
    <mergeCell ref="AB34:AC35"/>
    <mergeCell ref="AD34:AE35"/>
    <mergeCell ref="AF36:AG37"/>
    <mergeCell ref="AH36:AJ37"/>
    <mergeCell ref="AK36:AM37"/>
    <mergeCell ref="AN36:AQ37"/>
    <mergeCell ref="AT36:AT37"/>
    <mergeCell ref="T36:W37"/>
    <mergeCell ref="AZ34:AZ35"/>
    <mergeCell ref="X36:Y37"/>
    <mergeCell ref="Z36:AA37"/>
    <mergeCell ref="BA34:BA35"/>
    <mergeCell ref="AU32:AU33"/>
    <mergeCell ref="AV32:AV33"/>
    <mergeCell ref="AY32:AY33"/>
    <mergeCell ref="BB32:BB33"/>
    <mergeCell ref="BC32:BC33"/>
    <mergeCell ref="AD32:AE33"/>
    <mergeCell ref="BD34:BD35"/>
    <mergeCell ref="AN34:AQ35"/>
    <mergeCell ref="AT34:AT35"/>
    <mergeCell ref="AU34:AU35"/>
    <mergeCell ref="AV34:AV35"/>
    <mergeCell ref="AY34:AY35"/>
    <mergeCell ref="BB34:BB35"/>
    <mergeCell ref="BC34:BC35"/>
    <mergeCell ref="AW34:AW35"/>
    <mergeCell ref="AX34:AX35"/>
    <mergeCell ref="AZ32:AZ33"/>
    <mergeCell ref="AF34:AG35"/>
    <mergeCell ref="AH34:AJ35"/>
    <mergeCell ref="AK34:AM35"/>
    <mergeCell ref="AF32:AG33"/>
    <mergeCell ref="AH32:AJ33"/>
    <mergeCell ref="AK32:AM33"/>
    <mergeCell ref="AY30:AY31"/>
    <mergeCell ref="AX30:AX31"/>
    <mergeCell ref="AW28:AW29"/>
    <mergeCell ref="AX28:AX29"/>
    <mergeCell ref="AW30:AW31"/>
    <mergeCell ref="BA30:BA31"/>
    <mergeCell ref="BB30:BB31"/>
    <mergeCell ref="BC30:BC31"/>
    <mergeCell ref="C30:E31"/>
    <mergeCell ref="F30:K31"/>
    <mergeCell ref="L30:O31"/>
    <mergeCell ref="P30:Q31"/>
    <mergeCell ref="R30:S31"/>
    <mergeCell ref="T30:W31"/>
    <mergeCell ref="X30:Y31"/>
    <mergeCell ref="Z30:AA31"/>
    <mergeCell ref="AB30:AC31"/>
    <mergeCell ref="AV30:AV31"/>
    <mergeCell ref="AZ30:AZ31"/>
    <mergeCell ref="AU30:AU31"/>
    <mergeCell ref="BE26:BE27"/>
    <mergeCell ref="BF26:BF27"/>
    <mergeCell ref="BH26:BH27"/>
    <mergeCell ref="BI26:BI27"/>
    <mergeCell ref="AZ28:AZ29"/>
    <mergeCell ref="BA28:BA29"/>
    <mergeCell ref="AF28:AG29"/>
    <mergeCell ref="AH28:AJ29"/>
    <mergeCell ref="AK28:AM29"/>
    <mergeCell ref="AN28:AQ29"/>
    <mergeCell ref="AT28:AT29"/>
    <mergeCell ref="BH28:BH29"/>
    <mergeCell ref="BI28:BI29"/>
    <mergeCell ref="AZ26:AZ27"/>
    <mergeCell ref="BB28:BB29"/>
    <mergeCell ref="BC28:BC29"/>
    <mergeCell ref="BD28:BD29"/>
    <mergeCell ref="BE28:BE29"/>
    <mergeCell ref="BF28:BF29"/>
    <mergeCell ref="AU28:AU29"/>
    <mergeCell ref="AV28:AV29"/>
    <mergeCell ref="AY28:AY29"/>
    <mergeCell ref="BI24:BI25"/>
    <mergeCell ref="BJ24:BJ25"/>
    <mergeCell ref="C26:E27"/>
    <mergeCell ref="F26:K27"/>
    <mergeCell ref="L26:O27"/>
    <mergeCell ref="P26:Q27"/>
    <mergeCell ref="R26:S27"/>
    <mergeCell ref="T26:W27"/>
    <mergeCell ref="X26:Y27"/>
    <mergeCell ref="Z26:AA27"/>
    <mergeCell ref="AB26:AC27"/>
    <mergeCell ref="AD26:AE27"/>
    <mergeCell ref="AF26:AG27"/>
    <mergeCell ref="AH26:AJ27"/>
    <mergeCell ref="AK26:AM27"/>
    <mergeCell ref="BB24:BB25"/>
    <mergeCell ref="BC24:BC25"/>
    <mergeCell ref="BD24:BD25"/>
    <mergeCell ref="L24:O25"/>
    <mergeCell ref="P24:Q25"/>
    <mergeCell ref="R24:S25"/>
    <mergeCell ref="BD26:BD27"/>
    <mergeCell ref="AN26:AQ27"/>
    <mergeCell ref="AT26:AT27"/>
    <mergeCell ref="BF22:BF23"/>
    <mergeCell ref="BH22:BH23"/>
    <mergeCell ref="BI22:BI23"/>
    <mergeCell ref="AZ24:AZ25"/>
    <mergeCell ref="BA24:BA25"/>
    <mergeCell ref="AF24:AG25"/>
    <mergeCell ref="AH24:AJ25"/>
    <mergeCell ref="AK24:AM25"/>
    <mergeCell ref="AN24:AQ25"/>
    <mergeCell ref="AT24:AT25"/>
    <mergeCell ref="BE24:BE25"/>
    <mergeCell ref="BF24:BF25"/>
    <mergeCell ref="AU24:AU25"/>
    <mergeCell ref="AV24:AV25"/>
    <mergeCell ref="AY24:AY25"/>
    <mergeCell ref="AZ22:AZ23"/>
    <mergeCell ref="BA22:BA23"/>
    <mergeCell ref="BB22:BB23"/>
    <mergeCell ref="BC22:BC23"/>
    <mergeCell ref="BD22:BD23"/>
    <mergeCell ref="AN22:AQ23"/>
    <mergeCell ref="AT22:AT23"/>
    <mergeCell ref="AU22:AU23"/>
    <mergeCell ref="BH24:BH25"/>
    <mergeCell ref="BI20:BI21"/>
    <mergeCell ref="BJ20:BJ21"/>
    <mergeCell ref="C22:E23"/>
    <mergeCell ref="F22:K23"/>
    <mergeCell ref="L22:O23"/>
    <mergeCell ref="P22:Q23"/>
    <mergeCell ref="R22:S23"/>
    <mergeCell ref="T22:W23"/>
    <mergeCell ref="X22:Y23"/>
    <mergeCell ref="Z22:AA23"/>
    <mergeCell ref="AB22:AC23"/>
    <mergeCell ref="AD22:AE23"/>
    <mergeCell ref="AF22:AG23"/>
    <mergeCell ref="AH22:AJ23"/>
    <mergeCell ref="AK22:AM23"/>
    <mergeCell ref="BB20:BB21"/>
    <mergeCell ref="BC20:BC21"/>
    <mergeCell ref="BD20:BD21"/>
    <mergeCell ref="BE20:BE21"/>
    <mergeCell ref="BF20:BF21"/>
    <mergeCell ref="AU20:AU21"/>
    <mergeCell ref="AV20:AV21"/>
    <mergeCell ref="AY20:AY21"/>
    <mergeCell ref="BE22:BE23"/>
    <mergeCell ref="BJ22:BJ23"/>
    <mergeCell ref="AZ20:AZ21"/>
    <mergeCell ref="BA20:BA21"/>
    <mergeCell ref="BJ18:BJ19"/>
    <mergeCell ref="C20:E21"/>
    <mergeCell ref="F20:K21"/>
    <mergeCell ref="L20:O21"/>
    <mergeCell ref="P20:Q21"/>
    <mergeCell ref="R20:S21"/>
    <mergeCell ref="T20:W21"/>
    <mergeCell ref="X20:Y21"/>
    <mergeCell ref="Z20:AA21"/>
    <mergeCell ref="AB20:AC21"/>
    <mergeCell ref="AD20:AE21"/>
    <mergeCell ref="AF20:AG21"/>
    <mergeCell ref="AH20:AJ21"/>
    <mergeCell ref="AK20:AM21"/>
    <mergeCell ref="AN20:AQ21"/>
    <mergeCell ref="AT20:AT21"/>
    <mergeCell ref="BD18:BD19"/>
    <mergeCell ref="BE18:BE19"/>
    <mergeCell ref="BF18:BF19"/>
    <mergeCell ref="BH18:BH19"/>
    <mergeCell ref="BI18:BI19"/>
    <mergeCell ref="BH20:BH21"/>
    <mergeCell ref="BI16:BI17"/>
    <mergeCell ref="BJ16:BJ17"/>
    <mergeCell ref="AD17:AE17"/>
    <mergeCell ref="AF17:AG17"/>
    <mergeCell ref="C18:E19"/>
    <mergeCell ref="F18:K19"/>
    <mergeCell ref="L18:O19"/>
    <mergeCell ref="P18:Q19"/>
    <mergeCell ref="R18:S19"/>
    <mergeCell ref="T18:W19"/>
    <mergeCell ref="X18:Y19"/>
    <mergeCell ref="Z18:AA19"/>
    <mergeCell ref="AB18:AC19"/>
    <mergeCell ref="AD18:AE19"/>
    <mergeCell ref="AF18:AG19"/>
    <mergeCell ref="AH18:AJ19"/>
    <mergeCell ref="BF16:BF17"/>
    <mergeCell ref="BH16:BH17"/>
    <mergeCell ref="BE16:BE17"/>
    <mergeCell ref="AW16:AW17"/>
    <mergeCell ref="AX16:AX17"/>
    <mergeCell ref="AW18:AW19"/>
    <mergeCell ref="BA16:BA17"/>
    <mergeCell ref="AP1:AS3"/>
    <mergeCell ref="C16:E17"/>
    <mergeCell ref="F16:K17"/>
    <mergeCell ref="L16:O17"/>
    <mergeCell ref="P16:Q17"/>
    <mergeCell ref="R16:S17"/>
    <mergeCell ref="T16:W17"/>
    <mergeCell ref="X16:Y17"/>
    <mergeCell ref="Z16:AA17"/>
    <mergeCell ref="AB16:AC17"/>
    <mergeCell ref="AD16:AG16"/>
    <mergeCell ref="F1:I3"/>
    <mergeCell ref="J1:M3"/>
    <mergeCell ref="AH1:AK3"/>
    <mergeCell ref="AL1:AO3"/>
    <mergeCell ref="A4:E6"/>
    <mergeCell ref="A7:E8"/>
    <mergeCell ref="H9:K11"/>
    <mergeCell ref="L9:O11"/>
    <mergeCell ref="P9:S11"/>
    <mergeCell ref="T9:W11"/>
    <mergeCell ref="X9:AA11"/>
    <mergeCell ref="AB9:AE11"/>
    <mergeCell ref="R14:U14"/>
    <mergeCell ref="AF9:AI11"/>
    <mergeCell ref="AJ9:AM11"/>
    <mergeCell ref="R12:U13"/>
    <mergeCell ref="V12:Y13"/>
    <mergeCell ref="Z12:AC13"/>
    <mergeCell ref="BD16:BD17"/>
    <mergeCell ref="B18:B19"/>
    <mergeCell ref="AK16:AM17"/>
    <mergeCell ref="AN16:AQ17"/>
    <mergeCell ref="AT16:AT17"/>
    <mergeCell ref="AK18:AM19"/>
    <mergeCell ref="AN18:AQ19"/>
    <mergeCell ref="AT18:AT19"/>
    <mergeCell ref="AU18:AU19"/>
    <mergeCell ref="AV18:AV19"/>
    <mergeCell ref="AY18:AY19"/>
    <mergeCell ref="AZ18:AZ19"/>
    <mergeCell ref="BA18:BA19"/>
    <mergeCell ref="BB18:BB19"/>
    <mergeCell ref="BC18:BC19"/>
    <mergeCell ref="AY16:AY17"/>
    <mergeCell ref="AZ16:AZ17"/>
    <mergeCell ref="B28:B29"/>
    <mergeCell ref="B26:B27"/>
    <mergeCell ref="B24:B25"/>
    <mergeCell ref="B22:B23"/>
    <mergeCell ref="AH16:AJ17"/>
    <mergeCell ref="B20:B21"/>
    <mergeCell ref="C24:E25"/>
    <mergeCell ref="F24:K25"/>
    <mergeCell ref="V14:Y14"/>
    <mergeCell ref="Z14:AC14"/>
    <mergeCell ref="T24:W25"/>
    <mergeCell ref="X24:Y25"/>
    <mergeCell ref="Z24:AA25"/>
    <mergeCell ref="AB24:AC25"/>
    <mergeCell ref="AD24:AE25"/>
    <mergeCell ref="C28:E29"/>
    <mergeCell ref="F28:K29"/>
    <mergeCell ref="L28:O29"/>
    <mergeCell ref="P28:Q29"/>
    <mergeCell ref="R28:S29"/>
    <mergeCell ref="T28:W29"/>
    <mergeCell ref="X28:Y29"/>
    <mergeCell ref="Z28:AA29"/>
    <mergeCell ref="AB28:AC29"/>
    <mergeCell ref="B46:B47"/>
    <mergeCell ref="B44:B45"/>
    <mergeCell ref="B42:B43"/>
    <mergeCell ref="B40:B41"/>
    <mergeCell ref="B38:B39"/>
    <mergeCell ref="B36:B37"/>
    <mergeCell ref="B34:B35"/>
    <mergeCell ref="B32:B33"/>
    <mergeCell ref="B30:B31"/>
    <mergeCell ref="C34:E35"/>
    <mergeCell ref="AN32:AQ33"/>
    <mergeCell ref="AT32:AT33"/>
    <mergeCell ref="C32:E33"/>
    <mergeCell ref="F32:K33"/>
    <mergeCell ref="L32:O33"/>
    <mergeCell ref="P32:Q33"/>
    <mergeCell ref="R32:S33"/>
    <mergeCell ref="T32:W33"/>
    <mergeCell ref="X32:Y33"/>
    <mergeCell ref="Z32:AA33"/>
    <mergeCell ref="AB32:AC33"/>
    <mergeCell ref="C36:E37"/>
    <mergeCell ref="F36:K37"/>
    <mergeCell ref="O1:AE3"/>
    <mergeCell ref="AW200:AW201"/>
    <mergeCell ref="AX200:AX201"/>
    <mergeCell ref="BA200:BA201"/>
    <mergeCell ref="BB16:BB17"/>
    <mergeCell ref="BC16:BC17"/>
    <mergeCell ref="AX18:AX19"/>
    <mergeCell ref="C13:P13"/>
    <mergeCell ref="M200:AG201"/>
    <mergeCell ref="AU16:AU17"/>
    <mergeCell ref="AV16:AV17"/>
    <mergeCell ref="AY22:AY23"/>
    <mergeCell ref="AU26:AU27"/>
    <mergeCell ref="AV26:AV27"/>
    <mergeCell ref="AY26:AY27"/>
    <mergeCell ref="AW26:AW27"/>
    <mergeCell ref="AX26:AX27"/>
    <mergeCell ref="AD28:AE29"/>
    <mergeCell ref="AD30:AE31"/>
    <mergeCell ref="AF30:AG31"/>
    <mergeCell ref="AH30:AJ31"/>
    <mergeCell ref="AK30:AM31"/>
  </mergeCells>
  <conditionalFormatting sqref="F20:AG37 F18:K19 AB18:AG19">
    <cfRule type="expression" dxfId="54" priority="8">
      <formula>AND(ISBLANK($C18)=FALSE,OR(ISBLANK(F18)=TRUE,F18=""))</formula>
    </cfRule>
  </conditionalFormatting>
  <conditionalFormatting sqref="AO8:AS8">
    <cfRule type="expression" dxfId="53" priority="7">
      <formula>IF($AO$8=PROJSTATMEASURE,FALSE,TRUE)</formula>
    </cfRule>
  </conditionalFormatting>
  <conditionalFormatting sqref="L18:AA19">
    <cfRule type="expression" dxfId="52" priority="6">
      <formula>AND(ISBLANK($C18)=FALSE,OR(ISBLANK(L18)=TRUE,L18=""))</formula>
    </cfRule>
  </conditionalFormatting>
  <conditionalFormatting sqref="AN18:AQ37">
    <cfRule type="expression" dxfId="51" priority="3">
      <formula>ISNUMBER($AN18)=FALSE</formula>
    </cfRule>
  </conditionalFormatting>
  <conditionalFormatting sqref="AY18:AY37">
    <cfRule type="expression" dxfId="50" priority="2">
      <formula>AND($AY18="",$F18&lt;&gt;"")</formula>
    </cfRule>
  </conditionalFormatting>
  <conditionalFormatting sqref="AZ18:AZ37">
    <cfRule type="expression" dxfId="49" priority="1">
      <formula>AND($AZ18="",$F18&lt;&gt;"")</formula>
    </cfRule>
  </conditionalFormatting>
  <dataValidations count="9">
    <dataValidation type="list" allowBlank="1" showInputMessage="1" showErrorMessage="1" sqref="F18:K37" xr:uid="{6C51751A-4B4C-407A-A586-EF36F944A8BB}">
      <formula1>CMECOOKDESC</formula1>
    </dataValidation>
    <dataValidation type="list" allowBlank="1" showInputMessage="1" showErrorMessage="1" prompt="Select the project type using the dropdown._x000a__x000a_If you want to change this field, delete the data in the &quot;Measure Type&quot; field first." sqref="C18:E37" xr:uid="{C20764FA-32EC-4D84-AAF3-9F419E36EBB0}">
      <formula1>IF($F18="",CUSTOMPROJECTTYPE,"")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8:AC37" xr:uid="{CFCB7C10-3C60-429B-9B3D-51B4DF439F78}">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F18:AG37" xr:uid="{7FBA2E00-ADBC-4931-80BD-AE3A70EFEA7A}">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D18:AE37" xr:uid="{4F57DDBF-B202-4BD4-9EDB-B38E361EC309}">
      <formula1>0</formula1>
      <formula2>999999999</formula2>
    </dataValidation>
    <dataValidation type="decimal" allowBlank="1" showInputMessage="1" showErrorMessage="1" sqref="X18:Y37 P18:Q37" xr:uid="{6EFE58E7-6C14-4823-9724-31330EBE1EEB}">
      <formula1>0</formula1>
      <formula2>999999</formula2>
    </dataValidation>
    <dataValidation type="list" allowBlank="1" showInputMessage="1" showErrorMessage="1" sqref="AZ18:AZ37" xr:uid="{D6685507-85B4-4E70-ADCD-E74D4A52A2CB}">
      <formula1>ENDUSECAT</formula1>
    </dataValidation>
    <dataValidation type="decimal" allowBlank="1" showInputMessage="1" showErrorMessage="1" prompt="Enter the annual kWh usage per unit of the new equipment." sqref="Z18:AA37" xr:uid="{4C0BD466-59B2-4C45-A1CE-BFD958E4D74B}">
      <formula1>0</formula1>
      <formula2>999999999</formula2>
    </dataValidation>
    <dataValidation type="decimal" allowBlank="1" showInputMessage="1" showErrorMessage="1" prompt="Enter the annual kWh usage per unit of the existing equipment." sqref="R18:S37" xr:uid="{E17F79D9-7EFC-46A1-BA21-6DADBA5FBCAF}">
      <formula1>0</formula1>
      <formula2>999999999</formula2>
    </dataValidation>
  </dataValidations>
  <hyperlinks>
    <hyperlink ref="H9:K11" location="'M03-S02'!C18" tooltip="Lighting" display="'M03-S02'!C18" xr:uid="{12038C9C-570D-4DF8-B6CF-34561554EE3C}"/>
    <hyperlink ref="L9:O11" location="'M03-S03'!C18" tooltip="Lighting Controls" display="'M03-S03'!C18" xr:uid="{A795E616-DEFA-49C9-BF16-610B15050F69}"/>
    <hyperlink ref="P9:S11" location="'M03-S04'!C18" tooltip="Refrigeration" display="'M03-S04'!C18" xr:uid="{475EFBE1-3BB2-4005-9887-7D392E806F39}"/>
    <hyperlink ref="T9:W11" location="'M03-S05'!C18" tooltip="HVAC" display="'M03-S05'!C18" xr:uid="{CF8A09B5-8176-47E7-AFAA-A06A9B7479B1}"/>
    <hyperlink ref="AB9:AE11" location="'M03-S06'!C18" tooltip="Compressed Air / Process" display="'M03-S06'!C18" xr:uid="{E4BED61F-4983-49A3-B232-35571F98BCF9}"/>
    <hyperlink ref="AF9:AI11" location="'M03-S07'!C18" tooltip="Water Heating / Cooking" display="'M03-S07'!C18" xr:uid="{B4EFE212-3E24-4D45-9F15-7FCAD0ECBDF4}"/>
    <hyperlink ref="X9:AA11" location="'M03-S08'!C18" tooltip="Motors and Drives" display="'M03-S08'!C18" xr:uid="{88F11BDB-6A11-498C-A29B-68688A3AA920}"/>
    <hyperlink ref="AJ9:AM11" location="'M04-S09'!C18" tooltip="Miscellaneous" display="'M04-S09'!C18" xr:uid="{03A8A441-3365-4A6A-9523-9E4C368BF3A3}"/>
    <hyperlink ref="J1:M3" location="'M01-S02'!J1" tooltip="Instructions" display="'M01-S02'!J1" xr:uid="{977081B2-3F05-4FB3-8522-FF6F40EEF696}"/>
    <hyperlink ref="AL1:AO3" location="'M05-S05'!AL1" tooltip=" " display="'M05-S05'!AL1" xr:uid="{BDCE2641-9EFE-46C5-ACD1-79B6582CF9E6}"/>
    <hyperlink ref="AH1:AK3" location="'M05-S04'!AH1" tooltip=" " display="'M05-S04'!AH1" xr:uid="{55BB0243-72F6-4975-B9B5-5AE865240B94}"/>
    <hyperlink ref="AP1:AS3" location="'M01-S03'!AP1" tooltip="Contact" display="'M01-S03'!AP1" xr:uid="{49318869-FAEA-437B-9B50-F47D14C70179}"/>
    <hyperlink ref="B202" r:id="rId1" xr:uid="{FF1C3A61-9798-4D6B-8CFE-DAA4BB03327F}"/>
  </hyperlinks>
  <printOptions horizontalCentered="1"/>
  <pageMargins left="0.25" right="0.25" top="0.25" bottom="0.25" header="0.25" footer="0.25"/>
  <pageSetup scale="62"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pageSetUpPr fitToPage="1"/>
  </sheetPr>
  <dimension ref="A1:BL206"/>
  <sheetViews>
    <sheetView showGridLines="0" showRowColHeaders="0" zoomScale="85" zoomScaleNormal="85" workbookViewId="0">
      <selection activeCell="C18" sqref="C18:E19"/>
    </sheetView>
  </sheetViews>
  <sheetFormatPr defaultColWidth="0" defaultRowHeight="0" customHeight="1" zeroHeight="1"/>
  <cols>
    <col min="1" max="45" width="4.7109375" style="36" customWidth="1"/>
    <col min="46" max="47" width="9.42578125" style="36" hidden="1" customWidth="1"/>
    <col min="48" max="48" width="15.7109375" style="36" hidden="1" customWidth="1"/>
    <col min="49" max="63" width="9.42578125" style="36" hidden="1" customWidth="1"/>
    <col min="64" max="64" width="9.7109375" style="36" hidden="1" customWidth="1"/>
    <col min="65" max="71" width="4.7109375" style="36" hidden="1" customWidth="1"/>
    <col min="72" max="16384" width="4.7109375" style="36" hidden="1"/>
  </cols>
  <sheetData>
    <row r="1" spans="1:64" customFormat="1"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c r="BG1" s="180"/>
    </row>
    <row r="2" spans="1:64"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c r="BG2" s="180"/>
    </row>
    <row r="3" spans="1:64"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c r="BG3" s="180"/>
    </row>
    <row r="4" spans="1:64" ht="15.95" customHeight="1">
      <c r="A4" s="773">
        <f>INCENTOTAL</f>
        <v>0</v>
      </c>
      <c r="B4" s="773"/>
      <c r="C4" s="773"/>
      <c r="D4" s="773"/>
      <c r="E4" s="773"/>
      <c r="U4" s="180"/>
      <c r="V4" s="180"/>
      <c r="W4" s="180"/>
      <c r="X4" s="180"/>
      <c r="Y4" s="180"/>
      <c r="AO4" s="180"/>
      <c r="AP4" s="180"/>
      <c r="AQ4" s="180"/>
      <c r="AR4" s="180"/>
      <c r="AS4" s="180"/>
    </row>
    <row r="5" spans="1:64" ht="15.95" customHeight="1">
      <c r="A5" s="1046"/>
      <c r="B5" s="1046"/>
      <c r="C5" s="1046"/>
      <c r="D5" s="1046"/>
      <c r="E5" s="1046"/>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117">
        <f ca="1">PROGRESSSTATUS</f>
        <v>0</v>
      </c>
      <c r="AP5" s="1117"/>
      <c r="AQ5" s="1117"/>
      <c r="AR5" s="1117"/>
      <c r="AS5" s="1117"/>
      <c r="AT5" s="40"/>
      <c r="AU5" s="194" t="s">
        <v>1438</v>
      </c>
      <c r="AV5" s="194" t="s">
        <v>336</v>
      </c>
      <c r="AW5" s="197"/>
      <c r="AX5" s="197"/>
    </row>
    <row r="6" spans="1:64" ht="15.95" customHeight="1">
      <c r="A6" s="1046"/>
      <c r="B6" s="1046"/>
      <c r="C6" s="1046"/>
      <c r="D6" s="1046"/>
      <c r="E6" s="104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117"/>
      <c r="AP6" s="1117"/>
      <c r="AQ6" s="1117"/>
      <c r="AR6" s="1117"/>
      <c r="AS6" s="1117"/>
      <c r="AT6" s="193" t="s">
        <v>1443</v>
      </c>
      <c r="AU6" s="192" t="str">
        <f>CBPRESE</f>
        <v>NA</v>
      </c>
      <c r="AV6" s="286" t="str">
        <f>PAYPRESE</f>
        <v>NA</v>
      </c>
      <c r="AW6" s="197"/>
      <c r="AX6" s="197"/>
    </row>
    <row r="7" spans="1:64"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c r="AT7" s="193" t="s">
        <v>144</v>
      </c>
      <c r="AU7" s="192" t="str">
        <f>CBCUSE</f>
        <v>NA</v>
      </c>
      <c r="AV7" s="286" t="str">
        <f>PAYCUSE</f>
        <v>NA</v>
      </c>
      <c r="AW7" s="197"/>
      <c r="AX7" s="197"/>
      <c r="AY7" s="191"/>
    </row>
    <row r="8" spans="1:64" ht="15.95" customHeight="1" thickBot="1">
      <c r="A8" s="774"/>
      <c r="B8" s="774"/>
      <c r="C8" s="774"/>
      <c r="D8" s="774"/>
      <c r="E8" s="725"/>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c r="AT8" s="193" t="s">
        <v>651</v>
      </c>
      <c r="AU8" s="192" t="str">
        <f>CBALL</f>
        <v>NA</v>
      </c>
      <c r="AV8" s="286" t="str">
        <f>PAYALL</f>
        <v>NA</v>
      </c>
      <c r="AW8" s="197"/>
      <c r="AX8" s="197"/>
    </row>
    <row r="9" spans="1:64" s="186" customFormat="1" ht="15.95" customHeight="1">
      <c r="B9" s="179"/>
      <c r="C9" s="179"/>
      <c r="D9" s="179"/>
      <c r="E9" s="397"/>
      <c r="F9" s="397"/>
      <c r="G9" s="181"/>
      <c r="H9" s="910" t="str">
        <f>M3S2</f>
        <v>Lighting</v>
      </c>
      <c r="I9" s="911"/>
      <c r="J9" s="911"/>
      <c r="K9" s="911"/>
      <c r="L9" s="910" t="str">
        <f>M3S3</f>
        <v>Lighting Controls</v>
      </c>
      <c r="M9" s="911"/>
      <c r="N9" s="911"/>
      <c r="O9" s="911"/>
      <c r="P9" s="910" t="str">
        <f>M3S4</f>
        <v>Refrigeration</v>
      </c>
      <c r="Q9" s="911"/>
      <c r="R9" s="911"/>
      <c r="S9" s="911"/>
      <c r="T9" s="910" t="str">
        <f>M3S5</f>
        <v>HVAC</v>
      </c>
      <c r="U9" s="911"/>
      <c r="V9" s="911"/>
      <c r="W9" s="911"/>
      <c r="X9" s="910" t="str">
        <f>M4S8</f>
        <v>Motors and Drives</v>
      </c>
      <c r="Y9" s="911"/>
      <c r="Z9" s="911"/>
      <c r="AA9" s="911"/>
      <c r="AB9" s="910" t="str">
        <f>M3S6</f>
        <v>Compressed Air / Process</v>
      </c>
      <c r="AC9" s="911"/>
      <c r="AD9" s="911"/>
      <c r="AE9" s="911"/>
      <c r="AF9" s="910" t="str">
        <f>M3S7</f>
        <v>Water Heating / Food Services</v>
      </c>
      <c r="AG9" s="911"/>
      <c r="AH9" s="911"/>
      <c r="AI9" s="911"/>
      <c r="AJ9" s="913" t="str">
        <f>M4S9</f>
        <v>Miscellaneous</v>
      </c>
      <c r="AK9" s="913"/>
      <c r="AL9" s="913"/>
      <c r="AM9" s="913"/>
      <c r="AN9" s="179"/>
      <c r="AO9" s="351"/>
      <c r="AP9" s="37"/>
      <c r="AQ9" s="352"/>
      <c r="AR9" s="352"/>
      <c r="AS9" s="353"/>
    </row>
    <row r="10" spans="1:64" s="186" customFormat="1" ht="15.95" customHeight="1">
      <c r="B10" s="152"/>
      <c r="C10" s="152"/>
      <c r="D10" s="152"/>
      <c r="E10" s="187"/>
      <c r="F10" s="187"/>
      <c r="G10" s="183"/>
      <c r="H10" s="912"/>
      <c r="I10" s="912"/>
      <c r="J10" s="912"/>
      <c r="K10" s="912"/>
      <c r="L10" s="912"/>
      <c r="M10" s="912"/>
      <c r="N10" s="912"/>
      <c r="O10" s="912"/>
      <c r="P10" s="912"/>
      <c r="Q10" s="912"/>
      <c r="R10" s="912"/>
      <c r="S10" s="912"/>
      <c r="T10" s="912"/>
      <c r="U10" s="912"/>
      <c r="V10" s="912"/>
      <c r="W10" s="912"/>
      <c r="X10" s="912"/>
      <c r="Y10" s="912"/>
      <c r="Z10" s="912"/>
      <c r="AA10" s="912"/>
      <c r="AB10" s="912"/>
      <c r="AC10" s="912"/>
      <c r="AD10" s="912"/>
      <c r="AE10" s="912"/>
      <c r="AF10" s="912"/>
      <c r="AG10" s="912"/>
      <c r="AH10" s="912"/>
      <c r="AI10" s="912"/>
      <c r="AJ10" s="914"/>
      <c r="AK10" s="914"/>
      <c r="AL10" s="914"/>
      <c r="AM10" s="914"/>
      <c r="AN10" s="152"/>
      <c r="AO10" s="261"/>
      <c r="AP10" s="37"/>
      <c r="AQ10" s="344"/>
      <c r="AR10" s="344"/>
      <c r="AS10" s="353"/>
    </row>
    <row r="11" spans="1:64" ht="15.95" customHeight="1">
      <c r="B11" s="184"/>
      <c r="C11" s="184"/>
      <c r="D11" s="184"/>
      <c r="E11" s="395"/>
      <c r="F11" s="395"/>
      <c r="G11" s="13"/>
      <c r="H11" s="912"/>
      <c r="I11" s="912"/>
      <c r="J11" s="912"/>
      <c r="K11" s="912"/>
      <c r="L11" s="912"/>
      <c r="M11" s="912"/>
      <c r="N11" s="912"/>
      <c r="O11" s="912"/>
      <c r="P11" s="912"/>
      <c r="Q11" s="912"/>
      <c r="R11" s="912"/>
      <c r="S11" s="912"/>
      <c r="T11" s="912"/>
      <c r="U11" s="912"/>
      <c r="V11" s="912"/>
      <c r="W11" s="912"/>
      <c r="X11" s="912"/>
      <c r="Y11" s="912"/>
      <c r="Z11" s="912"/>
      <c r="AA11" s="912"/>
      <c r="AB11" s="912"/>
      <c r="AC11" s="912"/>
      <c r="AD11" s="912"/>
      <c r="AE11" s="912"/>
      <c r="AF11" s="912"/>
      <c r="AG11" s="912"/>
      <c r="AH11" s="912"/>
      <c r="AI11" s="912"/>
      <c r="AJ11" s="914"/>
      <c r="AK11" s="914"/>
      <c r="AL11" s="914"/>
      <c r="AM11" s="914"/>
      <c r="AN11" s="394"/>
      <c r="AO11" s="261"/>
      <c r="AP11" s="37"/>
      <c r="AQ11" s="337"/>
      <c r="AR11" s="337"/>
      <c r="AS11" s="37"/>
    </row>
    <row r="12" spans="1:64" ht="15.95" customHeight="1">
      <c r="A12" s="185"/>
      <c r="B12" s="185"/>
      <c r="C12" s="185"/>
      <c r="D12" s="185"/>
      <c r="E12" s="185"/>
      <c r="R12" s="916">
        <f>SUM(AN18:AQ184)</f>
        <v>0</v>
      </c>
      <c r="S12" s="916"/>
      <c r="T12" s="916"/>
      <c r="U12" s="916"/>
      <c r="V12" s="916">
        <f ca="1">SUMIF(AN18:AQ184,"&gt;0",AH18:AJ184)</f>
        <v>0</v>
      </c>
      <c r="W12" s="916"/>
      <c r="X12" s="916"/>
      <c r="Y12" s="916"/>
      <c r="Z12" s="915">
        <f ca="1">SUMIF(AN18:AQ184,"&gt;0",AK18:AM184)</f>
        <v>0</v>
      </c>
      <c r="AA12" s="915"/>
      <c r="AB12" s="915"/>
      <c r="AC12" s="915"/>
      <c r="AO12" s="37"/>
      <c r="AP12" s="37"/>
      <c r="AQ12" s="37"/>
      <c r="AR12" s="37"/>
      <c r="AS12" s="37"/>
    </row>
    <row r="13" spans="1:64" ht="15.95" customHeight="1">
      <c r="A13" s="185"/>
      <c r="B13" s="185"/>
      <c r="C13" s="860" t="s">
        <v>2137</v>
      </c>
      <c r="D13" s="860"/>
      <c r="E13" s="860"/>
      <c r="F13" s="860"/>
      <c r="G13" s="860"/>
      <c r="H13" s="860"/>
      <c r="I13" s="860"/>
      <c r="J13" s="860"/>
      <c r="K13" s="860"/>
      <c r="L13" s="860"/>
      <c r="M13" s="860"/>
      <c r="N13" s="860"/>
      <c r="O13" s="860"/>
      <c r="P13" s="860"/>
      <c r="R13" s="916"/>
      <c r="S13" s="916"/>
      <c r="T13" s="916"/>
      <c r="U13" s="916"/>
      <c r="V13" s="916"/>
      <c r="W13" s="916"/>
      <c r="X13" s="916"/>
      <c r="Y13" s="916"/>
      <c r="Z13" s="915"/>
      <c r="AA13" s="915"/>
      <c r="AB13" s="915"/>
      <c r="AC13" s="915"/>
      <c r="AO13" s="37"/>
      <c r="AP13" s="37"/>
      <c r="AQ13" s="37"/>
      <c r="AR13" s="37"/>
      <c r="AS13" s="37"/>
    </row>
    <row r="14" spans="1:64" ht="15.95" customHeight="1">
      <c r="C14" s="180"/>
      <c r="D14" s="180"/>
      <c r="E14" s="180"/>
      <c r="F14" s="180"/>
      <c r="G14" s="180"/>
      <c r="H14" s="180"/>
      <c r="I14" s="180"/>
      <c r="J14" s="180"/>
      <c r="K14" s="180"/>
      <c r="L14" s="180"/>
      <c r="M14" s="180"/>
      <c r="N14" s="180"/>
      <c r="O14" s="180"/>
      <c r="P14" s="180"/>
      <c r="R14" s="860" t="s">
        <v>1979</v>
      </c>
      <c r="S14" s="860"/>
      <c r="T14" s="860"/>
      <c r="U14" s="860"/>
      <c r="V14" s="860" t="s">
        <v>67</v>
      </c>
      <c r="W14" s="860"/>
      <c r="X14" s="860"/>
      <c r="Y14" s="860"/>
      <c r="Z14" s="860" t="s">
        <v>1248</v>
      </c>
      <c r="AA14" s="860"/>
      <c r="AB14" s="860"/>
      <c r="AC14" s="860"/>
      <c r="AO14" s="37"/>
      <c r="AP14" s="37"/>
      <c r="AQ14" s="37"/>
      <c r="AR14" s="37"/>
      <c r="AS14" s="37"/>
    </row>
    <row r="15" spans="1:64" ht="15.95" customHeight="1">
      <c r="AO15" s="37"/>
      <c r="AP15" s="37"/>
      <c r="AQ15" s="37"/>
      <c r="AR15" s="37"/>
      <c r="AS15" s="37"/>
    </row>
    <row r="16" spans="1:64" ht="15.95" customHeight="1">
      <c r="C16" s="836" t="s">
        <v>1429</v>
      </c>
      <c r="D16" s="836"/>
      <c r="E16" s="836"/>
      <c r="F16" s="836" t="s">
        <v>1350</v>
      </c>
      <c r="G16" s="836"/>
      <c r="H16" s="836"/>
      <c r="I16" s="836"/>
      <c r="J16" s="836"/>
      <c r="K16" s="836"/>
      <c r="L16" s="836" t="s">
        <v>1430</v>
      </c>
      <c r="M16" s="836"/>
      <c r="N16" s="836"/>
      <c r="O16" s="836"/>
      <c r="P16" s="836" t="s">
        <v>74</v>
      </c>
      <c r="Q16" s="836"/>
      <c r="R16" s="836" t="s">
        <v>1431</v>
      </c>
      <c r="S16" s="836"/>
      <c r="T16" s="836" t="s">
        <v>1432</v>
      </c>
      <c r="U16" s="836"/>
      <c r="V16" s="836"/>
      <c r="W16" s="836"/>
      <c r="X16" s="836" t="s">
        <v>74</v>
      </c>
      <c r="Y16" s="836"/>
      <c r="Z16" s="836" t="s">
        <v>1431</v>
      </c>
      <c r="AA16" s="836"/>
      <c r="AB16" s="836" t="s">
        <v>1433</v>
      </c>
      <c r="AC16" s="836"/>
      <c r="AD16" s="1134" t="s">
        <v>1377</v>
      </c>
      <c r="AE16" s="1134"/>
      <c r="AF16" s="1134"/>
      <c r="AG16" s="1134"/>
      <c r="AH16" s="836" t="s">
        <v>1425</v>
      </c>
      <c r="AI16" s="836"/>
      <c r="AJ16" s="836"/>
      <c r="AK16" s="836" t="s">
        <v>1187</v>
      </c>
      <c r="AL16" s="836"/>
      <c r="AM16" s="836"/>
      <c r="AN16" s="836" t="s">
        <v>83</v>
      </c>
      <c r="AO16" s="908"/>
      <c r="AP16" s="908"/>
      <c r="AQ16" s="908"/>
      <c r="AR16" s="354"/>
      <c r="AS16" s="354"/>
      <c r="AT16" s="858" t="s">
        <v>141</v>
      </c>
      <c r="AU16" s="858" t="s">
        <v>336</v>
      </c>
      <c r="AV16" s="858" t="s">
        <v>1195</v>
      </c>
      <c r="AW16" s="858" t="s">
        <v>699</v>
      </c>
      <c r="AX16" s="858" t="s">
        <v>1376</v>
      </c>
      <c r="AY16" s="858" t="s">
        <v>88</v>
      </c>
      <c r="AZ16" s="858" t="s">
        <v>1426</v>
      </c>
      <c r="BA16" s="858" t="s">
        <v>1428</v>
      </c>
      <c r="BB16" s="858" t="s">
        <v>1645</v>
      </c>
      <c r="BC16" s="1030" t="s">
        <v>2495</v>
      </c>
      <c r="BD16" s="1030" t="s">
        <v>780</v>
      </c>
      <c r="BE16" s="858" t="s">
        <v>1982</v>
      </c>
      <c r="BF16" s="858" t="s">
        <v>1983</v>
      </c>
      <c r="BG16" s="858" t="s">
        <v>2046</v>
      </c>
      <c r="BH16" s="858" t="s">
        <v>85</v>
      </c>
      <c r="BI16" s="1132" t="s">
        <v>1427</v>
      </c>
      <c r="BJ16" s="1132" t="s">
        <v>319</v>
      </c>
      <c r="BK16" s="932" t="s">
        <v>2500</v>
      </c>
      <c r="BL16" s="932" t="s">
        <v>2893</v>
      </c>
    </row>
    <row r="17" spans="1:64" ht="15.95" customHeight="1" thickBot="1">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7"/>
      <c r="AD17" s="837" t="s">
        <v>1353</v>
      </c>
      <c r="AE17" s="837"/>
      <c r="AF17" s="837" t="s">
        <v>1354</v>
      </c>
      <c r="AG17" s="837"/>
      <c r="AH17" s="837"/>
      <c r="AI17" s="837"/>
      <c r="AJ17" s="837"/>
      <c r="AK17" s="837"/>
      <c r="AL17" s="837"/>
      <c r="AM17" s="837"/>
      <c r="AN17" s="837"/>
      <c r="AO17" s="909"/>
      <c r="AP17" s="909"/>
      <c r="AQ17" s="909"/>
      <c r="AR17" s="355"/>
      <c r="AS17" s="355"/>
      <c r="AT17" s="859"/>
      <c r="AU17" s="859"/>
      <c r="AV17" s="859"/>
      <c r="AW17" s="859"/>
      <c r="AX17" s="859"/>
      <c r="AY17" s="859"/>
      <c r="AZ17" s="859"/>
      <c r="BA17" s="859"/>
      <c r="BB17" s="859"/>
      <c r="BC17" s="1031"/>
      <c r="BD17" s="1031"/>
      <c r="BE17" s="859"/>
      <c r="BF17" s="859"/>
      <c r="BG17" s="859"/>
      <c r="BH17" s="859"/>
      <c r="BI17" s="1133"/>
      <c r="BJ17" s="1133"/>
      <c r="BK17" s="933"/>
      <c r="BL17" s="933"/>
    </row>
    <row r="18" spans="1:64" ht="15.95" customHeight="1">
      <c r="B18" s="905">
        <v>1</v>
      </c>
      <c r="C18" s="1036"/>
      <c r="D18" s="1036"/>
      <c r="E18" s="1036"/>
      <c r="F18" s="1036"/>
      <c r="G18" s="1036"/>
      <c r="H18" s="1036"/>
      <c r="I18" s="1036"/>
      <c r="J18" s="1036"/>
      <c r="K18" s="1038"/>
      <c r="L18" s="1146"/>
      <c r="M18" s="1145"/>
      <c r="N18" s="1145"/>
      <c r="O18" s="1145"/>
      <c r="P18" s="1142"/>
      <c r="Q18" s="1142"/>
      <c r="R18" s="1142"/>
      <c r="S18" s="1151"/>
      <c r="T18" s="1146"/>
      <c r="U18" s="1145"/>
      <c r="V18" s="1145"/>
      <c r="W18" s="1145"/>
      <c r="X18" s="1142"/>
      <c r="Y18" s="1142"/>
      <c r="Z18" s="1142"/>
      <c r="AA18" s="1151"/>
      <c r="AB18" s="1154" t="str">
        <f>IF(OR(C18="New Construction",C18="Replace Failed Equip."),"Incremental",IF(C18="Retrofit","Total",""))</f>
        <v/>
      </c>
      <c r="AC18" s="1155"/>
      <c r="AD18" s="1124"/>
      <c r="AE18" s="1124"/>
      <c r="AF18" s="1125" t="str">
        <f>IF(AB18="Incremental",0,"")</f>
        <v/>
      </c>
      <c r="AG18" s="1126"/>
      <c r="AH18" s="1067" t="str">
        <f>IF(OR(C18="",F18="",L18="",P18="",R18="",T18="",X18="",Z18="",AB18="",AD18="",AF18=""),"",ROUND(AD18+AF18,2))</f>
        <v/>
      </c>
      <c r="AI18" s="1068"/>
      <c r="AJ18" s="1068"/>
      <c r="AK18" s="1081" t="str">
        <f>IF(OR(C18="",F18="",L18="",P18="",R18="",T18="",X18="",Z18="",AB18="",AD18="",AF18=""),"",IF(AW18-AX18&lt;=0,0,ROUND(AW18-AX18,4)))</f>
        <v/>
      </c>
      <c r="AL18" s="1081"/>
      <c r="AM18" s="1081"/>
      <c r="AN18" s="1047" t="str">
        <f>IF(OR(C18="",F18="",L18="",P18="",R18="",T18="",X18="",Z18="",AB18="",AD18="",AF18=""),"",
IF(BJ18&lt;&gt;"",BJ18,IF(BL18&gt;0,BL18,
IF(AB18="Incremental",
IF(ACTIVEBLOCK="Yes",ROUND(MIN(AH18*INCCOSTCAP,AK18*BLOCKBIDRATE),2),
IF(BG18&lt;&gt;"",ROUND(MIN(AH18*INCCOSTCAP,BG18),2),
IF(BD18&lt;KWHRATEMIN,ROUND(MIN(AH18*INCCOSTCAP,BE18),2),
IF(BD18&gt;KWHRATEMAX,ROUND(MIN(AH18*INCCOSTCAP,BF18),2),
ROUND(MIN(AH18*INCCOSTCAP,BC18),2))))),
IF(ACTIVEBLOCK="Yes",ROUND(MIN(AH18*TOTCOSTCAP,AK18*BLOCKBIDRATE),2),
IF(BG18&lt;&gt;"",ROUND(MIN(AH18*TOTCOSTCAP,BG18),2),
IF(BD18&lt;KWHRATEMIN,ROUND(MIN(AH18*TOTCOSTCAP,BE18),2),
IF(BD18&gt;KWHRATEMAX,ROUND(MIN(AH18*TOTCOSTCAP,BF18),2),
ROUND(MIN(AH18*TOTCOSTCAP,BC18),2)))))))))</f>
        <v/>
      </c>
      <c r="AO18" s="1048"/>
      <c r="AP18" s="1048"/>
      <c r="AQ18" s="1048"/>
      <c r="AR18" s="355"/>
      <c r="AS18" s="355"/>
      <c r="AT18" s="1112" t="str">
        <f>IFERROR(IF(OR(C18="",F18="",L18="",P18="",R18="",T18="",X18="",Z18="",AB18="",AD18="",AF18=""),"",
ROUND(((1+ELOSS)*((AK18*INDEX(ELECCB[NPV AEC $/kWh],MATCH(AY18,ELECCB[Year Number],1)))+(BA18*INDEX(ELECCB[NPV ACC $/kW],MATCH(AY18,ELECCB[Year Number],1))))/AH18),2)),0)</f>
        <v/>
      </c>
      <c r="AU18" s="1112" t="str">
        <f>IFERROR(AH18/M02S04F06/AK18,"")</f>
        <v/>
      </c>
      <c r="AV18" s="1108" t="str">
        <f>IF(OR(C18="",F18=""),"",INDEX(CMEMISC[Unit of Measure],MATCH(F18,CMEMISC[Proj Desc 1],0)))</f>
        <v/>
      </c>
      <c r="AW18" s="1103" t="str">
        <f>IF(OR(C18="",F18="",L18="",P18="",R18="",T18="",X18="",Z18="",AB18="",AD18="",AF18=""),"",ROUND(P18*R18,4))</f>
        <v/>
      </c>
      <c r="AX18" s="1103" t="str">
        <f>IF(OR(C18="",F18="",L18="",P18="",R18="",T18="",X18="",Z18="",AB18="",AD18="",AF18=""),"",ROUND(X18*Z18,4))</f>
        <v/>
      </c>
      <c r="AY18" s="1113" t="str">
        <f>IF(OR(C18="",F18=""),"",IF(INDEX(CMEMISC[EUL],MATCH(F18,CMEMISC[Proj Desc 1],0))="","",INDEX(CMEMISC[EUL],MATCH(F18,CMEMISC[Proj Desc 1],0))))</f>
        <v/>
      </c>
      <c r="AZ18" s="1115" t="str">
        <f>IF(OR(C18="",F18=""),"",IF(INDEX(CMEMISC[End Use Category],MATCH(F18,CMEMISC[Proj Desc 1],0))="","",INDEX(CMEMISC[End Use Category],MATCH(F18,CMEMISC[Proj Desc 1],0))))</f>
        <v/>
      </c>
      <c r="BA18" s="1027" t="str">
        <f>IFERROR(IF(OR(C18="",F18="",L18="",P18="",R18="",T18="",X18="",Z18="",AB18="",AD18="",AF18=""),"",ROUND(AK18*INDEX(ENDUSEALL[Factor],MATCH(AZ18,ENDUSEALL[End Use to Coincident Peak Demand Factors],0)),4)),"")</f>
        <v/>
      </c>
      <c r="BB18" s="1120"/>
      <c r="BC18" s="930" t="str">
        <f>IFERROR(ROUND(AK18*BD18,2),"")</f>
        <v/>
      </c>
      <c r="BD18" s="930" t="str">
        <f>IFERROR(INDEX(ENDUSEALL[Rate ($/kWh)],MATCH(AZ18,ENDUSEALL[End Use to Coincident Peak Demand Factors],0)),"")</f>
        <v/>
      </c>
      <c r="BE18" s="930" t="str">
        <f>IFERROR(ROUND(AK18*KWHRATEMIN,2),"")</f>
        <v/>
      </c>
      <c r="BF18" s="930" t="str">
        <f>IFERROR(ROUND(AK18*KWHRATEMAX,2),"")</f>
        <v/>
      </c>
      <c r="BG18" s="930" t="str">
        <f>IFERROR(IF(INDEX(ENDUSEALL[Bonus Rate ($/kWh)],MATCH(AZ18,ENDUSEALL[End Use to Coincident Peak Demand Factors],0))="","",INDEX(ENDUSEALL[Bonus Rate ($/kWh)],MATCH(AZ18,ENDUSEALL[End Use to Coincident Peak Demand Factors],0))*AK18),"")</f>
        <v/>
      </c>
      <c r="BH18" s="1106" t="str">
        <f>IF(OR(C18="",F18="",L18="",P18="",R18="",T18="",X18="",Z18="",AB18="",AD18="",AF18=""),"",IF(BJ18&lt;&gt;"",SPILLOVERNUMBER,INDEX(CMEMISC[Measure Number],MATCH(F18,CMEMISC[Proj Desc 1],0))))</f>
        <v/>
      </c>
      <c r="BI18" s="1108" t="str">
        <f>IFERROR(IF(AND(AB18="Total",ROUND(AN18/AH18,2)=TOTCOSTCAP),"75% Total Cost",
IF(AND(AB18="Incremental",AH18=AN18),"100% Incremental Cost",
IF(BD18&lt;KWHRATEMIN, "kWh Incentive Rate Min",
IF(BD18&gt;KWHRATEMAX,"kWh Incentive Rate Cap",
IF(AN18=BG18,"Bonus Incentive",
"kWh Incentive"))))),"")</f>
        <v/>
      </c>
      <c r="BJ18" s="1108" t="str">
        <f ca="1">IFERROR(IF(EXPIRATION&lt;&gt;"",PROJSTATEXP,
IF(BL18&gt;0,"",
IF(AW18-AX18&lt;=0,MEASURESAVE,
IF(OR(M02S04F06="",M02S04F06="Select Rate Code",M02S04F06=0),MEASURERATE,
IF(AND((ISNUMBER(SEARCH("Other",F18))),OR(AY18="",AZ18="")),MEASURESUBMIT,
 IF(PAYCUSE&lt;PAYBACKREQ,PROJECTSTATPAYBACK,
IF(CBCUSE&lt;CBREQ,PROJECTSTATCB,""))))))),MEASURESUBMIT)</f>
        <v>Submit for Review</v>
      </c>
      <c r="BK18" s="930" t="str">
        <f>IFERROR(IF(OR(C18="",F18="",L18="",P18="",R18="",T18="",X18="",Z18="",AB18="",AD18="",AF18=""),"",
ROUND(((1+ELOSS)*((AK18*INDEX(ELECCB[NPV AEC $/kWh],MATCH(AY18,ELECCB[Year Number],1)))+(BA18*INDEX(ELECCB[NPV ACC $/kW],MATCH(AY18,ELECCB[Year Number],1))))),2)),0)</f>
        <v/>
      </c>
      <c r="BL18" s="1118"/>
    </row>
    <row r="19" spans="1:64" ht="15.95" customHeight="1">
      <c r="B19" s="905"/>
      <c r="C19" s="1037"/>
      <c r="D19" s="1037"/>
      <c r="E19" s="1037"/>
      <c r="F19" s="1037"/>
      <c r="G19" s="1037"/>
      <c r="H19" s="1037"/>
      <c r="I19" s="1037"/>
      <c r="J19" s="1037"/>
      <c r="K19" s="1039"/>
      <c r="L19" s="1040"/>
      <c r="M19" s="1037"/>
      <c r="N19" s="1037"/>
      <c r="O19" s="1037"/>
      <c r="P19" s="1041"/>
      <c r="Q19" s="1041"/>
      <c r="R19" s="1041"/>
      <c r="S19" s="1152"/>
      <c r="T19" s="1040"/>
      <c r="U19" s="1037"/>
      <c r="V19" s="1037"/>
      <c r="W19" s="1037"/>
      <c r="X19" s="1041"/>
      <c r="Y19" s="1041"/>
      <c r="Z19" s="1041"/>
      <c r="AA19" s="1152"/>
      <c r="AB19" s="1156"/>
      <c r="AC19" s="1157"/>
      <c r="AD19" s="1054"/>
      <c r="AE19" s="1054"/>
      <c r="AF19" s="1127"/>
      <c r="AG19" s="1128"/>
      <c r="AH19" s="1064"/>
      <c r="AI19" s="1065"/>
      <c r="AJ19" s="1065"/>
      <c r="AK19" s="1066"/>
      <c r="AL19" s="1066"/>
      <c r="AM19" s="1066"/>
      <c r="AN19" s="1049"/>
      <c r="AO19" s="1050"/>
      <c r="AP19" s="1050"/>
      <c r="AQ19" s="1050"/>
      <c r="AR19" s="355"/>
      <c r="AS19" s="355"/>
      <c r="AT19" s="1104"/>
      <c r="AU19" s="1104"/>
      <c r="AV19" s="1105"/>
      <c r="AW19" s="1025"/>
      <c r="AX19" s="1025"/>
      <c r="AY19" s="1114"/>
      <c r="AZ19" s="1116"/>
      <c r="BA19" s="1109"/>
      <c r="BB19" s="1121"/>
      <c r="BC19" s="931"/>
      <c r="BD19" s="931"/>
      <c r="BE19" s="931"/>
      <c r="BF19" s="931"/>
      <c r="BG19" s="931"/>
      <c r="BH19" s="1107"/>
      <c r="BI19" s="1105"/>
      <c r="BJ19" s="1105"/>
      <c r="BK19" s="931"/>
      <c r="BL19" s="1119"/>
    </row>
    <row r="20" spans="1:64" ht="15.95" customHeight="1">
      <c r="A20" s="145"/>
      <c r="B20" s="905">
        <v>2</v>
      </c>
      <c r="C20" s="1037"/>
      <c r="D20" s="1037"/>
      <c r="E20" s="1037"/>
      <c r="F20" s="1037"/>
      <c r="G20" s="1037"/>
      <c r="H20" s="1037"/>
      <c r="I20" s="1037"/>
      <c r="J20" s="1037"/>
      <c r="K20" s="1039"/>
      <c r="L20" s="1040"/>
      <c r="M20" s="1037"/>
      <c r="N20" s="1037"/>
      <c r="O20" s="1037"/>
      <c r="P20" s="1041"/>
      <c r="Q20" s="1041"/>
      <c r="R20" s="1041"/>
      <c r="S20" s="1152"/>
      <c r="T20" s="1040"/>
      <c r="U20" s="1037"/>
      <c r="V20" s="1037"/>
      <c r="W20" s="1037"/>
      <c r="X20" s="1041"/>
      <c r="Y20" s="1041"/>
      <c r="Z20" s="1041"/>
      <c r="AA20" s="1152"/>
      <c r="AB20" s="1156" t="str">
        <f t="shared" ref="AB20" si="0">IF(OR(C20="New Construction",C20="Replace Failed Equip."),"Incremental",IF(C20="Retrofit","Total",""))</f>
        <v/>
      </c>
      <c r="AC20" s="1157"/>
      <c r="AD20" s="1054"/>
      <c r="AE20" s="1054"/>
      <c r="AF20" s="1127" t="str">
        <f>IF(AB20="Incremental",0,"")</f>
        <v/>
      </c>
      <c r="AG20" s="1128"/>
      <c r="AH20" s="1064" t="str">
        <f t="shared" ref="AH20" si="1">IF(OR(C20="",F20="",L20="",P20="",R20="",T20="",X20="",Z20="",AB20="",AD20="",AF20=""),"",ROUND(AD20+AF20,2))</f>
        <v/>
      </c>
      <c r="AI20" s="1065"/>
      <c r="AJ20" s="1065"/>
      <c r="AK20" s="1081" t="str">
        <f t="shared" ref="AK20" si="2">IF(OR(C20="",F20="",L20="",P20="",R20="",T20="",X20="",Z20="",AB20="",AD20="",AF20=""),"",IF(AW20-AX20&lt;=0,0,ROUND(AW20-AX20,4)))</f>
        <v/>
      </c>
      <c r="AL20" s="1081"/>
      <c r="AM20" s="1081"/>
      <c r="AN20" s="1047" t="str">
        <f>IF(OR(C20="",F20="",L20="",P20="",R20="",T20="",X20="",Z20="",AB20="",AD20="",AF20=""),"",
IF(BJ20&lt;&gt;"",BJ20,IF(BL20&gt;0,BL20,
IF(AB20="Incremental",
IF(ACTIVEBLOCK="Yes",ROUND(MIN(AH20*INCCOSTCAP,AK20*BLOCKBIDRATE),2),
IF(BG20&lt;&gt;"",ROUND(MIN(AH20*INCCOSTCAP,BG20),2),
IF(BD20&lt;KWHRATEMIN,ROUND(MIN(AH20*INCCOSTCAP,BE20),2),
IF(BD20&gt;KWHRATEMAX,ROUND(MIN(AH20*INCCOSTCAP,BF20),2),
ROUND(MIN(AH20*INCCOSTCAP,BC20),2))))),
IF(ACTIVEBLOCK="Yes",ROUND(MIN(AH20*TOTCOSTCAP,AK20*BLOCKBIDRATE),2),
IF(BG20&lt;&gt;"",ROUND(MIN(AH20*TOTCOSTCAP,BG20),2),
IF(BD20&lt;KWHRATEMIN,ROUND(MIN(AH20*TOTCOSTCAP,BE20),2),
IF(BD20&gt;KWHRATEMAX,ROUND(MIN(AH20*TOTCOSTCAP,BF20),2),
ROUND(MIN(AH20*TOTCOSTCAP,BC20),2)))))))))</f>
        <v/>
      </c>
      <c r="AO20" s="1048"/>
      <c r="AP20" s="1048"/>
      <c r="AQ20" s="1048"/>
      <c r="AR20" s="355"/>
      <c r="AS20" s="355"/>
      <c r="AT20" s="1104" t="str">
        <f>IFERROR(IF(OR(C20="",F20="",L20="",P20="",R20="",T20="",X20="",Z20="",AB20="",AD20="",AF20=""),"",
ROUND(((1+ELOSS)*((AK20*INDEX(ELECCB[NPV AEC $/kWh],MATCH(AY20,ELECCB[Year Number],1)))+(BA20*INDEX(ELECCB[NPV ACC $/kW],MATCH(AY20,ELECCB[Year Number],1))))/AH20),2)),0)</f>
        <v/>
      </c>
      <c r="AU20" s="1112" t="str">
        <f>IFERROR(AH20/M02S04F06/AK20,"")</f>
        <v/>
      </c>
      <c r="AV20" s="1108" t="str">
        <f>IF(OR(C20="",F20=""),"",INDEX(CMEMISC[Unit of Measure],MATCH(F20,CMEMISC[Proj Desc 1],0)))</f>
        <v/>
      </c>
      <c r="AW20" s="1103" t="str">
        <f t="shared" ref="AW20" si="3">IF(OR(C20="",F20="",L20="",P20="",R20="",T20="",X20="",Z20="",AB20="",AD20="",AF20=""),"",ROUND(P20*R20,4))</f>
        <v/>
      </c>
      <c r="AX20" s="1103" t="str">
        <f t="shared" ref="AX20" si="4">IF(OR(C20="",F20="",L20="",P20="",R20="",T20="",X20="",Z20="",AB20="",AD20="",AF20=""),"",ROUND(X20*Z20,4))</f>
        <v/>
      </c>
      <c r="AY20" s="1113" t="str">
        <f>IF(OR(C20="",F20=""),"",IF(INDEX(CMEMISC[EUL],MATCH(F20,CMEMISC[Proj Desc 1],0))="","",INDEX(CMEMISC[EUL],MATCH(F20,CMEMISC[Proj Desc 1],0))))</f>
        <v/>
      </c>
      <c r="AZ20" s="1115" t="str">
        <f>IF(OR(C20="",F20=""),"",IF(INDEX(CMEMISC[End Use Category],MATCH(F20,CMEMISC[Proj Desc 1],0))="","",INDEX(CMEMISC[End Use Category],MATCH(F20,CMEMISC[Proj Desc 1],0))))</f>
        <v/>
      </c>
      <c r="BA20" s="1027" t="str">
        <f>IFERROR(IF(OR(C20="",F20="",L20="",P20="",R20="",T20="",X20="",Z20="",AB20="",AD20="",AF20=""),"",ROUND(AK20*INDEX(ENDUSEALL[Factor],MATCH(AZ20,ENDUSEALL[End Use to Coincident Peak Demand Factors],0)),4)),"")</f>
        <v/>
      </c>
      <c r="BB20" s="1120"/>
      <c r="BC20" s="930" t="str">
        <f t="shared" ref="BC20" si="5">IFERROR(ROUND(AK20*BD20,2),"")</f>
        <v/>
      </c>
      <c r="BD20" s="930" t="str">
        <f>IFERROR(INDEX(ENDUSEALL[Rate ($/kWh)],MATCH(AZ20,ENDUSEALL[End Use to Coincident Peak Demand Factors],0)),"")</f>
        <v/>
      </c>
      <c r="BE20" s="931" t="str">
        <f>IFERROR(ROUND(AK20*KWHRATEMIN,2),"")</f>
        <v/>
      </c>
      <c r="BF20" s="931" t="str">
        <f>IFERROR(ROUND(AK20*KWHRATEMAX,2),"")</f>
        <v/>
      </c>
      <c r="BG20" s="930" t="str">
        <f>IFERROR(IF(INDEX(ENDUSEALL[Bonus Rate ($/kWh)],MATCH(AZ20,ENDUSEALL[End Use to Coincident Peak Demand Factors],0))="","",INDEX(ENDUSEALL[Bonus Rate ($/kWh)],MATCH(AZ20,ENDUSEALL[End Use to Coincident Peak Demand Factors],0))*AK20),"")</f>
        <v/>
      </c>
      <c r="BH20" s="1106" t="str">
        <f>IF(OR(C20="",F20="",L20="",P20="",R20="",T20="",X20="",Z20="",AB20="",AD20="",AF20=""),"",IF(BJ20&lt;&gt;"",SPILLOVERNUMBER,INDEX(CMEMISC[Measure Number],MATCH(F20,CMEMISC[Proj Desc 1],0))))</f>
        <v/>
      </c>
      <c r="BI20" s="1108" t="str">
        <f>IFERROR(IF(AND(AB20="Total",ROUND(AN20/AH20,2)=TOTCOSTCAP),"75% Total Cost",
IF(AND(AB20="Incremental",AH20=AN20),"100% Incremental Cost",
IF(BD20&lt;KWHRATEMIN, "kWh Incentive Rate Min",
IF(BD20&gt;KWHRATEMAX,"kWh Incentive Rate Cap",
IF(AN20=BG20,"Bonus Incentive",
"kWh Incentive"))))),"")</f>
        <v/>
      </c>
      <c r="BJ20" s="1108" t="str">
        <f ca="1">IFERROR(IF(EXPIRATION&lt;&gt;"",PROJSTATEXP,
IF(BL20&gt;0,"",
IF(AW20-AX20&lt;=0,MEASURESAVE,
IF(OR(M02S04F06="",M02S04F06="Select Rate Code",M02S04F06=0),MEASURERATE,
IF(AND((ISNUMBER(SEARCH("Other",F20))),OR(AY20="",AZ20="")),MEASURESUBMIT,
 IF(PAYCUSE&lt;PAYBACKREQ,PROJECTSTATPAYBACK,
IF(CBCUSE&lt;CBREQ,PROJECTSTATCB,""))))))),MEASURESUBMIT)</f>
        <v>Submit for Review</v>
      </c>
      <c r="BK20" s="930" t="str">
        <f>IFERROR(IF(OR(C20="",F20="",L20="",P20="",R20="",T20="",X20="",Z20="",AB20="",AD20="",AF20=""),"",
ROUND(((1+ELOSS)*((AK20*INDEX(ELECCB[NPV AEC $/kWh],MATCH(AY20,ELECCB[Year Number],1)))+(BA20*INDEX(ELECCB[NPV ACC $/kW],MATCH(AY20,ELECCB[Year Number],1))))),2)),0)</f>
        <v/>
      </c>
      <c r="BL20" s="1118"/>
    </row>
    <row r="21" spans="1:64" ht="15.95" customHeight="1">
      <c r="B21" s="905"/>
      <c r="C21" s="1037"/>
      <c r="D21" s="1037"/>
      <c r="E21" s="1037"/>
      <c r="F21" s="1037"/>
      <c r="G21" s="1037"/>
      <c r="H21" s="1037"/>
      <c r="I21" s="1037"/>
      <c r="J21" s="1037"/>
      <c r="K21" s="1039"/>
      <c r="L21" s="1040"/>
      <c r="M21" s="1037"/>
      <c r="N21" s="1037"/>
      <c r="O21" s="1037"/>
      <c r="P21" s="1041"/>
      <c r="Q21" s="1041"/>
      <c r="R21" s="1041"/>
      <c r="S21" s="1152"/>
      <c r="T21" s="1040"/>
      <c r="U21" s="1037"/>
      <c r="V21" s="1037"/>
      <c r="W21" s="1037"/>
      <c r="X21" s="1041"/>
      <c r="Y21" s="1041"/>
      <c r="Z21" s="1041"/>
      <c r="AA21" s="1152"/>
      <c r="AB21" s="1156"/>
      <c r="AC21" s="1157"/>
      <c r="AD21" s="1054"/>
      <c r="AE21" s="1054"/>
      <c r="AF21" s="1127"/>
      <c r="AG21" s="1128"/>
      <c r="AH21" s="1064"/>
      <c r="AI21" s="1065"/>
      <c r="AJ21" s="1065"/>
      <c r="AK21" s="1066"/>
      <c r="AL21" s="1066"/>
      <c r="AM21" s="1066"/>
      <c r="AN21" s="1049"/>
      <c r="AO21" s="1050"/>
      <c r="AP21" s="1050"/>
      <c r="AQ21" s="1050"/>
      <c r="AR21" s="355"/>
      <c r="AS21" s="355"/>
      <c r="AT21" s="1104"/>
      <c r="AU21" s="1104"/>
      <c r="AV21" s="1105"/>
      <c r="AW21" s="1025"/>
      <c r="AX21" s="1025"/>
      <c r="AY21" s="1114"/>
      <c r="AZ21" s="1116"/>
      <c r="BA21" s="1109"/>
      <c r="BB21" s="1121"/>
      <c r="BC21" s="931"/>
      <c r="BD21" s="931"/>
      <c r="BE21" s="931"/>
      <c r="BF21" s="931"/>
      <c r="BG21" s="931"/>
      <c r="BH21" s="1107"/>
      <c r="BI21" s="1105"/>
      <c r="BJ21" s="1105"/>
      <c r="BK21" s="931"/>
      <c r="BL21" s="1119"/>
    </row>
    <row r="22" spans="1:64" ht="15.95" customHeight="1">
      <c r="B22" s="905">
        <v>3</v>
      </c>
      <c r="C22" s="1037"/>
      <c r="D22" s="1037"/>
      <c r="E22" s="1037"/>
      <c r="F22" s="1037"/>
      <c r="G22" s="1037"/>
      <c r="H22" s="1037"/>
      <c r="I22" s="1037"/>
      <c r="J22" s="1037"/>
      <c r="K22" s="1039"/>
      <c r="L22" s="1040"/>
      <c r="M22" s="1037"/>
      <c r="N22" s="1037"/>
      <c r="O22" s="1037"/>
      <c r="P22" s="1041"/>
      <c r="Q22" s="1041"/>
      <c r="R22" s="1041"/>
      <c r="S22" s="1152"/>
      <c r="T22" s="1040"/>
      <c r="U22" s="1037"/>
      <c r="V22" s="1037"/>
      <c r="W22" s="1037"/>
      <c r="X22" s="1041"/>
      <c r="Y22" s="1041"/>
      <c r="Z22" s="1041"/>
      <c r="AA22" s="1152"/>
      <c r="AB22" s="1156" t="str">
        <f t="shared" ref="AB22" si="6">IF(OR(C22="New Construction",C22="Replace Failed Equip."),"Incremental",IF(C22="Retrofit","Total",""))</f>
        <v/>
      </c>
      <c r="AC22" s="1157"/>
      <c r="AD22" s="1054"/>
      <c r="AE22" s="1054"/>
      <c r="AF22" s="1127" t="str">
        <f t="shared" ref="AF22" si="7">IF(AB22="Incremental",0,"")</f>
        <v/>
      </c>
      <c r="AG22" s="1128"/>
      <c r="AH22" s="1064" t="str">
        <f t="shared" ref="AH22" si="8">IF(OR(C22="",F22="",L22="",P22="",R22="",T22="",X22="",Z22="",AB22="",AD22="",AF22=""),"",ROUND(AD22+AF22,2))</f>
        <v/>
      </c>
      <c r="AI22" s="1065"/>
      <c r="AJ22" s="1065"/>
      <c r="AK22" s="1081" t="str">
        <f t="shared" ref="AK22" si="9">IF(OR(C22="",F22="",L22="",P22="",R22="",T22="",X22="",Z22="",AB22="",AD22="",AF22=""),"",IF(AW22-AX22&lt;=0,0,ROUND(AW22-AX22,4)))</f>
        <v/>
      </c>
      <c r="AL22" s="1081"/>
      <c r="AM22" s="1081"/>
      <c r="AN22" s="1047" t="str">
        <f>IF(OR(C22="",F22="",L22="",P22="",R22="",T22="",X22="",Z22="",AB22="",AD22="",AF22=""),"",
IF(BJ22&lt;&gt;"",BJ22,IF(BL22&gt;0,BL22,
IF(AB22="Incremental",
IF(ACTIVEBLOCK="Yes",ROUND(MIN(AH22*INCCOSTCAP,AK22*BLOCKBIDRATE),2),
IF(BG22&lt;&gt;"",ROUND(MIN(AH22*INCCOSTCAP,BG22),2),
IF(BD22&lt;KWHRATEMIN,ROUND(MIN(AH22*INCCOSTCAP,BE22),2),
IF(BD22&gt;KWHRATEMAX,ROUND(MIN(AH22*INCCOSTCAP,BF22),2),
ROUND(MIN(AH22*INCCOSTCAP,BC22),2))))),
IF(ACTIVEBLOCK="Yes",ROUND(MIN(AH22*TOTCOSTCAP,AK22*BLOCKBIDRATE),2),
IF(BG22&lt;&gt;"",ROUND(MIN(AH22*TOTCOSTCAP,BG22),2),
IF(BD22&lt;KWHRATEMIN,ROUND(MIN(AH22*TOTCOSTCAP,BE22),2),
IF(BD22&gt;KWHRATEMAX,ROUND(MIN(AH22*TOTCOSTCAP,BF22),2),
ROUND(MIN(AH22*TOTCOSTCAP,BC22),2)))))))))</f>
        <v/>
      </c>
      <c r="AO22" s="1048"/>
      <c r="AP22" s="1048"/>
      <c r="AQ22" s="1048"/>
      <c r="AR22" s="355"/>
      <c r="AS22" s="355"/>
      <c r="AT22" s="1104" t="str">
        <f>IFERROR(IF(OR(C22="",F22="",L22="",P22="",R22="",T22="",X22="",Z22="",AB22="",AD22="",AF22=""),"",
ROUND(((1+ELOSS)*((AK22*INDEX(ELECCB[NPV AEC $/kWh],MATCH(AY22,ELECCB[Year Number],1)))+(BA22*INDEX(ELECCB[NPV ACC $/kW],MATCH(AY22,ELECCB[Year Number],1))))/AH22),2)),0)</f>
        <v/>
      </c>
      <c r="AU22" s="1112" t="str">
        <f>IFERROR(AH22/M02S04F06/AK22,"")</f>
        <v/>
      </c>
      <c r="AV22" s="1108" t="str">
        <f>IF(OR(C22="",F22=""),"",INDEX(CMEMISC[Unit of Measure],MATCH(F22,CMEMISC[Proj Desc 1],0)))</f>
        <v/>
      </c>
      <c r="AW22" s="1103" t="str">
        <f t="shared" ref="AW22" si="10">IF(OR(C22="",F22="",L22="",P22="",R22="",T22="",X22="",Z22="",AB22="",AD22="",AF22=""),"",ROUND(P22*R22,4))</f>
        <v/>
      </c>
      <c r="AX22" s="1103" t="str">
        <f t="shared" ref="AX22" si="11">IF(OR(C22="",F22="",L22="",P22="",R22="",T22="",X22="",Z22="",AB22="",AD22="",AF22=""),"",ROUND(X22*Z22,4))</f>
        <v/>
      </c>
      <c r="AY22" s="1113" t="str">
        <f>IF(OR(C22="",F22=""),"",IF(INDEX(CMEMISC[EUL],MATCH(F22,CMEMISC[Proj Desc 1],0))="","",INDEX(CMEMISC[EUL],MATCH(F22,CMEMISC[Proj Desc 1],0))))</f>
        <v/>
      </c>
      <c r="AZ22" s="1115" t="str">
        <f>IF(OR(C22="",F22=""),"",IF(INDEX(CMEMISC[End Use Category],MATCH(F22,CMEMISC[Proj Desc 1],0))="","",INDEX(CMEMISC[End Use Category],MATCH(F22,CMEMISC[Proj Desc 1],0))))</f>
        <v/>
      </c>
      <c r="BA22" s="1027" t="str">
        <f>IFERROR(IF(OR(C22="",F22="",L22="",P22="",R22="",T22="",X22="",Z22="",AB22="",AD22="",AF22=""),"",ROUND(AK22*INDEX(ENDUSEALL[Factor],MATCH(AZ22,ENDUSEALL[End Use to Coincident Peak Demand Factors],0)),4)),"")</f>
        <v/>
      </c>
      <c r="BB22" s="1120"/>
      <c r="BC22" s="930" t="str">
        <f t="shared" ref="BC22" si="12">IFERROR(ROUND(AK22*BD22,2),"")</f>
        <v/>
      </c>
      <c r="BD22" s="930" t="str">
        <f>IFERROR(INDEX(ENDUSEALL[Rate ($/kWh)],MATCH(AZ22,ENDUSEALL[End Use to Coincident Peak Demand Factors],0)),"")</f>
        <v/>
      </c>
      <c r="BE22" s="931" t="str">
        <f>IFERROR(ROUND(AK22*KWHRATEMIN,2),"")</f>
        <v/>
      </c>
      <c r="BF22" s="931" t="str">
        <f>IFERROR(ROUND(AK22*KWHRATEMAX,2),"")</f>
        <v/>
      </c>
      <c r="BG22" s="930" t="str">
        <f>IFERROR(IF(INDEX(ENDUSEALL[Bonus Rate ($/kWh)],MATCH(AZ22,ENDUSEALL[End Use to Coincident Peak Demand Factors],0))="","",INDEX(ENDUSEALL[Bonus Rate ($/kWh)],MATCH(AZ22,ENDUSEALL[End Use to Coincident Peak Demand Factors],0))*AK22),"")</f>
        <v/>
      </c>
      <c r="BH22" s="1106" t="str">
        <f>IF(OR(C22="",F22="",L22="",P22="",R22="",T22="",X22="",Z22="",AB22="",AD22="",AF22=""),"",IF(BJ22&lt;&gt;"",SPILLOVERNUMBER,INDEX(CMEMISC[Measure Number],MATCH(F22,CMEMISC[Proj Desc 1],0))))</f>
        <v/>
      </c>
      <c r="BI22" s="1108" t="str">
        <f>IFERROR(IF(AND(AB22="Total",ROUND(AN22/AH22,2)=TOTCOSTCAP),"75% Total Cost",
IF(AND(AB22="Incremental",AH22=AN22),"100% Incremental Cost",
IF(BD22&lt;KWHRATEMIN, "kWh Incentive Rate Min",
IF(BD22&gt;KWHRATEMAX,"kWh Incentive Rate Cap",
IF(AN22=BG22,"Bonus Incentive",
"kWh Incentive"))))),"")</f>
        <v/>
      </c>
      <c r="BJ22" s="1108" t="str">
        <f ca="1">IFERROR(IF(EXPIRATION&lt;&gt;"",PROJSTATEXP,
IF(BL22&gt;0,"",
IF(AW22-AX22&lt;=0,MEASURESAVE,
IF(OR(M02S04F06="",M02S04F06="Select Rate Code",M02S04F06=0),MEASURERATE,
IF(AND((ISNUMBER(SEARCH("Other",F22))),OR(AY22="",AZ22="")),MEASURESUBMIT,
 IF(PAYCUSE&lt;PAYBACKREQ,PROJECTSTATPAYBACK,
IF(CBCUSE&lt;CBREQ,PROJECTSTATCB,""))))))),MEASURESUBMIT)</f>
        <v>Submit for Review</v>
      </c>
      <c r="BK22" s="930" t="str">
        <f>IFERROR(IF(OR(C22="",F22="",L22="",P22="",R22="",T22="",X22="",Z22="",AB22="",AD22="",AF22=""),"",
ROUND(((1+ELOSS)*((AK22*INDEX(ELECCB[NPV AEC $/kWh],MATCH(AY22,ELECCB[Year Number],1)))+(BA22*INDEX(ELECCB[NPV ACC $/kW],MATCH(AY22,ELECCB[Year Number],1))))),2)),0)</f>
        <v/>
      </c>
      <c r="BL22" s="1118"/>
    </row>
    <row r="23" spans="1:64" ht="15.95" customHeight="1">
      <c r="A23" s="145"/>
      <c r="B23" s="905"/>
      <c r="C23" s="1037"/>
      <c r="D23" s="1037"/>
      <c r="E23" s="1037"/>
      <c r="F23" s="1037"/>
      <c r="G23" s="1037"/>
      <c r="H23" s="1037"/>
      <c r="I23" s="1037"/>
      <c r="J23" s="1037"/>
      <c r="K23" s="1039"/>
      <c r="L23" s="1040"/>
      <c r="M23" s="1037"/>
      <c r="N23" s="1037"/>
      <c r="O23" s="1037"/>
      <c r="P23" s="1041"/>
      <c r="Q23" s="1041"/>
      <c r="R23" s="1041"/>
      <c r="S23" s="1152"/>
      <c r="T23" s="1040"/>
      <c r="U23" s="1037"/>
      <c r="V23" s="1037"/>
      <c r="W23" s="1037"/>
      <c r="X23" s="1041"/>
      <c r="Y23" s="1041"/>
      <c r="Z23" s="1041"/>
      <c r="AA23" s="1152"/>
      <c r="AB23" s="1156"/>
      <c r="AC23" s="1157"/>
      <c r="AD23" s="1054"/>
      <c r="AE23" s="1054"/>
      <c r="AF23" s="1127"/>
      <c r="AG23" s="1128"/>
      <c r="AH23" s="1064"/>
      <c r="AI23" s="1065"/>
      <c r="AJ23" s="1065"/>
      <c r="AK23" s="1066"/>
      <c r="AL23" s="1066"/>
      <c r="AM23" s="1066"/>
      <c r="AN23" s="1049"/>
      <c r="AO23" s="1050"/>
      <c r="AP23" s="1050"/>
      <c r="AQ23" s="1050"/>
      <c r="AR23" s="355"/>
      <c r="AS23" s="355"/>
      <c r="AT23" s="1104"/>
      <c r="AU23" s="1104"/>
      <c r="AV23" s="1105"/>
      <c r="AW23" s="1025"/>
      <c r="AX23" s="1025"/>
      <c r="AY23" s="1114"/>
      <c r="AZ23" s="1116"/>
      <c r="BA23" s="1109"/>
      <c r="BB23" s="1121"/>
      <c r="BC23" s="931"/>
      <c r="BD23" s="931"/>
      <c r="BE23" s="931"/>
      <c r="BF23" s="931"/>
      <c r="BG23" s="931"/>
      <c r="BH23" s="1107"/>
      <c r="BI23" s="1105"/>
      <c r="BJ23" s="1105"/>
      <c r="BK23" s="931"/>
      <c r="BL23" s="1119"/>
    </row>
    <row r="24" spans="1:64" ht="15.95" customHeight="1">
      <c r="B24" s="905">
        <v>4</v>
      </c>
      <c r="C24" s="1037"/>
      <c r="D24" s="1037"/>
      <c r="E24" s="1037"/>
      <c r="F24" s="1037"/>
      <c r="G24" s="1037"/>
      <c r="H24" s="1037"/>
      <c r="I24" s="1037"/>
      <c r="J24" s="1037"/>
      <c r="K24" s="1039"/>
      <c r="L24" s="1040"/>
      <c r="M24" s="1037"/>
      <c r="N24" s="1037"/>
      <c r="O24" s="1037"/>
      <c r="P24" s="1041"/>
      <c r="Q24" s="1041"/>
      <c r="R24" s="1041"/>
      <c r="S24" s="1152"/>
      <c r="T24" s="1040"/>
      <c r="U24" s="1037"/>
      <c r="V24" s="1037"/>
      <c r="W24" s="1037"/>
      <c r="X24" s="1041"/>
      <c r="Y24" s="1041"/>
      <c r="Z24" s="1041"/>
      <c r="AA24" s="1152"/>
      <c r="AB24" s="1156" t="str">
        <f t="shared" ref="AB24" si="13">IF(OR(C24="New Construction",C24="Replace Failed Equip."),"Incremental",IF(C24="Retrofit","Total",""))</f>
        <v/>
      </c>
      <c r="AC24" s="1157"/>
      <c r="AD24" s="1054"/>
      <c r="AE24" s="1054"/>
      <c r="AF24" s="1127" t="str">
        <f t="shared" ref="AF24" si="14">IF(AB24="Incremental",0,"")</f>
        <v/>
      </c>
      <c r="AG24" s="1128"/>
      <c r="AH24" s="1064" t="str">
        <f t="shared" ref="AH24" si="15">IF(OR(C24="",F24="",L24="",P24="",R24="",T24="",X24="",Z24="",AB24="",AD24="",AF24=""),"",ROUND(AD24+AF24,2))</f>
        <v/>
      </c>
      <c r="AI24" s="1065"/>
      <c r="AJ24" s="1065"/>
      <c r="AK24" s="1081" t="str">
        <f t="shared" ref="AK24" si="16">IF(OR(C24="",F24="",L24="",P24="",R24="",T24="",X24="",Z24="",AB24="",AD24="",AF24=""),"",IF(AW24-AX24&lt;=0,0,ROUND(AW24-AX24,4)))</f>
        <v/>
      </c>
      <c r="AL24" s="1081"/>
      <c r="AM24" s="1081"/>
      <c r="AN24" s="1047" t="str">
        <f>IF(OR(C24="",F24="",L24="",P24="",R24="",T24="",X24="",Z24="",AB24="",AD24="",AF24=""),"",
IF(BJ24&lt;&gt;"",BJ24,IF(BL24&gt;0,BL24,
IF(AB24="Incremental",
IF(ACTIVEBLOCK="Yes",ROUND(MIN(AH24*INCCOSTCAP,AK24*BLOCKBIDRATE),2),
IF(BG24&lt;&gt;"",ROUND(MIN(AH24*INCCOSTCAP,BG24),2),
IF(BD24&lt;KWHRATEMIN,ROUND(MIN(AH24*INCCOSTCAP,BE24),2),
IF(BD24&gt;KWHRATEMAX,ROUND(MIN(AH24*INCCOSTCAP,BF24),2),
ROUND(MIN(AH24*INCCOSTCAP,BC24),2))))),
IF(ACTIVEBLOCK="Yes",ROUND(MIN(AH24*TOTCOSTCAP,AK24*BLOCKBIDRATE),2),
IF(BG24&lt;&gt;"",ROUND(MIN(AH24*TOTCOSTCAP,BG24),2),
IF(BD24&lt;KWHRATEMIN,ROUND(MIN(AH24*TOTCOSTCAP,BE24),2),
IF(BD24&gt;KWHRATEMAX,ROUND(MIN(AH24*TOTCOSTCAP,BF24),2),
ROUND(MIN(AH24*TOTCOSTCAP,BC24),2)))))))))</f>
        <v/>
      </c>
      <c r="AO24" s="1048"/>
      <c r="AP24" s="1048"/>
      <c r="AQ24" s="1048"/>
      <c r="AR24" s="355"/>
      <c r="AS24" s="355"/>
      <c r="AT24" s="1104" t="str">
        <f>IFERROR(IF(OR(C24="",F24="",L24="",P24="",R24="",T24="",X24="",Z24="",AB24="",AD24="",AF24=""),"",
ROUND(((1+ELOSS)*((AK24*INDEX(ELECCB[NPV AEC $/kWh],MATCH(AY24,ELECCB[Year Number],1)))+(BA24*INDEX(ELECCB[NPV ACC $/kW],MATCH(AY24,ELECCB[Year Number],1))))/AH24),2)),0)</f>
        <v/>
      </c>
      <c r="AU24" s="1112" t="str">
        <f>IFERROR(AH24/M02S04F06/AK24,"")</f>
        <v/>
      </c>
      <c r="AV24" s="1108" t="str">
        <f>IF(OR(C24="",F24=""),"",INDEX(CMEMISC[Unit of Measure],MATCH(F24,CMEMISC[Proj Desc 1],0)))</f>
        <v/>
      </c>
      <c r="AW24" s="1103" t="str">
        <f t="shared" ref="AW24" si="17">IF(OR(C24="",F24="",L24="",P24="",R24="",T24="",X24="",Z24="",AB24="",AD24="",AF24=""),"",ROUND(P24*R24,4))</f>
        <v/>
      </c>
      <c r="AX24" s="1103" t="str">
        <f t="shared" ref="AX24" si="18">IF(OR(C24="",F24="",L24="",P24="",R24="",T24="",X24="",Z24="",AB24="",AD24="",AF24=""),"",ROUND(X24*Z24,4))</f>
        <v/>
      </c>
      <c r="AY24" s="1113" t="str">
        <f>IF(OR(C24="",F24=""),"",IF(INDEX(CMEMISC[EUL],MATCH(F24,CMEMISC[Proj Desc 1],0))="","",INDEX(CMEMISC[EUL],MATCH(F24,CMEMISC[Proj Desc 1],0))))</f>
        <v/>
      </c>
      <c r="AZ24" s="1115" t="str">
        <f>IF(OR(C24="",F24=""),"",IF(INDEX(CMEMISC[End Use Category],MATCH(F24,CMEMISC[Proj Desc 1],0))="","",INDEX(CMEMISC[End Use Category],MATCH(F24,CMEMISC[Proj Desc 1],0))))</f>
        <v/>
      </c>
      <c r="BA24" s="1027" t="str">
        <f>IFERROR(IF(OR(C24="",F24="",L24="",P24="",R24="",T24="",X24="",Z24="",AB24="",AD24="",AF24=""),"",ROUND(AK24*INDEX(ENDUSEALL[Factor],MATCH(AZ24,ENDUSEALL[End Use to Coincident Peak Demand Factors],0)),4)),"")</f>
        <v/>
      </c>
      <c r="BB24" s="1120"/>
      <c r="BC24" s="930" t="str">
        <f t="shared" ref="BC24" si="19">IFERROR(ROUND(AK24*BD24,2),"")</f>
        <v/>
      </c>
      <c r="BD24" s="930" t="str">
        <f>IFERROR(INDEX(ENDUSEALL[Rate ($/kWh)],MATCH(AZ24,ENDUSEALL[End Use to Coincident Peak Demand Factors],0)),"")</f>
        <v/>
      </c>
      <c r="BE24" s="931" t="str">
        <f>IFERROR(ROUND(AK24*KWHRATEMIN,2),"")</f>
        <v/>
      </c>
      <c r="BF24" s="931" t="str">
        <f>IFERROR(ROUND(AK24*KWHRATEMAX,2),"")</f>
        <v/>
      </c>
      <c r="BG24" s="930" t="str">
        <f>IFERROR(IF(INDEX(ENDUSEALL[Bonus Rate ($/kWh)],MATCH(AZ24,ENDUSEALL[End Use to Coincident Peak Demand Factors],0))="","",INDEX(ENDUSEALL[Bonus Rate ($/kWh)],MATCH(AZ24,ENDUSEALL[End Use to Coincident Peak Demand Factors],0))*AK24),"")</f>
        <v/>
      </c>
      <c r="BH24" s="1106" t="str">
        <f>IF(OR(C24="",F24="",L24="",P24="",R24="",T24="",X24="",Z24="",AB24="",AD24="",AF24=""),"",IF(BJ24&lt;&gt;"",SPILLOVERNUMBER,INDEX(CMEMISC[Measure Number],MATCH(F24,CMEMISC[Proj Desc 1],0))))</f>
        <v/>
      </c>
      <c r="BI24" s="1108" t="str">
        <f>IFERROR(IF(AND(AB24="Total",ROUND(AN24/AH24,2)=TOTCOSTCAP),"75% Total Cost",
IF(AND(AB24="Incremental",AH24=AN24),"100% Incremental Cost",
IF(BD24&lt;KWHRATEMIN, "kWh Incentive Rate Min",
IF(BD24&gt;KWHRATEMAX,"kWh Incentive Rate Cap",
IF(AN24=BG24,"Bonus Incentive",
"kWh Incentive"))))),"")</f>
        <v/>
      </c>
      <c r="BJ24" s="1108" t="str">
        <f ca="1">IFERROR(IF(EXPIRATION&lt;&gt;"",PROJSTATEXP,
IF(BL24&gt;0,"",
IF(AW24-AX24&lt;=0,MEASURESAVE,
IF(OR(M02S04F06="",M02S04F06="Select Rate Code",M02S04F06=0),MEASURERATE,
IF(AND((ISNUMBER(SEARCH("Other",F24))),OR(AY24="",AZ24="")),MEASURESUBMIT,
 IF(PAYCUSE&lt;PAYBACKREQ,PROJECTSTATPAYBACK,
IF(CBCUSE&lt;CBREQ,PROJECTSTATCB,""))))))),MEASURESUBMIT)</f>
        <v>Submit for Review</v>
      </c>
      <c r="BK24" s="930" t="str">
        <f>IFERROR(IF(OR(C24="",F24="",L24="",P24="",R24="",T24="",X24="",Z24="",AB24="",AD24="",AF24=""),"",
ROUND(((1+ELOSS)*((AK24*INDEX(ELECCB[NPV AEC $/kWh],MATCH(AY24,ELECCB[Year Number],1)))+(BA24*INDEX(ELECCB[NPV ACC $/kW],MATCH(AY24,ELECCB[Year Number],1))))),2)),0)</f>
        <v/>
      </c>
      <c r="BL24" s="1118"/>
    </row>
    <row r="25" spans="1:64" ht="15.95" customHeight="1">
      <c r="B25" s="905"/>
      <c r="C25" s="1037"/>
      <c r="D25" s="1037"/>
      <c r="E25" s="1037"/>
      <c r="F25" s="1037"/>
      <c r="G25" s="1037"/>
      <c r="H25" s="1037"/>
      <c r="I25" s="1037"/>
      <c r="J25" s="1037"/>
      <c r="K25" s="1039"/>
      <c r="L25" s="1040"/>
      <c r="M25" s="1037"/>
      <c r="N25" s="1037"/>
      <c r="O25" s="1037"/>
      <c r="P25" s="1041"/>
      <c r="Q25" s="1041"/>
      <c r="R25" s="1041"/>
      <c r="S25" s="1152"/>
      <c r="T25" s="1040"/>
      <c r="U25" s="1037"/>
      <c r="V25" s="1037"/>
      <c r="W25" s="1037"/>
      <c r="X25" s="1041"/>
      <c r="Y25" s="1041"/>
      <c r="Z25" s="1041"/>
      <c r="AA25" s="1152"/>
      <c r="AB25" s="1156"/>
      <c r="AC25" s="1157"/>
      <c r="AD25" s="1054"/>
      <c r="AE25" s="1054"/>
      <c r="AF25" s="1127"/>
      <c r="AG25" s="1128"/>
      <c r="AH25" s="1064"/>
      <c r="AI25" s="1065"/>
      <c r="AJ25" s="1065"/>
      <c r="AK25" s="1066"/>
      <c r="AL25" s="1066"/>
      <c r="AM25" s="1066"/>
      <c r="AN25" s="1049"/>
      <c r="AO25" s="1050"/>
      <c r="AP25" s="1050"/>
      <c r="AQ25" s="1050"/>
      <c r="AR25" s="355"/>
      <c r="AS25" s="355"/>
      <c r="AT25" s="1104"/>
      <c r="AU25" s="1104"/>
      <c r="AV25" s="1105"/>
      <c r="AW25" s="1025"/>
      <c r="AX25" s="1025"/>
      <c r="AY25" s="1114"/>
      <c r="AZ25" s="1116"/>
      <c r="BA25" s="1109"/>
      <c r="BB25" s="1121"/>
      <c r="BC25" s="931"/>
      <c r="BD25" s="931"/>
      <c r="BE25" s="931"/>
      <c r="BF25" s="931"/>
      <c r="BG25" s="931"/>
      <c r="BH25" s="1107"/>
      <c r="BI25" s="1105"/>
      <c r="BJ25" s="1105"/>
      <c r="BK25" s="931"/>
      <c r="BL25" s="1119"/>
    </row>
    <row r="26" spans="1:64" customFormat="1" ht="15.95" customHeight="1">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W26" s="426"/>
      <c r="AX26" s="426"/>
      <c r="BA26" s="426"/>
      <c r="BC26" s="426"/>
      <c r="BD26" s="426"/>
      <c r="BE26" s="426"/>
      <c r="BF26" s="426"/>
      <c r="BG26" s="426"/>
    </row>
    <row r="27" spans="1:64" customFormat="1" ht="15.95" hidden="1" customHeight="1">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W27" s="426"/>
      <c r="AX27" s="426"/>
      <c r="BA27" s="426"/>
      <c r="BC27" s="426"/>
      <c r="BD27" s="426"/>
      <c r="BE27" s="426"/>
      <c r="BF27" s="426"/>
      <c r="BG27" s="426"/>
    </row>
    <row r="28" spans="1:64" customFormat="1" ht="15.95" hidden="1" customHeight="1">
      <c r="C28" s="836" t="s">
        <v>1350</v>
      </c>
      <c r="D28" s="836"/>
      <c r="E28" s="836"/>
      <c r="F28" s="836"/>
      <c r="G28" s="836" t="s">
        <v>1430</v>
      </c>
      <c r="H28" s="836"/>
      <c r="I28" s="836"/>
      <c r="J28" s="836"/>
      <c r="K28" s="836" t="s">
        <v>74</v>
      </c>
      <c r="L28" s="836"/>
      <c r="M28" s="836" t="s">
        <v>2666</v>
      </c>
      <c r="N28" s="836"/>
      <c r="O28" s="836" t="s">
        <v>1432</v>
      </c>
      <c r="P28" s="836"/>
      <c r="Q28" s="836"/>
      <c r="R28" s="836"/>
      <c r="S28" s="836" t="s">
        <v>74</v>
      </c>
      <c r="T28" s="836"/>
      <c r="U28" s="836" t="s">
        <v>2667</v>
      </c>
      <c r="V28" s="836"/>
      <c r="W28" s="836" t="s">
        <v>2668</v>
      </c>
      <c r="X28" s="836"/>
      <c r="Y28" s="836"/>
      <c r="Z28" s="856" t="s">
        <v>2669</v>
      </c>
      <c r="AA28" s="856"/>
      <c r="AB28" s="836" t="s">
        <v>1433</v>
      </c>
      <c r="AC28" s="836"/>
      <c r="AD28" s="1134" t="s">
        <v>1377</v>
      </c>
      <c r="AE28" s="1134"/>
      <c r="AF28" s="1134"/>
      <c r="AG28" s="1134"/>
      <c r="AH28" s="836" t="s">
        <v>1425</v>
      </c>
      <c r="AI28" s="836"/>
      <c r="AJ28" s="836"/>
      <c r="AK28" s="836" t="s">
        <v>1371</v>
      </c>
      <c r="AL28" s="836"/>
      <c r="AM28" s="836"/>
      <c r="AN28" s="836" t="s">
        <v>83</v>
      </c>
      <c r="AO28" s="908"/>
      <c r="AP28" s="908"/>
      <c r="AQ28" s="908"/>
      <c r="AT28" s="858" t="s">
        <v>141</v>
      </c>
      <c r="AU28" s="858" t="s">
        <v>336</v>
      </c>
      <c r="AV28" s="858" t="s">
        <v>1195</v>
      </c>
      <c r="AW28" s="1159" t="s">
        <v>699</v>
      </c>
      <c r="AX28" s="1159" t="s">
        <v>1376</v>
      </c>
      <c r="AY28" s="858" t="s">
        <v>88</v>
      </c>
      <c r="AZ28" s="858"/>
      <c r="BA28" s="1159" t="s">
        <v>1372</v>
      </c>
      <c r="BB28" s="858"/>
      <c r="BC28" s="1177" t="s">
        <v>1981</v>
      </c>
      <c r="BD28" s="1177" t="s">
        <v>2671</v>
      </c>
      <c r="BE28" s="1159"/>
      <c r="BF28" s="1159"/>
      <c r="BG28" s="1159"/>
      <c r="BH28" s="858" t="s">
        <v>85</v>
      </c>
      <c r="BI28" s="1132" t="s">
        <v>1427</v>
      </c>
      <c r="BJ28" s="1132" t="s">
        <v>319</v>
      </c>
      <c r="BK28" s="932" t="s">
        <v>2500</v>
      </c>
      <c r="BL28" s="932" t="s">
        <v>2893</v>
      </c>
    </row>
    <row r="29" spans="1:64" customFormat="1" ht="15.95" hidden="1" customHeight="1" thickBot="1">
      <c r="C29" s="837"/>
      <c r="D29" s="837"/>
      <c r="E29" s="837"/>
      <c r="F29" s="837"/>
      <c r="G29" s="837"/>
      <c r="H29" s="837"/>
      <c r="I29" s="837"/>
      <c r="J29" s="837"/>
      <c r="K29" s="837"/>
      <c r="L29" s="837"/>
      <c r="M29" s="837"/>
      <c r="N29" s="837"/>
      <c r="O29" s="837"/>
      <c r="P29" s="837"/>
      <c r="Q29" s="837"/>
      <c r="R29" s="837"/>
      <c r="S29" s="837"/>
      <c r="T29" s="837"/>
      <c r="U29" s="837"/>
      <c r="V29" s="837"/>
      <c r="W29" s="837"/>
      <c r="X29" s="837"/>
      <c r="Y29" s="837"/>
      <c r="Z29" s="857"/>
      <c r="AA29" s="857"/>
      <c r="AB29" s="837"/>
      <c r="AC29" s="837"/>
      <c r="AD29" s="837" t="s">
        <v>1353</v>
      </c>
      <c r="AE29" s="837"/>
      <c r="AF29" s="837" t="s">
        <v>1354</v>
      </c>
      <c r="AG29" s="837"/>
      <c r="AH29" s="837"/>
      <c r="AI29" s="837"/>
      <c r="AJ29" s="837"/>
      <c r="AK29" s="837"/>
      <c r="AL29" s="837"/>
      <c r="AM29" s="837"/>
      <c r="AN29" s="837"/>
      <c r="AO29" s="909"/>
      <c r="AP29" s="909"/>
      <c r="AQ29" s="909"/>
      <c r="AT29" s="859"/>
      <c r="AU29" s="859"/>
      <c r="AV29" s="859"/>
      <c r="AW29" s="1160"/>
      <c r="AX29" s="1160"/>
      <c r="AY29" s="859"/>
      <c r="AZ29" s="859"/>
      <c r="BA29" s="1160"/>
      <c r="BB29" s="859"/>
      <c r="BC29" s="1178"/>
      <c r="BD29" s="1178"/>
      <c r="BE29" s="1160"/>
      <c r="BF29" s="1160"/>
      <c r="BG29" s="1160"/>
      <c r="BH29" s="859"/>
      <c r="BI29" s="1133"/>
      <c r="BJ29" s="1133"/>
      <c r="BK29" s="933"/>
      <c r="BL29" s="933"/>
    </row>
    <row r="30" spans="1:64" ht="15.75" hidden="1" customHeight="1">
      <c r="B30" s="905">
        <v>1</v>
      </c>
      <c r="C30" s="1143"/>
      <c r="D30" s="918"/>
      <c r="E30" s="918"/>
      <c r="F30" s="918"/>
      <c r="G30" s="1063"/>
      <c r="H30" s="1036"/>
      <c r="I30" s="1036"/>
      <c r="J30" s="1036"/>
      <c r="K30" s="1062"/>
      <c r="L30" s="1062"/>
      <c r="M30" s="1062"/>
      <c r="N30" s="1158"/>
      <c r="O30" s="1163"/>
      <c r="P30" s="918"/>
      <c r="Q30" s="918"/>
      <c r="R30" s="1164"/>
      <c r="S30" s="1062"/>
      <c r="T30" s="1062"/>
      <c r="U30" s="1062"/>
      <c r="V30" s="1158"/>
      <c r="W30" s="1165"/>
      <c r="X30" s="1166"/>
      <c r="Y30" s="1166"/>
      <c r="Z30" s="1169"/>
      <c r="AA30" s="1170"/>
      <c r="AB30" s="1179"/>
      <c r="AC30" s="1180"/>
      <c r="AD30" s="1052"/>
      <c r="AE30" s="1052"/>
      <c r="AF30" s="1161" t="str">
        <f>IF(AB30="Incremental",0,"")</f>
        <v/>
      </c>
      <c r="AG30" s="1162"/>
      <c r="AH30" s="1067" t="str">
        <f>IF(OR(C30="",G30="",K30="",M30="",O30="",S30="",U30="",W30="",Z30="",AB30="",AD30="",AF30=""),"",ROUND(AD30+AF30,2))</f>
        <v/>
      </c>
      <c r="AI30" s="1068"/>
      <c r="AJ30" s="1068"/>
      <c r="AK30" s="1081" t="str">
        <f>IF(OR(C30="",G30="",K30="",M30="",O30="",S30="",U30="",W30="",Z30="",AB30="",AD30="",AF30=""),"",ROUND(AW30-AX30,0))</f>
        <v/>
      </c>
      <c r="AL30" s="1081"/>
      <c r="AM30" s="1081"/>
      <c r="AN30" s="1047" t="str">
        <f>IF(OR(C30="",G30="",K30="",M30="",O30="",S30="",U30="",W30="",Z30="",AB30="",AD30="",AF30=""),"",
IF(BJ30&lt;&gt;"",BJ30,IF(BL30&gt;0,BL30,
IF(AB30="Incremental",ROUND(MIN(AH30*INCCOSTCAP,BC30),2),ROUND(MIN(AH30*TOTCOSTCAP,BC30),2)))))</f>
        <v/>
      </c>
      <c r="AO30" s="1048"/>
      <c r="AP30" s="1048"/>
      <c r="AQ30" s="1048"/>
      <c r="AR30" s="355"/>
      <c r="AS30" s="355"/>
      <c r="AT30" s="1104" t="str">
        <f>IFERROR(IF(OR(C30="",G30="",K30="",M30="",O30="",S30="",U30="",W30="",Z30="",AB30="",AD30="",AF30=""),"",
ROUND(((1+ELOSS)*((AK30*INDEX(ELECCB[NPV AEC $/kWh],MATCH(AY30,ELECCB[Year Number],1)))+(W30*INDEX(ELECCB[NPV ACC $/kW],MATCH(AY30,ELECCB[Year Number],1))))/AH30),2)),0)</f>
        <v/>
      </c>
      <c r="AU30" s="1104" t="str">
        <f>IFERROR(AH30/((M02S04F06*AK30)+(Z30*W30)),"")</f>
        <v/>
      </c>
      <c r="AV30" s="1105" t="str">
        <f>IF(C30="","",INDEX(CMEMISC2[Unit of Measure],MATCH(C30,CMEMISC2[Proj Desc 1],0)))</f>
        <v/>
      </c>
      <c r="AW30" s="1025" t="str">
        <f>IF(OR(C30="",G30="",K30="",M30="",O30="",S30="",U30="",W30="",Z30="",AB30="",AD30="",AF30=""),"",ROUND(K30*M30,0))</f>
        <v/>
      </c>
      <c r="AX30" s="1025" t="str">
        <f>IF(OR(C30="",G30="",K30="",M30="",O30="",S30="",U30="",W30="",Z30="",AB30="",AD30="",AF30=""),"",ROUND(S30*U30,0))</f>
        <v/>
      </c>
      <c r="AY30" s="1114" t="str">
        <f>IF(C30="","",IF(INDEX(CMEMISC2[EUL],MATCH(C30,CMEMISC2[Proj Desc 1],0))="","",INDEX(CMEMISC2[EUL],MATCH(C30,CMEMISC2[Proj Desc 1],0))))</f>
        <v/>
      </c>
      <c r="AZ30" s="1121"/>
      <c r="BA30" s="1175">
        <f>W30</f>
        <v>0</v>
      </c>
      <c r="BB30" s="1121"/>
      <c r="BC30" s="1174">
        <f>BD30*BA30</f>
        <v>0</v>
      </c>
      <c r="BD30" s="1174">
        <v>380</v>
      </c>
      <c r="BE30" s="1173"/>
      <c r="BF30" s="1173"/>
      <c r="BG30" s="1173"/>
      <c r="BH30" s="1107" t="str">
        <f>IF(OR(C30="",G30="",K30="",M30="",O30="",S30="",U30="",W30="",Z30="",AB30="",AD30="",AF30=""),"",IF(BJ30&lt;&gt;"",SPILLOVERNUMBER,INDEX(CMEMISC2[Measure Number],MATCH(C30,CMEMISC2[Proj Desc 1],0))))</f>
        <v/>
      </c>
      <c r="BI30" s="1105" t="str">
        <f>IFERROR(IF(AND(AB30="Total",ROUND(AN30/AH30,2)=TOTCOSTCAP),"75% Total Cost",
IF(AND(AB30="Incremental",AH30=AN30),"100% Incremental Cost",
IF(BD30&lt;KWHRATEMIN, "kWh Incentive Rate Min",
IF(BD30&gt;KWHRATEMAX,"kWh Incentive Rate Cap",
IF(AN30=BG30,"Bonus Incentive",
"kW Incentive"))))),"")</f>
        <v/>
      </c>
      <c r="BJ30" s="1105" t="str">
        <f ca="1">IFERROR(IF(EXPIRATION&lt;&gt;"",PROJSTATEXP,
IF(W30&lt;=0,MEASURESAV,
IF(OR(M02S04F06="",M02S04F06="Select Rate Code",M02S04F06=0),MEASURERATE,
IF(ISNUMBER(SEARCH("Other",C30)),MEASURESUBMIT,
 IF(AU30&lt;PAYBACKREQ,PROJECTSTATPAYBACK,
IF(AT30&lt;CBREQ,PROJECTSTATCB,"")))))),MEASURESUBMIT)</f>
        <v>Submit for Review</v>
      </c>
      <c r="BK30" s="931" t="str">
        <f>IFERROR(IF(OR(C30="",G30="",K30="",M30="",O30="",S30="",U30="",W30="",Z30="",AB30="",AD30="",AF30=""),"",
ROUND(((1+ELOSS)*((#REF!*INDEX(ELECCB[NPV AEC $/kWh],MATCH(AY30,ELECCB[Year Number],1)))+(BA30*INDEX(ELECCB[NPV ACC $/kW],MATCH(AY30,ELECCB[Year Number],1))))),2)),0)</f>
        <v/>
      </c>
      <c r="BL30" s="1118"/>
    </row>
    <row r="31" spans="1:64" ht="15.75" hidden="1" customHeight="1">
      <c r="B31" s="905"/>
      <c r="C31" s="1038"/>
      <c r="D31" s="1076"/>
      <c r="E31" s="1076"/>
      <c r="F31" s="1076"/>
      <c r="G31" s="1040"/>
      <c r="H31" s="1037"/>
      <c r="I31" s="1037"/>
      <c r="J31" s="1037"/>
      <c r="K31" s="1041"/>
      <c r="L31" s="1041"/>
      <c r="M31" s="1041"/>
      <c r="N31" s="1152"/>
      <c r="O31" s="1075"/>
      <c r="P31" s="1076"/>
      <c r="Q31" s="1076"/>
      <c r="R31" s="1060"/>
      <c r="S31" s="1041"/>
      <c r="T31" s="1041"/>
      <c r="U31" s="1041"/>
      <c r="V31" s="1152"/>
      <c r="W31" s="1167"/>
      <c r="X31" s="1168"/>
      <c r="Y31" s="1168"/>
      <c r="Z31" s="1171"/>
      <c r="AA31" s="1172"/>
      <c r="AB31" s="1156"/>
      <c r="AC31" s="1157"/>
      <c r="AD31" s="1054"/>
      <c r="AE31" s="1054"/>
      <c r="AF31" s="1127"/>
      <c r="AG31" s="1128"/>
      <c r="AH31" s="1064"/>
      <c r="AI31" s="1065"/>
      <c r="AJ31" s="1065"/>
      <c r="AK31" s="1066"/>
      <c r="AL31" s="1066"/>
      <c r="AM31" s="1066"/>
      <c r="AN31" s="1049"/>
      <c r="AO31" s="1050"/>
      <c r="AP31" s="1050"/>
      <c r="AQ31" s="1050"/>
      <c r="AR31" s="355"/>
      <c r="AS31" s="355"/>
      <c r="AT31" s="1104"/>
      <c r="AU31" s="1104"/>
      <c r="AV31" s="1105"/>
      <c r="AW31" s="1025"/>
      <c r="AX31" s="1025"/>
      <c r="AY31" s="1114"/>
      <c r="AZ31" s="1121"/>
      <c r="BA31" s="1176"/>
      <c r="BB31" s="1121"/>
      <c r="BC31" s="1176"/>
      <c r="BD31" s="1174"/>
      <c r="BE31" s="1173"/>
      <c r="BF31" s="1173"/>
      <c r="BG31" s="1173"/>
      <c r="BH31" s="1107"/>
      <c r="BI31" s="1105"/>
      <c r="BJ31" s="1105"/>
      <c r="BK31" s="931"/>
      <c r="BL31" s="1119"/>
    </row>
    <row r="32" spans="1:64" customFormat="1" ht="15.95" hidden="1" customHeight="1">
      <c r="AW32" s="426"/>
      <c r="AX32" s="426"/>
      <c r="BA32" s="426"/>
      <c r="BC32" s="426"/>
      <c r="BD32" s="426"/>
      <c r="BE32" s="426"/>
      <c r="BF32" s="426"/>
      <c r="BG32" s="426"/>
    </row>
    <row r="33" spans="8:59" customFormat="1" ht="15.95" hidden="1" customHeight="1">
      <c r="H33" s="36"/>
      <c r="I33" s="36"/>
      <c r="J33" s="36"/>
      <c r="K33" s="36"/>
      <c r="O33" s="36"/>
      <c r="P33" s="36"/>
      <c r="Q33" s="36"/>
      <c r="R33" s="36"/>
      <c r="AW33" s="426"/>
      <c r="AX33" s="426"/>
      <c r="BA33" s="426"/>
    </row>
    <row r="34" spans="8:59" customFormat="1" ht="15.95" hidden="1" customHeight="1">
      <c r="H34" s="36"/>
      <c r="I34" s="36"/>
      <c r="J34" s="36"/>
      <c r="K34" s="36"/>
      <c r="O34" s="36"/>
      <c r="P34" s="36"/>
      <c r="Q34" s="36"/>
      <c r="R34" s="36"/>
      <c r="AW34" s="426"/>
      <c r="AX34" s="426"/>
      <c r="BA34" s="426"/>
    </row>
    <row r="35" spans="8:59" customFormat="1" ht="15.95" hidden="1" customHeight="1">
      <c r="H35" s="36"/>
      <c r="I35" s="36"/>
      <c r="J35" s="36"/>
      <c r="K35" s="36"/>
      <c r="O35" s="36"/>
      <c r="P35" s="36"/>
      <c r="Q35" s="36"/>
      <c r="R35" s="36"/>
      <c r="AW35" s="426"/>
      <c r="AX35" s="426"/>
      <c r="BA35" s="426"/>
    </row>
    <row r="36" spans="8:59" customFormat="1" ht="15.95" hidden="1" customHeight="1">
      <c r="H36" s="36"/>
      <c r="I36" s="36"/>
      <c r="J36" s="36"/>
      <c r="K36" s="36"/>
      <c r="O36" s="36"/>
      <c r="P36" s="36"/>
      <c r="Q36" s="36"/>
      <c r="R36" s="36"/>
      <c r="AW36" s="426"/>
      <c r="AX36" s="426"/>
      <c r="BA36" s="426"/>
    </row>
    <row r="37" spans="8:59" customFormat="1" ht="15.95" hidden="1" customHeight="1">
      <c r="AW37" s="426"/>
      <c r="AX37" s="426"/>
      <c r="BA37" s="426"/>
    </row>
    <row r="38" spans="8:59" customFormat="1" ht="15.95" hidden="1" customHeight="1">
      <c r="J38" s="36"/>
      <c r="K38" s="36"/>
      <c r="L38" s="36"/>
      <c r="M38" s="36"/>
      <c r="R38" s="36"/>
      <c r="S38" s="36"/>
      <c r="T38" s="36"/>
      <c r="U38" s="36"/>
      <c r="AO38" s="235"/>
      <c r="AP38" s="235"/>
      <c r="AQ38" s="235"/>
      <c r="AR38" s="235"/>
      <c r="AS38" s="235"/>
      <c r="AW38" s="426"/>
      <c r="AX38" s="426"/>
      <c r="BA38" s="426"/>
      <c r="BG38" s="180"/>
    </row>
    <row r="39" spans="8:59" customFormat="1" ht="15.95" hidden="1" customHeight="1">
      <c r="J39" s="36"/>
      <c r="K39" s="36"/>
      <c r="L39" s="36"/>
      <c r="M39" s="36"/>
      <c r="R39" s="36"/>
      <c r="S39" s="36"/>
      <c r="T39" s="36"/>
      <c r="U39" s="36"/>
      <c r="AO39" s="235"/>
      <c r="AP39" s="235"/>
      <c r="AQ39" s="235"/>
      <c r="AR39" s="235"/>
      <c r="AS39" s="235"/>
      <c r="AW39" s="426"/>
      <c r="AX39" s="426"/>
      <c r="BA39" s="426"/>
      <c r="BG39" s="180"/>
    </row>
    <row r="40" spans="8:59" customFormat="1" ht="15.95" hidden="1" customHeight="1">
      <c r="J40" s="36"/>
      <c r="K40" s="36"/>
      <c r="L40" s="36"/>
      <c r="M40" s="36"/>
      <c r="R40" s="36"/>
      <c r="S40" s="36"/>
      <c r="T40" s="36"/>
      <c r="U40" s="36"/>
      <c r="AO40" s="235"/>
      <c r="AP40" s="235"/>
      <c r="AQ40" s="235"/>
      <c r="AR40" s="235"/>
      <c r="AS40" s="235"/>
      <c r="AW40" s="426"/>
      <c r="AX40" s="426"/>
      <c r="BA40" s="426"/>
      <c r="BG40" s="180"/>
    </row>
    <row r="41" spans="8:59" customFormat="1" ht="15.95" hidden="1" customHeight="1">
      <c r="J41" s="36"/>
      <c r="K41" s="36"/>
      <c r="L41" s="36"/>
      <c r="M41" s="36"/>
      <c r="R41" s="36"/>
      <c r="S41" s="36"/>
      <c r="T41" s="36"/>
      <c r="U41" s="36"/>
      <c r="AO41" s="235"/>
      <c r="AP41" s="235"/>
      <c r="AQ41" s="235"/>
      <c r="AR41" s="235"/>
      <c r="AS41" s="235"/>
      <c r="AW41" s="426"/>
      <c r="AX41" s="426"/>
      <c r="BA41" s="426"/>
      <c r="BG41" s="180"/>
    </row>
    <row r="42" spans="8:59" customFormat="1" ht="15.95" hidden="1" customHeight="1">
      <c r="J42" s="36"/>
      <c r="K42" s="36"/>
      <c r="L42" s="36"/>
      <c r="M42" s="36"/>
      <c r="R42" s="36"/>
      <c r="S42" s="36"/>
      <c r="T42" s="36"/>
      <c r="U42" s="36"/>
      <c r="AO42" s="235"/>
      <c r="AP42" s="235"/>
      <c r="AQ42" s="235"/>
      <c r="AR42" s="235"/>
      <c r="AS42" s="235"/>
      <c r="AW42" s="426"/>
      <c r="AX42" s="426"/>
      <c r="BA42" s="426"/>
      <c r="BG42" s="180"/>
    </row>
    <row r="43" spans="8:59" customFormat="1" ht="15.95" hidden="1" customHeight="1">
      <c r="J43" s="36"/>
      <c r="K43" s="36"/>
      <c r="L43" s="36"/>
      <c r="M43" s="36"/>
      <c r="R43" s="36"/>
      <c r="S43" s="36"/>
      <c r="T43" s="36"/>
      <c r="U43" s="36"/>
      <c r="AO43" s="235"/>
      <c r="AP43" s="235"/>
      <c r="AQ43" s="235"/>
      <c r="AR43" s="235"/>
      <c r="AS43" s="235"/>
      <c r="AW43" s="426"/>
      <c r="AX43" s="426"/>
      <c r="BA43" s="426"/>
      <c r="BG43" s="180"/>
    </row>
    <row r="44" spans="8:59" customFormat="1" ht="15.95" hidden="1" customHeight="1">
      <c r="J44" s="36"/>
      <c r="K44" s="36"/>
      <c r="L44" s="36"/>
      <c r="M44" s="36"/>
      <c r="R44" s="36"/>
      <c r="S44" s="36"/>
      <c r="T44" s="36"/>
      <c r="U44" s="36"/>
      <c r="AO44" s="235"/>
      <c r="AP44" s="235"/>
      <c r="AQ44" s="235"/>
      <c r="AR44" s="235"/>
      <c r="AS44" s="235"/>
      <c r="AW44" s="426"/>
      <c r="AX44" s="426"/>
      <c r="BA44" s="426"/>
      <c r="BG44" s="180"/>
    </row>
    <row r="45" spans="8:59" customFormat="1" ht="15.95" hidden="1" customHeight="1">
      <c r="J45" s="36"/>
      <c r="K45" s="36"/>
      <c r="L45" s="36"/>
      <c r="M45" s="36"/>
      <c r="R45" s="36"/>
      <c r="S45" s="36"/>
      <c r="T45" s="36"/>
      <c r="U45" s="36"/>
      <c r="AO45" s="235"/>
      <c r="AP45" s="235"/>
      <c r="AQ45" s="235"/>
      <c r="AR45" s="235"/>
      <c r="AS45" s="235"/>
      <c r="AW45" s="426"/>
      <c r="AX45" s="426"/>
      <c r="BA45" s="426"/>
      <c r="BG45" s="180"/>
    </row>
    <row r="46" spans="8:59" customFormat="1" ht="15.95" hidden="1" customHeight="1">
      <c r="J46" s="36"/>
      <c r="K46" s="36"/>
      <c r="L46" s="36"/>
      <c r="M46" s="36"/>
      <c r="R46" s="36"/>
      <c r="S46" s="36"/>
      <c r="T46" s="36"/>
      <c r="U46" s="36"/>
      <c r="AO46" s="235"/>
      <c r="AP46" s="235"/>
      <c r="AQ46" s="235"/>
      <c r="AR46" s="235"/>
      <c r="AS46" s="235"/>
      <c r="AW46" s="426"/>
      <c r="AX46" s="426"/>
      <c r="BA46" s="426"/>
      <c r="BG46" s="180"/>
    </row>
    <row r="47" spans="8:59" customFormat="1" ht="15.95" hidden="1" customHeight="1">
      <c r="J47" s="36"/>
      <c r="K47" s="36"/>
      <c r="L47" s="36"/>
      <c r="M47" s="36"/>
      <c r="R47" s="36"/>
      <c r="S47" s="36"/>
      <c r="T47" s="36"/>
      <c r="U47" s="36"/>
      <c r="AO47" s="235"/>
      <c r="AP47" s="235"/>
      <c r="AQ47" s="235"/>
      <c r="AR47" s="235"/>
      <c r="AS47" s="235"/>
      <c r="AW47" s="426"/>
      <c r="AX47" s="426"/>
      <c r="BA47" s="426"/>
      <c r="BG47" s="180"/>
    </row>
    <row r="48" spans="8:59" ht="15.95" hidden="1" customHeight="1">
      <c r="AO48" s="37"/>
      <c r="AP48" s="37"/>
      <c r="AQ48" s="37"/>
      <c r="AR48" s="37"/>
      <c r="AS48" s="37"/>
      <c r="AU48" s="188"/>
      <c r="AV48" s="189"/>
      <c r="AW48" s="599"/>
      <c r="AX48" s="599"/>
      <c r="AY48" s="189"/>
      <c r="BA48" s="427"/>
    </row>
    <row r="49" spans="41:53" ht="15.95" hidden="1" customHeight="1">
      <c r="AO49" s="37"/>
      <c r="AP49" s="37"/>
      <c r="AQ49" s="37"/>
      <c r="AR49" s="37"/>
      <c r="AS49" s="37"/>
      <c r="AU49" s="188"/>
      <c r="AV49" s="189"/>
      <c r="AW49" s="599"/>
      <c r="AX49" s="599"/>
      <c r="AY49" s="189"/>
      <c r="BA49" s="427"/>
    </row>
    <row r="50" spans="41:53" ht="15.95" hidden="1" customHeight="1">
      <c r="AO50" s="37"/>
      <c r="AP50" s="37"/>
      <c r="AQ50" s="37"/>
      <c r="AR50" s="37"/>
      <c r="AS50" s="37"/>
      <c r="AU50" s="188"/>
      <c r="AV50" s="189"/>
      <c r="AW50" s="599"/>
      <c r="AX50" s="599"/>
      <c r="AY50" s="189"/>
      <c r="BA50" s="427"/>
    </row>
    <row r="51" spans="41:53" ht="15.95" hidden="1" customHeight="1">
      <c r="AO51" s="37"/>
      <c r="AP51" s="37"/>
      <c r="AQ51" s="37"/>
      <c r="AR51" s="37"/>
      <c r="AS51" s="37"/>
      <c r="AU51" s="188"/>
      <c r="AV51" s="189"/>
      <c r="AW51" s="599"/>
      <c r="AX51" s="599"/>
      <c r="AY51" s="189"/>
      <c r="BA51" s="427"/>
    </row>
    <row r="52" spans="41:53" ht="15.95" hidden="1" customHeight="1">
      <c r="AO52" s="37"/>
      <c r="AP52" s="37"/>
      <c r="AQ52" s="37"/>
      <c r="AR52" s="37"/>
      <c r="AS52" s="37"/>
      <c r="AU52" s="188"/>
      <c r="AV52" s="189"/>
      <c r="AW52" s="599"/>
      <c r="AX52" s="599"/>
      <c r="AY52" s="189"/>
      <c r="BA52" s="427"/>
    </row>
    <row r="53" spans="41:53" ht="15.95" hidden="1" customHeight="1">
      <c r="AO53" s="37"/>
      <c r="AP53" s="37"/>
      <c r="AQ53" s="37"/>
      <c r="AR53" s="37"/>
      <c r="AS53" s="37"/>
      <c r="AU53" s="188"/>
      <c r="AV53" s="189"/>
      <c r="AW53" s="599"/>
      <c r="AX53" s="599"/>
      <c r="AY53" s="189"/>
      <c r="BA53" s="427"/>
    </row>
    <row r="54" spans="41:53" ht="15.95" hidden="1" customHeight="1">
      <c r="AO54" s="37"/>
      <c r="AP54" s="37"/>
      <c r="AQ54" s="37"/>
      <c r="AR54" s="37"/>
      <c r="AS54" s="37"/>
      <c r="AU54" s="188"/>
      <c r="AV54" s="189"/>
      <c r="AW54" s="599"/>
      <c r="AX54" s="599"/>
      <c r="AY54" s="189"/>
      <c r="BA54" s="427"/>
    </row>
    <row r="55" spans="41:53" ht="15.95" hidden="1" customHeight="1">
      <c r="AO55" s="37"/>
      <c r="AP55" s="37"/>
      <c r="AQ55" s="37"/>
      <c r="AR55" s="37"/>
      <c r="AS55" s="37"/>
      <c r="AU55" s="188"/>
      <c r="AV55" s="189"/>
      <c r="AW55" s="599"/>
      <c r="AX55" s="599"/>
      <c r="AY55" s="189"/>
      <c r="BA55" s="427"/>
    </row>
    <row r="56" spans="41:53" ht="15.95" hidden="1" customHeight="1">
      <c r="AO56" s="37"/>
      <c r="AP56" s="37"/>
      <c r="AQ56" s="37"/>
      <c r="AR56" s="37"/>
      <c r="AS56" s="37"/>
      <c r="AU56" s="188"/>
      <c r="AV56" s="189"/>
      <c r="AW56" s="599"/>
      <c r="AX56" s="599"/>
      <c r="AY56" s="189"/>
      <c r="BA56" s="427"/>
    </row>
    <row r="57" spans="41:53" ht="15.95" hidden="1" customHeight="1">
      <c r="AO57" s="37"/>
      <c r="AP57" s="37"/>
      <c r="AQ57" s="37"/>
      <c r="AR57" s="37"/>
      <c r="AS57" s="37"/>
      <c r="AU57" s="188"/>
      <c r="AV57" s="189"/>
      <c r="AW57" s="599"/>
      <c r="AX57" s="599"/>
      <c r="AY57" s="189"/>
      <c r="BA57" s="427"/>
    </row>
    <row r="58" spans="41:53" ht="15.95" hidden="1" customHeight="1">
      <c r="AO58" s="37"/>
      <c r="AP58" s="37"/>
      <c r="AQ58" s="37"/>
      <c r="AR58" s="37"/>
      <c r="AS58" s="37"/>
      <c r="AU58" s="188"/>
      <c r="AV58" s="189"/>
      <c r="AW58" s="599"/>
      <c r="AX58" s="599"/>
      <c r="AY58" s="189"/>
      <c r="BA58" s="427"/>
    </row>
    <row r="59" spans="41:53" ht="15.95" hidden="1" customHeight="1">
      <c r="AO59" s="37"/>
      <c r="AP59" s="37"/>
      <c r="AQ59" s="37"/>
      <c r="AR59" s="37"/>
      <c r="AS59" s="37"/>
      <c r="AU59" s="188"/>
      <c r="AV59" s="189"/>
      <c r="AW59" s="599"/>
      <c r="AX59" s="599"/>
      <c r="AY59" s="189"/>
      <c r="BA59" s="427"/>
    </row>
    <row r="60" spans="41:53" ht="15.95" hidden="1" customHeight="1">
      <c r="AO60" s="37"/>
      <c r="AP60" s="37"/>
      <c r="AQ60" s="37"/>
      <c r="AR60" s="37"/>
      <c r="AS60" s="37"/>
      <c r="AU60" s="188"/>
      <c r="AV60" s="189"/>
      <c r="AW60" s="599"/>
      <c r="AX60" s="599"/>
      <c r="AY60" s="189"/>
      <c r="BA60" s="427"/>
    </row>
    <row r="61" spans="41:53" ht="15.95" hidden="1" customHeight="1">
      <c r="AO61" s="37"/>
      <c r="AP61" s="37"/>
      <c r="AQ61" s="37"/>
      <c r="AR61" s="37"/>
      <c r="AS61" s="37"/>
      <c r="AU61" s="188"/>
      <c r="AV61" s="189"/>
      <c r="AW61" s="599"/>
      <c r="AX61" s="599"/>
      <c r="AY61" s="189"/>
      <c r="BA61" s="427"/>
    </row>
    <row r="62" spans="41:53" ht="15.95" hidden="1" customHeight="1">
      <c r="AU62" s="188"/>
      <c r="AV62" s="189"/>
      <c r="AW62" s="599"/>
      <c r="AX62" s="599"/>
      <c r="AY62" s="189"/>
      <c r="BA62" s="427"/>
    </row>
    <row r="63" spans="41:53" ht="15.95" hidden="1" customHeight="1">
      <c r="AU63" s="188"/>
      <c r="AV63" s="189"/>
      <c r="AW63" s="599"/>
      <c r="AX63" s="599"/>
      <c r="AY63" s="189"/>
      <c r="BA63" s="427"/>
    </row>
    <row r="64" spans="41:53" ht="15.95" hidden="1" customHeight="1">
      <c r="AU64" s="188"/>
      <c r="AV64" s="189"/>
      <c r="AW64" s="599"/>
      <c r="AX64" s="599"/>
      <c r="AY64" s="189"/>
      <c r="BA64" s="427"/>
    </row>
    <row r="65" spans="47:53" ht="15.95" hidden="1" customHeight="1">
      <c r="AU65" s="188"/>
      <c r="AV65" s="189"/>
      <c r="AW65" s="599"/>
      <c r="AX65" s="599"/>
      <c r="AY65" s="189"/>
      <c r="BA65" s="427"/>
    </row>
    <row r="66" spans="47:53" ht="15.95" hidden="1" customHeight="1">
      <c r="AU66" s="188"/>
      <c r="AV66" s="189"/>
      <c r="AW66" s="599"/>
      <c r="AX66" s="599"/>
      <c r="AY66" s="189"/>
      <c r="BA66" s="427"/>
    </row>
    <row r="67" spans="47:53" ht="15.95" hidden="1" customHeight="1">
      <c r="AU67" s="188"/>
      <c r="AV67" s="189"/>
      <c r="AW67" s="599"/>
      <c r="AX67" s="599"/>
      <c r="AY67" s="189"/>
      <c r="BA67" s="427"/>
    </row>
    <row r="68" spans="47:53" ht="15.95" hidden="1" customHeight="1">
      <c r="AU68" s="188"/>
      <c r="AV68" s="189"/>
      <c r="AW68" s="599"/>
      <c r="AX68" s="599"/>
      <c r="AY68" s="189"/>
      <c r="BA68" s="427"/>
    </row>
    <row r="69" spans="47:53" ht="15.95" hidden="1" customHeight="1">
      <c r="AU69" s="188"/>
      <c r="AV69" s="189"/>
      <c r="AW69" s="599"/>
      <c r="AX69" s="599"/>
      <c r="AY69" s="189"/>
      <c r="BA69" s="427"/>
    </row>
    <row r="70" spans="47:53" ht="15.95" hidden="1" customHeight="1">
      <c r="AU70" s="188"/>
      <c r="AV70" s="189"/>
      <c r="AW70" s="599"/>
      <c r="AX70" s="599"/>
      <c r="AY70" s="189"/>
      <c r="BA70" s="427"/>
    </row>
    <row r="71" spans="47:53" ht="15.95" hidden="1" customHeight="1">
      <c r="AU71" s="188"/>
      <c r="AV71" s="189"/>
      <c r="AW71" s="599"/>
      <c r="AX71" s="599"/>
      <c r="AY71" s="189"/>
      <c r="BA71" s="427"/>
    </row>
    <row r="72" spans="47:53" ht="15.95" hidden="1" customHeight="1">
      <c r="AU72" s="188"/>
      <c r="AV72" s="189"/>
      <c r="AW72" s="599"/>
      <c r="AX72" s="599"/>
      <c r="AY72" s="189"/>
      <c r="BA72" s="427"/>
    </row>
    <row r="73" spans="47:53" ht="15.95" hidden="1" customHeight="1">
      <c r="AU73" s="188"/>
      <c r="AV73" s="189"/>
      <c r="AW73" s="599"/>
      <c r="AX73" s="599"/>
      <c r="AY73" s="189"/>
      <c r="BA73" s="427"/>
    </row>
    <row r="74" spans="47:53" ht="15.95" hidden="1" customHeight="1">
      <c r="AU74" s="188"/>
      <c r="AV74" s="189"/>
      <c r="AW74" s="599"/>
      <c r="AX74" s="599"/>
      <c r="AY74" s="189"/>
      <c r="BA74" s="427"/>
    </row>
    <row r="75" spans="47:53" ht="15.95" hidden="1" customHeight="1">
      <c r="AU75" s="188"/>
      <c r="AV75" s="189"/>
      <c r="AW75" s="599"/>
      <c r="AX75" s="599"/>
      <c r="AY75" s="189"/>
      <c r="BA75" s="427"/>
    </row>
    <row r="76" spans="47:53" ht="15.95" hidden="1" customHeight="1">
      <c r="AU76" s="188"/>
      <c r="AV76" s="189"/>
      <c r="AW76" s="599"/>
      <c r="AX76" s="599"/>
      <c r="AY76" s="189"/>
      <c r="BA76" s="427"/>
    </row>
    <row r="77" spans="47:53" ht="15.95" hidden="1" customHeight="1">
      <c r="AU77" s="188"/>
      <c r="AV77" s="189"/>
      <c r="AW77" s="599"/>
      <c r="AX77" s="599"/>
      <c r="AY77" s="189"/>
      <c r="BA77" s="427"/>
    </row>
    <row r="78" spans="47:53" ht="15.95" hidden="1" customHeight="1">
      <c r="AU78" s="188"/>
      <c r="AV78" s="189"/>
      <c r="AW78" s="599"/>
      <c r="AX78" s="599"/>
      <c r="AY78" s="189"/>
      <c r="BA78" s="427"/>
    </row>
    <row r="79" spans="47:53" ht="15.95" hidden="1" customHeight="1">
      <c r="AU79" s="188"/>
      <c r="AV79" s="189"/>
      <c r="AW79" s="599"/>
      <c r="AX79" s="599"/>
      <c r="AY79" s="189"/>
      <c r="BA79" s="427"/>
    </row>
    <row r="80" spans="47:53" ht="15.95" hidden="1" customHeight="1">
      <c r="AU80" s="188"/>
      <c r="AV80" s="189"/>
      <c r="AW80" s="599"/>
      <c r="AX80" s="599"/>
      <c r="AY80" s="189"/>
      <c r="BA80" s="427"/>
    </row>
    <row r="81" spans="47:53" ht="15.95" hidden="1" customHeight="1">
      <c r="AU81" s="188"/>
      <c r="AV81" s="189"/>
      <c r="AW81" s="599"/>
      <c r="AX81" s="599"/>
      <c r="AY81" s="189"/>
      <c r="BA81" s="427"/>
    </row>
    <row r="82" spans="47:53" ht="15.95" hidden="1" customHeight="1">
      <c r="AU82" s="188"/>
      <c r="AV82" s="189"/>
      <c r="AW82" s="599"/>
      <c r="AX82" s="599"/>
      <c r="AY82" s="189"/>
      <c r="BA82" s="427"/>
    </row>
    <row r="83" spans="47:53" ht="15.95" hidden="1" customHeight="1">
      <c r="AU83" s="188"/>
      <c r="AV83" s="189"/>
      <c r="AW83" s="599"/>
      <c r="AX83" s="599"/>
      <c r="AY83" s="189"/>
      <c r="BA83" s="427"/>
    </row>
    <row r="84" spans="47:53" ht="15.95" hidden="1" customHeight="1">
      <c r="AU84" s="188"/>
      <c r="AV84" s="189"/>
      <c r="AW84" s="599"/>
      <c r="AX84" s="599"/>
      <c r="AY84" s="189"/>
      <c r="BA84" s="427"/>
    </row>
    <row r="85" spans="47:53" ht="15.95" hidden="1" customHeight="1">
      <c r="AU85" s="188"/>
      <c r="AV85" s="189"/>
      <c r="AW85" s="599"/>
      <c r="AX85" s="599"/>
      <c r="AY85" s="189"/>
      <c r="BA85" s="427"/>
    </row>
    <row r="86" spans="47:53" ht="15.95" hidden="1" customHeight="1">
      <c r="AU86" s="188"/>
      <c r="AV86" s="189"/>
      <c r="AW86" s="599"/>
      <c r="AX86" s="599"/>
      <c r="AY86" s="189"/>
      <c r="BA86" s="427"/>
    </row>
    <row r="87" spans="47:53" ht="15.95" hidden="1" customHeight="1">
      <c r="AU87" s="188"/>
      <c r="AV87" s="189"/>
      <c r="AW87" s="599"/>
      <c r="AX87" s="599"/>
      <c r="AY87" s="189"/>
      <c r="BA87" s="427"/>
    </row>
    <row r="88" spans="47:53" ht="15.95" hidden="1" customHeight="1">
      <c r="AU88" s="188"/>
      <c r="AV88" s="189"/>
      <c r="AW88" s="599"/>
      <c r="AX88" s="599"/>
      <c r="AY88" s="189"/>
      <c r="BA88" s="427"/>
    </row>
    <row r="89" spans="47:53" ht="15.95" hidden="1" customHeight="1">
      <c r="AU89" s="188"/>
      <c r="AV89" s="189"/>
      <c r="AW89" s="599"/>
      <c r="AX89" s="599"/>
      <c r="AY89" s="189"/>
      <c r="BA89" s="427"/>
    </row>
    <row r="90" spans="47:53" ht="15.95" hidden="1" customHeight="1">
      <c r="AU90" s="188"/>
      <c r="AV90" s="189"/>
      <c r="AW90" s="599"/>
      <c r="AX90" s="599"/>
      <c r="AY90" s="189"/>
      <c r="BA90" s="427"/>
    </row>
    <row r="91" spans="47:53" ht="15.95" hidden="1" customHeight="1">
      <c r="AU91" s="188"/>
      <c r="AV91" s="189"/>
      <c r="AW91" s="599"/>
      <c r="AX91" s="599"/>
      <c r="AY91" s="189"/>
      <c r="BA91" s="427"/>
    </row>
    <row r="92" spans="47:53" ht="15.95" hidden="1" customHeight="1">
      <c r="AU92" s="188"/>
      <c r="AV92" s="189"/>
      <c r="AW92" s="599"/>
      <c r="AX92" s="599"/>
      <c r="AY92" s="189"/>
      <c r="BA92" s="427"/>
    </row>
    <row r="93" spans="47:53" ht="15.95" hidden="1" customHeight="1">
      <c r="AU93" s="188"/>
      <c r="AV93" s="189"/>
      <c r="AW93" s="599"/>
      <c r="AX93" s="599"/>
      <c r="AY93" s="189"/>
      <c r="BA93" s="427"/>
    </row>
    <row r="94" spans="47:53" ht="15.95" hidden="1" customHeight="1">
      <c r="AU94" s="188"/>
      <c r="AV94" s="189"/>
      <c r="AW94" s="599"/>
      <c r="AX94" s="599"/>
      <c r="AY94" s="189"/>
      <c r="BA94" s="427"/>
    </row>
    <row r="95" spans="47:53" ht="15.95" hidden="1" customHeight="1">
      <c r="AU95" s="188"/>
      <c r="AV95" s="189"/>
      <c r="AW95" s="599"/>
      <c r="AX95" s="599"/>
      <c r="AY95" s="189"/>
      <c r="BA95" s="427"/>
    </row>
    <row r="96" spans="47:53" ht="15.95" hidden="1" customHeight="1">
      <c r="AU96" s="188"/>
      <c r="AV96" s="189"/>
      <c r="AW96" s="599"/>
      <c r="AX96" s="599"/>
      <c r="AY96" s="189"/>
      <c r="BA96" s="427"/>
    </row>
    <row r="97" spans="47:53" ht="15.95" hidden="1" customHeight="1">
      <c r="AU97" s="188"/>
      <c r="AV97" s="189"/>
      <c r="AW97" s="599"/>
      <c r="AX97" s="599"/>
      <c r="AY97" s="189"/>
      <c r="BA97" s="427"/>
    </row>
    <row r="98" spans="47:53" ht="15.95" hidden="1" customHeight="1">
      <c r="AU98" s="188"/>
      <c r="AV98" s="189"/>
      <c r="AW98" s="599"/>
      <c r="AX98" s="599"/>
      <c r="AY98" s="189"/>
      <c r="BA98" s="427"/>
    </row>
    <row r="99" spans="47:53" ht="15.95" hidden="1" customHeight="1">
      <c r="AU99" s="188"/>
      <c r="AV99" s="189"/>
      <c r="AW99" s="599"/>
      <c r="AX99" s="599"/>
      <c r="AY99" s="189"/>
      <c r="BA99" s="427"/>
    </row>
    <row r="100" spans="47:53" ht="15.95" hidden="1" customHeight="1">
      <c r="AU100" s="188"/>
      <c r="AV100" s="189"/>
      <c r="AW100" s="599"/>
      <c r="AX100" s="599"/>
      <c r="AY100" s="189"/>
      <c r="BA100" s="427"/>
    </row>
    <row r="101" spans="47:53" ht="15.95" hidden="1" customHeight="1">
      <c r="AU101" s="188"/>
      <c r="AV101" s="189"/>
      <c r="AW101" s="599"/>
      <c r="AX101" s="599"/>
      <c r="AY101" s="189"/>
      <c r="BA101" s="427"/>
    </row>
    <row r="102" spans="47:53" ht="15.95" hidden="1" customHeight="1">
      <c r="AU102" s="188"/>
      <c r="AV102" s="189"/>
      <c r="AW102" s="599"/>
      <c r="AX102" s="599"/>
      <c r="AY102" s="189"/>
      <c r="BA102" s="427"/>
    </row>
    <row r="103" spans="47:53" ht="15.95" hidden="1" customHeight="1">
      <c r="AU103" s="188"/>
      <c r="AV103" s="189"/>
      <c r="AW103" s="599"/>
      <c r="AX103" s="599"/>
      <c r="AY103" s="189"/>
      <c r="BA103" s="427"/>
    </row>
    <row r="104" spans="47:53" ht="15.95" hidden="1" customHeight="1">
      <c r="AU104" s="188"/>
      <c r="AV104" s="189"/>
      <c r="AW104" s="599"/>
      <c r="AX104" s="599"/>
      <c r="AY104" s="189"/>
      <c r="BA104" s="427"/>
    </row>
    <row r="105" spans="47:53" ht="15.95" hidden="1" customHeight="1">
      <c r="AU105" s="188"/>
      <c r="AV105" s="189"/>
      <c r="AW105" s="599"/>
      <c r="AX105" s="599"/>
      <c r="AY105" s="189"/>
      <c r="BA105" s="427"/>
    </row>
    <row r="106" spans="47:53" ht="15.95" hidden="1" customHeight="1">
      <c r="AU106" s="188"/>
      <c r="AV106" s="189"/>
      <c r="AW106" s="599"/>
      <c r="AX106" s="599"/>
      <c r="AY106" s="189"/>
      <c r="BA106" s="427"/>
    </row>
    <row r="107" spans="47:53" ht="15.95" hidden="1" customHeight="1">
      <c r="AU107" s="188"/>
      <c r="AV107" s="189"/>
      <c r="AW107" s="599"/>
      <c r="AX107" s="599"/>
      <c r="AY107" s="189"/>
      <c r="BA107" s="427"/>
    </row>
    <row r="108" spans="47:53" ht="15.95" hidden="1" customHeight="1">
      <c r="AU108" s="188"/>
      <c r="AV108" s="189"/>
      <c r="AW108" s="599"/>
      <c r="AX108" s="599"/>
      <c r="AY108" s="189"/>
      <c r="BA108" s="427"/>
    </row>
    <row r="109" spans="47:53" ht="15.95" hidden="1" customHeight="1">
      <c r="AU109" s="188"/>
      <c r="AV109" s="189"/>
      <c r="AW109" s="599"/>
      <c r="AX109" s="599"/>
      <c r="AY109" s="189"/>
      <c r="BA109" s="427"/>
    </row>
    <row r="110" spans="47:53" ht="15.95" hidden="1" customHeight="1">
      <c r="AU110" s="188"/>
      <c r="AV110" s="189"/>
      <c r="AW110" s="599"/>
      <c r="AX110" s="599"/>
      <c r="AY110" s="189"/>
      <c r="BA110" s="427"/>
    </row>
    <row r="111" spans="47:53" ht="15.95" hidden="1" customHeight="1">
      <c r="AU111" s="188"/>
      <c r="AV111" s="189"/>
      <c r="AW111" s="599"/>
      <c r="AX111" s="599"/>
      <c r="AY111" s="189"/>
      <c r="BA111" s="427"/>
    </row>
    <row r="112" spans="47:53" ht="15.95" hidden="1" customHeight="1">
      <c r="AU112" s="188"/>
      <c r="AV112" s="189"/>
      <c r="AW112" s="599"/>
      <c r="AX112" s="599"/>
      <c r="AY112" s="189"/>
      <c r="BA112" s="427"/>
    </row>
    <row r="113" spans="47:53" ht="15.95" hidden="1" customHeight="1">
      <c r="AU113" s="188"/>
      <c r="AV113" s="189"/>
      <c r="AW113" s="599"/>
      <c r="AX113" s="599"/>
      <c r="AY113" s="189"/>
      <c r="BA113" s="427"/>
    </row>
    <row r="114" spans="47:53" ht="15.95" hidden="1" customHeight="1">
      <c r="AU114" s="188"/>
      <c r="AV114" s="189"/>
      <c r="AW114" s="599"/>
      <c r="AX114" s="599"/>
      <c r="AY114" s="189"/>
      <c r="BA114" s="427"/>
    </row>
    <row r="115" spans="47:53" ht="15.95" hidden="1" customHeight="1">
      <c r="AU115" s="188"/>
      <c r="AV115" s="189"/>
      <c r="AW115" s="599"/>
      <c r="AX115" s="599"/>
      <c r="AY115" s="189"/>
      <c r="BA115" s="427"/>
    </row>
    <row r="116" spans="47:53" ht="15.95" hidden="1" customHeight="1">
      <c r="AU116" s="188"/>
      <c r="AV116" s="189"/>
      <c r="AW116" s="599"/>
      <c r="AX116" s="599"/>
      <c r="AY116" s="189"/>
      <c r="BA116" s="427"/>
    </row>
    <row r="117" spans="47:53" ht="15.95" hidden="1" customHeight="1">
      <c r="AU117" s="188"/>
      <c r="AV117" s="189"/>
      <c r="AW117" s="599"/>
      <c r="AX117" s="599"/>
      <c r="AY117" s="189"/>
      <c r="BA117" s="427"/>
    </row>
    <row r="118" spans="47:53" ht="15.95" hidden="1" customHeight="1">
      <c r="AU118" s="188"/>
      <c r="AV118" s="189"/>
      <c r="AW118" s="599"/>
      <c r="AX118" s="599"/>
      <c r="AY118" s="189"/>
      <c r="BA118" s="427"/>
    </row>
    <row r="119" spans="47:53" ht="15.95" hidden="1" customHeight="1">
      <c r="AU119" s="188"/>
      <c r="AV119" s="189"/>
      <c r="AW119" s="599"/>
      <c r="AX119" s="599"/>
      <c r="AY119" s="189"/>
      <c r="BA119" s="427"/>
    </row>
    <row r="120" spans="47:53" ht="15.95" hidden="1" customHeight="1">
      <c r="AU120" s="188"/>
      <c r="AV120" s="189"/>
      <c r="AW120" s="599"/>
      <c r="AX120" s="599"/>
      <c r="AY120" s="189"/>
      <c r="BA120" s="427"/>
    </row>
    <row r="121" spans="47:53" ht="15.95" hidden="1" customHeight="1">
      <c r="AU121" s="188"/>
      <c r="AV121" s="189"/>
      <c r="AW121" s="599"/>
      <c r="AX121" s="599"/>
      <c r="AY121" s="189"/>
      <c r="BA121" s="427"/>
    </row>
    <row r="122" spans="47:53" ht="15.95" hidden="1" customHeight="1">
      <c r="AU122" s="188"/>
      <c r="AV122" s="189"/>
      <c r="AW122" s="599"/>
      <c r="AX122" s="599"/>
      <c r="AY122" s="189"/>
      <c r="BA122" s="427"/>
    </row>
    <row r="123" spans="47:53" ht="15.95" hidden="1" customHeight="1">
      <c r="AU123" s="188"/>
      <c r="AV123" s="189"/>
      <c r="AW123" s="599"/>
      <c r="AX123" s="599"/>
      <c r="AY123" s="189"/>
      <c r="BA123" s="427"/>
    </row>
    <row r="124" spans="47:53" ht="15.95" hidden="1" customHeight="1">
      <c r="AU124" s="188"/>
      <c r="AV124" s="189"/>
      <c r="AW124" s="599"/>
      <c r="AX124" s="599"/>
      <c r="AY124" s="189"/>
      <c r="BA124" s="427"/>
    </row>
    <row r="125" spans="47:53" ht="15.95" hidden="1" customHeight="1">
      <c r="AU125" s="188"/>
      <c r="AV125" s="189"/>
      <c r="AW125" s="599"/>
      <c r="AX125" s="599"/>
      <c r="AY125" s="189"/>
      <c r="BA125" s="427"/>
    </row>
    <row r="126" spans="47:53" ht="15.95" hidden="1" customHeight="1">
      <c r="AU126" s="188"/>
      <c r="AV126" s="189"/>
      <c r="AW126" s="599"/>
      <c r="AX126" s="599"/>
      <c r="AY126" s="189"/>
      <c r="BA126" s="427"/>
    </row>
    <row r="127" spans="47:53" ht="15.95" hidden="1" customHeight="1">
      <c r="AU127" s="188"/>
      <c r="AV127" s="189"/>
      <c r="AW127" s="599"/>
      <c r="AX127" s="599"/>
      <c r="AY127" s="189"/>
      <c r="BA127" s="427"/>
    </row>
    <row r="128" spans="47:53" ht="15.95" hidden="1" customHeight="1">
      <c r="AU128" s="188"/>
      <c r="AV128" s="189"/>
      <c r="AW128" s="599"/>
      <c r="AX128" s="599"/>
      <c r="AY128" s="189"/>
      <c r="BA128" s="427"/>
    </row>
    <row r="129" spans="47:53" ht="15.95" hidden="1" customHeight="1">
      <c r="AU129" s="188"/>
      <c r="AV129" s="189"/>
      <c r="AW129" s="599"/>
      <c r="AX129" s="599"/>
      <c r="AY129" s="189"/>
      <c r="BA129" s="427"/>
    </row>
    <row r="130" spans="47:53" ht="15.95" hidden="1" customHeight="1">
      <c r="AU130" s="188"/>
      <c r="AV130" s="189"/>
      <c r="AW130" s="599"/>
      <c r="AX130" s="599"/>
      <c r="AY130" s="189"/>
      <c r="BA130" s="427"/>
    </row>
    <row r="131" spans="47:53" ht="15.95" hidden="1" customHeight="1">
      <c r="AU131" s="188"/>
      <c r="AV131" s="189"/>
      <c r="AW131" s="599"/>
      <c r="AX131" s="599"/>
      <c r="AY131" s="189"/>
      <c r="BA131" s="427"/>
    </row>
    <row r="132" spans="47:53" ht="15.95" hidden="1" customHeight="1">
      <c r="AU132" s="188"/>
      <c r="AV132" s="189"/>
      <c r="AW132" s="599"/>
      <c r="AX132" s="599"/>
      <c r="AY132" s="189"/>
      <c r="BA132" s="427"/>
    </row>
    <row r="133" spans="47:53" ht="15.95" hidden="1" customHeight="1">
      <c r="AU133" s="188"/>
      <c r="AV133" s="189"/>
      <c r="AW133" s="599"/>
      <c r="AX133" s="599"/>
      <c r="AY133" s="189"/>
      <c r="BA133" s="427"/>
    </row>
    <row r="134" spans="47:53" ht="15.95" hidden="1" customHeight="1">
      <c r="AU134" s="188"/>
      <c r="AV134" s="189"/>
      <c r="AW134" s="599"/>
      <c r="AX134" s="599"/>
      <c r="AY134" s="189"/>
      <c r="BA134" s="427"/>
    </row>
    <row r="135" spans="47:53" ht="15.95" hidden="1" customHeight="1">
      <c r="AU135" s="188"/>
      <c r="AV135" s="189"/>
      <c r="AW135" s="599"/>
      <c r="AX135" s="599"/>
      <c r="AY135" s="189"/>
      <c r="BA135" s="427"/>
    </row>
    <row r="136" spans="47:53" ht="15.95" hidden="1" customHeight="1">
      <c r="AU136" s="188"/>
      <c r="AV136" s="189"/>
      <c r="AW136" s="599"/>
      <c r="AX136" s="599"/>
      <c r="AY136" s="189"/>
      <c r="BA136" s="427"/>
    </row>
    <row r="137" spans="47:53" ht="15.95" hidden="1" customHeight="1">
      <c r="AU137" s="188"/>
      <c r="AV137" s="189"/>
      <c r="AW137" s="599"/>
      <c r="AX137" s="599"/>
      <c r="AY137" s="189"/>
      <c r="BA137" s="427"/>
    </row>
    <row r="138" spans="47:53" ht="15.95" hidden="1" customHeight="1">
      <c r="AU138" s="188"/>
      <c r="AV138" s="189"/>
      <c r="AW138" s="599"/>
      <c r="AX138" s="599"/>
      <c r="AY138" s="189"/>
      <c r="BA138" s="427"/>
    </row>
    <row r="139" spans="47:53" ht="15.95" hidden="1" customHeight="1">
      <c r="AU139" s="188"/>
      <c r="AV139" s="189"/>
      <c r="AW139" s="599"/>
      <c r="AX139" s="599"/>
      <c r="AY139" s="189"/>
      <c r="BA139" s="427"/>
    </row>
    <row r="140" spans="47:53" ht="15.95" hidden="1" customHeight="1">
      <c r="AU140" s="188"/>
      <c r="AV140" s="189"/>
      <c r="AW140" s="599"/>
      <c r="AX140" s="599"/>
      <c r="AY140" s="189"/>
      <c r="BA140" s="427"/>
    </row>
    <row r="141" spans="47:53" ht="15.95" hidden="1" customHeight="1">
      <c r="AU141" s="188"/>
      <c r="AV141" s="189"/>
      <c r="AW141" s="599"/>
      <c r="AX141" s="599"/>
      <c r="AY141" s="189"/>
      <c r="BA141" s="427"/>
    </row>
    <row r="142" spans="47:53" ht="15.95" hidden="1" customHeight="1">
      <c r="AU142" s="188"/>
      <c r="AV142" s="189"/>
      <c r="AW142" s="599"/>
      <c r="AX142" s="599"/>
      <c r="AY142" s="189"/>
      <c r="BA142" s="427"/>
    </row>
    <row r="143" spans="47:53" ht="15.95" hidden="1" customHeight="1">
      <c r="AU143" s="188"/>
      <c r="AV143" s="189"/>
      <c r="AW143" s="599"/>
      <c r="AX143" s="599"/>
      <c r="AY143" s="189"/>
      <c r="BA143" s="427"/>
    </row>
    <row r="144" spans="47:53" ht="15.95" hidden="1" customHeight="1">
      <c r="AU144" s="188"/>
      <c r="AV144" s="189"/>
      <c r="AW144" s="599"/>
      <c r="AX144" s="599"/>
      <c r="AY144" s="189"/>
      <c r="BA144" s="427"/>
    </row>
    <row r="145" spans="47:53" ht="15.95" hidden="1" customHeight="1">
      <c r="AU145" s="188"/>
      <c r="AV145" s="189"/>
      <c r="AW145" s="599"/>
      <c r="AX145" s="599"/>
      <c r="AY145" s="189"/>
      <c r="BA145" s="427"/>
    </row>
    <row r="146" spans="47:53" ht="15.95" hidden="1" customHeight="1">
      <c r="AU146" s="188"/>
      <c r="AV146" s="189"/>
      <c r="AW146" s="599"/>
      <c r="AX146" s="599"/>
      <c r="AY146" s="189"/>
      <c r="BA146" s="427"/>
    </row>
    <row r="147" spans="47:53" ht="15.95" hidden="1" customHeight="1">
      <c r="AU147" s="188"/>
      <c r="AV147" s="189"/>
      <c r="AW147" s="599"/>
      <c r="AX147" s="599"/>
      <c r="AY147" s="189"/>
      <c r="BA147" s="427"/>
    </row>
    <row r="148" spans="47:53" ht="15.95" hidden="1" customHeight="1">
      <c r="AU148" s="188"/>
      <c r="AV148" s="189"/>
      <c r="AW148" s="599"/>
      <c r="AX148" s="599"/>
      <c r="AY148" s="189"/>
      <c r="BA148" s="427"/>
    </row>
    <row r="149" spans="47:53" ht="15.95" hidden="1" customHeight="1">
      <c r="AU149" s="188"/>
      <c r="AV149" s="189"/>
      <c r="AW149" s="599"/>
      <c r="AX149" s="599"/>
      <c r="AY149" s="189"/>
      <c r="BA149" s="427"/>
    </row>
    <row r="150" spans="47:53" ht="15.95" hidden="1" customHeight="1">
      <c r="AU150" s="188"/>
      <c r="AV150" s="189"/>
      <c r="AW150" s="599"/>
      <c r="AX150" s="599"/>
      <c r="AY150" s="189"/>
      <c r="BA150" s="427"/>
    </row>
    <row r="151" spans="47:53" ht="15.95" hidden="1" customHeight="1">
      <c r="AU151" s="188"/>
      <c r="AV151" s="189"/>
      <c r="AW151" s="599"/>
      <c r="AX151" s="599"/>
      <c r="AY151" s="189"/>
      <c r="BA151" s="427"/>
    </row>
    <row r="152" spans="47:53" ht="15.95" hidden="1" customHeight="1">
      <c r="AU152" s="188"/>
      <c r="AV152" s="189"/>
      <c r="AW152" s="599"/>
      <c r="AX152" s="599"/>
      <c r="AY152" s="189"/>
      <c r="BA152" s="427"/>
    </row>
    <row r="153" spans="47:53" ht="15.95" hidden="1" customHeight="1">
      <c r="AU153" s="188"/>
      <c r="AV153" s="189"/>
      <c r="AW153" s="599"/>
      <c r="AX153" s="599"/>
      <c r="AY153" s="189"/>
      <c r="BA153" s="427"/>
    </row>
    <row r="154" spans="47:53" ht="15.95" hidden="1" customHeight="1">
      <c r="AU154" s="188"/>
      <c r="AV154" s="189"/>
      <c r="AW154" s="599"/>
      <c r="AX154" s="599"/>
      <c r="AY154" s="189"/>
      <c r="BA154" s="427"/>
    </row>
    <row r="155" spans="47:53" ht="15.95" hidden="1" customHeight="1">
      <c r="AU155" s="188"/>
      <c r="AV155" s="189"/>
      <c r="AW155" s="599"/>
      <c r="AX155" s="599"/>
      <c r="AY155" s="189"/>
      <c r="BA155" s="427"/>
    </row>
    <row r="156" spans="47:53" ht="15.95" hidden="1" customHeight="1">
      <c r="AU156" s="188"/>
      <c r="AV156" s="189"/>
      <c r="AW156" s="599"/>
      <c r="AX156" s="599"/>
      <c r="AY156" s="189"/>
      <c r="BA156" s="427"/>
    </row>
    <row r="157" spans="47:53" ht="15.95" hidden="1" customHeight="1">
      <c r="AU157" s="188"/>
      <c r="AV157" s="189"/>
      <c r="AW157" s="599"/>
      <c r="AX157" s="599"/>
      <c r="AY157" s="189"/>
      <c r="BA157" s="427"/>
    </row>
    <row r="158" spans="47:53" ht="15.95" hidden="1" customHeight="1">
      <c r="AU158" s="188"/>
      <c r="AV158" s="189"/>
      <c r="AW158" s="599"/>
      <c r="AX158" s="599"/>
      <c r="AY158" s="189"/>
      <c r="BA158" s="427"/>
    </row>
    <row r="159" spans="47:53" ht="15.95" hidden="1" customHeight="1">
      <c r="AU159" s="188"/>
      <c r="AV159" s="189"/>
      <c r="AW159" s="599"/>
      <c r="AX159" s="599"/>
      <c r="AY159" s="189"/>
      <c r="BA159" s="427"/>
    </row>
    <row r="160" spans="47:53" ht="15.95" hidden="1" customHeight="1">
      <c r="AU160" s="188"/>
      <c r="AV160" s="189"/>
      <c r="AW160" s="599"/>
      <c r="AX160" s="599"/>
      <c r="AY160" s="189"/>
      <c r="BA160" s="427"/>
    </row>
    <row r="161" spans="47:53" ht="15.95" hidden="1" customHeight="1">
      <c r="AU161" s="188"/>
      <c r="AV161" s="189"/>
      <c r="AW161" s="599"/>
      <c r="AX161" s="599"/>
      <c r="AY161" s="189"/>
      <c r="BA161" s="427"/>
    </row>
    <row r="162" spans="47:53" ht="15.95" hidden="1" customHeight="1">
      <c r="AU162" s="188"/>
      <c r="AV162" s="189"/>
      <c r="AW162" s="599"/>
      <c r="AX162" s="599"/>
      <c r="AY162" s="189"/>
      <c r="BA162" s="427"/>
    </row>
    <row r="163" spans="47:53" ht="15.95" hidden="1" customHeight="1">
      <c r="AU163" s="188"/>
      <c r="AV163" s="189"/>
      <c r="AW163" s="599"/>
      <c r="AX163" s="599"/>
      <c r="AY163" s="189"/>
      <c r="BA163" s="427"/>
    </row>
    <row r="164" spans="47:53" ht="15.95" hidden="1" customHeight="1">
      <c r="AU164" s="188"/>
      <c r="AV164" s="189"/>
      <c r="AW164" s="599"/>
      <c r="AX164" s="599"/>
      <c r="AY164" s="189"/>
      <c r="BA164" s="427"/>
    </row>
    <row r="165" spans="47:53" ht="15.95" hidden="1" customHeight="1">
      <c r="AU165" s="188"/>
      <c r="AV165" s="189"/>
      <c r="AW165" s="599"/>
      <c r="AX165" s="599"/>
      <c r="AY165" s="189"/>
      <c r="BA165" s="427"/>
    </row>
    <row r="166" spans="47:53" ht="15.95" hidden="1" customHeight="1">
      <c r="AU166" s="188"/>
      <c r="AV166" s="189"/>
      <c r="AW166" s="599"/>
      <c r="AX166" s="599"/>
      <c r="AY166" s="189"/>
      <c r="BA166" s="427"/>
    </row>
    <row r="167" spans="47:53" ht="15.95" hidden="1" customHeight="1">
      <c r="AU167" s="188"/>
      <c r="AV167" s="189"/>
      <c r="AW167" s="599"/>
      <c r="AX167" s="599"/>
      <c r="AY167" s="189"/>
      <c r="BA167" s="427"/>
    </row>
    <row r="168" spans="47:53" ht="15.95" hidden="1" customHeight="1">
      <c r="AU168" s="188"/>
      <c r="AV168" s="189"/>
      <c r="AW168" s="599"/>
      <c r="AX168" s="599"/>
      <c r="AY168" s="189"/>
      <c r="BA168" s="427"/>
    </row>
    <row r="169" spans="47:53" ht="15.95" hidden="1" customHeight="1">
      <c r="AU169" s="188"/>
      <c r="AV169" s="189"/>
      <c r="AW169" s="599"/>
      <c r="AX169" s="599"/>
      <c r="AY169" s="189"/>
      <c r="BA169" s="427"/>
    </row>
    <row r="170" spans="47:53" ht="15.95" hidden="1" customHeight="1">
      <c r="AU170" s="188"/>
      <c r="AV170" s="189"/>
      <c r="AW170" s="599"/>
      <c r="AX170" s="599"/>
      <c r="AY170" s="189"/>
      <c r="BA170" s="427"/>
    </row>
    <row r="171" spans="47:53" ht="15.95" hidden="1" customHeight="1">
      <c r="AU171" s="188"/>
      <c r="AV171" s="189"/>
      <c r="AW171" s="599"/>
      <c r="AX171" s="599"/>
      <c r="AY171" s="189"/>
      <c r="BA171" s="427"/>
    </row>
    <row r="172" spans="47:53" ht="15.95" hidden="1" customHeight="1">
      <c r="AU172" s="188"/>
      <c r="AV172" s="189"/>
      <c r="AW172" s="599"/>
      <c r="AX172" s="599"/>
      <c r="AY172" s="189"/>
      <c r="BA172" s="427"/>
    </row>
    <row r="173" spans="47:53" ht="15.95" hidden="1" customHeight="1">
      <c r="AU173" s="188"/>
      <c r="AV173" s="189"/>
      <c r="AW173" s="599"/>
      <c r="AX173" s="599"/>
      <c r="AY173" s="189"/>
      <c r="BA173" s="427"/>
    </row>
    <row r="174" spans="47:53" ht="15.95" hidden="1" customHeight="1">
      <c r="AU174" s="188"/>
      <c r="AV174" s="189"/>
      <c r="AW174" s="599"/>
      <c r="AX174" s="599"/>
      <c r="AY174" s="189"/>
      <c r="BA174" s="427"/>
    </row>
    <row r="175" spans="47:53" ht="15.95" hidden="1" customHeight="1">
      <c r="AU175" s="188"/>
      <c r="AV175" s="189"/>
      <c r="AW175" s="599"/>
      <c r="AX175" s="599"/>
      <c r="AY175" s="189"/>
      <c r="BA175" s="427"/>
    </row>
    <row r="176" spans="47:53" ht="15.95" hidden="1" customHeight="1">
      <c r="AU176" s="188"/>
      <c r="AV176" s="189"/>
      <c r="AW176" s="599"/>
      <c r="AX176" s="599"/>
      <c r="AY176" s="189"/>
      <c r="BA176" s="427"/>
    </row>
    <row r="177" spans="47:53" ht="15.95" hidden="1" customHeight="1">
      <c r="AU177" s="188"/>
      <c r="AV177" s="189"/>
      <c r="AW177" s="599"/>
      <c r="AX177" s="599"/>
      <c r="AY177" s="189"/>
      <c r="BA177" s="427"/>
    </row>
    <row r="178" spans="47:53" ht="15.95" hidden="1" customHeight="1">
      <c r="AU178" s="188"/>
      <c r="AV178" s="189"/>
      <c r="AW178" s="599"/>
      <c r="AX178" s="599"/>
      <c r="AY178" s="189"/>
      <c r="BA178" s="427"/>
    </row>
    <row r="179" spans="47:53" ht="15.95" hidden="1" customHeight="1">
      <c r="AU179" s="188"/>
      <c r="AV179" s="189"/>
      <c r="AW179" s="599"/>
      <c r="AX179" s="599"/>
      <c r="AY179" s="189"/>
      <c r="BA179" s="427"/>
    </row>
    <row r="180" spans="47:53" ht="15.95" hidden="1" customHeight="1">
      <c r="AU180" s="188"/>
      <c r="AV180" s="189"/>
      <c r="AW180" s="599"/>
      <c r="AX180" s="599"/>
      <c r="AY180" s="189"/>
      <c r="BA180" s="427"/>
    </row>
    <row r="181" spans="47:53" ht="15.95" hidden="1" customHeight="1">
      <c r="AU181" s="188"/>
      <c r="AV181" s="189"/>
      <c r="AW181" s="599"/>
      <c r="AX181" s="599"/>
      <c r="AY181" s="189"/>
      <c r="BA181" s="427"/>
    </row>
    <row r="182" spans="47:53" ht="15.95" hidden="1" customHeight="1">
      <c r="AU182" s="188"/>
      <c r="AV182" s="189"/>
      <c r="AW182" s="599"/>
      <c r="AX182" s="599"/>
      <c r="AY182" s="189"/>
      <c r="BA182" s="427"/>
    </row>
    <row r="183" spans="47:53" ht="15.95" hidden="1" customHeight="1">
      <c r="AU183" s="188"/>
      <c r="AV183" s="189"/>
      <c r="AW183" s="599"/>
      <c r="AX183" s="599"/>
      <c r="AY183" s="189"/>
      <c r="BA183" s="427"/>
    </row>
    <row r="184" spans="47:53" ht="15.95" hidden="1" customHeight="1">
      <c r="AU184" s="188"/>
      <c r="AV184" s="189"/>
      <c r="AW184" s="599"/>
      <c r="AX184" s="599"/>
      <c r="AY184" s="189"/>
      <c r="BA184" s="427"/>
    </row>
    <row r="185" spans="47:53" ht="15.95" hidden="1" customHeight="1">
      <c r="AU185" s="188"/>
      <c r="AV185" s="189"/>
      <c r="AW185" s="599"/>
      <c r="AX185" s="599"/>
      <c r="AY185" s="189"/>
      <c r="BA185" s="427"/>
    </row>
    <row r="186" spans="47:53" ht="15.95" hidden="1" customHeight="1">
      <c r="AU186" s="188"/>
      <c r="AV186" s="189"/>
      <c r="AW186" s="599"/>
      <c r="AX186" s="599"/>
      <c r="AY186" s="189"/>
      <c r="BA186" s="427"/>
    </row>
    <row r="187" spans="47:53" ht="15.95" hidden="1" customHeight="1">
      <c r="AU187" s="188"/>
      <c r="AV187" s="189"/>
      <c r="AW187" s="599"/>
      <c r="AX187" s="599"/>
      <c r="AY187" s="189"/>
      <c r="BA187" s="427"/>
    </row>
    <row r="188" spans="47:53" ht="15.95" hidden="1" customHeight="1">
      <c r="AU188" s="188"/>
      <c r="AV188" s="189"/>
      <c r="AW188" s="599"/>
      <c r="AX188" s="599"/>
      <c r="AY188" s="189"/>
      <c r="BA188" s="427"/>
    </row>
    <row r="189" spans="47:53" ht="15.95" hidden="1" customHeight="1">
      <c r="AU189" s="188"/>
      <c r="AV189" s="189"/>
      <c r="AW189" s="599"/>
      <c r="AX189" s="599"/>
      <c r="AY189" s="189"/>
      <c r="BA189" s="427"/>
    </row>
    <row r="190" spans="47:53" ht="15.95" hidden="1" customHeight="1">
      <c r="AU190" s="188"/>
      <c r="AV190" s="189"/>
      <c r="AW190" s="599"/>
      <c r="AX190" s="599"/>
      <c r="AY190" s="189"/>
      <c r="BA190" s="427"/>
    </row>
    <row r="191" spans="47:53" ht="15.95" hidden="1" customHeight="1">
      <c r="AU191" s="188"/>
      <c r="AV191" s="189"/>
      <c r="AW191" s="599"/>
      <c r="AX191" s="599"/>
      <c r="AY191" s="189"/>
      <c r="BA191" s="427"/>
    </row>
    <row r="192" spans="47:53" ht="15.95" hidden="1" customHeight="1">
      <c r="AU192" s="188"/>
      <c r="AV192" s="189"/>
      <c r="AW192" s="599"/>
      <c r="AX192" s="599"/>
      <c r="AY192" s="189"/>
      <c r="BA192" s="427"/>
    </row>
    <row r="193" spans="1:53" ht="15.95" hidden="1" customHeight="1">
      <c r="AU193" s="188"/>
      <c r="AV193" s="189"/>
      <c r="AW193" s="599"/>
      <c r="AX193" s="599"/>
      <c r="AY193" s="189"/>
      <c r="BA193" s="427"/>
    </row>
    <row r="194" spans="1:53" ht="15.95" hidden="1" customHeight="1">
      <c r="AU194" s="188"/>
      <c r="AV194" s="189"/>
      <c r="AW194" s="599"/>
      <c r="AX194" s="599"/>
      <c r="AY194" s="189"/>
      <c r="BA194" s="427"/>
    </row>
    <row r="195" spans="1:53" ht="15.95" hidden="1" customHeight="1">
      <c r="AU195" s="188"/>
      <c r="AV195" s="189"/>
      <c r="AW195" s="599"/>
      <c r="AX195" s="599"/>
      <c r="AY195" s="189"/>
      <c r="BA195" s="427"/>
    </row>
    <row r="196" spans="1:53" ht="15.95" hidden="1" customHeight="1">
      <c r="AU196" s="188"/>
      <c r="AV196" s="189"/>
      <c r="AW196" s="599"/>
      <c r="AX196" s="599"/>
      <c r="AY196" s="189"/>
      <c r="BA196" s="427"/>
    </row>
    <row r="197" spans="1:53" ht="15.95" hidden="1" customHeight="1">
      <c r="AU197" s="188"/>
      <c r="AV197" s="189"/>
      <c r="AW197" s="599"/>
      <c r="AX197" s="599"/>
      <c r="AY197" s="189"/>
      <c r="BA197" s="427"/>
    </row>
    <row r="198" spans="1:53" ht="15.95" hidden="1" customHeight="1">
      <c r="AU198" s="188"/>
      <c r="AV198" s="189"/>
      <c r="AW198" s="599"/>
      <c r="AX198" s="599"/>
      <c r="AY198" s="189"/>
      <c r="BA198" s="427"/>
    </row>
    <row r="199" spans="1:53" ht="15.95" hidden="1" customHeight="1">
      <c r="AU199" s="188"/>
      <c r="AV199" s="189"/>
      <c r="AW199" s="599"/>
      <c r="AX199" s="599"/>
      <c r="AY199" s="189"/>
      <c r="BA199" s="427"/>
    </row>
    <row r="200" spans="1:53" ht="15.95" customHeight="1">
      <c r="A200" s="464"/>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64"/>
      <c r="AW200" s="1025">
        <f>SUM(AW18:AW37)</f>
        <v>0</v>
      </c>
      <c r="AX200" s="1025">
        <f>SUM(AX18:AX37)</f>
        <v>0</v>
      </c>
      <c r="BA200" s="1026">
        <f>SUM(BA18:BA37)</f>
        <v>0</v>
      </c>
    </row>
    <row r="201" spans="1:53" ht="15.95" customHeight="1">
      <c r="A201" s="464" t="s">
        <v>2670</v>
      </c>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64"/>
      <c r="AW201" s="1025"/>
      <c r="AX201" s="1025"/>
      <c r="BA201" s="1027"/>
    </row>
    <row r="202" spans="1:53" ht="15.95" customHeight="1">
      <c r="A202" s="464"/>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64"/>
    </row>
    <row r="203" spans="1:53" ht="15.95" hidden="1" customHeight="1"/>
    <row r="204" spans="1:53" ht="15.95" hidden="1" customHeight="1"/>
    <row r="205" spans="1:53" ht="15" hidden="1" customHeight="1"/>
    <row r="206" spans="1:53" ht="15" hidden="1" customHeight="1"/>
  </sheetData>
  <sheetProtection algorithmName="SHA-512" hashValue="gp9DiX2Trv0dHif/lOF1BaQwIp6xpoUuW/iEIw7FsAEcW4u9S3m/JsvxQWYbXHL5cIzv0mLNVaZA3BDwxXvTjQ==" saltValue="A2TYbV+TgRZKpiMp8GzxUA==" spinCount="100000" sheet="1" objects="1" scenarios="1" selectLockedCells="1"/>
  <mergeCells count="270">
    <mergeCell ref="BL28:BL29"/>
    <mergeCell ref="BL30:BL31"/>
    <mergeCell ref="BL16:BL17"/>
    <mergeCell ref="BL18:BL19"/>
    <mergeCell ref="BL20:BL21"/>
    <mergeCell ref="BL22:BL23"/>
    <mergeCell ref="BL24:BL25"/>
    <mergeCell ref="BK24:BK25"/>
    <mergeCell ref="BK28:BK29"/>
    <mergeCell ref="BK30:BK31"/>
    <mergeCell ref="BG18:BG19"/>
    <mergeCell ref="BG20:BG21"/>
    <mergeCell ref="BG22:BG23"/>
    <mergeCell ref="BG24:BG25"/>
    <mergeCell ref="BG28:BG29"/>
    <mergeCell ref="BG30:BG31"/>
    <mergeCell ref="BH20:BH21"/>
    <mergeCell ref="BI20:BI21"/>
    <mergeCell ref="BJ20:BJ21"/>
    <mergeCell ref="BI18:BI19"/>
    <mergeCell ref="BJ18:BJ19"/>
    <mergeCell ref="BH18:BH19"/>
    <mergeCell ref="BJ30:BJ31"/>
    <mergeCell ref="BI22:BI23"/>
    <mergeCell ref="BJ22:BJ23"/>
    <mergeCell ref="BJ28:BJ29"/>
    <mergeCell ref="AP1:AS3"/>
    <mergeCell ref="AO5:AS6"/>
    <mergeCell ref="AO7:AS7"/>
    <mergeCell ref="AO8:AS8"/>
    <mergeCell ref="O1:AE3"/>
    <mergeCell ref="BK16:BK17"/>
    <mergeCell ref="BK18:BK19"/>
    <mergeCell ref="BK20:BK21"/>
    <mergeCell ref="BK22:BK23"/>
    <mergeCell ref="BG16:BG17"/>
    <mergeCell ref="L9:O11"/>
    <mergeCell ref="P9:S11"/>
    <mergeCell ref="T9:W11"/>
    <mergeCell ref="X9:AA11"/>
    <mergeCell ref="AB9:AE11"/>
    <mergeCell ref="V14:Y14"/>
    <mergeCell ref="Z14:AC14"/>
    <mergeCell ref="AT18:AT19"/>
    <mergeCell ref="AT20:AT21"/>
    <mergeCell ref="AT22:AT23"/>
    <mergeCell ref="AN20:AQ21"/>
    <mergeCell ref="AK20:AM21"/>
    <mergeCell ref="AK18:AM19"/>
    <mergeCell ref="AN18:AQ19"/>
    <mergeCell ref="F1:I3"/>
    <mergeCell ref="J1:M3"/>
    <mergeCell ref="AH1:AK3"/>
    <mergeCell ref="AL1:AO3"/>
    <mergeCell ref="AF9:AI11"/>
    <mergeCell ref="AJ9:AM11"/>
    <mergeCell ref="A4:E6"/>
    <mergeCell ref="R16:S17"/>
    <mergeCell ref="T16:W17"/>
    <mergeCell ref="X16:Y17"/>
    <mergeCell ref="Z16:AA17"/>
    <mergeCell ref="AB16:AC17"/>
    <mergeCell ref="AD16:AG16"/>
    <mergeCell ref="AD17:AE17"/>
    <mergeCell ref="AF17:AG17"/>
    <mergeCell ref="C16:E17"/>
    <mergeCell ref="F16:K17"/>
    <mergeCell ref="L16:O17"/>
    <mergeCell ref="P16:Q17"/>
    <mergeCell ref="R12:U13"/>
    <mergeCell ref="V12:Y13"/>
    <mergeCell ref="Z12:AC13"/>
    <mergeCell ref="C13:P13"/>
    <mergeCell ref="R14:U14"/>
    <mergeCell ref="A7:E8"/>
    <mergeCell ref="H9:K11"/>
    <mergeCell ref="M200:AG201"/>
    <mergeCell ref="L20:O21"/>
    <mergeCell ref="P20:Q21"/>
    <mergeCell ref="R20:S21"/>
    <mergeCell ref="T20:W21"/>
    <mergeCell ref="R18:S19"/>
    <mergeCell ref="T18:W19"/>
    <mergeCell ref="X18:Y19"/>
    <mergeCell ref="Z18:AA19"/>
    <mergeCell ref="L18:O19"/>
    <mergeCell ref="P18:Q19"/>
    <mergeCell ref="AB28:AC29"/>
    <mergeCell ref="AB30:AC31"/>
    <mergeCell ref="X20:Y21"/>
    <mergeCell ref="Z20:AA21"/>
    <mergeCell ref="AB20:AC21"/>
    <mergeCell ref="Z28:AA29"/>
    <mergeCell ref="M30:N31"/>
    <mergeCell ref="U30:V31"/>
    <mergeCell ref="B30:B31"/>
    <mergeCell ref="B18:B19"/>
    <mergeCell ref="B20:B21"/>
    <mergeCell ref="B22:B23"/>
    <mergeCell ref="B24:B25"/>
    <mergeCell ref="BH16:BH17"/>
    <mergeCell ref="BI16:BI17"/>
    <mergeCell ref="BJ16:BJ17"/>
    <mergeCell ref="AH16:AJ17"/>
    <mergeCell ref="AK16:AM17"/>
    <mergeCell ref="AN16:AQ17"/>
    <mergeCell ref="AV16:AV17"/>
    <mergeCell ref="AZ16:AZ17"/>
    <mergeCell ref="BA16:BA17"/>
    <mergeCell ref="BB16:BB17"/>
    <mergeCell ref="BC16:BC17"/>
    <mergeCell ref="BE16:BE17"/>
    <mergeCell ref="BD16:BD17"/>
    <mergeCell ref="AY16:AY17"/>
    <mergeCell ref="AW16:AW17"/>
    <mergeCell ref="AX16:AX17"/>
    <mergeCell ref="BF16:BF17"/>
    <mergeCell ref="AT16:AT17"/>
    <mergeCell ref="AU16:AU17"/>
    <mergeCell ref="C18:E19"/>
    <mergeCell ref="C20:E21"/>
    <mergeCell ref="C22:E23"/>
    <mergeCell ref="T24:W25"/>
    <mergeCell ref="M28:N29"/>
    <mergeCell ref="U28:V29"/>
    <mergeCell ref="C28:F29"/>
    <mergeCell ref="C24:E25"/>
    <mergeCell ref="F20:K21"/>
    <mergeCell ref="F18:K19"/>
    <mergeCell ref="AD20:AE21"/>
    <mergeCell ref="AF20:AG21"/>
    <mergeCell ref="AB18:AC19"/>
    <mergeCell ref="AD18:AE19"/>
    <mergeCell ref="AF18:AG19"/>
    <mergeCell ref="R22:S23"/>
    <mergeCell ref="T22:W23"/>
    <mergeCell ref="X22:Y23"/>
    <mergeCell ref="Z22:AA23"/>
    <mergeCell ref="AB22:AC23"/>
    <mergeCell ref="AD22:AE23"/>
    <mergeCell ref="AF22:AG23"/>
    <mergeCell ref="F22:K23"/>
    <mergeCell ref="L22:O23"/>
    <mergeCell ref="P22:Q23"/>
    <mergeCell ref="AH30:AJ31"/>
    <mergeCell ref="AK30:AM31"/>
    <mergeCell ref="AN30:AQ31"/>
    <mergeCell ref="AK28:AM29"/>
    <mergeCell ref="AH22:AJ23"/>
    <mergeCell ref="AK22:AM23"/>
    <mergeCell ref="AN22:AQ23"/>
    <mergeCell ref="K28:L29"/>
    <mergeCell ref="O28:R29"/>
    <mergeCell ref="S28:T29"/>
    <mergeCell ref="X24:Y25"/>
    <mergeCell ref="Z24:AA25"/>
    <mergeCell ref="AB24:AC25"/>
    <mergeCell ref="AH24:AJ25"/>
    <mergeCell ref="AK24:AM25"/>
    <mergeCell ref="AD24:AE25"/>
    <mergeCell ref="AF24:AG25"/>
    <mergeCell ref="AD28:AG28"/>
    <mergeCell ref="AD29:AE29"/>
    <mergeCell ref="AF29:AG29"/>
    <mergeCell ref="F24:K25"/>
    <mergeCell ref="L24:O25"/>
    <mergeCell ref="P24:Q25"/>
    <mergeCell ref="R24:S25"/>
    <mergeCell ref="AU20:AU21"/>
    <mergeCell ref="AU18:AU19"/>
    <mergeCell ref="AH28:AJ29"/>
    <mergeCell ref="AN28:AQ29"/>
    <mergeCell ref="AN24:AQ25"/>
    <mergeCell ref="AH20:AJ21"/>
    <mergeCell ref="AV20:AV21"/>
    <mergeCell ref="AZ20:AZ21"/>
    <mergeCell ref="BA20:BA21"/>
    <mergeCell ref="AV18:AV19"/>
    <mergeCell ref="AZ18:AZ19"/>
    <mergeCell ref="AW18:AW19"/>
    <mergeCell ref="AX18:AX19"/>
    <mergeCell ref="AW20:AW21"/>
    <mergeCell ref="AX20:AX21"/>
    <mergeCell ref="AV24:AV25"/>
    <mergeCell ref="AZ24:AZ25"/>
    <mergeCell ref="BA24:BA25"/>
    <mergeCell ref="AT24:AT25"/>
    <mergeCell ref="AU24:AU25"/>
    <mergeCell ref="AH18:AJ19"/>
    <mergeCell ref="BB20:BB21"/>
    <mergeCell ref="BC20:BC21"/>
    <mergeCell ref="BE20:BE21"/>
    <mergeCell ref="BF20:BF21"/>
    <mergeCell ref="BA18:BA19"/>
    <mergeCell ref="BB18:BB19"/>
    <mergeCell ref="BC18:BC19"/>
    <mergeCell ref="BE18:BE19"/>
    <mergeCell ref="BF18:BF19"/>
    <mergeCell ref="BD18:BD19"/>
    <mergeCell ref="BD20:BD21"/>
    <mergeCell ref="BD22:BD23"/>
    <mergeCell ref="AU22:AU23"/>
    <mergeCell ref="AV22:AV23"/>
    <mergeCell ref="AZ22:AZ23"/>
    <mergeCell ref="BA22:BA23"/>
    <mergeCell ref="BB22:BB23"/>
    <mergeCell ref="BC22:BC23"/>
    <mergeCell ref="BC24:BC25"/>
    <mergeCell ref="AW22:AW23"/>
    <mergeCell ref="AX22:AX23"/>
    <mergeCell ref="AW24:AW25"/>
    <mergeCell ref="AX24:AX25"/>
    <mergeCell ref="BD28:BD29"/>
    <mergeCell ref="AW28:AW29"/>
    <mergeCell ref="AX28:AX29"/>
    <mergeCell ref="BE24:BE25"/>
    <mergeCell ref="BF24:BF25"/>
    <mergeCell ref="BH24:BH25"/>
    <mergeCell ref="BI24:BI25"/>
    <mergeCell ref="BJ24:BJ25"/>
    <mergeCell ref="BD24:BD25"/>
    <mergeCell ref="BB24:BB25"/>
    <mergeCell ref="BF30:BF31"/>
    <mergeCell ref="BH30:BH31"/>
    <mergeCell ref="BI30:BI31"/>
    <mergeCell ref="AY18:AY19"/>
    <mergeCell ref="AY20:AY21"/>
    <mergeCell ref="AY22:AY23"/>
    <mergeCell ref="AY24:AY25"/>
    <mergeCell ref="AY28:AY29"/>
    <mergeCell ref="AY30:AY31"/>
    <mergeCell ref="BD30:BD31"/>
    <mergeCell ref="AZ30:AZ31"/>
    <mergeCell ref="BA30:BA31"/>
    <mergeCell ref="BB30:BB31"/>
    <mergeCell ref="BC30:BC31"/>
    <mergeCell ref="BE30:BE31"/>
    <mergeCell ref="BB28:BB29"/>
    <mergeCell ref="BC28:BC29"/>
    <mergeCell ref="BE28:BE29"/>
    <mergeCell ref="BF28:BF29"/>
    <mergeCell ref="BH28:BH29"/>
    <mergeCell ref="BI28:BI29"/>
    <mergeCell ref="BE22:BE23"/>
    <mergeCell ref="BF22:BF23"/>
    <mergeCell ref="BH22:BH23"/>
    <mergeCell ref="C30:F31"/>
    <mergeCell ref="AW200:AW201"/>
    <mergeCell ref="AX200:AX201"/>
    <mergeCell ref="BA200:BA201"/>
    <mergeCell ref="AU28:AU29"/>
    <mergeCell ref="AV28:AV29"/>
    <mergeCell ref="AZ28:AZ29"/>
    <mergeCell ref="BA28:BA29"/>
    <mergeCell ref="AT28:AT29"/>
    <mergeCell ref="AT30:AT31"/>
    <mergeCell ref="AD30:AE31"/>
    <mergeCell ref="AF30:AG31"/>
    <mergeCell ref="G30:J31"/>
    <mergeCell ref="K30:L31"/>
    <mergeCell ref="O30:R31"/>
    <mergeCell ref="S30:T31"/>
    <mergeCell ref="W30:Y31"/>
    <mergeCell ref="Z30:AA31"/>
    <mergeCell ref="W28:Y29"/>
    <mergeCell ref="AV30:AV31"/>
    <mergeCell ref="AW30:AW31"/>
    <mergeCell ref="AX30:AX31"/>
    <mergeCell ref="G28:J29"/>
    <mergeCell ref="AU30:AU31"/>
  </mergeCells>
  <conditionalFormatting sqref="F18:AG25 G30:AG31">
    <cfRule type="expression" dxfId="48" priority="7">
      <formula>AND(ISBLANK($C18)=FALSE,OR(ISBLANK(F18)=TRUE,F18=""))</formula>
    </cfRule>
  </conditionalFormatting>
  <conditionalFormatting sqref="AO8:AS8">
    <cfRule type="expression" dxfId="47" priority="6">
      <formula>IF($AO$8=PROJSTATMEASURE,FALSE,TRUE)</formula>
    </cfRule>
  </conditionalFormatting>
  <conditionalFormatting sqref="AN30:AQ31 AN18:AQ25">
    <cfRule type="expression" dxfId="46" priority="5">
      <formula>ISNUMBER($AN18)=FALSE</formula>
    </cfRule>
  </conditionalFormatting>
  <conditionalFormatting sqref="AY18:AY25">
    <cfRule type="expression" dxfId="45" priority="2">
      <formula>AND($AY18="",$F18&lt;&gt;"")</formula>
    </cfRule>
  </conditionalFormatting>
  <conditionalFormatting sqref="AZ18:AZ25">
    <cfRule type="expression" dxfId="44" priority="1">
      <formula>AND($AZ18="",$F18&lt;&gt;"")</formula>
    </cfRule>
  </conditionalFormatting>
  <dataValidations count="10">
    <dataValidation type="list" allowBlank="1" showInputMessage="1" showErrorMessage="1" prompt="Select the project type using the dropdown._x000a__x000a_If you want to change this field, delete the data in the &quot;Measure Type&quot; field first." sqref="C18:E25" xr:uid="{09F15446-3DC0-4A41-B0F5-A0F1CD27A5C0}">
      <formula1>IF($F18="",CUSTOMPROJECTTYPE,"")</formula1>
    </dataValidation>
    <dataValidation type="list" allowBlank="1" showInputMessage="1" showErrorMessage="1" sqref="F18:K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8:AC25 AB30:AC31"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F18:AG25 AF30:AG31"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D18:AE25 AD30:AE31" xr:uid="{FAE5455D-1C2B-41AD-8307-15D1C4F4570A}">
      <formula1>0</formula1>
      <formula2>999999999</formula2>
    </dataValidation>
    <dataValidation type="decimal" allowBlank="1" showInputMessage="1" showErrorMessage="1" sqref="K30:L31 P18:Q25 X18:Y25 S30:T31" xr:uid="{165A3419-CAF5-4D11-AED0-545736BBC25C}">
      <formula1>0</formula1>
      <formula2>999999</formula2>
    </dataValidation>
    <dataValidation type="list" allowBlank="1" showInputMessage="1" showErrorMessage="1" sqref="AZ18:AZ25" xr:uid="{1C5B9CC4-9565-4C03-B844-5AB2546D0B64}">
      <formula1>ENDUSECAT</formula1>
    </dataValidation>
    <dataValidation type="decimal" allowBlank="1" showInputMessage="1" showErrorMessage="1" prompt="Enter the annual kWh usage per unit of the new equipment." sqref="Z18:AA25 W30" xr:uid="{DC4B05D6-D056-4114-B223-7952179312AE}">
      <formula1>0</formula1>
      <formula2>999999999</formula2>
    </dataValidation>
    <dataValidation type="decimal" allowBlank="1" showInputMessage="1" showErrorMessage="1" prompt="Enter the annual kWh usage per unit of the existing equipment." sqref="R18:S25 U30:V31 M30:N31" xr:uid="{6BC67203-870A-4D5F-BBD2-9D8EA5B85715}">
      <formula1>0</formula1>
      <formula2>999999999</formula2>
    </dataValidation>
    <dataValidation type="list" allowBlank="1" showInputMessage="1" showErrorMessage="1" sqref="C30" xr:uid="{5DC22787-B3CE-43DF-ABDB-5DB3183B1E86}">
      <formula1>CMEMISC2DESC</formula1>
    </dataValidation>
  </dataValidations>
  <hyperlinks>
    <hyperlink ref="H9:K11" location="'M03-S02'!C18" tooltip="Lighting" display="'M03-S02'!C18" xr:uid="{831B308C-8D06-4D71-8544-5861BFD841B0}"/>
    <hyperlink ref="L9:O11" location="'M03-S03'!C18" tooltip="Lighting Controls" display="'M03-S03'!C18" xr:uid="{7EAFE10F-EB2C-42E0-B655-A08622DC0EF6}"/>
    <hyperlink ref="P9:S11" location="'M03-S04'!C18" tooltip="Refrigeration" display="'M03-S04'!C18" xr:uid="{EA112D59-4E02-4B99-8A93-7142788325E9}"/>
    <hyperlink ref="T9:W11" location="'M03-S05'!C18" tooltip="HVAC" display="'M03-S05'!C18" xr:uid="{D82FA3F5-477F-43DA-973F-18281B7BB444}"/>
    <hyperlink ref="AB9:AE11" location="'M03-S06'!C18" tooltip="Compressed Air / Process" display="'M03-S06'!C18" xr:uid="{1830AC1E-A258-4B50-93B1-61234790A0CF}"/>
    <hyperlink ref="AF9:AI11" location="'M03-S07'!C18" tooltip="Water Heating / Cooking" display="'M03-S07'!C18" xr:uid="{BD14B16D-00C7-4836-B579-172BF69A9E9C}"/>
    <hyperlink ref="X9:AA11" location="'M03-S08'!C18" tooltip="Motors and Drives" display="'M03-S08'!C18" xr:uid="{643204ED-B2E1-4527-AD18-3DAAC0141AC3}"/>
    <hyperlink ref="AJ9:AM11" location="'M04-S09'!C18" tooltip="Miscellaneous" display="'M04-S09'!C18" xr:uid="{6FF63233-9F01-4325-9CA0-FCB5F7C9DDC6}"/>
    <hyperlink ref="J1:M3" location="'M01-S02'!J1" tooltip="Instructions" display="'M01-S02'!J1" xr:uid="{855073CA-6CE1-4E6D-B31D-8D43DE24CA88}"/>
    <hyperlink ref="AL1:AO3" location="'M05-S05'!AL1" tooltip=" " display="'M05-S05'!AL1" xr:uid="{66A38AD4-1608-4252-B6C8-45D1D33FF5C7}"/>
    <hyperlink ref="AH1:AK3" location="'M05-S04'!AH1" tooltip=" " display="'M05-S04'!AH1" xr:uid="{0B043FBE-7D14-4A6E-AA7E-06BD36B39772}"/>
    <hyperlink ref="AP1:AS3" location="'M01-S03'!AP1" tooltip="Contact" display="'M01-S03'!AP1" xr:uid="{EDE43B90-9877-4F01-A4F4-1DC2591CCE98}"/>
    <hyperlink ref="B202" r:id="rId1" xr:uid="{01E72B78-DE14-4B58-8AFD-5D0C58BB6B6C}"/>
  </hyperlinks>
  <printOptions horizontalCentered="1"/>
  <pageMargins left="0.25" right="0.25" top="0.25" bottom="0.25" header="0.25" footer="0.25"/>
  <pageSetup scale="62" orientation="landscape"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pageSetUpPr fitToPage="1"/>
  </sheetPr>
  <dimension ref="A1:AS202"/>
  <sheetViews>
    <sheetView showGridLines="0" showRowColHeaders="0" showZeros="0" zoomScale="85" zoomScaleNormal="85" workbookViewId="0">
      <selection activeCell="V13" sqref="V13:AA13"/>
    </sheetView>
  </sheetViews>
  <sheetFormatPr defaultColWidth="0" defaultRowHeight="15.95" customHeight="1" zeroHeight="1"/>
  <cols>
    <col min="1" max="45" width="4.7109375" customWidth="1"/>
    <col min="46" max="16384" width="4.7109375" hidden="1"/>
  </cols>
  <sheetData>
    <row r="1" spans="1:45"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773">
        <f>INCENTOTAL</f>
        <v>0</v>
      </c>
      <c r="B4" s="773"/>
      <c r="C4" s="773"/>
      <c r="D4" s="773"/>
      <c r="E4" s="773"/>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1046"/>
      <c r="B5" s="1046"/>
      <c r="C5" s="1046"/>
      <c r="D5" s="1046"/>
      <c r="E5" s="1046"/>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1046"/>
      <c r="B6" s="1046"/>
      <c r="C6" s="1046"/>
      <c r="D6" s="1046"/>
      <c r="E6" s="1046"/>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ht="15.95" customHeight="1">
      <c r="A9" s="720" t="str">
        <f>M5S1</f>
        <v>Payment</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5"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5" ht="15.95" customHeight="1">
      <c r="F11" s="1190" t="s">
        <v>1288</v>
      </c>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1190"/>
      <c r="AL11" s="1190"/>
      <c r="AM11" s="1190"/>
      <c r="AN11" s="1190"/>
      <c r="AO11" s="235"/>
      <c r="AP11" s="235"/>
      <c r="AQ11" s="235"/>
      <c r="AR11" s="235"/>
      <c r="AS11" s="235"/>
    </row>
    <row r="12" spans="1:45" ht="15.95" customHeight="1" thickBot="1">
      <c r="F12" s="1190"/>
      <c r="G12" s="1190"/>
      <c r="H12" s="1190"/>
      <c r="I12" s="1190"/>
      <c r="J12" s="1190"/>
      <c r="K12" s="1190"/>
      <c r="L12" s="1190"/>
      <c r="M12" s="1190"/>
      <c r="N12" s="1190"/>
      <c r="O12" s="1190"/>
      <c r="P12" s="1190"/>
      <c r="Q12" s="1190"/>
      <c r="R12" s="1190"/>
      <c r="S12" s="1190"/>
      <c r="T12" s="1190"/>
      <c r="U12" s="1190"/>
      <c r="V12" s="1190"/>
      <c r="W12" s="1190"/>
      <c r="X12" s="1190"/>
      <c r="Y12" s="1190"/>
      <c r="Z12" s="1190"/>
      <c r="AA12" s="1190"/>
      <c r="AB12" s="1190"/>
      <c r="AC12" s="1190"/>
      <c r="AD12" s="1190"/>
      <c r="AE12" s="1190"/>
      <c r="AF12" s="1190"/>
      <c r="AG12" s="1190"/>
      <c r="AH12" s="1190"/>
      <c r="AI12" s="1190"/>
      <c r="AJ12" s="1190"/>
      <c r="AK12" s="1190"/>
      <c r="AL12" s="1190"/>
      <c r="AM12" s="1190"/>
      <c r="AN12" s="1190"/>
      <c r="AO12" s="235"/>
      <c r="AP12" s="235"/>
      <c r="AQ12" s="235"/>
      <c r="AR12" s="235"/>
      <c r="AS12" s="235"/>
    </row>
    <row r="13" spans="1:45" ht="15.95" customHeight="1" thickBot="1">
      <c r="Q13" s="1194" t="s">
        <v>1720</v>
      </c>
      <c r="R13" s="1194"/>
      <c r="S13" s="1194"/>
      <c r="T13" s="1194"/>
      <c r="U13" s="1194"/>
      <c r="V13" s="762"/>
      <c r="W13" s="763"/>
      <c r="X13" s="763"/>
      <c r="Y13" s="763"/>
      <c r="Z13" s="763"/>
      <c r="AA13" s="764"/>
      <c r="AE13" s="154"/>
      <c r="AF13" s="154"/>
      <c r="AG13" s="154"/>
      <c r="AH13" s="154"/>
      <c r="AI13" s="154"/>
      <c r="AJ13" s="154"/>
      <c r="AK13" s="154"/>
      <c r="AL13" s="154"/>
      <c r="AM13" s="154"/>
      <c r="AO13" s="235"/>
      <c r="AP13" s="235"/>
      <c r="AQ13" s="235"/>
      <c r="AR13" s="235"/>
      <c r="AS13" s="235"/>
    </row>
    <row r="14" spans="1:45" ht="15.95" customHeight="1">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O14" s="235"/>
      <c r="AP14" s="235"/>
      <c r="AQ14" s="235"/>
      <c r="AR14" s="235"/>
      <c r="AS14" s="235"/>
    </row>
    <row r="15" spans="1:45" ht="15.95" customHeight="1" thickBot="1">
      <c r="F15" s="726" t="s">
        <v>1721</v>
      </c>
      <c r="G15" s="726"/>
      <c r="H15" s="726"/>
      <c r="I15" s="726"/>
      <c r="J15" s="726"/>
      <c r="K15" s="726"/>
      <c r="L15" s="154"/>
      <c r="M15" s="726" t="s">
        <v>1484</v>
      </c>
      <c r="N15" s="726"/>
      <c r="O15" s="726"/>
      <c r="P15" s="726"/>
      <c r="Q15" s="726"/>
      <c r="R15" s="726"/>
      <c r="S15" s="156"/>
      <c r="T15" s="726" t="s">
        <v>1485</v>
      </c>
      <c r="U15" s="726"/>
      <c r="V15" s="726"/>
      <c r="W15" s="726"/>
      <c r="X15" s="726"/>
      <c r="Y15" s="726"/>
      <c r="Z15" s="156"/>
      <c r="AA15" s="726" t="s">
        <v>1486</v>
      </c>
      <c r="AB15" s="726"/>
      <c r="AC15" s="726"/>
      <c r="AD15" s="726"/>
      <c r="AE15" s="726"/>
      <c r="AF15" s="726"/>
      <c r="AG15" s="156"/>
      <c r="AH15" s="726" t="s">
        <v>1487</v>
      </c>
      <c r="AI15" s="726"/>
      <c r="AJ15" s="726"/>
      <c r="AK15" s="726"/>
      <c r="AL15" s="726"/>
      <c r="AM15" s="726"/>
      <c r="AO15" s="235"/>
      <c r="AP15" s="235"/>
      <c r="AQ15" s="235"/>
      <c r="AR15" s="235"/>
      <c r="AS15" s="235"/>
    </row>
    <row r="16" spans="1:45" ht="15.95" customHeight="1" thickBot="1">
      <c r="F16" s="752" t="str">
        <f>IF(M05S01F01="","",INDEX(PAYMENT[Company],MATCH(M05S01F01,PAYMENT[Payment to],0)))</f>
        <v/>
      </c>
      <c r="G16" s="753"/>
      <c r="H16" s="753"/>
      <c r="I16" s="753"/>
      <c r="J16" s="753"/>
      <c r="K16" s="754"/>
      <c r="L16" s="162"/>
      <c r="M16" s="752" t="str">
        <f>IF(M05S01F01="","",INDEX(PAYMENT[Address],MATCH(M05S01F01,PAYMENT[Payment to],0)))</f>
        <v/>
      </c>
      <c r="N16" s="753"/>
      <c r="O16" s="753"/>
      <c r="P16" s="753"/>
      <c r="Q16" s="753"/>
      <c r="R16" s="754"/>
      <c r="S16" s="162"/>
      <c r="T16" s="752" t="str">
        <f>IF(M05S01F01="","",INDEX(PAYMENT[City],MATCH(M05S01F01,PAYMENT[Payment to],0)))</f>
        <v/>
      </c>
      <c r="U16" s="753"/>
      <c r="V16" s="753"/>
      <c r="W16" s="753"/>
      <c r="X16" s="753"/>
      <c r="Y16" s="754"/>
      <c r="Z16" s="162"/>
      <c r="AA16" s="752" t="str">
        <f>IF(M05S01F01="","",INDEX(PAYMENT[State],MATCH(M05S01F01,PAYMENT[Payment to],0)))</f>
        <v/>
      </c>
      <c r="AB16" s="753"/>
      <c r="AC16" s="753"/>
      <c r="AD16" s="753"/>
      <c r="AE16" s="753"/>
      <c r="AF16" s="754"/>
      <c r="AG16" s="162"/>
      <c r="AH16" s="752" t="str">
        <f>IF(M05S01F01="","",INDEX(PAYMENT[Zip],MATCH(M05S01F01,PAYMENT[Payment to],0)))</f>
        <v/>
      </c>
      <c r="AI16" s="753"/>
      <c r="AJ16" s="753"/>
      <c r="AK16" s="753"/>
      <c r="AL16" s="753"/>
      <c r="AM16" s="754"/>
      <c r="AO16" s="235"/>
      <c r="AP16" s="235"/>
      <c r="AQ16" s="235"/>
      <c r="AR16" s="235"/>
      <c r="AS16" s="235"/>
    </row>
    <row r="17" spans="6:45" ht="15.95" customHeight="1">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O17" s="235"/>
      <c r="AP17" s="235"/>
      <c r="AQ17" s="235"/>
      <c r="AR17" s="235"/>
      <c r="AS17" s="235"/>
    </row>
    <row r="18" spans="6:45" ht="15.95" customHeight="1" thickBot="1">
      <c r="F18" s="726" t="s">
        <v>1725</v>
      </c>
      <c r="G18" s="726"/>
      <c r="H18" s="726"/>
      <c r="I18" s="726"/>
      <c r="J18" s="726"/>
      <c r="K18" s="726"/>
      <c r="L18" s="156"/>
      <c r="M18" s="726" t="s">
        <v>1724</v>
      </c>
      <c r="N18" s="726"/>
      <c r="O18" s="726"/>
      <c r="P18" s="726"/>
      <c r="Q18" s="726"/>
      <c r="R18" s="726"/>
      <c r="S18" s="156"/>
      <c r="T18" s="726" t="s">
        <v>1723</v>
      </c>
      <c r="U18" s="726"/>
      <c r="V18" s="726"/>
      <c r="W18" s="726"/>
      <c r="X18" s="726"/>
      <c r="Y18" s="726"/>
      <c r="AA18" s="726" t="s">
        <v>1492</v>
      </c>
      <c r="AB18" s="726"/>
      <c r="AC18" s="726"/>
      <c r="AD18" s="726"/>
      <c r="AE18" s="726"/>
      <c r="AF18" s="726"/>
      <c r="AG18" s="156"/>
      <c r="AH18" s="726" t="s">
        <v>2082</v>
      </c>
      <c r="AI18" s="726"/>
      <c r="AJ18" s="726"/>
      <c r="AK18" s="726"/>
      <c r="AL18" s="726"/>
      <c r="AM18" s="726"/>
      <c r="AO18" s="235"/>
      <c r="AP18" s="235"/>
      <c r="AQ18" s="235"/>
      <c r="AR18" s="235"/>
      <c r="AS18" s="235"/>
    </row>
    <row r="19" spans="6:45" ht="15.95" customHeight="1" thickBot="1">
      <c r="F19" s="752" t="str">
        <f>IF(M05S01F01="","",INDEX(PAYMENT[First],MATCH(M05S01F01,PAYMENT[Payment to],0)))</f>
        <v/>
      </c>
      <c r="G19" s="753"/>
      <c r="H19" s="753"/>
      <c r="I19" s="753"/>
      <c r="J19" s="753"/>
      <c r="K19" s="754"/>
      <c r="L19" s="162"/>
      <c r="M19" s="752" t="str">
        <f>IF(M05S01F01="","",INDEX(PAYMENT[Last],MATCH(M05S01F01,PAYMENT[Payment to],0)))</f>
        <v/>
      </c>
      <c r="N19" s="753"/>
      <c r="O19" s="753"/>
      <c r="P19" s="753"/>
      <c r="Q19" s="753"/>
      <c r="R19" s="754"/>
      <c r="S19" s="162"/>
      <c r="T19" s="765" t="str">
        <f>IF(M05S01F01="","",INDEX(PAYMENT[Phone],MATCH(M05S01F01,PAYMENT[Payment to],0)))</f>
        <v/>
      </c>
      <c r="U19" s="766"/>
      <c r="V19" s="766"/>
      <c r="W19" s="766"/>
      <c r="X19" s="766"/>
      <c r="Y19" s="767"/>
      <c r="Z19" s="31"/>
      <c r="AA19" s="752" t="str">
        <f>IF(M05S01F01="","",INDEX(PAYMENT[Email],MATCH(M05S01F01,PAYMENT[Payment to],0)))</f>
        <v/>
      </c>
      <c r="AB19" s="753"/>
      <c r="AC19" s="753"/>
      <c r="AD19" s="753"/>
      <c r="AE19" s="753"/>
      <c r="AF19" s="754"/>
      <c r="AG19" s="162"/>
      <c r="AH19" s="779" t="str">
        <f>IF(M02S04F03&lt;&gt;"",M02S04F03,IF(M02S04F04&lt;&gt;"",M02S04F04,""))</f>
        <v/>
      </c>
      <c r="AI19" s="780"/>
      <c r="AJ19" s="780"/>
      <c r="AK19" s="780"/>
      <c r="AL19" s="780"/>
      <c r="AM19" s="781"/>
      <c r="AO19" s="235"/>
      <c r="AP19" s="235"/>
      <c r="AQ19" s="235"/>
      <c r="AR19" s="235"/>
      <c r="AS19" s="235"/>
    </row>
    <row r="20" spans="6:45" ht="15.95" customHeight="1">
      <c r="AO20" s="235"/>
      <c r="AP20" s="235"/>
      <c r="AQ20" s="235"/>
      <c r="AR20" s="235"/>
      <c r="AS20" s="235"/>
    </row>
    <row r="21" spans="6:45" ht="15.95" customHeight="1" thickBot="1">
      <c r="G21" s="1195" t="s">
        <v>2093</v>
      </c>
      <c r="H21" s="1195"/>
      <c r="I21" s="1195"/>
      <c r="J21" s="1195"/>
      <c r="K21" s="1195"/>
      <c r="L21" s="1195"/>
      <c r="M21" s="1195"/>
      <c r="N21" s="1195"/>
      <c r="O21" s="1195"/>
      <c r="P21" s="1195"/>
      <c r="Q21" s="1195"/>
      <c r="R21" s="1195"/>
      <c r="S21" s="1195"/>
      <c r="T21" s="1195"/>
      <c r="U21" s="1195"/>
      <c r="V21" s="1195"/>
      <c r="W21" s="1195"/>
      <c r="X21" s="1195"/>
      <c r="Y21" s="1195"/>
      <c r="AA21" s="726" t="s">
        <v>1722</v>
      </c>
      <c r="AB21" s="726"/>
      <c r="AC21" s="726"/>
      <c r="AD21" s="726"/>
      <c r="AE21" s="726"/>
      <c r="AF21" s="726"/>
      <c r="AH21" s="726" t="s">
        <v>1726</v>
      </c>
      <c r="AI21" s="726"/>
      <c r="AJ21" s="726"/>
      <c r="AK21" s="726"/>
      <c r="AL21" s="726"/>
      <c r="AM21" s="726"/>
      <c r="AO21" s="235"/>
      <c r="AP21" s="235"/>
      <c r="AQ21" s="235"/>
      <c r="AR21" s="235"/>
      <c r="AS21" s="235"/>
    </row>
    <row r="22" spans="6:45" ht="15.95" customHeight="1" thickBot="1">
      <c r="G22" s="1195"/>
      <c r="H22" s="1195"/>
      <c r="I22" s="1195"/>
      <c r="J22" s="1195"/>
      <c r="K22" s="1195"/>
      <c r="L22" s="1195"/>
      <c r="M22" s="1195"/>
      <c r="N22" s="1195"/>
      <c r="O22" s="1195"/>
      <c r="P22" s="1195"/>
      <c r="Q22" s="1195"/>
      <c r="R22" s="1195"/>
      <c r="S22" s="1195"/>
      <c r="T22" s="1195"/>
      <c r="U22" s="1195"/>
      <c r="V22" s="1195"/>
      <c r="W22" s="1195"/>
      <c r="X22" s="1195"/>
      <c r="Y22" s="1195"/>
      <c r="AA22" s="752"/>
      <c r="AB22" s="753"/>
      <c r="AC22" s="753"/>
      <c r="AD22" s="753"/>
      <c r="AE22" s="753"/>
      <c r="AF22" s="754"/>
      <c r="AH22" s="161"/>
      <c r="AI22" s="160" t="s">
        <v>1290</v>
      </c>
      <c r="AJ22" s="1191"/>
      <c r="AK22" s="1192"/>
      <c r="AL22" s="1192"/>
      <c r="AM22" s="1193"/>
      <c r="AO22" s="235"/>
      <c r="AP22" s="235"/>
      <c r="AQ22" s="235"/>
      <c r="AR22" s="235"/>
      <c r="AS22" s="235"/>
    </row>
    <row r="23" spans="6:45" ht="15.95" customHeight="1">
      <c r="AO23" s="235"/>
      <c r="AP23" s="235"/>
      <c r="AQ23" s="235"/>
      <c r="AR23" s="235"/>
      <c r="AS23" s="235"/>
    </row>
    <row r="24" spans="6:45" ht="15.95" customHeight="1" thickBot="1">
      <c r="F24" s="155" t="s">
        <v>1984</v>
      </c>
      <c r="AO24" s="235"/>
      <c r="AP24" s="235"/>
      <c r="AQ24" s="235"/>
      <c r="AR24" s="235"/>
      <c r="AS24" s="235"/>
    </row>
    <row r="25" spans="6:45" ht="15.95" customHeight="1">
      <c r="F25" s="1181" t="str">
        <f>IF(M05S01F01="","",INDEX(PAYMENT[Terms],MATCH(M05S01F01,PAYMENT[Payment to],0)))</f>
        <v/>
      </c>
      <c r="G25" s="1182"/>
      <c r="H25" s="1182"/>
      <c r="I25" s="1182"/>
      <c r="J25" s="1182"/>
      <c r="K25" s="1182"/>
      <c r="L25" s="1182"/>
      <c r="M25" s="1182"/>
      <c r="N25" s="1182"/>
      <c r="O25" s="1182"/>
      <c r="P25" s="1182"/>
      <c r="Q25" s="1182"/>
      <c r="R25" s="1182"/>
      <c r="S25" s="1182"/>
      <c r="T25" s="1182"/>
      <c r="U25" s="1182"/>
      <c r="V25" s="1182"/>
      <c r="W25" s="1182"/>
      <c r="X25" s="1182"/>
      <c r="Y25" s="1182"/>
      <c r="Z25" s="1182"/>
      <c r="AA25" s="1182"/>
      <c r="AB25" s="1182"/>
      <c r="AC25" s="1182"/>
      <c r="AD25" s="1182"/>
      <c r="AE25" s="1182"/>
      <c r="AF25" s="1182"/>
      <c r="AG25" s="1182"/>
      <c r="AH25" s="1182"/>
      <c r="AI25" s="1182"/>
      <c r="AJ25" s="1182"/>
      <c r="AK25" s="1182"/>
      <c r="AL25" s="1182"/>
      <c r="AM25" s="1183"/>
      <c r="AO25" s="235"/>
      <c r="AP25" s="235"/>
      <c r="AQ25" s="235"/>
      <c r="AR25" s="235"/>
      <c r="AS25" s="235"/>
    </row>
    <row r="26" spans="6:45" ht="15.95" customHeight="1">
      <c r="F26" s="1184"/>
      <c r="G26" s="1185"/>
      <c r="H26" s="1185"/>
      <c r="I26" s="1185"/>
      <c r="J26" s="1185"/>
      <c r="K26" s="1185"/>
      <c r="L26" s="1185"/>
      <c r="M26" s="1185"/>
      <c r="N26" s="1185"/>
      <c r="O26" s="1185"/>
      <c r="P26" s="1185"/>
      <c r="Q26" s="1185"/>
      <c r="R26" s="1185"/>
      <c r="S26" s="1185"/>
      <c r="T26" s="1185"/>
      <c r="U26" s="1185"/>
      <c r="V26" s="1185"/>
      <c r="W26" s="1185"/>
      <c r="X26" s="1185"/>
      <c r="Y26" s="1185"/>
      <c r="Z26" s="1185"/>
      <c r="AA26" s="1185"/>
      <c r="AB26" s="1185"/>
      <c r="AC26" s="1185"/>
      <c r="AD26" s="1185"/>
      <c r="AE26" s="1185"/>
      <c r="AF26" s="1185"/>
      <c r="AG26" s="1185"/>
      <c r="AH26" s="1185"/>
      <c r="AI26" s="1185"/>
      <c r="AJ26" s="1185"/>
      <c r="AK26" s="1185"/>
      <c r="AL26" s="1185"/>
      <c r="AM26" s="1186"/>
      <c r="AO26" s="235"/>
      <c r="AP26" s="235"/>
      <c r="AQ26" s="235"/>
      <c r="AR26" s="235"/>
      <c r="AS26" s="235"/>
    </row>
    <row r="27" spans="6:45" ht="15.95" customHeight="1">
      <c r="F27" s="1184"/>
      <c r="G27" s="1185"/>
      <c r="H27" s="1185"/>
      <c r="I27" s="1185"/>
      <c r="J27" s="1185"/>
      <c r="K27" s="1185"/>
      <c r="L27" s="1185"/>
      <c r="M27" s="1185"/>
      <c r="N27" s="1185"/>
      <c r="O27" s="1185"/>
      <c r="P27" s="1185"/>
      <c r="Q27" s="1185"/>
      <c r="R27" s="1185"/>
      <c r="S27" s="1185"/>
      <c r="T27" s="1185"/>
      <c r="U27" s="1185"/>
      <c r="V27" s="1185"/>
      <c r="W27" s="1185"/>
      <c r="X27" s="1185"/>
      <c r="Y27" s="1185"/>
      <c r="Z27" s="1185"/>
      <c r="AA27" s="1185"/>
      <c r="AB27" s="1185"/>
      <c r="AC27" s="1185"/>
      <c r="AD27" s="1185"/>
      <c r="AE27" s="1185"/>
      <c r="AF27" s="1185"/>
      <c r="AG27" s="1185"/>
      <c r="AH27" s="1185"/>
      <c r="AI27" s="1185"/>
      <c r="AJ27" s="1185"/>
      <c r="AK27" s="1185"/>
      <c r="AL27" s="1185"/>
      <c r="AM27" s="1186"/>
      <c r="AO27" s="235"/>
      <c r="AP27" s="235"/>
      <c r="AQ27" s="235"/>
      <c r="AR27" s="235"/>
      <c r="AS27" s="235"/>
    </row>
    <row r="28" spans="6:45" ht="15.95" customHeight="1">
      <c r="F28" s="1184"/>
      <c r="G28" s="1185"/>
      <c r="H28" s="1185"/>
      <c r="I28" s="1185"/>
      <c r="J28" s="1185"/>
      <c r="K28" s="1185"/>
      <c r="L28" s="1185"/>
      <c r="M28" s="1185"/>
      <c r="N28" s="1185"/>
      <c r="O28" s="1185"/>
      <c r="P28" s="1185"/>
      <c r="Q28" s="1185"/>
      <c r="R28" s="1185"/>
      <c r="S28" s="1185"/>
      <c r="T28" s="1185"/>
      <c r="U28" s="1185"/>
      <c r="V28" s="1185"/>
      <c r="W28" s="1185"/>
      <c r="X28" s="1185"/>
      <c r="Y28" s="1185"/>
      <c r="Z28" s="1185"/>
      <c r="AA28" s="1185"/>
      <c r="AB28" s="1185"/>
      <c r="AC28" s="1185"/>
      <c r="AD28" s="1185"/>
      <c r="AE28" s="1185"/>
      <c r="AF28" s="1185"/>
      <c r="AG28" s="1185"/>
      <c r="AH28" s="1185"/>
      <c r="AI28" s="1185"/>
      <c r="AJ28" s="1185"/>
      <c r="AK28" s="1185"/>
      <c r="AL28" s="1185"/>
      <c r="AM28" s="1186"/>
      <c r="AO28" s="235"/>
      <c r="AP28" s="235"/>
      <c r="AQ28" s="235"/>
      <c r="AR28" s="235"/>
      <c r="AS28" s="235"/>
    </row>
    <row r="29" spans="6:45" ht="15.95" customHeight="1">
      <c r="F29" s="1184"/>
      <c r="G29" s="1185"/>
      <c r="H29" s="1185"/>
      <c r="I29" s="1185"/>
      <c r="J29" s="1185"/>
      <c r="K29" s="1185"/>
      <c r="L29" s="1185"/>
      <c r="M29" s="1185"/>
      <c r="N29" s="1185"/>
      <c r="O29" s="1185"/>
      <c r="P29" s="1185"/>
      <c r="Q29" s="1185"/>
      <c r="R29" s="1185"/>
      <c r="S29" s="1185"/>
      <c r="T29" s="1185"/>
      <c r="U29" s="1185"/>
      <c r="V29" s="1185"/>
      <c r="W29" s="1185"/>
      <c r="X29" s="1185"/>
      <c r="Y29" s="1185"/>
      <c r="Z29" s="1185"/>
      <c r="AA29" s="1185"/>
      <c r="AB29" s="1185"/>
      <c r="AC29" s="1185"/>
      <c r="AD29" s="1185"/>
      <c r="AE29" s="1185"/>
      <c r="AF29" s="1185"/>
      <c r="AG29" s="1185"/>
      <c r="AH29" s="1185"/>
      <c r="AI29" s="1185"/>
      <c r="AJ29" s="1185"/>
      <c r="AK29" s="1185"/>
      <c r="AL29" s="1185"/>
      <c r="AM29" s="1186"/>
      <c r="AO29" s="235"/>
      <c r="AP29" s="235"/>
      <c r="AQ29" s="235"/>
      <c r="AR29" s="235"/>
      <c r="AS29" s="235"/>
    </row>
    <row r="30" spans="6:45" ht="15.95" customHeight="1" thickBot="1">
      <c r="F30" s="1187"/>
      <c r="G30" s="1188"/>
      <c r="H30" s="1188"/>
      <c r="I30" s="1188"/>
      <c r="J30" s="1188"/>
      <c r="K30" s="1188"/>
      <c r="L30" s="1188"/>
      <c r="M30" s="1188"/>
      <c r="N30" s="1188"/>
      <c r="O30" s="1188"/>
      <c r="P30" s="1188"/>
      <c r="Q30" s="1188"/>
      <c r="R30" s="1188"/>
      <c r="S30" s="1188"/>
      <c r="T30" s="1188"/>
      <c r="U30" s="1188"/>
      <c r="V30" s="1188"/>
      <c r="W30" s="1188"/>
      <c r="X30" s="1188"/>
      <c r="Y30" s="1188"/>
      <c r="Z30" s="1188"/>
      <c r="AA30" s="1188"/>
      <c r="AB30" s="1188"/>
      <c r="AC30" s="1188"/>
      <c r="AD30" s="1188"/>
      <c r="AE30" s="1188"/>
      <c r="AF30" s="1188"/>
      <c r="AG30" s="1188"/>
      <c r="AH30" s="1188"/>
      <c r="AI30" s="1188"/>
      <c r="AJ30" s="1188"/>
      <c r="AK30" s="1188"/>
      <c r="AL30" s="1188"/>
      <c r="AM30" s="1189"/>
      <c r="AO30" s="235"/>
      <c r="AP30" s="235"/>
      <c r="AQ30" s="235"/>
      <c r="AR30" s="235"/>
      <c r="AS30" s="235"/>
    </row>
    <row r="31" spans="6:45" ht="15.95" customHeight="1">
      <c r="AO31" s="235"/>
      <c r="AP31" s="235"/>
      <c r="AQ31" s="235"/>
      <c r="AR31" s="235"/>
      <c r="AS31" s="235"/>
    </row>
    <row r="32" spans="6:45" ht="15.95" customHeight="1">
      <c r="AO32" s="235"/>
      <c r="AP32" s="235"/>
      <c r="AQ32" s="235"/>
      <c r="AR32" s="235"/>
      <c r="AS32" s="235"/>
    </row>
    <row r="33" spans="41:45" ht="15.95" hidden="1" customHeight="1">
      <c r="AO33" s="235"/>
      <c r="AP33" s="235"/>
      <c r="AQ33" s="235"/>
      <c r="AR33" s="235"/>
      <c r="AS33" s="235"/>
    </row>
    <row r="34" spans="41:45" ht="15.95" hidden="1" customHeight="1">
      <c r="AO34" s="235"/>
      <c r="AP34" s="235"/>
      <c r="AQ34" s="235"/>
      <c r="AR34" s="235"/>
      <c r="AS34" s="235"/>
    </row>
    <row r="35" spans="41:45" ht="15.95" hidden="1" customHeight="1">
      <c r="AO35" s="235"/>
      <c r="AP35" s="235"/>
      <c r="AQ35" s="235"/>
      <c r="AR35" s="235"/>
      <c r="AS35" s="235"/>
    </row>
    <row r="36" spans="41:45" ht="15.95" hidden="1" customHeight="1">
      <c r="AO36" s="235"/>
      <c r="AP36" s="235"/>
      <c r="AQ36" s="235"/>
      <c r="AR36" s="235"/>
      <c r="AS36" s="235"/>
    </row>
    <row r="37" spans="41:45" ht="15.95" hidden="1" customHeight="1">
      <c r="AO37" s="235"/>
      <c r="AP37" s="235"/>
      <c r="AQ37" s="235"/>
      <c r="AR37" s="235"/>
      <c r="AS37" s="235"/>
    </row>
    <row r="38" spans="41:45" ht="15.95" hidden="1" customHeight="1">
      <c r="AO38" s="235"/>
      <c r="AP38" s="235"/>
      <c r="AQ38" s="235"/>
      <c r="AR38" s="235"/>
      <c r="AS38" s="235"/>
    </row>
    <row r="39" spans="41:45" ht="15.95" hidden="1" customHeight="1">
      <c r="AO39" s="235"/>
      <c r="AP39" s="235"/>
      <c r="AQ39" s="235"/>
      <c r="AR39" s="235"/>
      <c r="AS39" s="235"/>
    </row>
    <row r="40" spans="41:45" ht="15.95" hidden="1" customHeight="1">
      <c r="AO40" s="235"/>
      <c r="AP40" s="235"/>
      <c r="AQ40" s="235"/>
      <c r="AR40" s="235"/>
      <c r="AS40" s="235"/>
    </row>
    <row r="41" spans="41:45" ht="15.95" hidden="1" customHeight="1">
      <c r="AO41" s="235"/>
      <c r="AP41" s="235"/>
      <c r="AQ41" s="235"/>
      <c r="AR41" s="235"/>
      <c r="AS41" s="235"/>
    </row>
    <row r="42" spans="41:45" ht="15.95" hidden="1" customHeight="1">
      <c r="AO42" s="235"/>
      <c r="AP42" s="235"/>
      <c r="AQ42" s="235"/>
      <c r="AR42" s="235"/>
      <c r="AS42" s="235"/>
    </row>
    <row r="43" spans="41:45" ht="15.95" hidden="1" customHeight="1">
      <c r="AO43" s="235"/>
      <c r="AP43" s="235"/>
      <c r="AQ43" s="235"/>
      <c r="AR43" s="235"/>
      <c r="AS43" s="235"/>
    </row>
    <row r="44" spans="41:45" ht="15.95" hidden="1" customHeight="1">
      <c r="AO44" s="235"/>
      <c r="AP44" s="235"/>
      <c r="AQ44" s="235"/>
      <c r="AR44" s="235"/>
      <c r="AS44" s="235"/>
    </row>
    <row r="45" spans="41:45" ht="15.95" hidden="1" customHeight="1">
      <c r="AO45" s="235"/>
      <c r="AP45" s="235"/>
      <c r="AQ45" s="235"/>
      <c r="AR45" s="235"/>
      <c r="AS45" s="235"/>
    </row>
    <row r="46" spans="41:45" ht="15.95" hidden="1" customHeight="1">
      <c r="AO46" s="235"/>
      <c r="AP46" s="235"/>
      <c r="AQ46" s="235"/>
      <c r="AR46" s="235"/>
      <c r="AS46" s="235"/>
    </row>
    <row r="47" spans="41:45" ht="15.95" hidden="1" customHeight="1">
      <c r="AO47" s="235"/>
      <c r="AP47" s="235"/>
      <c r="AQ47" s="235"/>
      <c r="AR47" s="235"/>
      <c r="AS47" s="235"/>
    </row>
    <row r="48" spans="41:45" ht="15.95" hidden="1" customHeight="1">
      <c r="AO48" s="235"/>
      <c r="AP48" s="235"/>
      <c r="AQ48" s="235"/>
      <c r="AR48" s="235"/>
      <c r="AS48" s="235"/>
    </row>
    <row r="49" spans="41:45" ht="15.95" hidden="1" customHeight="1">
      <c r="AO49" s="235"/>
      <c r="AP49" s="235"/>
      <c r="AQ49" s="235"/>
      <c r="AR49" s="235"/>
      <c r="AS49" s="235"/>
    </row>
    <row r="50" spans="41:45" ht="15.95" hidden="1" customHeight="1">
      <c r="AO50" s="235"/>
      <c r="AP50" s="235"/>
      <c r="AQ50" s="235"/>
      <c r="AR50" s="235"/>
      <c r="AS50" s="235"/>
    </row>
    <row r="51" spans="41:45" ht="15.95" hidden="1" customHeight="1">
      <c r="AO51" s="235"/>
      <c r="AP51" s="235"/>
      <c r="AQ51" s="235"/>
      <c r="AR51" s="235"/>
      <c r="AS51" s="235"/>
    </row>
    <row r="52" spans="41:45" ht="15.95" hidden="1" customHeight="1">
      <c r="AO52" s="235"/>
      <c r="AP52" s="235"/>
      <c r="AQ52" s="235"/>
      <c r="AR52" s="235"/>
      <c r="AS52" s="235"/>
    </row>
    <row r="53" spans="41:45" ht="15.95" hidden="1" customHeight="1">
      <c r="AO53" s="235"/>
      <c r="AP53" s="235"/>
      <c r="AQ53" s="235"/>
      <c r="AR53" s="235"/>
      <c r="AS53" s="235"/>
    </row>
    <row r="54" spans="41:45" ht="15.95" hidden="1" customHeight="1">
      <c r="AO54" s="235"/>
      <c r="AP54" s="235"/>
      <c r="AQ54" s="235"/>
      <c r="AR54" s="235"/>
      <c r="AS54" s="235"/>
    </row>
    <row r="55" spans="41:45" ht="15.95" hidden="1" customHeight="1">
      <c r="AO55" s="235"/>
      <c r="AP55" s="235"/>
      <c r="AQ55" s="235"/>
      <c r="AR55" s="235"/>
      <c r="AS55" s="235"/>
    </row>
    <row r="56" spans="41:45" ht="15.95" hidden="1" customHeight="1">
      <c r="AO56" s="235"/>
      <c r="AP56" s="235"/>
      <c r="AQ56" s="235"/>
      <c r="AR56" s="235"/>
      <c r="AS56" s="235"/>
    </row>
    <row r="57" spans="41:45" ht="15.95" hidden="1" customHeight="1">
      <c r="AO57" s="235"/>
      <c r="AP57" s="235"/>
      <c r="AQ57" s="235"/>
      <c r="AR57" s="235"/>
      <c r="AS57" s="235"/>
    </row>
    <row r="58" spans="41:45" ht="15.95" hidden="1" customHeight="1">
      <c r="AO58" s="235"/>
      <c r="AP58" s="235"/>
      <c r="AQ58" s="235"/>
      <c r="AR58" s="235"/>
      <c r="AS58" s="235"/>
    </row>
    <row r="59" spans="41:45" ht="15.95" hidden="1" customHeight="1">
      <c r="AO59" s="235"/>
      <c r="AP59" s="235"/>
      <c r="AQ59" s="235"/>
      <c r="AR59" s="235"/>
      <c r="AS59" s="235"/>
    </row>
    <row r="60" spans="41:45" ht="15.95" hidden="1" customHeight="1">
      <c r="AO60" s="235"/>
      <c r="AP60" s="235"/>
      <c r="AQ60" s="235"/>
      <c r="AR60" s="235"/>
      <c r="AS60" s="235"/>
    </row>
    <row r="61" spans="41:45" ht="15.95" hidden="1" customHeight="1">
      <c r="AO61" s="235"/>
      <c r="AP61" s="235"/>
      <c r="AQ61" s="235"/>
      <c r="AR61" s="235"/>
      <c r="AS61" s="235"/>
    </row>
    <row r="62" spans="41:45" ht="15.95" hidden="1" customHeight="1"/>
    <row r="63" spans="41:45" ht="15.95" hidden="1" customHeight="1"/>
    <row r="64" spans="41: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sheetData>
  <sheetProtection algorithmName="SHA-512" hashValue="fZinaMsm/cyYsS/4BQsU8BWvdyVdMDSqMBP57QCPNfDDu+NHDw6BNTkzuZjEUj7NtbhdiYkimvyxJVv4Xl/KBg==" saltValue="r5UzIv5y6ATXxdJCRE/+4Q==" spinCount="100000" sheet="1" objects="1" scenarios="1" selectLockedCells="1"/>
  <mergeCells count="42">
    <mergeCell ref="T18:Y18"/>
    <mergeCell ref="AA18:AF18"/>
    <mergeCell ref="AA22:AF22"/>
    <mergeCell ref="AO5:AS6"/>
    <mergeCell ref="AO7:AS7"/>
    <mergeCell ref="AO8:AS8"/>
    <mergeCell ref="AA21:AF21"/>
    <mergeCell ref="AH18:AM18"/>
    <mergeCell ref="AH19:AM19"/>
    <mergeCell ref="G21:Y22"/>
    <mergeCell ref="M200:AG201"/>
    <mergeCell ref="AP1:AS3"/>
    <mergeCell ref="F1:I3"/>
    <mergeCell ref="J1:M3"/>
    <mergeCell ref="AH1:AK3"/>
    <mergeCell ref="AL1:AO3"/>
    <mergeCell ref="A9:AS10"/>
    <mergeCell ref="A4:E6"/>
    <mergeCell ref="A7:E8"/>
    <mergeCell ref="V13:AA13"/>
    <mergeCell ref="Q13:U13"/>
    <mergeCell ref="AA19:AF19"/>
    <mergeCell ref="F15:K15"/>
    <mergeCell ref="F18:K18"/>
    <mergeCell ref="M18:R18"/>
    <mergeCell ref="O1:AE3"/>
    <mergeCell ref="F25:AM30"/>
    <mergeCell ref="F11:AN12"/>
    <mergeCell ref="M16:R16"/>
    <mergeCell ref="T16:Y16"/>
    <mergeCell ref="AA16:AF16"/>
    <mergeCell ref="AH16:AM16"/>
    <mergeCell ref="AJ22:AM22"/>
    <mergeCell ref="M15:R15"/>
    <mergeCell ref="T15:Y15"/>
    <mergeCell ref="AA15:AF15"/>
    <mergeCell ref="AH15:AM15"/>
    <mergeCell ref="AH21:AM21"/>
    <mergeCell ref="F16:K16"/>
    <mergeCell ref="F19:K19"/>
    <mergeCell ref="M19:R19"/>
    <mergeCell ref="T19:Y19"/>
  </mergeCells>
  <conditionalFormatting sqref="AO8:AS8">
    <cfRule type="expression" dxfId="43" priority="3">
      <formula>IF($AO$8=PROJSTATMEASURE,FALSE,TRUE)</formula>
    </cfRule>
  </conditionalFormatting>
  <conditionalFormatting sqref="AH18:AM19">
    <cfRule type="expression" dxfId="42" priority="1">
      <formula>M05S01F01&lt;&gt;"Site (Bill Credit)"</formula>
    </cfRule>
  </conditionalFormatting>
  <dataValidations count="9">
    <dataValidation type="list" allowBlank="1" showInputMessage="1" showErrorMessage="1" sqref="V13:AA13" xr:uid="{C7FA3D41-70E2-4C60-B065-EF7C3995DE8C}">
      <formula1>PAYMENTLIST</formula1>
    </dataValidation>
    <dataValidation type="list" allowBlank="1" showInputMessage="1" showErrorMessage="1" sqref="AA22:AF22" xr:uid="{51C10E3E-E283-49C3-9A3A-729A26948584}">
      <formula1>TAXLIST</formula1>
    </dataValidation>
    <dataValidation type="textLength" operator="equal" allowBlank="1" showInputMessage="1" showErrorMessage="1" prompt="Please enter only the first 2 digits of the Tax ID" sqref="AH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J22:AM22" xr:uid="{DAB8AB06-4D54-4128-BF3E-B23139384DD9}">
      <formula1>7</formula1>
    </dataValidation>
    <dataValidation type="list" allowBlank="1" showInputMessage="1" showErrorMessage="1" sqref="AA16:AF16" xr:uid="{A341AEFA-272D-4300-B9F7-93BEAA9ADBC5}">
      <formula1>STATESABBREV</formula1>
    </dataValidation>
    <dataValidation type="custom" allowBlank="1" showInputMessage="1" showErrorMessage="1" error="Please enter a valid email address." sqref="AA19:AF19" xr:uid="{D8106073-DA01-4D94-8B21-E9A252A0FFEB}">
      <formula1>AND(FIND(".",AA19),FIND("@",AA19))</formula1>
    </dataValidation>
    <dataValidation type="textLength" allowBlank="1" showInputMessage="1" showErrorMessage="1" sqref="T19:Y19" xr:uid="{D2DFA2C1-87FB-410B-BF49-E9FD3593FE58}">
      <formula1>7</formula1>
      <formula2>15</formula2>
    </dataValidation>
    <dataValidation type="whole" allowBlank="1" showInputMessage="1" showErrorMessage="1" sqref="AH16:AM16" xr:uid="{5D375849-F9FC-4770-A42F-33ADAF1B7F9D}">
      <formula1>0</formula1>
      <formula2>99999</formula2>
    </dataValidation>
    <dataValidation type="textLength" operator="lessThanOrEqual" allowBlank="1" showInputMessage="1" showErrorMessage="1" sqref="AH19:AM19" xr:uid="{629C1AB1-B689-4EB2-85BA-C1C3092C139E}">
      <formula1>10</formula1>
    </dataValidation>
  </dataValidations>
  <hyperlinks>
    <hyperlink ref="J1:M3" location="'M01-S02'!J1" tooltip="Instructions" display="'M01-S02'!J1" xr:uid="{40F17D4B-295E-4F68-8C02-20B46F73BF10}"/>
    <hyperlink ref="AL1:AO3" location="'M05-S05'!AL1" tooltip=" " display="'M05-S05'!AL1" xr:uid="{1A29446B-DEAB-47E2-A639-ABDA957E4593}"/>
    <hyperlink ref="AH1:AK3" location="'M05-S04'!AH1" tooltip=" " display="'M05-S04'!AH1" xr:uid="{0A2B980D-A10E-492E-9823-29355D8D2E52}"/>
    <hyperlink ref="AP1:AS3" location="'M01-S03'!AP1" tooltip="Contact" display="'M01-S03'!AP1" xr:uid="{B740F0FE-809F-431D-8560-D1ABE124F281}"/>
    <hyperlink ref="B202" r:id="rId1" xr:uid="{A59B0390-ACC8-4E01-96FF-7B6D6FB974F9}"/>
  </hyperlinks>
  <printOptions horizontalCentered="1"/>
  <pageMargins left="0.25" right="0.25" top="0.25" bottom="0.25" header="0.25" footer="0.25"/>
  <pageSetup scale="6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4</xdr:col>
                    <xdr:colOff>295275</xdr:colOff>
                    <xdr:row>19</xdr:row>
                    <xdr:rowOff>171450</xdr:rowOff>
                  </from>
                  <to>
                    <xdr:col>5</xdr:col>
                    <xdr:colOff>209550</xdr:colOff>
                    <xdr:row>22</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pageSetUpPr fitToPage="1"/>
  </sheetPr>
  <dimension ref="A1:BF221"/>
  <sheetViews>
    <sheetView showGridLines="0" showRowColHeaders="0" zoomScale="85" zoomScaleNormal="85" workbookViewId="0">
      <selection activeCell="H6" sqref="H6"/>
    </sheetView>
  </sheetViews>
  <sheetFormatPr defaultColWidth="0" defaultRowHeight="0" customHeight="1" zeroHeight="1"/>
  <cols>
    <col min="1" max="45" width="4.7109375" customWidth="1"/>
    <col min="46" max="58" width="1.7109375" hidden="1" customWidth="1"/>
    <col min="59" max="16384" width="4.7109375" hidden="1"/>
  </cols>
  <sheetData>
    <row r="1" spans="1:45"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1205">
        <f>INCENTOTAL</f>
        <v>0</v>
      </c>
      <c r="B4" s="1205"/>
      <c r="C4" s="1205"/>
      <c r="D4" s="1205"/>
      <c r="E4" s="1205"/>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724"/>
      <c r="B6" s="724"/>
      <c r="C6" s="724"/>
      <c r="D6" s="724"/>
      <c r="E6" s="724"/>
      <c r="F6" s="180"/>
      <c r="G6" s="180"/>
      <c r="H6" s="36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ht="15.95" customHeight="1">
      <c r="A9" s="720" t="str">
        <f>M5S2</f>
        <v>Project Review</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ht="15.95" customHeight="1">
      <c r="F11" s="1237" t="s">
        <v>2654</v>
      </c>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1237"/>
      <c r="AL11" s="424"/>
      <c r="AM11" s="424"/>
      <c r="AN11" s="424"/>
      <c r="AO11" s="235"/>
      <c r="AP11" s="235"/>
      <c r="AQ11" s="235"/>
      <c r="AR11" s="235"/>
      <c r="AS11" s="235"/>
    </row>
    <row r="12" spans="1:45" ht="15.95" customHeight="1">
      <c r="F12" s="1237"/>
      <c r="G12" s="1237"/>
      <c r="H12" s="1237"/>
      <c r="I12" s="1237"/>
      <c r="J12" s="1237"/>
      <c r="K12" s="1237"/>
      <c r="L12" s="1237"/>
      <c r="M12" s="1237"/>
      <c r="N12" s="1237"/>
      <c r="O12" s="1237"/>
      <c r="P12" s="1237"/>
      <c r="Q12" s="1237"/>
      <c r="R12" s="1237"/>
      <c r="S12" s="1237"/>
      <c r="T12" s="1237"/>
      <c r="U12" s="1237"/>
      <c r="V12" s="1237"/>
      <c r="W12" s="1237"/>
      <c r="X12" s="1237"/>
      <c r="Y12" s="1237"/>
      <c r="Z12" s="1237"/>
      <c r="AA12" s="1237"/>
      <c r="AB12" s="1237"/>
      <c r="AC12" s="1237"/>
      <c r="AD12" s="1237"/>
      <c r="AE12" s="1237"/>
      <c r="AF12" s="1237"/>
      <c r="AG12" s="1237"/>
      <c r="AH12" s="1237"/>
      <c r="AI12" s="1237"/>
      <c r="AJ12" s="1237"/>
      <c r="AK12" s="1237"/>
      <c r="AL12" s="424"/>
      <c r="AM12" s="424"/>
      <c r="AN12" s="424"/>
      <c r="AO12" s="37"/>
      <c r="AP12" s="235"/>
      <c r="AQ12" s="235"/>
      <c r="AR12" s="235"/>
      <c r="AS12" s="235"/>
    </row>
    <row r="13" spans="1:45" s="180" customFormat="1" ht="15.95" customHeight="1">
      <c r="F13" s="572"/>
      <c r="G13" s="572"/>
      <c r="H13" s="572"/>
      <c r="I13" s="572"/>
      <c r="J13" s="572"/>
      <c r="K13" s="572"/>
      <c r="L13" s="572"/>
      <c r="M13" s="572"/>
      <c r="N13" s="572"/>
      <c r="O13" s="572"/>
      <c r="P13" s="572"/>
      <c r="Q13" s="572"/>
      <c r="R13" s="572"/>
      <c r="S13" s="572"/>
      <c r="T13" s="572"/>
      <c r="U13" s="572"/>
      <c r="V13" s="572"/>
      <c r="W13" s="572"/>
      <c r="X13" s="572"/>
      <c r="Y13" s="572"/>
      <c r="Z13" s="572"/>
      <c r="AA13" s="572"/>
      <c r="AB13" s="572"/>
      <c r="AC13" s="572"/>
      <c r="AD13" s="572"/>
      <c r="AE13" s="572"/>
      <c r="AF13" s="572"/>
      <c r="AG13" s="572"/>
      <c r="AH13" s="572"/>
      <c r="AI13" s="572"/>
      <c r="AJ13" s="572"/>
      <c r="AK13" s="572"/>
      <c r="AL13" s="572"/>
      <c r="AM13" s="572"/>
      <c r="AN13" s="572"/>
      <c r="AO13" s="37"/>
      <c r="AP13" s="235"/>
      <c r="AQ13" s="235"/>
      <c r="AR13" s="235"/>
      <c r="AS13" s="235"/>
    </row>
    <row r="14" spans="1:45" s="180" customFormat="1" ht="15.95" customHeight="1">
      <c r="F14" s="1222" t="str">
        <f>M2S1</f>
        <v>Terms &amp; Conditions</v>
      </c>
      <c r="G14" s="1223"/>
      <c r="H14" s="1223"/>
      <c r="I14" s="1223"/>
      <c r="J14" s="1223"/>
      <c r="K14" s="1223"/>
      <c r="L14" s="1223"/>
      <c r="M14" s="1223"/>
      <c r="N14" s="1223"/>
      <c r="O14" s="1223"/>
      <c r="P14" s="1206" t="str">
        <f ca="1">IF(COMPTERMS&lt;&gt;1,"Incomplete","")</f>
        <v>Incomplete</v>
      </c>
      <c r="Q14" s="1206"/>
      <c r="R14" s="1206"/>
      <c r="S14" s="1206"/>
      <c r="T14" s="1206"/>
      <c r="U14" s="1206"/>
      <c r="V14" s="1206"/>
      <c r="W14" s="1201" t="s">
        <v>1297</v>
      </c>
      <c r="X14" s="1201"/>
      <c r="Y14" s="1202"/>
      <c r="Z14" s="572"/>
      <c r="AO14" s="37"/>
      <c r="AP14" s="235"/>
      <c r="AQ14" s="235"/>
      <c r="AR14" s="235"/>
      <c r="AS14" s="235"/>
    </row>
    <row r="15" spans="1:45" s="180" customFormat="1" ht="15.95" customHeight="1">
      <c r="F15" s="1228" t="str">
        <f>IF(OR(M02S01F01="",M02S01F02="",M02S01F03=""),"Missing Signature Info",M02S01F01)</f>
        <v>Missing Signature Info</v>
      </c>
      <c r="G15" s="1229"/>
      <c r="H15" s="1229"/>
      <c r="I15" s="1229"/>
      <c r="J15" s="1229"/>
      <c r="K15" s="1229"/>
      <c r="L15" s="1229"/>
      <c r="M15" s="1229"/>
      <c r="N15" s="1229"/>
      <c r="O15" s="1229" t="str">
        <f>IF(OR(M02S01F01="",M02S01F02="",M02S01F03=""),"",M02S01F02)</f>
        <v/>
      </c>
      <c r="P15" s="1229"/>
      <c r="Q15" s="1229"/>
      <c r="R15" s="1229"/>
      <c r="S15" s="1229"/>
      <c r="T15" s="1229"/>
      <c r="U15" s="1229"/>
      <c r="V15" s="1229"/>
      <c r="W15" s="1226" t="str">
        <f>IF(OR(M02S01F01="",M02S01F02="",M02S01F03=""),"",M02S01F03)</f>
        <v/>
      </c>
      <c r="X15" s="1226"/>
      <c r="Y15" s="1227"/>
      <c r="Z15" s="572"/>
      <c r="AO15" s="37"/>
      <c r="AP15" s="235"/>
      <c r="AQ15" s="235"/>
      <c r="AR15" s="235"/>
      <c r="AS15" s="235"/>
    </row>
    <row r="16" spans="1:45" s="180" customFormat="1" ht="15.95" customHeight="1">
      <c r="F16" s="1213" t="str">
        <f>M2S2</f>
        <v>Trade Ally / Contractor Information</v>
      </c>
      <c r="G16" s="1214"/>
      <c r="H16" s="1214"/>
      <c r="I16" s="1214"/>
      <c r="J16" s="1214"/>
      <c r="K16" s="1214"/>
      <c r="L16" s="1214"/>
      <c r="M16" s="1214"/>
      <c r="N16" s="1214"/>
      <c r="O16" s="1214"/>
      <c r="P16" s="1212" t="str">
        <f ca="1">IF(COMPTA&lt;&gt;1,"Incomplete","")</f>
        <v>Incomplete</v>
      </c>
      <c r="Q16" s="1212"/>
      <c r="R16" s="1212"/>
      <c r="S16" s="1212"/>
      <c r="T16" s="1212"/>
      <c r="U16" s="1212"/>
      <c r="V16" s="1212"/>
      <c r="W16" s="1216" t="s">
        <v>1297</v>
      </c>
      <c r="X16" s="1216"/>
      <c r="Y16" s="1217"/>
      <c r="Z16" s="572"/>
      <c r="AA16" s="1242" t="s">
        <v>1985</v>
      </c>
      <c r="AB16" s="1243"/>
      <c r="AC16" s="1243"/>
      <c r="AD16" s="1243"/>
      <c r="AE16" s="1243"/>
      <c r="AF16" s="1243"/>
      <c r="AG16" s="1243"/>
      <c r="AH16" s="1243"/>
      <c r="AI16" s="1243"/>
      <c r="AJ16" s="1243"/>
      <c r="AK16" s="1243"/>
      <c r="AL16" s="1206" t="str">
        <f>IF(COMPMEASURE&lt;&gt;1,"Incomplete","")</f>
        <v>Incomplete</v>
      </c>
      <c r="AM16" s="1206"/>
      <c r="AN16" s="1207"/>
      <c r="AO16" s="37"/>
      <c r="AP16" s="235"/>
      <c r="AQ16" s="235"/>
      <c r="AR16" s="235"/>
      <c r="AS16" s="235"/>
    </row>
    <row r="17" spans="6:58" ht="15.95" customHeight="1">
      <c r="F17" s="1210" t="str">
        <f>IF(OR(M02S02F01="",M02S02F12=""),"Missing TA / Contractor Info",IF(M02S02F01="No","No TA / Contractor",IF(OR(M02S02F02="",),"Missing Company Name",M02S02F02)))</f>
        <v>Missing TA / Contractor Info</v>
      </c>
      <c r="G17" s="755"/>
      <c r="H17" s="755"/>
      <c r="I17" s="755"/>
      <c r="J17" s="755"/>
      <c r="K17" s="755"/>
      <c r="L17" s="755"/>
      <c r="M17" s="755"/>
      <c r="N17" s="755"/>
      <c r="O17" s="755"/>
      <c r="P17" s="755" t="str">
        <f>IF(M02S02F01="No","",IF(OR(M02S02F07="",M02S02F08="",M02S02F09="",M02S02F10="",M02S02F11=""),"Missing Contact Info",M02S02F07&amp;" "&amp;M02S02F08))</f>
        <v>Missing Contact Info</v>
      </c>
      <c r="Q17" s="755"/>
      <c r="R17" s="755"/>
      <c r="S17" s="755"/>
      <c r="T17" s="755"/>
      <c r="U17" s="755" t="str">
        <f>IF(OR(M02S02F07="",M02S02F08="",M02S02F09="",M02S02F10="",M02S02F11=""),"",M02S02F09)</f>
        <v/>
      </c>
      <c r="V17" s="755"/>
      <c r="W17" s="755"/>
      <c r="X17" s="755"/>
      <c r="Y17" s="1209"/>
      <c r="Z17" s="35"/>
      <c r="AA17" s="1197" t="s">
        <v>1279</v>
      </c>
      <c r="AB17" s="1198"/>
      <c r="AC17" s="1198"/>
      <c r="AD17" s="1198"/>
      <c r="AE17" s="1198"/>
      <c r="AF17" s="1198"/>
      <c r="AG17" s="1198"/>
      <c r="AH17" s="1208" t="s">
        <v>1717</v>
      </c>
      <c r="AI17" s="1208"/>
      <c r="AJ17" s="1208"/>
      <c r="AK17" s="1203" t="s">
        <v>1986</v>
      </c>
      <c r="AL17" s="1203"/>
      <c r="AM17" s="1203"/>
      <c r="AN17" s="1204"/>
      <c r="AP17" s="235"/>
      <c r="AQ17" s="235"/>
      <c r="AR17" s="235"/>
      <c r="AS17" s="235"/>
    </row>
    <row r="18" spans="6:58" ht="15.95" customHeight="1">
      <c r="F18" s="1210" t="str">
        <f>IF(M02S02F01="No","",IF(OR(M02S02F03="",M02S02F04="",M02S02F05="",M02S02F06=""),"Missing Address Info",M02S02F03))</f>
        <v>Missing Address Info</v>
      </c>
      <c r="G18" s="755"/>
      <c r="H18" s="755"/>
      <c r="I18" s="755"/>
      <c r="J18" s="755"/>
      <c r="K18" s="755"/>
      <c r="L18" s="755"/>
      <c r="M18" s="755"/>
      <c r="N18" s="755"/>
      <c r="O18" s="755"/>
      <c r="P18" s="1224" t="str">
        <f>IF(OR(M02S02F07="",M02S02F08="",M02S02F09="",M02S02F10="",M02S02F11=""),"","P: "&amp;TEXT(M02S02F10,"(###) ###-####")&amp;"  E: "&amp;M02S02F11)</f>
        <v/>
      </c>
      <c r="Q18" s="1224"/>
      <c r="R18" s="1224"/>
      <c r="S18" s="1224"/>
      <c r="T18" s="1224"/>
      <c r="U18" s="1224"/>
      <c r="V18" s="1224"/>
      <c r="W18" s="1224"/>
      <c r="X18" s="1224"/>
      <c r="Y18" s="1225"/>
      <c r="Z18" s="36"/>
      <c r="AA18" s="1199" t="str">
        <f>M3S2</f>
        <v>Lighting</v>
      </c>
      <c r="AB18" s="1200"/>
      <c r="AC18" s="1200"/>
      <c r="AD18" s="1200"/>
      <c r="AE18" s="1200"/>
      <c r="AF18" s="1200"/>
      <c r="AG18" s="1200"/>
      <c r="AH18" s="1196">
        <f>COUNT('M03-S02'!AK18:AM199)</f>
        <v>0</v>
      </c>
      <c r="AI18" s="1196"/>
      <c r="AJ18" s="1196"/>
      <c r="AK18" s="1244">
        <f>SUM('M03-S02'!AN18:AQ199)</f>
        <v>0</v>
      </c>
      <c r="AL18" s="1244"/>
      <c r="AM18" s="1244"/>
      <c r="AN18" s="1245"/>
      <c r="AP18" s="235"/>
      <c r="AQ18" s="37"/>
      <c r="AR18" s="37"/>
      <c r="AS18" s="37"/>
      <c r="AT18" s="36"/>
      <c r="BD18" s="36"/>
      <c r="BE18" s="36"/>
      <c r="BF18" s="36"/>
    </row>
    <row r="19" spans="6:58" ht="15.95" customHeight="1">
      <c r="F19" s="1210" t="str">
        <f>IF(OR(M02S02F03="",M02S02F04="",M02S02F05="",M02S02F06=""),"",M02S02F04)</f>
        <v/>
      </c>
      <c r="G19" s="755"/>
      <c r="H19" s="755"/>
      <c r="I19" s="755"/>
      <c r="J19" s="755"/>
      <c r="K19" s="755" t="str">
        <f>IF(OR(M02S02F03="",M02S02F04="",M02S02F05="",M02S02F06=""),"",M02S02F05)</f>
        <v/>
      </c>
      <c r="L19" s="755"/>
      <c r="M19" s="755" t="str">
        <f>IF(OR(M02S02F03="",M02S02F04="",M02S02F05="",M02S02F06=""),"",M02S02F06)</f>
        <v/>
      </c>
      <c r="N19" s="755"/>
      <c r="O19" s="755"/>
      <c r="P19" s="755" t="str">
        <f>IF(M02S02F01="No","",IF(AND(M02S02F13="",M02S02F14="",M02S02F15="",M02S02F16="",M02S02F17=""),"",IF(AND(OR(M02S02F13&lt;&gt;"",M02S02F14&lt;&gt;"",M02S02F15&lt;&gt;"",M02S02F16&lt;&gt;"",M02S02F17&lt;&gt;""),OR(M02S02F13="",M02S02F14="",M02S02F15="",M02S02F16="",M02S02F17="")),"Missing Contact Info",M02S02F13&amp;" "&amp;M02S02F14)))</f>
        <v/>
      </c>
      <c r="Q19" s="755"/>
      <c r="R19" s="755"/>
      <c r="S19" s="755"/>
      <c r="T19" s="755"/>
      <c r="U19" s="755" t="str">
        <f>IF(M02S02F01="No","",IF(AND(M02S02F13="",M02S02F14="",M02S02F15="",M02S02F16="",M02S02F17=""),"",IF(AND(OR(M02S02F13&lt;&gt;"",M02S02F14&lt;&gt;"",M02S02F15&lt;&gt;"",M02S02F16&lt;&gt;"",M02S02F17&lt;&gt;""),OR(M02S02F13="",M02S02F14="",M02S02F15="",M02S02F16="",M02S02F17="")),"",M02S02F15)))</f>
        <v/>
      </c>
      <c r="V19" s="755"/>
      <c r="W19" s="755"/>
      <c r="X19" s="755"/>
      <c r="Y19" s="1209"/>
      <c r="Z19" s="36"/>
      <c r="AA19" s="1199" t="str">
        <f>M3S3</f>
        <v>Lighting Controls</v>
      </c>
      <c r="AB19" s="1200"/>
      <c r="AC19" s="1200"/>
      <c r="AD19" s="1200"/>
      <c r="AE19" s="1200"/>
      <c r="AF19" s="1200"/>
      <c r="AG19" s="1200"/>
      <c r="AH19" s="1218">
        <f>COUNT('M03-S03'!$AK$18:$AM$199)</f>
        <v>0</v>
      </c>
      <c r="AI19" s="1218">
        <f>COUNT('M03-S03'!$AK$18:$AM$199)</f>
        <v>0</v>
      </c>
      <c r="AJ19" s="1218">
        <f>COUNT('M03-S03'!$AK$18:$AM$199)</f>
        <v>0</v>
      </c>
      <c r="AK19" s="1230">
        <f>SUM('M03-S03'!AN18:AQ199)</f>
        <v>0</v>
      </c>
      <c r="AL19" s="1230"/>
      <c r="AM19" s="1230"/>
      <c r="AN19" s="1231"/>
      <c r="AP19" s="235"/>
      <c r="AQ19" s="235"/>
      <c r="AR19" s="235"/>
      <c r="AS19" s="235"/>
    </row>
    <row r="20" spans="6:58" ht="15.95" customHeight="1">
      <c r="F20" s="167"/>
      <c r="G20" s="13"/>
      <c r="H20" s="13"/>
      <c r="I20" s="13"/>
      <c r="J20" s="13"/>
      <c r="K20" s="13"/>
      <c r="L20" s="13"/>
      <c r="M20" s="13"/>
      <c r="N20" s="13"/>
      <c r="O20" s="13"/>
      <c r="P20" s="1224" t="str">
        <f>IF(M02S02F01="No","",IF(AND(M02S02F13="",M02S02F14="",M02S02F15="",M02S02F16="",M02S02F17=""),"",IF(AND(OR(M02S02F13&lt;&gt;"",M02S02F14&lt;&gt;"",M02S02F15&lt;&gt;"",M02S02F16&lt;&gt;"",M02S02F17&lt;&gt;""),OR(M02S02F13="",M02S02F14="",M02S02F15="",M02S02F16="",M02S02F17="")),"","P: "&amp;TEXT(M02S02F16,"(###) ###-####")&amp;"  E: "&amp;M02S02F17)))</f>
        <v/>
      </c>
      <c r="Q20" s="1224"/>
      <c r="R20" s="1224"/>
      <c r="S20" s="1224"/>
      <c r="T20" s="1224"/>
      <c r="U20" s="1224"/>
      <c r="V20" s="1224"/>
      <c r="W20" s="1224"/>
      <c r="X20" s="1224"/>
      <c r="Y20" s="1225"/>
      <c r="Z20" s="36"/>
      <c r="AA20" s="1199" t="str">
        <f>M3S4</f>
        <v>Refrigeration</v>
      </c>
      <c r="AB20" s="1200"/>
      <c r="AC20" s="1200"/>
      <c r="AD20" s="1200"/>
      <c r="AE20" s="1200"/>
      <c r="AF20" s="1200"/>
      <c r="AG20" s="1200"/>
      <c r="AH20" s="1218">
        <f>COUNT('M03-S04'!$AK$18:$AM$199)</f>
        <v>0</v>
      </c>
      <c r="AI20" s="1218">
        <f>COUNT('M03-S04'!$AK$18:$AM$199)</f>
        <v>0</v>
      </c>
      <c r="AJ20" s="1218">
        <f>COUNT('M03-S04'!$AK$18:$AM$199)</f>
        <v>0</v>
      </c>
      <c r="AK20" s="1230">
        <f>SUM('M03-S04'!AN18:AQ199)</f>
        <v>0</v>
      </c>
      <c r="AL20" s="1230"/>
      <c r="AM20" s="1230"/>
      <c r="AN20" s="1231"/>
      <c r="AP20" s="235"/>
      <c r="AQ20" s="235"/>
      <c r="AR20" s="235"/>
      <c r="AS20" s="235"/>
    </row>
    <row r="21" spans="6:58" ht="15.95" customHeight="1">
      <c r="F21" s="1213" t="str">
        <f>M2S3</f>
        <v>Customer Information</v>
      </c>
      <c r="G21" s="1214"/>
      <c r="H21" s="1214"/>
      <c r="I21" s="1214"/>
      <c r="J21" s="1214"/>
      <c r="K21" s="1214"/>
      <c r="L21" s="1214"/>
      <c r="M21" s="1214"/>
      <c r="N21" s="1214"/>
      <c r="O21" s="1214"/>
      <c r="P21" s="1212" t="str">
        <f ca="1">IF(COMPCUSTOMER&lt;&gt;1,"Incomplete","")</f>
        <v>Incomplete</v>
      </c>
      <c r="Q21" s="1212"/>
      <c r="R21" s="1212"/>
      <c r="S21" s="1212"/>
      <c r="T21" s="1212"/>
      <c r="U21" s="1212"/>
      <c r="V21" s="1212"/>
      <c r="W21" s="1216" t="s">
        <v>1297</v>
      </c>
      <c r="X21" s="1216"/>
      <c r="Y21" s="1217"/>
      <c r="Z21" s="159"/>
      <c r="AA21" s="1199" t="str">
        <f>M3S5</f>
        <v>HVAC</v>
      </c>
      <c r="AB21" s="1200"/>
      <c r="AC21" s="1200"/>
      <c r="AD21" s="1200"/>
      <c r="AE21" s="1200"/>
      <c r="AF21" s="1200"/>
      <c r="AG21" s="1200"/>
      <c r="AH21" s="1219">
        <f>COUNT('M03-S05'!$AK$18:$AM$342)</f>
        <v>0</v>
      </c>
      <c r="AI21" s="1219">
        <f>COUNT('M03-S05'!$AK$18:$AM$342)</f>
        <v>0</v>
      </c>
      <c r="AJ21" s="1219">
        <f>COUNT('M03-S05'!$AK$18:$AM$342)</f>
        <v>0</v>
      </c>
      <c r="AK21" s="1230">
        <f>SUM('M03-S05'!AN18:AQ342)</f>
        <v>0</v>
      </c>
      <c r="AL21" s="1230"/>
      <c r="AM21" s="1230"/>
      <c r="AN21" s="1231"/>
      <c r="AP21" s="235"/>
      <c r="AQ21" s="235"/>
      <c r="AR21" s="235"/>
      <c r="AS21" s="235"/>
    </row>
    <row r="22" spans="6:58" ht="15.95" customHeight="1">
      <c r="F22" s="1210" t="str">
        <f>IF(M02S03F01="","Missing Site Name",M02S03F01)</f>
        <v>Missing Site Name</v>
      </c>
      <c r="G22" s="755"/>
      <c r="H22" s="755"/>
      <c r="I22" s="755"/>
      <c r="J22" s="755"/>
      <c r="K22" s="755"/>
      <c r="L22" s="755"/>
      <c r="M22" s="755"/>
      <c r="N22" s="755"/>
      <c r="O22" s="755"/>
      <c r="P22" s="755" t="str">
        <f>IF(OR(M02S03F06="",M02S03F07="",M02S03F08="",M02S03F09="",M02S03F10=""),"Missing Contact Info",M02S03F06&amp;" "&amp;M02S03F07)</f>
        <v>Missing Contact Info</v>
      </c>
      <c r="Q22" s="755"/>
      <c r="R22" s="755"/>
      <c r="S22" s="755"/>
      <c r="T22" s="755"/>
      <c r="U22" s="755"/>
      <c r="V22" s="755"/>
      <c r="W22" s="755"/>
      <c r="X22" s="755"/>
      <c r="Y22" s="1209"/>
      <c r="Z22" s="36"/>
      <c r="AA22" s="1199" t="str">
        <f>M3S8</f>
        <v>Motors and Drives</v>
      </c>
      <c r="AB22" s="1200"/>
      <c r="AC22" s="1200"/>
      <c r="AD22" s="1200"/>
      <c r="AE22" s="1200"/>
      <c r="AF22" s="1200"/>
      <c r="AG22" s="1200"/>
      <c r="AH22" s="1219">
        <f>COUNT('M03-S08'!$AK$18:$AM$199)</f>
        <v>0</v>
      </c>
      <c r="AI22" s="1219">
        <f>COUNT(#REF!)</f>
        <v>0</v>
      </c>
      <c r="AJ22" s="1219">
        <f>COUNT(#REF!)</f>
        <v>0</v>
      </c>
      <c r="AK22" s="1230">
        <f>SUM('M03-S08'!AN18:AQ199)</f>
        <v>0</v>
      </c>
      <c r="AL22" s="1230"/>
      <c r="AM22" s="1230"/>
      <c r="AN22" s="1231"/>
      <c r="AP22" s="235"/>
      <c r="AQ22" s="235"/>
      <c r="AR22" s="235"/>
      <c r="AS22" s="235"/>
    </row>
    <row r="23" spans="6:58" ht="15.95" customHeight="1">
      <c r="F23" s="1210" t="str">
        <f>IF(OR(M02S03F02="",M02S03F03="",M02S03F04="",M02S03F05=""),"Missing Address Info",M02S03F02)</f>
        <v>Missing Address Info</v>
      </c>
      <c r="G23" s="755"/>
      <c r="H23" s="755"/>
      <c r="I23" s="755"/>
      <c r="J23" s="755"/>
      <c r="K23" s="755"/>
      <c r="L23" s="755"/>
      <c r="M23" s="755"/>
      <c r="N23" s="755"/>
      <c r="O23" s="755"/>
      <c r="P23" s="755" t="str">
        <f>IF(OR(M02S03F06="",M02S03F07="",M02S03F08="",M02S03F09="",M02S03F10=""),"",M02S03F08)</f>
        <v/>
      </c>
      <c r="Q23" s="755"/>
      <c r="R23" s="755"/>
      <c r="S23" s="755"/>
      <c r="T23" s="755"/>
      <c r="U23" s="1211" t="str">
        <f>IF(OR(M02S03F06="",M02S03F07="",M02S03F08="",M02S03F09="",M02S03F10=""),"",M02S03F09)</f>
        <v/>
      </c>
      <c r="V23" s="1211"/>
      <c r="W23" s="1211"/>
      <c r="X23" s="1211"/>
      <c r="Y23" s="1215"/>
      <c r="Z23" s="36"/>
      <c r="AA23" s="1199" t="str">
        <f>M3S6</f>
        <v>Compressed Air / Process</v>
      </c>
      <c r="AB23" s="1200"/>
      <c r="AC23" s="1200"/>
      <c r="AD23" s="1200"/>
      <c r="AE23" s="1200"/>
      <c r="AF23" s="1200"/>
      <c r="AG23" s="1200"/>
      <c r="AH23" s="1219">
        <f>COUNT('M03-S06'!$AK$18:$AM$199)</f>
        <v>0</v>
      </c>
      <c r="AI23" s="1219">
        <f>COUNT('M03-S06'!$AK$18:$AM$199)</f>
        <v>0</v>
      </c>
      <c r="AJ23" s="1219">
        <f>COUNT('M03-S06'!$AK$18:$AM$199)</f>
        <v>0</v>
      </c>
      <c r="AK23" s="1230">
        <f>SUM('M03-S06'!AN18:AQ199)</f>
        <v>0</v>
      </c>
      <c r="AL23" s="1230"/>
      <c r="AM23" s="1230"/>
      <c r="AN23" s="1231"/>
      <c r="AP23" s="235"/>
      <c r="AQ23" s="235"/>
      <c r="AR23" s="235"/>
      <c r="AS23" s="235"/>
    </row>
    <row r="24" spans="6:58" ht="15.95" customHeight="1">
      <c r="F24" s="1210" t="str">
        <f>IF(OR(M02S03F02="",M02S03F03="",M02S03F04="",M02S03F05=""),"",M02S03F03)</f>
        <v/>
      </c>
      <c r="G24" s="755"/>
      <c r="H24" s="755"/>
      <c r="I24" s="755"/>
      <c r="J24" s="755"/>
      <c r="K24" s="755" t="str">
        <f>IF(OR(M02S03F02="",M02S03F03="",M02S03F04="",M02S03F05=""),"",M02S03F04)</f>
        <v/>
      </c>
      <c r="L24" s="755"/>
      <c r="M24" s="755" t="str">
        <f>IF(OR(M02S03F02="",M02S03F03="",M02S03F04="",M02S03F05=""),"",M02S03F05)</f>
        <v/>
      </c>
      <c r="N24" s="755"/>
      <c r="O24" s="755"/>
      <c r="P24" s="755" t="str">
        <f>IF(OR(M02S03F06="",M02S03F07="",M02S03F08="",M02S03F09="",M02S03F10=""),"",M02S03F10)</f>
        <v/>
      </c>
      <c r="Q24" s="755"/>
      <c r="R24" s="755"/>
      <c r="S24" s="755"/>
      <c r="T24" s="755"/>
      <c r="U24" s="755"/>
      <c r="V24" s="755"/>
      <c r="W24" s="755"/>
      <c r="X24" s="755"/>
      <c r="Y24" s="1209"/>
      <c r="Z24" s="36"/>
      <c r="AA24" s="1199" t="str">
        <f>M3S7</f>
        <v>Water Heating / Food Services</v>
      </c>
      <c r="AB24" s="1200"/>
      <c r="AC24" s="1200"/>
      <c r="AD24" s="1200"/>
      <c r="AE24" s="1200"/>
      <c r="AF24" s="1200"/>
      <c r="AG24" s="1200"/>
      <c r="AH24" s="1219">
        <f>COUNT('M03-S07'!$AK$18:$AM$199)</f>
        <v>0</v>
      </c>
      <c r="AI24" s="1219">
        <f>COUNT('M03-S07'!$AK$18:$AM$199)</f>
        <v>0</v>
      </c>
      <c r="AJ24" s="1219">
        <f>COUNT('M03-S07'!$AK$18:$AM$199)</f>
        <v>0</v>
      </c>
      <c r="AK24" s="1238">
        <f>SUM('M03-S07'!AN18:AQ199)</f>
        <v>0</v>
      </c>
      <c r="AL24" s="1238"/>
      <c r="AM24" s="1238"/>
      <c r="AN24" s="1239"/>
      <c r="AP24" s="235"/>
      <c r="AQ24" s="235"/>
      <c r="AR24" s="235"/>
      <c r="AS24" s="235"/>
    </row>
    <row r="25" spans="6:58" ht="15.95" customHeight="1">
      <c r="F25" s="1213" t="str">
        <f>M2S4</f>
        <v>Building Information</v>
      </c>
      <c r="G25" s="1214"/>
      <c r="H25" s="1214"/>
      <c r="I25" s="1214"/>
      <c r="J25" s="1214"/>
      <c r="K25" s="1214"/>
      <c r="L25" s="1214"/>
      <c r="M25" s="1214"/>
      <c r="N25" s="1214"/>
      <c r="O25" s="1214"/>
      <c r="P25" s="1212" t="str">
        <f ca="1">IF(COMPBUILD&lt;&gt;1,"Incomplete","")</f>
        <v>Incomplete</v>
      </c>
      <c r="Q25" s="1212"/>
      <c r="R25" s="1212"/>
      <c r="S25" s="1212"/>
      <c r="T25" s="1212"/>
      <c r="U25" s="1212"/>
      <c r="V25" s="1212"/>
      <c r="W25" s="1216" t="s">
        <v>1297</v>
      </c>
      <c r="X25" s="1216"/>
      <c r="Y25" s="1217"/>
      <c r="Z25" s="36"/>
      <c r="AA25" s="1197" t="s">
        <v>1280</v>
      </c>
      <c r="AB25" s="1198"/>
      <c r="AC25" s="1198"/>
      <c r="AD25" s="1198"/>
      <c r="AE25" s="1198"/>
      <c r="AF25" s="1198"/>
      <c r="AG25" s="1198"/>
      <c r="AH25" s="1208" t="s">
        <v>1717</v>
      </c>
      <c r="AI25" s="1208"/>
      <c r="AJ25" s="1208"/>
      <c r="AK25" s="1246" t="s">
        <v>1986</v>
      </c>
      <c r="AL25" s="1246"/>
      <c r="AM25" s="1246"/>
      <c r="AN25" s="1247"/>
      <c r="AP25" s="235"/>
      <c r="AQ25" s="235"/>
      <c r="AR25" s="235"/>
      <c r="AS25" s="235"/>
    </row>
    <row r="26" spans="6:58" ht="15.95" customHeight="1">
      <c r="F26" s="1210" t="str">
        <f>IF(M02S04F07="","Missing Site Name",M02S04F07)</f>
        <v>Missing Site Name</v>
      </c>
      <c r="G26" s="755"/>
      <c r="H26" s="755"/>
      <c r="I26" s="755"/>
      <c r="J26" s="755"/>
      <c r="K26" s="755"/>
      <c r="L26" s="755"/>
      <c r="M26" s="755"/>
      <c r="N26" s="755"/>
      <c r="O26" s="755"/>
      <c r="P26" s="755" t="str">
        <f>IF(OR(M02S04F12="",M02S04F13="",M02S04F14="",M02S04F15="",M02S04F16=""),"Missing Contact Info",M02S04F12&amp;" "&amp;M02S04F13)</f>
        <v>Missing Contact Info</v>
      </c>
      <c r="Q26" s="755"/>
      <c r="R26" s="755"/>
      <c r="S26" s="755"/>
      <c r="T26" s="755"/>
      <c r="U26" s="755"/>
      <c r="V26" s="755"/>
      <c r="W26" s="755"/>
      <c r="X26" s="755"/>
      <c r="Y26" s="1209"/>
      <c r="Z26" s="36"/>
      <c r="AA26" s="1199" t="str">
        <f>M4S2</f>
        <v>Lighting</v>
      </c>
      <c r="AB26" s="1200"/>
      <c r="AC26" s="1200"/>
      <c r="AD26" s="1200"/>
      <c r="AE26" s="1200"/>
      <c r="AF26" s="1200"/>
      <c r="AG26" s="1200"/>
      <c r="AH26" s="1218">
        <f>COUNT('M04-S02'!$AK$18:$AM$199)</f>
        <v>0</v>
      </c>
      <c r="AI26" s="1218">
        <f>COUNT('M04-S02'!$AK$18:$AM$199)</f>
        <v>0</v>
      </c>
      <c r="AJ26" s="1218">
        <f>COUNT('M04-S02'!$AK$18:$AM$199)</f>
        <v>0</v>
      </c>
      <c r="AK26" s="1230">
        <f>SUM('M04-S02'!AN18:AQ184)</f>
        <v>0</v>
      </c>
      <c r="AL26" s="1230"/>
      <c r="AM26" s="1230"/>
      <c r="AN26" s="1231"/>
      <c r="AP26" s="235"/>
      <c r="AQ26" s="235"/>
      <c r="AR26" s="235"/>
      <c r="AS26" s="235"/>
    </row>
    <row r="27" spans="6:58" ht="15.95" customHeight="1">
      <c r="F27" s="1210" t="str">
        <f>IF(OR(M02S04F08="",M02S04F09="",M02S04F10="",M02S04F11=""),"Missing Address Info",M02S04F08)</f>
        <v>Missing Address Info</v>
      </c>
      <c r="G27" s="755"/>
      <c r="H27" s="755"/>
      <c r="I27" s="755"/>
      <c r="J27" s="755"/>
      <c r="K27" s="755"/>
      <c r="L27" s="755"/>
      <c r="M27" s="755"/>
      <c r="N27" s="755"/>
      <c r="O27" s="755"/>
      <c r="P27" s="755" t="str">
        <f>IF(OR(M02S04F12="",M02S04F13="",M02S04F14="",M02S04F15="",M02S04F16=""),"",M02S04F14)</f>
        <v/>
      </c>
      <c r="Q27" s="755"/>
      <c r="R27" s="755"/>
      <c r="S27" s="755"/>
      <c r="T27" s="755"/>
      <c r="U27" s="1211" t="str">
        <f>IF(OR(M02S04F12="",M02S04F13="",M02S04F14="",M02S04F15="",M02S04F16=""),"",M02S04F15)</f>
        <v/>
      </c>
      <c r="V27" s="1211"/>
      <c r="W27" s="1211"/>
      <c r="X27" s="1211"/>
      <c r="Y27" s="1215"/>
      <c r="Z27" s="36"/>
      <c r="AA27" s="1199" t="str">
        <f>M4S3</f>
        <v>Lighting Controls</v>
      </c>
      <c r="AB27" s="1200"/>
      <c r="AC27" s="1200"/>
      <c r="AD27" s="1200"/>
      <c r="AE27" s="1200"/>
      <c r="AF27" s="1200"/>
      <c r="AG27" s="1200"/>
      <c r="AH27" s="1218">
        <f>COUNT('M04-S03'!$AK$18:$AM$199)</f>
        <v>0</v>
      </c>
      <c r="AI27" s="1218">
        <f>COUNT('M04-S03'!$AK$18:$AM$199)</f>
        <v>0</v>
      </c>
      <c r="AJ27" s="1218">
        <f>COUNT('M04-S03'!$AK$18:$AM$199)</f>
        <v>0</v>
      </c>
      <c r="AK27" s="1230">
        <f>SUM('M04-S03'!AN18:AQ184)</f>
        <v>0</v>
      </c>
      <c r="AL27" s="1230"/>
      <c r="AM27" s="1230"/>
      <c r="AN27" s="1231"/>
      <c r="AP27" s="235"/>
      <c r="AQ27" s="235"/>
      <c r="AR27" s="235"/>
      <c r="AS27" s="235"/>
    </row>
    <row r="28" spans="6:58" ht="15.95" customHeight="1">
      <c r="F28" s="1210" t="str">
        <f>IF(OR(M02S04F08="",M02S04F09="",M02S04F10="",M02S04F11=""),"",M02S04F09)</f>
        <v/>
      </c>
      <c r="G28" s="755"/>
      <c r="H28" s="755"/>
      <c r="I28" s="755"/>
      <c r="J28" s="755"/>
      <c r="K28" s="755" t="str">
        <f>IF(OR(M02S04F08="",M02S04F09="",M02S04F10="",M02S04F11=""),"",M02S04F10)</f>
        <v/>
      </c>
      <c r="L28" s="755"/>
      <c r="M28" s="755" t="str">
        <f>IF(OR(M02S04F08="",M02S04F09="",M02S04F10="",M02S04F11=""),"",M02S04F11)</f>
        <v/>
      </c>
      <c r="N28" s="755"/>
      <c r="O28" s="755"/>
      <c r="P28" s="755" t="str">
        <f>IF(OR(M02S04F12="",M02S04F13="",M02S04F14="",M02S04F15="",M02S04F16=""),"",M02S04F16)</f>
        <v/>
      </c>
      <c r="Q28" s="755"/>
      <c r="R28" s="755"/>
      <c r="S28" s="755"/>
      <c r="T28" s="755"/>
      <c r="U28" s="755"/>
      <c r="V28" s="755"/>
      <c r="W28" s="755"/>
      <c r="X28" s="755"/>
      <c r="Y28" s="1209"/>
      <c r="Z28" s="36"/>
      <c r="AA28" s="1199" t="str">
        <f>M4S4</f>
        <v>Refrigeration</v>
      </c>
      <c r="AB28" s="1200"/>
      <c r="AC28" s="1200"/>
      <c r="AD28" s="1200"/>
      <c r="AE28" s="1200"/>
      <c r="AF28" s="1200"/>
      <c r="AG28" s="1200"/>
      <c r="AH28" s="1218">
        <f>COUNT('M04-S04'!$AK$18:$AM$199)</f>
        <v>0</v>
      </c>
      <c r="AI28" s="1218">
        <f>COUNT('M04-S04'!$AK$18:$AM$199)</f>
        <v>0</v>
      </c>
      <c r="AJ28" s="1218">
        <f>COUNT('M04-S04'!$AK$18:$AM$199)</f>
        <v>0</v>
      </c>
      <c r="AK28" s="1230">
        <f>SUM('M04-S04'!AN18:AQ184)</f>
        <v>0</v>
      </c>
      <c r="AL28" s="1230"/>
      <c r="AM28" s="1230"/>
      <c r="AN28" s="1231"/>
      <c r="AP28" s="235"/>
      <c r="AQ28" s="235"/>
      <c r="AR28" s="235"/>
      <c r="AS28" s="235"/>
    </row>
    <row r="29" spans="6:58" ht="15.95" customHeight="1">
      <c r="F29" s="167"/>
      <c r="G29" s="13"/>
      <c r="H29" s="13"/>
      <c r="I29" s="13"/>
      <c r="J29" s="13"/>
      <c r="K29" s="13"/>
      <c r="L29" s="13"/>
      <c r="M29" s="13"/>
      <c r="N29" s="13"/>
      <c r="O29" s="13"/>
      <c r="P29" s="13"/>
      <c r="Q29" s="13"/>
      <c r="R29" s="13"/>
      <c r="S29" s="13"/>
      <c r="T29" s="13"/>
      <c r="U29" s="13"/>
      <c r="V29" s="13"/>
      <c r="W29" s="13"/>
      <c r="X29" s="13"/>
      <c r="Y29" s="166"/>
      <c r="Z29" s="36"/>
      <c r="AA29" s="1199" t="str">
        <f>M4S5</f>
        <v>HVAC</v>
      </c>
      <c r="AB29" s="1200"/>
      <c r="AC29" s="1200"/>
      <c r="AD29" s="1200"/>
      <c r="AE29" s="1200"/>
      <c r="AF29" s="1200"/>
      <c r="AG29" s="1200"/>
      <c r="AH29" s="1218">
        <f>COUNT('M04-S05'!$AK$18:$AM$199)</f>
        <v>0</v>
      </c>
      <c r="AI29" s="1218">
        <f>COUNT('M04-S05'!$AK$18:$AM$199)</f>
        <v>0</v>
      </c>
      <c r="AJ29" s="1218">
        <f>COUNT('M04-S05'!$AK$18:$AM$199)</f>
        <v>0</v>
      </c>
      <c r="AK29" s="1230">
        <f>SUM('M04-S05'!AN18:AQ184)</f>
        <v>0</v>
      </c>
      <c r="AL29" s="1230"/>
      <c r="AM29" s="1230"/>
      <c r="AN29" s="1231"/>
      <c r="AP29" s="235"/>
      <c r="AQ29" s="235"/>
      <c r="AR29" s="235"/>
      <c r="AS29" s="235"/>
    </row>
    <row r="30" spans="6:58" ht="15.95" customHeight="1">
      <c r="F30" s="163" t="str">
        <f>IF(OR(M02S04F18="",M02S04F19="",M02S04F20="",M02S04F21="",M02S04F22="",M02S04F23="",M02S04F24="",M02S04F25=""),"Missing Additional Info","Project ID: "&amp;M02S04F18)</f>
        <v>Missing Additional Info</v>
      </c>
      <c r="G30" s="164"/>
      <c r="H30" s="164"/>
      <c r="I30" s="164"/>
      <c r="J30" s="164"/>
      <c r="K30" s="164"/>
      <c r="L30" s="164"/>
      <c r="M30" s="13"/>
      <c r="N30" s="164"/>
      <c r="O30" s="164"/>
      <c r="P30" s="164" t="str">
        <f>IF(OR(M02S04F18="",M02S04F19="",M02S04F20="",M02S04F21="",M02S04F22="",M02S04F23="",M02S04F24="",M02S04F25=""),"","Space Conditioning: "&amp;M02S04F22)</f>
        <v/>
      </c>
      <c r="Q30" s="164"/>
      <c r="R30" s="164"/>
      <c r="S30" s="164"/>
      <c r="T30" s="164"/>
      <c r="U30" s="164"/>
      <c r="V30" s="164"/>
      <c r="W30" s="164"/>
      <c r="X30" s="164"/>
      <c r="Y30" s="165"/>
      <c r="Z30" s="36"/>
      <c r="AA30" s="1199" t="str">
        <f>M4S8</f>
        <v>Motors and Drives</v>
      </c>
      <c r="AB30" s="1200"/>
      <c r="AC30" s="1200"/>
      <c r="AD30" s="1200"/>
      <c r="AE30" s="1200"/>
      <c r="AF30" s="1200"/>
      <c r="AG30" s="1200"/>
      <c r="AH30" s="1218">
        <f>COUNT('M04-S08'!$AK$18:$AM$199)</f>
        <v>0</v>
      </c>
      <c r="AI30" s="1218">
        <f>COUNT('M04-S08'!$AK$18:$AM$199)</f>
        <v>0</v>
      </c>
      <c r="AJ30" s="1218">
        <f>COUNT('M04-S08'!$AK$18:$AM$199)</f>
        <v>0</v>
      </c>
      <c r="AK30" s="1230">
        <f>SUM('M04-S08'!AN18:AQ184)</f>
        <v>0</v>
      </c>
      <c r="AL30" s="1230"/>
      <c r="AM30" s="1230"/>
      <c r="AN30" s="1231"/>
      <c r="AP30" s="235"/>
      <c r="AQ30" s="235"/>
      <c r="AR30" s="235"/>
      <c r="AS30" s="235"/>
    </row>
    <row r="31" spans="6:58" ht="15.95" customHeight="1">
      <c r="F31" s="163" t="str">
        <f>IF(OR(M02S04F18="",M02S04F19="",M02S04F20="",M02S04F21="",M02S04F22="",M02S04F23="",M02S04F24="",M02S04F25=""),"","Building Type: "&amp;M02S04F19)</f>
        <v/>
      </c>
      <c r="G31" s="164"/>
      <c r="H31" s="164"/>
      <c r="I31" s="164"/>
      <c r="J31" s="164"/>
      <c r="K31" s="164"/>
      <c r="L31" s="164"/>
      <c r="M31" s="13"/>
      <c r="N31" s="164"/>
      <c r="O31" s="164"/>
      <c r="P31" s="164" t="str">
        <f>IF(OR(M02S04F18="",M02S04F19="",M02S04F20="",M02S04F21="",M02S04F22="",M02S04F23="",M02S04F24="",M02S04F25=""),"","Project Description: Complete")</f>
        <v/>
      </c>
      <c r="Q31" s="164"/>
      <c r="R31" s="164"/>
      <c r="S31" s="164"/>
      <c r="T31" s="164"/>
      <c r="U31" s="164"/>
      <c r="V31" s="164"/>
      <c r="W31" s="164"/>
      <c r="X31" s="164"/>
      <c r="Y31" s="165"/>
      <c r="Z31" s="36"/>
      <c r="AA31" s="1199" t="str">
        <f>M4S6</f>
        <v>Compressed Air / Process</v>
      </c>
      <c r="AB31" s="1200"/>
      <c r="AC31" s="1200"/>
      <c r="AD31" s="1200"/>
      <c r="AE31" s="1200"/>
      <c r="AF31" s="1200"/>
      <c r="AG31" s="1200"/>
      <c r="AH31" s="1218">
        <f>COUNT('M04-S06'!$AK$18:$AM$199)</f>
        <v>0</v>
      </c>
      <c r="AI31" s="1218">
        <f>COUNT('M04-S06'!$AK$18:$AM$199)</f>
        <v>0</v>
      </c>
      <c r="AJ31" s="1218">
        <f>COUNT('M04-S06'!$AK$18:$AM$199)</f>
        <v>0</v>
      </c>
      <c r="AK31" s="1230">
        <f>SUM('M04-S06'!AN18:AQ184)</f>
        <v>0</v>
      </c>
      <c r="AL31" s="1230"/>
      <c r="AM31" s="1230"/>
      <c r="AN31" s="1231"/>
      <c r="AP31" s="235"/>
      <c r="AQ31" s="235"/>
      <c r="AR31" s="235"/>
      <c r="AS31" s="235"/>
    </row>
    <row r="32" spans="6:58" ht="15.95" customHeight="1">
      <c r="F32" s="1210" t="str">
        <f>IF(OR(M02S04F18="",M02S04F19="",M02S04F20="",M02S04F21="",M02S04F22="",M02S04F23="",M02S04F24="",M02S04F25=""),"","Op Hours: "&amp;M02S04F20)</f>
        <v/>
      </c>
      <c r="G32" s="755"/>
      <c r="H32" s="755"/>
      <c r="I32" s="755"/>
      <c r="J32" s="755"/>
      <c r="K32" s="164"/>
      <c r="L32" s="164"/>
      <c r="M32" s="13"/>
      <c r="N32" s="164"/>
      <c r="O32" s="164"/>
      <c r="P32" s="164" t="str">
        <f>IF(OR(M02S04F18="",M02S04F19="",M02S04F20="",M02S04F21="",M02S04F22="",M02S04F23="",M02S04F24="",M02S04F25=""),"","Evergy Contact: "&amp;M02S04F24)</f>
        <v/>
      </c>
      <c r="Q32" s="164"/>
      <c r="R32" s="164"/>
      <c r="S32" s="164"/>
      <c r="T32" s="164"/>
      <c r="U32" s="164"/>
      <c r="V32" s="164"/>
      <c r="W32" s="164"/>
      <c r="X32" s="164"/>
      <c r="Y32" s="165"/>
      <c r="Z32" s="36"/>
      <c r="AA32" s="1199" t="str">
        <f>M4S7</f>
        <v>Water Heating / Food Services</v>
      </c>
      <c r="AB32" s="1200"/>
      <c r="AC32" s="1200"/>
      <c r="AD32" s="1200"/>
      <c r="AE32" s="1200"/>
      <c r="AF32" s="1200"/>
      <c r="AG32" s="1200"/>
      <c r="AH32" s="1218">
        <f>COUNT('M04-S07'!$AK$18:$AM$199)</f>
        <v>0</v>
      </c>
      <c r="AI32" s="1218">
        <f>COUNT('M04-S07'!$AK$18:$AM$199)</f>
        <v>0</v>
      </c>
      <c r="AJ32" s="1218">
        <f>COUNT('M04-S07'!$AK$18:$AM$199)</f>
        <v>0</v>
      </c>
      <c r="AK32" s="1230">
        <f>SUM('M04-S07'!AN18:AQ184)</f>
        <v>0</v>
      </c>
      <c r="AL32" s="1230"/>
      <c r="AM32" s="1230"/>
      <c r="AN32" s="1231"/>
      <c r="AP32" s="235"/>
      <c r="AQ32" s="235"/>
      <c r="AR32" s="235"/>
      <c r="AS32" s="235"/>
    </row>
    <row r="33" spans="6:45" ht="15.95" customHeight="1">
      <c r="F33" s="198" t="str">
        <f>IF(OR(M02S04F18="",M02S04F19="",M02S04F20="",M02S04F21="",M02S04F22="",M02S04F23="",M02S04F24="",M02S04F25=""),"","Sq Ft: "&amp;M02S04F21)</f>
        <v/>
      </c>
      <c r="G33" s="199"/>
      <c r="H33" s="199"/>
      <c r="I33" s="199"/>
      <c r="J33" s="164"/>
      <c r="K33" s="164"/>
      <c r="L33" s="164"/>
      <c r="M33" s="13"/>
      <c r="N33" s="164"/>
      <c r="O33" s="164"/>
      <c r="P33" s="164" t="str">
        <f>IF(OR(M02S04F18="",M02S04F19="",M02S04F20="",M02S04F21="",M02S04F22="",M02S04F23="",M02S04F24="",M02S04F25=""),"","How did you hear?: "&amp;M02S04F25)</f>
        <v/>
      </c>
      <c r="Q33" s="164"/>
      <c r="R33" s="164"/>
      <c r="S33" s="164"/>
      <c r="T33" s="164"/>
      <c r="U33" s="164"/>
      <c r="V33" s="164"/>
      <c r="W33" s="164"/>
      <c r="X33" s="164"/>
      <c r="Y33" s="165"/>
      <c r="Z33" s="36"/>
      <c r="AA33" s="1199" t="str">
        <f>M4S9</f>
        <v>Miscellaneous</v>
      </c>
      <c r="AB33" s="1200"/>
      <c r="AC33" s="1200"/>
      <c r="AD33" s="1200"/>
      <c r="AE33" s="1200"/>
      <c r="AF33" s="1200"/>
      <c r="AG33" s="1200"/>
      <c r="AH33" s="1219">
        <f>COUNT('M04-S09'!$AK$18:$AM$199)</f>
        <v>0</v>
      </c>
      <c r="AI33" s="1219">
        <f>COUNT('M04-S09'!$AK$18:$AM$199)</f>
        <v>0</v>
      </c>
      <c r="AJ33" s="1219">
        <f>COUNT('M04-S09'!$AK$18:$AM$199)</f>
        <v>0</v>
      </c>
      <c r="AK33" s="1238">
        <f>SUM('M04-S09'!AN18:AQ184)</f>
        <v>0</v>
      </c>
      <c r="AL33" s="1238"/>
      <c r="AM33" s="1238"/>
      <c r="AN33" s="1239"/>
      <c r="AP33" s="235"/>
      <c r="AQ33" s="235"/>
      <c r="AR33" s="235"/>
      <c r="AS33" s="235"/>
    </row>
    <row r="34" spans="6:45" ht="15.95" customHeight="1">
      <c r="F34" s="1213" t="str">
        <f>M5S1</f>
        <v>Payment</v>
      </c>
      <c r="G34" s="1214"/>
      <c r="H34" s="1214"/>
      <c r="I34" s="1214"/>
      <c r="J34" s="1214"/>
      <c r="K34" s="1214"/>
      <c r="L34" s="1214"/>
      <c r="M34" s="1214"/>
      <c r="N34" s="1214"/>
      <c r="O34" s="1214"/>
      <c r="P34" s="1212" t="str">
        <f ca="1">IF(COMPPAY&lt;&gt;1,"Incomplete","")</f>
        <v>Incomplete</v>
      </c>
      <c r="Q34" s="1212"/>
      <c r="R34" s="1212"/>
      <c r="S34" s="1212"/>
      <c r="T34" s="1212"/>
      <c r="U34" s="1212"/>
      <c r="V34" s="1212"/>
      <c r="W34" s="1216" t="s">
        <v>1297</v>
      </c>
      <c r="X34" s="1216"/>
      <c r="Y34" s="1217"/>
      <c r="Z34" s="36"/>
      <c r="AA34" s="1220" t="s">
        <v>2049</v>
      </c>
      <c r="AB34" s="1221"/>
      <c r="AC34" s="1221"/>
      <c r="AD34" s="1221"/>
      <c r="AE34" s="1221"/>
      <c r="AF34" s="1221"/>
      <c r="AG34" s="1221"/>
      <c r="AH34" s="1221"/>
      <c r="AI34" s="1221"/>
      <c r="AJ34" s="1221"/>
      <c r="AK34" s="1240">
        <f>SUM(AN18:AN24,AN26:AN33)</f>
        <v>0</v>
      </c>
      <c r="AL34" s="1240"/>
      <c r="AM34" s="1240"/>
      <c r="AN34" s="1241"/>
      <c r="AP34" s="235"/>
      <c r="AQ34" s="235"/>
      <c r="AR34" s="235"/>
      <c r="AS34" s="235"/>
    </row>
    <row r="35" spans="6:45" ht="15.95" customHeight="1">
      <c r="F35" s="1210" t="str">
        <f>IF(OR(M05S01F02=0,M05S01F02=""),"Missing Company Name",M05S01F02)</f>
        <v>Missing Company Name</v>
      </c>
      <c r="G35" s="755"/>
      <c r="H35" s="755"/>
      <c r="I35" s="755"/>
      <c r="J35" s="755"/>
      <c r="K35" s="755"/>
      <c r="L35" s="755"/>
      <c r="M35" s="755"/>
      <c r="N35" s="755"/>
      <c r="O35" s="755"/>
      <c r="P35" s="755" t="str">
        <f>IF(OR(M05S01F07=0,M05S01F08=0,M05S01F09=0,M05S01F10=0,M05S01F07="",M05S01F08="",M05S01F09="",M05S01F10=""),"Missing Contact Info",M05S01F07&amp;" "&amp;M05S01F08)</f>
        <v>Missing Contact Info</v>
      </c>
      <c r="Q35" s="755"/>
      <c r="R35" s="755"/>
      <c r="S35" s="755"/>
      <c r="T35" s="755"/>
      <c r="U35" s="755"/>
      <c r="V35" s="755"/>
      <c r="W35" s="755"/>
      <c r="X35" s="755"/>
      <c r="Y35" s="1209"/>
      <c r="Z35" s="36"/>
      <c r="AA35" s="1235" t="str">
        <f>IF(AK34&gt;250000,"The total incentive total exceeds $250,000. This project may be subject to a reduced rate upon review.","")</f>
        <v/>
      </c>
      <c r="AB35" s="1235"/>
      <c r="AC35" s="1235"/>
      <c r="AD35" s="1235"/>
      <c r="AE35" s="1235"/>
      <c r="AF35" s="1235"/>
      <c r="AG35" s="1235"/>
      <c r="AH35" s="1235"/>
      <c r="AI35" s="1235"/>
      <c r="AJ35" s="1235"/>
      <c r="AK35" s="1235"/>
      <c r="AL35" s="1235"/>
      <c r="AM35" s="1235"/>
      <c r="AN35" s="1235"/>
      <c r="AP35" s="235"/>
      <c r="AQ35" s="235"/>
      <c r="AR35" s="235"/>
      <c r="AS35" s="235"/>
    </row>
    <row r="36" spans="6:45" ht="15.95" customHeight="1">
      <c r="F36" s="1210" t="str">
        <f>IF(OR(M05S01F03=0,M05S01F04=0,M05S01F05=0,M05S01F06=0,M05S01F03="",M05S01F04="",M05S01F05="",M05S01F06=""),"Missing Address Info",M05S01F03)</f>
        <v>Missing Address Info</v>
      </c>
      <c r="G36" s="755"/>
      <c r="H36" s="755"/>
      <c r="I36" s="755"/>
      <c r="J36" s="755"/>
      <c r="K36" s="755"/>
      <c r="L36" s="755"/>
      <c r="M36" s="755"/>
      <c r="N36" s="755"/>
      <c r="O36" s="755"/>
      <c r="P36" s="1211" t="str">
        <f>IF(OR(M05S01F07=0,M05S01F08=0,M05S01F09=0,M05S01F10=0,M05S01F07="",M05S01F08="",M05S01F09="",M05S01F10=""),"",M05S01F09)</f>
        <v/>
      </c>
      <c r="Q36" s="1211"/>
      <c r="R36" s="1211"/>
      <c r="S36" s="1211"/>
      <c r="T36" s="1211"/>
      <c r="U36" s="13"/>
      <c r="V36" s="13"/>
      <c r="W36" s="13"/>
      <c r="X36" s="13"/>
      <c r="Y36" s="166"/>
      <c r="AA36" s="1236"/>
      <c r="AB36" s="1236"/>
      <c r="AC36" s="1236"/>
      <c r="AD36" s="1236"/>
      <c r="AE36" s="1236"/>
      <c r="AF36" s="1236"/>
      <c r="AG36" s="1236"/>
      <c r="AH36" s="1236"/>
      <c r="AI36" s="1236"/>
      <c r="AJ36" s="1236"/>
      <c r="AK36" s="1236"/>
      <c r="AL36" s="1236"/>
      <c r="AM36" s="1236"/>
      <c r="AN36" s="1236"/>
      <c r="AO36" s="573"/>
      <c r="AP36" s="235"/>
      <c r="AQ36" s="235"/>
      <c r="AR36" s="235"/>
      <c r="AS36" s="235"/>
    </row>
    <row r="37" spans="6:45" ht="15.95" customHeight="1" thickBot="1">
      <c r="F37" s="1210" t="str">
        <f>IF(OR(M05S01F03=0,M05S01F04=0,M05S01F05=0,M05S01F06=0,M05S01F03="",M05S01F04="",M05S01F05="",M05S01F06=""),"",M05S01F04)</f>
        <v/>
      </c>
      <c r="G37" s="755"/>
      <c r="H37" s="755"/>
      <c r="I37" s="755"/>
      <c r="J37" s="755"/>
      <c r="K37" s="755" t="str">
        <f>IF(OR(M05S01F03=0,M05S01F04=0,M05S01F05=0,M05S01F06=0,M05S01F03="",M05S01F04="",M05S01F05="",M05S01F06=""),"",M05S01F05)</f>
        <v/>
      </c>
      <c r="L37" s="755"/>
      <c r="M37" s="755" t="str">
        <f>IF(OR(M05S01F03=0,M05S01F04=0,M05S01F05=0,M05S01F06=0,M05S01F03="",M05S01F04="",M05S01F05="",M05S01F06=""),"",M05S01F06)</f>
        <v/>
      </c>
      <c r="N37" s="755"/>
      <c r="O37" s="755"/>
      <c r="P37" s="755" t="str">
        <f>IF(OR(M05S01F07=0,M05S01F08=0,M05S01F09=0,M05S01F10=0,M05S01F07="",M05S01F08="",M05S01F09="",M05S01F10=""),"",M05S01F10)</f>
        <v/>
      </c>
      <c r="Q37" s="755"/>
      <c r="R37" s="755"/>
      <c r="S37" s="755"/>
      <c r="T37" s="755"/>
      <c r="U37" s="755"/>
      <c r="V37" s="755"/>
      <c r="W37" s="755"/>
      <c r="X37" s="755"/>
      <c r="Y37" s="1209"/>
      <c r="AA37" s="201"/>
      <c r="AB37" s="685" t="s">
        <v>1606</v>
      </c>
      <c r="AC37" s="686"/>
      <c r="AD37" s="686"/>
      <c r="AE37" s="686"/>
      <c r="AF37" s="686"/>
      <c r="AG37" s="201"/>
      <c r="AH37" s="687"/>
      <c r="AI37" s="688" t="s">
        <v>1607</v>
      </c>
      <c r="AJ37" s="689"/>
      <c r="AK37" s="689"/>
      <c r="AL37" s="689"/>
      <c r="AM37" s="689"/>
      <c r="AN37" s="201"/>
      <c r="AO37" s="573"/>
      <c r="AP37" s="235"/>
      <c r="AQ37" s="235"/>
      <c r="AR37" s="235"/>
      <c r="AS37" s="235"/>
    </row>
    <row r="38" spans="6:45" ht="15.95" customHeight="1" thickBot="1">
      <c r="F38" s="167"/>
      <c r="G38" s="164"/>
      <c r="H38" s="164"/>
      <c r="I38" s="164"/>
      <c r="J38" s="13"/>
      <c r="K38" s="13"/>
      <c r="L38" s="164"/>
      <c r="M38" s="164"/>
      <c r="N38" s="164"/>
      <c r="O38" s="164"/>
      <c r="P38" s="13"/>
      <c r="Q38" s="13"/>
      <c r="R38" s="164"/>
      <c r="S38" s="164"/>
      <c r="T38" s="164"/>
      <c r="U38" s="164"/>
      <c r="V38" s="164"/>
      <c r="W38" s="164"/>
      <c r="X38" s="164"/>
      <c r="Y38" s="165"/>
      <c r="AA38" s="201"/>
      <c r="AB38" s="1232"/>
      <c r="AC38" s="1233"/>
      <c r="AD38" s="1233"/>
      <c r="AE38" s="1233"/>
      <c r="AF38" s="1234"/>
      <c r="AG38" s="201"/>
      <c r="AH38" s="687"/>
      <c r="AI38" s="1232"/>
      <c r="AJ38" s="1233"/>
      <c r="AK38" s="1233"/>
      <c r="AL38" s="1233"/>
      <c r="AM38" s="1234"/>
      <c r="AN38" s="201"/>
    </row>
    <row r="39" spans="6:45" ht="15.95" customHeight="1">
      <c r="F39" s="163" t="s">
        <v>1295</v>
      </c>
      <c r="G39" s="164"/>
      <c r="H39" s="164"/>
      <c r="I39" s="164"/>
      <c r="J39" s="164"/>
      <c r="K39" s="164"/>
      <c r="L39" s="164"/>
      <c r="M39" s="164"/>
      <c r="N39" s="164"/>
      <c r="O39" s="164"/>
      <c r="P39" s="13"/>
      <c r="Q39" s="164"/>
      <c r="R39" s="164"/>
      <c r="S39" s="164"/>
      <c r="T39" s="164"/>
      <c r="U39" s="164"/>
      <c r="V39" s="164"/>
      <c r="W39" s="164"/>
      <c r="X39" s="164"/>
      <c r="Y39" s="165"/>
      <c r="Z39" s="36"/>
      <c r="AA39" s="687"/>
      <c r="AB39" s="1236" t="s">
        <v>2651</v>
      </c>
      <c r="AC39" s="1236"/>
      <c r="AD39" s="1236"/>
      <c r="AE39" s="1236"/>
      <c r="AF39" s="1236"/>
      <c r="AG39" s="1236"/>
      <c r="AH39" s="1236"/>
      <c r="AI39" s="1236"/>
      <c r="AJ39" s="1236"/>
      <c r="AK39" s="1236"/>
      <c r="AL39" s="1236"/>
      <c r="AM39" s="1236"/>
      <c r="AN39" s="690"/>
    </row>
    <row r="40" spans="6:45" ht="15.95" customHeight="1">
      <c r="F40" s="168" t="str">
        <f>IF(M05S01F11="","Missing Tax Entity","Tax Entity: "&amp;M05S01F11)</f>
        <v>Missing Tax Entity</v>
      </c>
      <c r="G40" s="169"/>
      <c r="H40" s="169"/>
      <c r="I40" s="169"/>
      <c r="J40" s="169"/>
      <c r="K40" s="169"/>
      <c r="L40" s="169"/>
      <c r="M40" s="169"/>
      <c r="N40" s="169" t="str">
        <f>IF(OR(M05S01F12="",M05S01F13=""),"Missing Tax ID","Tax ID: "&amp;M05S01F12&amp;"-"&amp;M05S01F13)</f>
        <v>Missing Tax ID</v>
      </c>
      <c r="O40" s="169"/>
      <c r="P40" s="468"/>
      <c r="Q40" s="169"/>
      <c r="R40" s="169"/>
      <c r="S40" s="169" t="str">
        <f>IF(AND(M05S01F01="Site (Bill Credit)",M05S01F14=""),"Missing Bill Credit Account",IF(AND(M05S01F01="Site (Bill Credit)",M05S01F14&lt;&gt;""),"Bill Credit Account: "&amp;M05S01F14,""))</f>
        <v/>
      </c>
      <c r="T40" s="169"/>
      <c r="U40" s="169"/>
      <c r="V40" s="169"/>
      <c r="W40" s="169"/>
      <c r="X40" s="169"/>
      <c r="Y40" s="170"/>
      <c r="Z40" s="36"/>
      <c r="AA40" s="201"/>
      <c r="AB40" s="1236"/>
      <c r="AC40" s="1236"/>
      <c r="AD40" s="1236"/>
      <c r="AE40" s="1236"/>
      <c r="AF40" s="1236"/>
      <c r="AG40" s="1236"/>
      <c r="AH40" s="1236"/>
      <c r="AI40" s="1236"/>
      <c r="AJ40" s="1236"/>
      <c r="AK40" s="1236"/>
      <c r="AL40" s="1236"/>
      <c r="AM40" s="1236"/>
      <c r="AN40" s="690"/>
      <c r="AR40" s="235"/>
      <c r="AS40" s="235"/>
    </row>
    <row r="41" spans="6:45" ht="15.95" customHeight="1">
      <c r="Z41" s="36"/>
      <c r="AR41" s="235"/>
      <c r="AS41" s="235"/>
    </row>
    <row r="42" spans="6:45" ht="15.95" hidden="1" customHeight="1">
      <c r="Z42" s="36"/>
      <c r="AP42" s="235"/>
      <c r="AQ42" s="235"/>
      <c r="AR42" s="235"/>
      <c r="AS42" s="235"/>
    </row>
    <row r="43" spans="6:45" ht="15.95" hidden="1" customHeight="1">
      <c r="Z43" s="36"/>
      <c r="AO43" s="574"/>
      <c r="AP43" s="235"/>
      <c r="AQ43" s="235"/>
      <c r="AR43" s="235"/>
      <c r="AS43" s="235"/>
    </row>
    <row r="44" spans="6:45" ht="15.95" hidden="1" customHeight="1">
      <c r="AQ44" s="235"/>
      <c r="AR44" s="235"/>
      <c r="AS44" s="235"/>
    </row>
    <row r="45" spans="6:45" ht="15.95" hidden="1" customHeight="1">
      <c r="AQ45" s="235"/>
      <c r="AR45" s="235"/>
      <c r="AS45" s="235"/>
    </row>
    <row r="46" spans="6:45" ht="15.95" hidden="1" customHeight="1">
      <c r="AQ46" s="235"/>
      <c r="AR46" s="235"/>
      <c r="AS46" s="235"/>
    </row>
    <row r="47" spans="6:45" ht="15.95" hidden="1" customHeight="1">
      <c r="AQ47" s="235"/>
      <c r="AR47" s="235"/>
      <c r="AS47" s="235"/>
    </row>
    <row r="48" spans="6:45" ht="15.95" hidden="1" customHeight="1">
      <c r="AQ48" s="235"/>
      <c r="AR48" s="235"/>
      <c r="AS48" s="235"/>
    </row>
    <row r="49" spans="26:45" ht="15.95" hidden="1" customHeight="1">
      <c r="AQ49" s="235"/>
      <c r="AR49" s="235"/>
      <c r="AS49" s="235"/>
    </row>
    <row r="50" spans="26:45" ht="15.95" hidden="1" customHeight="1">
      <c r="AO50" s="37"/>
      <c r="AP50" s="235"/>
      <c r="AQ50" s="235"/>
      <c r="AR50" s="235"/>
      <c r="AS50" s="235"/>
    </row>
    <row r="51" spans="26:45" ht="15.95" hidden="1" customHeight="1">
      <c r="AO51" s="37"/>
      <c r="AP51" s="235"/>
      <c r="AQ51" s="235"/>
      <c r="AR51" s="235"/>
      <c r="AS51" s="235"/>
    </row>
    <row r="52" spans="26:45" ht="15.95" hidden="1" customHeight="1">
      <c r="Z52" s="36"/>
      <c r="AO52" s="37"/>
      <c r="AP52" s="235"/>
      <c r="AQ52" s="235"/>
      <c r="AR52" s="235"/>
      <c r="AS52" s="235"/>
    </row>
    <row r="53" spans="26:45" ht="15.95" hidden="1" customHeight="1">
      <c r="Z53" s="36"/>
      <c r="AO53" s="37"/>
      <c r="AP53" s="235"/>
      <c r="AQ53" s="235"/>
      <c r="AR53" s="235"/>
      <c r="AS53" s="235"/>
    </row>
    <row r="54" spans="26:45" ht="15.95" hidden="1" customHeight="1">
      <c r="Z54" s="36"/>
      <c r="AO54" s="37"/>
      <c r="AP54" s="235"/>
      <c r="AQ54" s="235"/>
      <c r="AR54" s="235"/>
      <c r="AS54" s="235"/>
    </row>
    <row r="55" spans="26:45" ht="15.95" hidden="1" customHeight="1">
      <c r="Z55" s="36"/>
      <c r="AO55" s="37"/>
      <c r="AP55" s="235"/>
      <c r="AQ55" s="235"/>
      <c r="AR55" s="235"/>
      <c r="AS55" s="235"/>
    </row>
    <row r="56" spans="26:45" ht="15.95" hidden="1" customHeight="1">
      <c r="Z56" s="36"/>
      <c r="AO56" s="235"/>
      <c r="AP56" s="235"/>
      <c r="AQ56" s="235"/>
      <c r="AR56" s="235"/>
      <c r="AS56" s="235"/>
    </row>
    <row r="57" spans="26:45" ht="15.95" hidden="1" customHeight="1">
      <c r="Z57" s="36"/>
      <c r="AO57" s="235"/>
      <c r="AP57" s="235"/>
      <c r="AQ57" s="235"/>
      <c r="AR57" s="235"/>
      <c r="AS57" s="235"/>
    </row>
    <row r="58" spans="26:45" ht="15.95" hidden="1" customHeight="1">
      <c r="Z58" s="36"/>
      <c r="AO58" s="235"/>
      <c r="AP58" s="235"/>
      <c r="AQ58" s="235"/>
      <c r="AR58" s="235"/>
      <c r="AS58" s="235"/>
    </row>
    <row r="59" spans="26:45" ht="15.95" hidden="1" customHeight="1">
      <c r="AO59" s="235"/>
      <c r="AP59" s="235"/>
      <c r="AQ59" s="235"/>
      <c r="AR59" s="235"/>
      <c r="AS59" s="235"/>
    </row>
    <row r="60" spans="26:45" ht="15.95" hidden="1" customHeight="1">
      <c r="AO60" s="235"/>
      <c r="AP60" s="235"/>
      <c r="AQ60" s="235"/>
      <c r="AR60" s="235"/>
      <c r="AS60" s="235"/>
    </row>
    <row r="61" spans="26:45" ht="15.95" hidden="1" customHeight="1">
      <c r="AO61" s="235"/>
      <c r="AP61" s="235"/>
      <c r="AQ61" s="235"/>
      <c r="AR61" s="235"/>
      <c r="AS61" s="235"/>
    </row>
    <row r="62" spans="26:45" ht="15.95" hidden="1" customHeight="1">
      <c r="AO62" s="235"/>
      <c r="AP62" s="235"/>
      <c r="AQ62" s="235"/>
      <c r="AR62" s="235"/>
      <c r="AS62" s="235"/>
    </row>
    <row r="63" spans="26:45" ht="15.95" hidden="1" customHeight="1">
      <c r="AO63" s="235"/>
      <c r="AP63" s="235"/>
      <c r="AQ63" s="235"/>
      <c r="AR63" s="235"/>
      <c r="AS63" s="235"/>
    </row>
    <row r="64" spans="26:45" ht="15.95" hidden="1" customHeight="1">
      <c r="AO64" s="235"/>
      <c r="AP64" s="235"/>
      <c r="AQ64" s="235"/>
      <c r="AR64" s="235"/>
      <c r="AS64" s="235"/>
    </row>
    <row r="65" spans="41:45" ht="15.95" hidden="1" customHeight="1">
      <c r="AO65" s="235"/>
      <c r="AP65" s="235"/>
      <c r="AQ65" s="235"/>
      <c r="AR65" s="235"/>
      <c r="AS65" s="235"/>
    </row>
    <row r="66" spans="41:45" ht="15.95" hidden="1" customHeight="1"/>
    <row r="67" spans="41:45" ht="15.95" hidden="1" customHeight="1"/>
    <row r="68" spans="41:45" ht="15.95" hidden="1" customHeight="1"/>
    <row r="69" spans="41:45" ht="15.95" hidden="1" customHeight="1"/>
    <row r="70" spans="41:45" ht="15.95" hidden="1" customHeight="1"/>
    <row r="71" spans="41:45" ht="15.95" hidden="1" customHeight="1"/>
    <row r="72" spans="41:45" ht="15.95" hidden="1" customHeight="1"/>
    <row r="73" spans="41:45" ht="15.95" hidden="1" customHeight="1"/>
    <row r="74" spans="41:45" ht="15.95" hidden="1" customHeight="1"/>
    <row r="75" spans="41:45" ht="15.95" hidden="1" customHeight="1"/>
    <row r="76" spans="41:45" ht="15.95" hidden="1" customHeight="1"/>
    <row r="77" spans="41:45" ht="15.95" hidden="1" customHeight="1"/>
    <row r="78" spans="41:45" ht="15.95" hidden="1" customHeight="1"/>
    <row r="79" spans="41:45" ht="15.95" hidden="1" customHeight="1"/>
    <row r="80" spans="41:45"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t="0" hidden="1" customHeight="1"/>
    <row r="205" spans="1:45" ht="0" hidden="1" customHeight="1"/>
    <row r="206" spans="1:45" ht="0" hidden="1" customHeight="1"/>
    <row r="207" spans="1:45" ht="0" hidden="1" customHeight="1"/>
    <row r="208" spans="1:45" ht="0" hidden="1" customHeight="1"/>
    <row r="209" ht="0" hidden="1"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row r="219" ht="0" hidden="1" customHeight="1"/>
    <row r="220" ht="0" hidden="1" customHeight="1"/>
    <row r="221" ht="0" hidden="1" customHeight="1"/>
  </sheetData>
  <sheetProtection algorithmName="SHA-512" hashValue="OsRqnWcn9S9AQ2M1sRnyOKq4M9B71ZhJ7kAekRRsypgYepU+1GZeuXz/9/O0R2Ar0QOGZqRd3BwOlFYsnJqDmw==" saltValue="5sKEBF6dklgo1W3Z5+naag==" spinCount="100000" sheet="1" objects="1" scenarios="1" selectLockedCells="1"/>
  <mergeCells count="129">
    <mergeCell ref="AA35:AN36"/>
    <mergeCell ref="AB39:AM40"/>
    <mergeCell ref="P17:T17"/>
    <mergeCell ref="P19:T19"/>
    <mergeCell ref="U19:Y19"/>
    <mergeCell ref="P20:Y20"/>
    <mergeCell ref="F11:AK12"/>
    <mergeCell ref="AK27:AN27"/>
    <mergeCell ref="AK28:AN28"/>
    <mergeCell ref="AK29:AN29"/>
    <mergeCell ref="AK30:AN30"/>
    <mergeCell ref="AK31:AN31"/>
    <mergeCell ref="AK32:AN32"/>
    <mergeCell ref="AK33:AN33"/>
    <mergeCell ref="AK34:AN34"/>
    <mergeCell ref="AA16:AK16"/>
    <mergeCell ref="AK18:AN18"/>
    <mergeCell ref="AK19:AN19"/>
    <mergeCell ref="AK20:AN20"/>
    <mergeCell ref="AK21:AN21"/>
    <mergeCell ref="AK22:AN22"/>
    <mergeCell ref="AK23:AN23"/>
    <mergeCell ref="AK24:AN24"/>
    <mergeCell ref="AK25:AN25"/>
    <mergeCell ref="AK26:AN26"/>
    <mergeCell ref="M200:AG201"/>
    <mergeCell ref="AA22:AG22"/>
    <mergeCell ref="AH22:AJ22"/>
    <mergeCell ref="AA23:AG23"/>
    <mergeCell ref="AH23:AJ23"/>
    <mergeCell ref="AA24:AG24"/>
    <mergeCell ref="AH24:AJ24"/>
    <mergeCell ref="F27:O27"/>
    <mergeCell ref="P27:T27"/>
    <mergeCell ref="U27:Y27"/>
    <mergeCell ref="AB38:AF38"/>
    <mergeCell ref="AI38:AM38"/>
    <mergeCell ref="AA28:AG28"/>
    <mergeCell ref="AA29:AG29"/>
    <mergeCell ref="AA30:AG30"/>
    <mergeCell ref="AA31:AG31"/>
    <mergeCell ref="AA32:AG32"/>
    <mergeCell ref="AA33:AG33"/>
    <mergeCell ref="F37:J37"/>
    <mergeCell ref="K37:L37"/>
    <mergeCell ref="M37:O37"/>
    <mergeCell ref="P37:Y37"/>
    <mergeCell ref="F35:O35"/>
    <mergeCell ref="AA34:AJ34"/>
    <mergeCell ref="AH32:AJ32"/>
    <mergeCell ref="AH33:AJ33"/>
    <mergeCell ref="AH29:AJ29"/>
    <mergeCell ref="AH30:AJ30"/>
    <mergeCell ref="AH31:AJ31"/>
    <mergeCell ref="P14:V14"/>
    <mergeCell ref="F16:O16"/>
    <mergeCell ref="F14:O14"/>
    <mergeCell ref="P16:V16"/>
    <mergeCell ref="F17:O17"/>
    <mergeCell ref="M19:O19"/>
    <mergeCell ref="K19:L19"/>
    <mergeCell ref="F19:J19"/>
    <mergeCell ref="U17:Y17"/>
    <mergeCell ref="W16:Y16"/>
    <mergeCell ref="P18:Y18"/>
    <mergeCell ref="F18:O18"/>
    <mergeCell ref="W15:Y15"/>
    <mergeCell ref="F15:N15"/>
    <mergeCell ref="O15:V15"/>
    <mergeCell ref="AH19:AJ19"/>
    <mergeCell ref="AH20:AJ20"/>
    <mergeCell ref="AA20:AG20"/>
    <mergeCell ref="AH26:AJ26"/>
    <mergeCell ref="AH27:AJ27"/>
    <mergeCell ref="AH28:AJ28"/>
    <mergeCell ref="AA21:AG21"/>
    <mergeCell ref="AA19:AG19"/>
    <mergeCell ref="AH21:AJ21"/>
    <mergeCell ref="AH25:AJ25"/>
    <mergeCell ref="F28:J28"/>
    <mergeCell ref="W21:Y21"/>
    <mergeCell ref="W25:Y25"/>
    <mergeCell ref="K28:L28"/>
    <mergeCell ref="M28:O28"/>
    <mergeCell ref="P28:Y28"/>
    <mergeCell ref="F22:O22"/>
    <mergeCell ref="P21:V21"/>
    <mergeCell ref="F21:O21"/>
    <mergeCell ref="F23:O23"/>
    <mergeCell ref="P22:Y22"/>
    <mergeCell ref="AA25:AG25"/>
    <mergeCell ref="AA26:AG26"/>
    <mergeCell ref="AA27:AG27"/>
    <mergeCell ref="P35:Y35"/>
    <mergeCell ref="F36:O36"/>
    <mergeCell ref="P36:T36"/>
    <mergeCell ref="P34:V34"/>
    <mergeCell ref="F34:O34"/>
    <mergeCell ref="P23:T23"/>
    <mergeCell ref="U23:Y23"/>
    <mergeCell ref="F24:J24"/>
    <mergeCell ref="K24:L24"/>
    <mergeCell ref="M24:O24"/>
    <mergeCell ref="P24:Y24"/>
    <mergeCell ref="F26:O26"/>
    <mergeCell ref="P26:Y26"/>
    <mergeCell ref="P25:V25"/>
    <mergeCell ref="F25:O25"/>
    <mergeCell ref="W34:Y34"/>
    <mergeCell ref="F32:J32"/>
    <mergeCell ref="AH18:AJ18"/>
    <mergeCell ref="AA17:AG17"/>
    <mergeCell ref="AA18:AG18"/>
    <mergeCell ref="W14:Y14"/>
    <mergeCell ref="AK17:AN17"/>
    <mergeCell ref="AP1:AS3"/>
    <mergeCell ref="F1:I3"/>
    <mergeCell ref="J1:M3"/>
    <mergeCell ref="AH1:AK3"/>
    <mergeCell ref="AL1:AO3"/>
    <mergeCell ref="A9:AS10"/>
    <mergeCell ref="A4:E6"/>
    <mergeCell ref="A7:E8"/>
    <mergeCell ref="AO5:AS6"/>
    <mergeCell ref="AO7:AS7"/>
    <mergeCell ref="AO8:AS8"/>
    <mergeCell ref="O1:AE3"/>
    <mergeCell ref="AL16:AN16"/>
    <mergeCell ref="AH17:AJ17"/>
  </mergeCells>
  <conditionalFormatting sqref="F15:Y15 F22:Y24 F26:Y28 F30:L33 N30:Y33 F35:Y39 Q40:Y40 F40:O40 F17:P17 U17:Y18 F19:O19 F18:Y18">
    <cfRule type="expression" dxfId="41" priority="5">
      <formula>IF(ISNUMBER(SEARCH("Missing",F15)),TRUE,FALSE)</formula>
    </cfRule>
  </conditionalFormatting>
  <conditionalFormatting sqref="AO8:AS8">
    <cfRule type="expression" dxfId="40" priority="4">
      <formula>IF($AO$8=PROJSTATMEASURE,FALSE,TRUE)</formula>
    </cfRule>
  </conditionalFormatting>
  <conditionalFormatting sqref="AB39 AB37:AF38 AI37:AM38">
    <cfRule type="expression" dxfId="39" priority="2">
      <formula>IF(AND(INCENTOTALPRESE&gt;0,INCENTOTALPRESE&lt;=10000,INCENTOTALCUSE=0),FALSE,TRUE)</formula>
    </cfRule>
  </conditionalFormatting>
  <conditionalFormatting sqref="AB38:AF38 AI38:AM38">
    <cfRule type="expression" dxfId="38" priority="3">
      <formula>IF(AND(INCENTOTALPRESE&gt;0,INCENTOTALPRESE&lt;=10000,INCENTOTALCUSE=0,AB38=""),TRUE,FALSE)</formula>
    </cfRule>
  </conditionalFormatting>
  <conditionalFormatting sqref="P19 U19:Y20 P20:T20">
    <cfRule type="expression" dxfId="37" priority="1">
      <formula>IF(ISNUMBER(SEARCH("Missing",P19)),TRUE,FALSE)</formula>
    </cfRule>
  </conditionalFormatting>
  <dataValidations count="1">
    <dataValidation type="date" operator="greaterThan" allowBlank="1" showInputMessage="1" showErrorMessage="1" error="Please enter date. Format: xx/xx/xxx" sqref="AI38:AM38 AB38:AF38" xr:uid="{A952109B-74A0-43D6-B998-6FE30A8DBAD9}">
      <formula1>36526</formula1>
    </dataValidation>
  </dataValidations>
  <hyperlinks>
    <hyperlink ref="AA18:AG18" location="'M03-S02'!C18" tooltip="View: Standard Lighting" display="'M03-S02'!C18" xr:uid="{3CFB549D-7AF9-4D68-A1B8-48C95289CBAD}"/>
    <hyperlink ref="AA19:AG19" location="'M03-S03'!C18" tooltip="View: Lighting Controls" display="'M03-S03'!C18" xr:uid="{B695D4D9-D0D6-466C-B634-066248DBD00D}"/>
    <hyperlink ref="AA20:AG20" location="'M03-S04'!C18" tooltip="View: Standard Refrigeration" display="'M03-S04'!C18" xr:uid="{8BB9FBEE-F7F8-40AC-97E4-AA84C02B0B8A}"/>
    <hyperlink ref="AA21:AG21" location="'M03-S05'!C18" tooltip="View: Standard HVAC" display="'M03-S05'!C18" xr:uid="{A6F370A5-6DA1-4CB1-B899-29C1F80C876A}"/>
    <hyperlink ref="AA22:AG22" location="'M03-S08'!C18" tooltip="View: Standard Motors and Drives" display="'M03-S08'!C18" xr:uid="{8DEE1A84-9D57-41AE-BE8E-E36DEE1DBDB6}"/>
    <hyperlink ref="AA23:AG23" location="'M03-S06'!C18" tooltip="View: Standard Compressed Air / Process" display="'M03-S06'!C18" xr:uid="{03A916E2-FAD8-4A3F-A9E4-95DDE9436D30}"/>
    <hyperlink ref="AA24:AG24" location="'M03-S07'!C18" tooltip="View: Standard Water Heating / Cooking" display="'M03-S07'!C18" xr:uid="{49275D18-AC04-4FD9-BE28-61B5E5E4197E}"/>
    <hyperlink ref="AA26:AG26" location="'M04-S02'!C18" tooltip="View: Custom Lighting" display="'M04-S02'!C18" xr:uid="{120921CA-75AD-46B2-8F74-C98AB0487FE5}"/>
    <hyperlink ref="AA27:AG27" location="'M04-S03'!C18" tooltip="View: Custom Lighting Controls" display="'M04-S03'!C18" xr:uid="{0A2ED40B-95D8-443A-8068-518DAF818444}"/>
    <hyperlink ref="AA28:AG28" location="'M04-S04'!C18" tooltip="View: Custom Refrigeration" display="'M04-S04'!C18" xr:uid="{3B67CACC-B5E9-412A-AE90-F7B2D32D12D1}"/>
    <hyperlink ref="AA29:AG29" location="'M04-S05'!C18" tooltip="View: Custom HVAC" display="'M04-S05'!C18" xr:uid="{7DFA6AE8-C160-4EA7-88DF-E38D8285DCEA}"/>
    <hyperlink ref="AA30:AG30" location="'M04-S08'!C18" tooltip="View: Custom Motors and Drives" display="'M04-S08'!C18" xr:uid="{F00E9ECF-CD14-404E-8994-2F49053E499C}"/>
    <hyperlink ref="AA31:AG31" location="'M04-S06'!C18" tooltip="View: Custom Compressed Air / Process" display="'M04-S06'!C18" xr:uid="{71CC8C35-C95D-45D0-BFE2-317A4822D6DD}"/>
    <hyperlink ref="AA32:AG32" location="'M04-S07'!C18" tooltip="View: Custom Water Heating / Cooking" display="'M04-S07'!C18" xr:uid="{B4CD4E88-7BA3-40C6-8A09-337A1FE45E95}"/>
    <hyperlink ref="AA33:AG33" location="'M04-S09'!C18" tooltip="View: Custom Miscellaneous" display="'M04-S09'!C18" xr:uid="{8C2F8462-E0BA-48F0-8471-F5F6C0B88776}"/>
    <hyperlink ref="W14:Y14" location="'M02-S01'!A1" tooltip="Update: Terms &amp; Conditions" display=" ✎ Update" xr:uid="{398CD1AD-3469-4BD1-8444-A818E5DF26DF}"/>
    <hyperlink ref="W16:Y16" location="'M02-S02'!A1" tooltip="Update: Trade Ally / Vendor Information" display=" ✎ Update" xr:uid="{E7955452-2A55-4EEB-8B92-8AAD104DF504}"/>
    <hyperlink ref="W21:Y21" location="'M02-S03'!A1" tooltip="Update: Customer Information" display=" ✎ Update" xr:uid="{B38BEA78-9C81-4AA4-B00B-E887499B6F7D}"/>
    <hyperlink ref="W25:Y25" location="'M02-S04'!A1" tooltip="Update: Building Information" display=" ✎ Update" xr:uid="{DA88AAD8-68D4-42BF-823E-37ACA0042CE7}"/>
    <hyperlink ref="W34:Y34" location="'M05-S01'!A1" tooltip="Update: Payment" display=" ✎ Update" xr:uid="{609B4E3E-05F9-459B-843B-53C337F54CC1}"/>
    <hyperlink ref="J1:M3" location="'M01-S02'!J1" tooltip="Instructions" display="'M01-S02'!J1" xr:uid="{E6FB5C02-8445-4DAC-BBA5-5857C08F757C}"/>
    <hyperlink ref="AL1:AO3" location="'M05-S05'!AL1" tooltip=" " display="'M05-S05'!AL1" xr:uid="{B2D01F32-0C65-454E-B9A0-925F6FC25F80}"/>
    <hyperlink ref="AH1:AK3" location="'M05-S04'!AH1" tooltip=" " display="'M05-S04'!AH1" xr:uid="{0E09E35B-B0F9-4A87-AFF9-D3F23CC5B6A7}"/>
    <hyperlink ref="AP1:AS3" location="'M01-S03'!AP1" tooltip="Contact" display="'M01-S03'!AP1" xr:uid="{3D769773-7757-4CD6-A0B4-7AE9291B0B13}"/>
    <hyperlink ref="B202" r:id="rId1" xr:uid="{0202C31A-3508-41A5-80E8-246F6B1D9083}"/>
  </hyperlinks>
  <printOptions horizontalCentered="1"/>
  <pageMargins left="0.25" right="0.25" top="0.25" bottom="0.25" header="0.25" footer="0.25"/>
  <pageSetup scale="62"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pageSetUpPr fitToPage="1"/>
  </sheetPr>
  <dimension ref="A1:AS239"/>
  <sheetViews>
    <sheetView showGridLines="0" showRowColHeaders="0" zoomScale="85" zoomScaleNormal="85" workbookViewId="0">
      <selection activeCell="H6" sqref="H6"/>
    </sheetView>
  </sheetViews>
  <sheetFormatPr defaultColWidth="0" defaultRowHeight="15" zeroHeight="1"/>
  <cols>
    <col min="1" max="45" width="4.7109375" style="180" customWidth="1"/>
    <col min="46" max="16384" width="4.7109375" style="180" hidden="1"/>
  </cols>
  <sheetData>
    <row r="1" spans="1:45" customFormat="1" ht="15.95" customHeight="1">
      <c r="A1" s="422"/>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customFormat="1"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customFormat="1"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1205">
        <f>INCENTOTAL</f>
        <v>0</v>
      </c>
      <c r="B4" s="1205"/>
      <c r="C4" s="1205"/>
      <c r="D4" s="1205"/>
      <c r="E4" s="1205"/>
    </row>
    <row r="5" spans="1:45" ht="15.95" customHeight="1">
      <c r="A5" s="724"/>
      <c r="B5" s="724"/>
      <c r="C5" s="724"/>
      <c r="D5" s="724"/>
      <c r="E5" s="724"/>
      <c r="AO5" s="750">
        <f ca="1">PROGRESSSTATUS</f>
        <v>0</v>
      </c>
      <c r="AP5" s="750"/>
      <c r="AQ5" s="750"/>
      <c r="AR5" s="750"/>
      <c r="AS5" s="750"/>
    </row>
    <row r="6" spans="1:45" ht="15.95" customHeight="1">
      <c r="A6" s="724"/>
      <c r="B6" s="724"/>
      <c r="C6" s="724"/>
      <c r="D6" s="724"/>
      <c r="E6" s="724"/>
      <c r="H6" s="360"/>
      <c r="AO6" s="750"/>
      <c r="AP6" s="750"/>
      <c r="AQ6" s="750"/>
      <c r="AR6" s="750"/>
      <c r="AS6" s="750"/>
    </row>
    <row r="7" spans="1:45" ht="15.95" customHeight="1">
      <c r="A7" s="725" t="s">
        <v>83</v>
      </c>
      <c r="B7" s="725"/>
      <c r="C7" s="725"/>
      <c r="D7" s="725"/>
      <c r="E7" s="725"/>
      <c r="AO7" s="725" t="s">
        <v>309</v>
      </c>
      <c r="AP7" s="725"/>
      <c r="AQ7" s="725"/>
      <c r="AR7" s="725"/>
      <c r="AS7" s="725"/>
    </row>
    <row r="8" spans="1:45" ht="15.95" customHeight="1" thickBot="1">
      <c r="A8" s="774"/>
      <c r="B8" s="774"/>
      <c r="C8" s="774"/>
      <c r="D8" s="774"/>
      <c r="E8" s="774"/>
      <c r="AO8" s="749" t="str">
        <f ca="1">PROJSTATUS</f>
        <v>Enter Measures</v>
      </c>
      <c r="AP8" s="749"/>
      <c r="AQ8" s="749"/>
      <c r="AR8" s="749"/>
      <c r="AS8" s="749"/>
    </row>
    <row r="9" spans="1:45" ht="15.95" customHeight="1">
      <c r="A9" s="720" t="s">
        <v>1612</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5"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5" ht="15.95" customHeight="1">
      <c r="A11" s="295"/>
      <c r="B11" s="295"/>
      <c r="C11" s="295"/>
      <c r="D11" s="295"/>
      <c r="AO11" s="235"/>
      <c r="AP11" s="235"/>
      <c r="AQ11" s="235"/>
      <c r="AR11" s="235"/>
      <c r="AS11" s="235"/>
    </row>
    <row r="12" spans="1:45" ht="15.95" customHeight="1">
      <c r="G12" s="1248" t="s">
        <v>1610</v>
      </c>
      <c r="H12" s="1249"/>
      <c r="I12" s="1249"/>
      <c r="J12" s="1249"/>
      <c r="K12" s="1249"/>
      <c r="L12" s="1249"/>
      <c r="M12" s="1249"/>
      <c r="N12" s="1249"/>
      <c r="O12" s="1249"/>
      <c r="P12" s="1249"/>
      <c r="Q12" s="1249"/>
      <c r="R12" s="1249"/>
      <c r="S12" s="1250"/>
      <c r="T12" s="36"/>
      <c r="U12" s="1251" t="s">
        <v>1611</v>
      </c>
      <c r="V12" s="1252"/>
      <c r="W12" s="1252"/>
      <c r="X12" s="1252"/>
      <c r="Y12" s="1252"/>
      <c r="Z12" s="1252"/>
      <c r="AA12" s="1252"/>
      <c r="AB12" s="1252"/>
      <c r="AC12" s="1252"/>
      <c r="AD12" s="1252"/>
      <c r="AE12" s="1252"/>
      <c r="AF12" s="1252"/>
      <c r="AG12" s="1253"/>
      <c r="AN12" s="275"/>
      <c r="AO12" s="235"/>
      <c r="AP12" s="235"/>
      <c r="AQ12" s="235"/>
      <c r="AR12" s="235"/>
      <c r="AS12" s="235"/>
    </row>
    <row r="13" spans="1:45" ht="15.95" customHeight="1">
      <c r="G13" s="262"/>
      <c r="H13" s="39"/>
      <c r="I13" s="39"/>
      <c r="J13" s="39"/>
      <c r="K13" s="39"/>
      <c r="L13" s="39"/>
      <c r="M13" s="39"/>
      <c r="N13" s="39"/>
      <c r="O13" s="39"/>
      <c r="P13" s="39"/>
      <c r="Q13" s="39"/>
      <c r="R13" s="39"/>
      <c r="S13" s="263"/>
      <c r="T13"/>
      <c r="U13" s="262"/>
      <c r="V13" s="39"/>
      <c r="W13" s="39"/>
      <c r="X13" s="39"/>
      <c r="Y13" s="39"/>
      <c r="Z13" s="39"/>
      <c r="AA13" s="39"/>
      <c r="AB13" s="39"/>
      <c r="AC13" s="39"/>
      <c r="AD13" s="39"/>
      <c r="AE13" s="39"/>
      <c r="AF13" s="39"/>
      <c r="AG13" s="272"/>
      <c r="AO13" s="235"/>
      <c r="AP13" s="235"/>
      <c r="AQ13" s="235"/>
      <c r="AR13" s="235"/>
      <c r="AS13" s="235"/>
    </row>
    <row r="14" spans="1:45" ht="15.95" customHeight="1">
      <c r="G14" s="264" t="s">
        <v>1592</v>
      </c>
      <c r="H14" s="39" t="s">
        <v>1593</v>
      </c>
      <c r="I14" s="39"/>
      <c r="J14" s="39"/>
      <c r="K14" s="39"/>
      <c r="L14" s="39"/>
      <c r="M14" s="39"/>
      <c r="N14" s="39"/>
      <c r="O14" s="39"/>
      <c r="P14" s="39"/>
      <c r="Q14" s="39"/>
      <c r="R14" s="39"/>
      <c r="S14" s="263"/>
      <c r="T14"/>
      <c r="U14" s="264" t="s">
        <v>1592</v>
      </c>
      <c r="V14" s="1256" t="s">
        <v>2069</v>
      </c>
      <c r="W14" s="1256"/>
      <c r="X14" s="1256"/>
      <c r="Y14" s="1256"/>
      <c r="Z14" s="1256"/>
      <c r="AA14" s="1256"/>
      <c r="AB14" s="1256"/>
      <c r="AC14" s="1256"/>
      <c r="AD14" s="1256"/>
      <c r="AE14" s="1256"/>
      <c r="AF14" s="1256"/>
      <c r="AG14" s="1257"/>
      <c r="AO14" s="235"/>
      <c r="AP14" s="235"/>
      <c r="AQ14" s="235"/>
      <c r="AR14" s="235"/>
      <c r="AS14" s="235"/>
    </row>
    <row r="15" spans="1:45" ht="15.95" customHeight="1">
      <c r="G15" s="265"/>
      <c r="H15" s="13"/>
      <c r="I15" s="13"/>
      <c r="J15" s="13"/>
      <c r="K15" s="13"/>
      <c r="L15" s="13"/>
      <c r="M15" s="13"/>
      <c r="N15" s="13"/>
      <c r="O15" s="13"/>
      <c r="P15" s="39"/>
      <c r="Q15" s="39"/>
      <c r="R15" s="39"/>
      <c r="S15" s="263"/>
      <c r="T15"/>
      <c r="U15" s="264"/>
      <c r="V15" s="1256"/>
      <c r="W15" s="1256"/>
      <c r="X15" s="1256"/>
      <c r="Y15" s="1256"/>
      <c r="Z15" s="1256"/>
      <c r="AA15" s="1256"/>
      <c r="AB15" s="1256"/>
      <c r="AC15" s="1256"/>
      <c r="AD15" s="1256"/>
      <c r="AE15" s="1256"/>
      <c r="AF15" s="1256"/>
      <c r="AG15" s="1257"/>
      <c r="AO15" s="235"/>
      <c r="AP15" s="235"/>
      <c r="AQ15" s="235"/>
      <c r="AR15" s="235"/>
      <c r="AS15" s="235"/>
    </row>
    <row r="16" spans="1:45" ht="15.95" customHeight="1">
      <c r="G16" s="264" t="s">
        <v>1594</v>
      </c>
      <c r="H16" s="39" t="s">
        <v>1595</v>
      </c>
      <c r="I16" s="39"/>
      <c r="J16" s="39"/>
      <c r="K16" s="39"/>
      <c r="L16" s="39"/>
      <c r="M16" s="39"/>
      <c r="N16" s="39"/>
      <c r="O16" s="39"/>
      <c r="P16" s="39"/>
      <c r="Q16" s="39"/>
      <c r="R16" s="39"/>
      <c r="S16" s="263"/>
      <c r="T16"/>
      <c r="U16" s="262"/>
      <c r="V16" s="1256"/>
      <c r="W16" s="1256"/>
      <c r="X16" s="1256"/>
      <c r="Y16" s="1256"/>
      <c r="Z16" s="1256"/>
      <c r="AA16" s="1256"/>
      <c r="AB16" s="1256"/>
      <c r="AC16" s="1256"/>
      <c r="AD16" s="1256"/>
      <c r="AE16" s="1256"/>
      <c r="AF16" s="1256"/>
      <c r="AG16" s="1257"/>
      <c r="AO16" s="235"/>
      <c r="AP16" s="235"/>
      <c r="AQ16" s="235"/>
      <c r="AR16" s="235"/>
      <c r="AS16" s="235"/>
    </row>
    <row r="17" spans="6:45" ht="15.95" customHeight="1">
      <c r="G17" s="264"/>
      <c r="H17" s="1259" t="s">
        <v>310</v>
      </c>
      <c r="I17" s="1259"/>
      <c r="J17" s="1259"/>
      <c r="K17" s="1259" t="s">
        <v>1596</v>
      </c>
      <c r="L17" s="1259"/>
      <c r="M17" s="1259"/>
      <c r="N17" s="1259"/>
      <c r="O17" s="1259"/>
      <c r="P17" s="1259"/>
      <c r="Q17" s="1259"/>
      <c r="R17" s="1259"/>
      <c r="S17" s="1260"/>
      <c r="T17" s="274"/>
      <c r="U17" s="264" t="s">
        <v>1594</v>
      </c>
      <c r="V17" s="1256" t="s">
        <v>2499</v>
      </c>
      <c r="W17" s="1256"/>
      <c r="X17" s="1256"/>
      <c r="Y17" s="1256"/>
      <c r="Z17" s="1256"/>
      <c r="AA17" s="1256"/>
      <c r="AB17" s="1256"/>
      <c r="AC17" s="1256"/>
      <c r="AD17" s="1256"/>
      <c r="AE17" s="1256"/>
      <c r="AF17" s="1256"/>
      <c r="AG17" s="1257"/>
      <c r="AO17" s="235"/>
      <c r="AP17" s="235"/>
      <c r="AQ17" s="235"/>
      <c r="AR17" s="235"/>
      <c r="AS17" s="235"/>
    </row>
    <row r="18" spans="6:45" ht="15.95" customHeight="1">
      <c r="G18" s="264"/>
      <c r="H18" s="1261" t="s">
        <v>310</v>
      </c>
      <c r="I18" s="1261"/>
      <c r="J18" s="1261"/>
      <c r="K18" s="1262" t="s">
        <v>1597</v>
      </c>
      <c r="L18" s="1262"/>
      <c r="M18" s="1262"/>
      <c r="N18" s="1262"/>
      <c r="O18" s="1262"/>
      <c r="P18" s="1262"/>
      <c r="Q18" s="1262"/>
      <c r="R18" s="1262"/>
      <c r="S18" s="1263"/>
      <c r="T18"/>
      <c r="U18" s="262"/>
      <c r="V18" s="1256"/>
      <c r="W18" s="1256"/>
      <c r="X18" s="1256"/>
      <c r="Y18" s="1256"/>
      <c r="Z18" s="1256"/>
      <c r="AA18" s="1256"/>
      <c r="AB18" s="1256"/>
      <c r="AC18" s="1256"/>
      <c r="AD18" s="1256"/>
      <c r="AE18" s="1256"/>
      <c r="AF18" s="1256"/>
      <c r="AG18" s="1257"/>
      <c r="AI18"/>
      <c r="AJ18"/>
      <c r="AK18"/>
      <c r="AL18"/>
      <c r="AM18"/>
      <c r="AN18"/>
      <c r="AO18"/>
      <c r="AP18"/>
      <c r="AQ18"/>
      <c r="AR18" s="235"/>
      <c r="AS18" s="235"/>
    </row>
    <row r="19" spans="6:45" ht="15.95" customHeight="1">
      <c r="G19" s="264"/>
      <c r="H19" s="1262" t="s">
        <v>310</v>
      </c>
      <c r="I19" s="1262"/>
      <c r="J19" s="1262"/>
      <c r="K19" s="1262" t="s">
        <v>1598</v>
      </c>
      <c r="L19" s="1262"/>
      <c r="M19" s="1262"/>
      <c r="N19" s="1262"/>
      <c r="O19" s="1262"/>
      <c r="P19" s="1262"/>
      <c r="Q19" s="1262"/>
      <c r="R19" s="1262"/>
      <c r="S19" s="1263"/>
      <c r="T19"/>
      <c r="U19" s="262"/>
      <c r="V19" s="1256"/>
      <c r="W19" s="1256"/>
      <c r="X19" s="1256"/>
      <c r="Y19" s="1256"/>
      <c r="Z19" s="1256"/>
      <c r="AA19" s="1256"/>
      <c r="AB19" s="1256"/>
      <c r="AC19" s="1256"/>
      <c r="AD19" s="1256"/>
      <c r="AE19" s="1256"/>
      <c r="AF19" s="1256"/>
      <c r="AG19" s="1257"/>
      <c r="AI19"/>
      <c r="AJ19"/>
      <c r="AK19"/>
      <c r="AL19"/>
      <c r="AM19"/>
      <c r="AN19"/>
      <c r="AO19"/>
      <c r="AP19"/>
      <c r="AQ19"/>
      <c r="AR19" s="235"/>
      <c r="AS19" s="235"/>
    </row>
    <row r="20" spans="6:45" ht="15.95" customHeight="1">
      <c r="G20" s="265"/>
      <c r="H20" s="1261" t="s">
        <v>1599</v>
      </c>
      <c r="I20" s="1261"/>
      <c r="J20" s="1261"/>
      <c r="K20" s="1262" t="s">
        <v>1600</v>
      </c>
      <c r="L20" s="1262"/>
      <c r="M20" s="1262"/>
      <c r="N20" s="1262"/>
      <c r="O20" s="1262"/>
      <c r="P20" s="1262"/>
      <c r="Q20" s="1262"/>
      <c r="R20" s="1262"/>
      <c r="S20" s="1263"/>
      <c r="T20"/>
      <c r="U20" s="262"/>
      <c r="V20" s="1256"/>
      <c r="W20" s="1256"/>
      <c r="X20" s="1256"/>
      <c r="Y20" s="1256"/>
      <c r="Z20" s="1256"/>
      <c r="AA20" s="1256"/>
      <c r="AB20" s="1256"/>
      <c r="AC20" s="1256"/>
      <c r="AD20" s="1256"/>
      <c r="AE20" s="1256"/>
      <c r="AF20" s="1256"/>
      <c r="AG20" s="1257"/>
      <c r="AI20"/>
      <c r="AJ20"/>
      <c r="AK20"/>
      <c r="AL20"/>
      <c r="AM20"/>
      <c r="AN20"/>
      <c r="AO20"/>
      <c r="AP20"/>
      <c r="AQ20"/>
      <c r="AR20" s="235"/>
      <c r="AS20" s="235"/>
    </row>
    <row r="21" spans="6:45" ht="15.95" customHeight="1">
      <c r="G21" s="265"/>
      <c r="H21" s="1262" t="s">
        <v>1599</v>
      </c>
      <c r="I21" s="1262"/>
      <c r="J21" s="1262"/>
      <c r="K21" s="1262" t="s">
        <v>1601</v>
      </c>
      <c r="L21" s="1262"/>
      <c r="M21" s="1262"/>
      <c r="N21" s="1262"/>
      <c r="O21" s="1262"/>
      <c r="P21" s="1262"/>
      <c r="Q21" s="1262"/>
      <c r="R21" s="1262"/>
      <c r="S21" s="1263"/>
      <c r="T21"/>
      <c r="U21" s="262"/>
      <c r="V21" s="1256"/>
      <c r="W21" s="1256"/>
      <c r="X21" s="1256"/>
      <c r="Y21" s="1256"/>
      <c r="Z21" s="1256"/>
      <c r="AA21" s="1256"/>
      <c r="AB21" s="1256"/>
      <c r="AC21" s="1256"/>
      <c r="AD21" s="1256"/>
      <c r="AE21" s="1256"/>
      <c r="AF21" s="1256"/>
      <c r="AG21" s="1257"/>
      <c r="AI21" s="1258" t="s">
        <v>2655</v>
      </c>
      <c r="AJ21" s="1258"/>
      <c r="AK21" s="1258"/>
      <c r="AL21" s="1258"/>
      <c r="AM21" s="1258"/>
      <c r="AN21" s="1258"/>
      <c r="AO21" s="1258"/>
      <c r="AP21" s="1258"/>
      <c r="AQ21" s="1258"/>
      <c r="AR21" s="235"/>
      <c r="AS21" s="235"/>
    </row>
    <row r="22" spans="6:45" ht="15.95" customHeight="1">
      <c r="G22" s="265"/>
      <c r="H22" s="1261" t="s">
        <v>1599</v>
      </c>
      <c r="I22" s="1261"/>
      <c r="J22" s="1261"/>
      <c r="K22" s="1262" t="s">
        <v>1602</v>
      </c>
      <c r="L22" s="1262"/>
      <c r="M22" s="1262"/>
      <c r="N22" s="1262"/>
      <c r="O22" s="1262"/>
      <c r="P22" s="1262"/>
      <c r="Q22" s="1262"/>
      <c r="R22" s="1262"/>
      <c r="S22" s="1263"/>
      <c r="T22"/>
      <c r="U22" s="264" t="s">
        <v>1603</v>
      </c>
      <c r="V22" s="1256" t="s">
        <v>1608</v>
      </c>
      <c r="W22" s="1256"/>
      <c r="X22" s="1256"/>
      <c r="Y22" s="1256"/>
      <c r="Z22" s="1256"/>
      <c r="AA22" s="1256"/>
      <c r="AB22" s="1256"/>
      <c r="AC22" s="1256"/>
      <c r="AD22" s="1256"/>
      <c r="AE22" s="1256"/>
      <c r="AF22" s="1256"/>
      <c r="AG22" s="1257"/>
      <c r="AI22" s="1258"/>
      <c r="AJ22" s="1258"/>
      <c r="AK22" s="1258"/>
      <c r="AL22" s="1258"/>
      <c r="AM22" s="1258"/>
      <c r="AN22" s="1258"/>
      <c r="AO22" s="1258"/>
      <c r="AP22" s="1258"/>
      <c r="AQ22" s="1258"/>
      <c r="AR22" s="235"/>
      <c r="AS22" s="235"/>
    </row>
    <row r="23" spans="6:45" ht="15.95" customHeight="1">
      <c r="G23" s="266"/>
      <c r="H23" s="13"/>
      <c r="I23" s="13"/>
      <c r="J23" s="13"/>
      <c r="K23" s="13"/>
      <c r="L23" s="13"/>
      <c r="M23" s="13"/>
      <c r="N23" s="13"/>
      <c r="O23" s="13"/>
      <c r="P23" s="13"/>
      <c r="Q23" s="13"/>
      <c r="R23" s="13"/>
      <c r="S23" s="267"/>
      <c r="T23"/>
      <c r="U23" s="262"/>
      <c r="V23" s="1256"/>
      <c r="W23" s="1256"/>
      <c r="X23" s="1256"/>
      <c r="Y23" s="1256"/>
      <c r="Z23" s="1256"/>
      <c r="AA23" s="1256"/>
      <c r="AB23" s="1256"/>
      <c r="AC23" s="1256"/>
      <c r="AD23" s="1256"/>
      <c r="AE23" s="1256"/>
      <c r="AF23" s="1256"/>
      <c r="AG23" s="1257"/>
      <c r="AI23" s="1258"/>
      <c r="AJ23" s="1258"/>
      <c r="AK23" s="1258"/>
      <c r="AL23" s="1258"/>
      <c r="AM23" s="1258"/>
      <c r="AN23" s="1258"/>
      <c r="AO23" s="1258"/>
      <c r="AP23" s="1258"/>
      <c r="AQ23" s="1258"/>
      <c r="AR23" s="235"/>
      <c r="AS23" s="235"/>
    </row>
    <row r="24" spans="6:45" ht="15.95" customHeight="1">
      <c r="G24" s="264" t="s">
        <v>1603</v>
      </c>
      <c r="H24" s="1256" t="s">
        <v>1604</v>
      </c>
      <c r="I24" s="1256"/>
      <c r="J24" s="1256"/>
      <c r="K24" s="1256"/>
      <c r="L24" s="1256"/>
      <c r="M24" s="1256"/>
      <c r="N24" s="1256"/>
      <c r="O24" s="1256"/>
      <c r="P24" s="1256"/>
      <c r="Q24" s="1256"/>
      <c r="R24" s="1256"/>
      <c r="S24" s="1257"/>
      <c r="T24"/>
      <c r="U24" s="264"/>
      <c r="V24" s="1256"/>
      <c r="W24" s="1256"/>
      <c r="X24" s="1256"/>
      <c r="Y24" s="1256"/>
      <c r="Z24" s="1256"/>
      <c r="AA24" s="1256"/>
      <c r="AB24" s="1256"/>
      <c r="AC24" s="1256"/>
      <c r="AD24" s="1256"/>
      <c r="AE24" s="1256"/>
      <c r="AF24" s="1256"/>
      <c r="AG24" s="1257"/>
      <c r="AI24" s="1254" t="s">
        <v>1613</v>
      </c>
      <c r="AJ24" s="1254"/>
      <c r="AK24" s="1254"/>
      <c r="AL24" s="1254"/>
      <c r="AM24" s="1254"/>
      <c r="AN24" s="1254"/>
      <c r="AO24" s="1255"/>
      <c r="AP24" s="1255"/>
      <c r="AQ24" s="1255"/>
      <c r="AR24" s="235"/>
      <c r="AS24" s="235"/>
    </row>
    <row r="25" spans="6:45" ht="15.95" customHeight="1">
      <c r="G25" s="266"/>
      <c r="H25" s="1256"/>
      <c r="I25" s="1256"/>
      <c r="J25" s="1256"/>
      <c r="K25" s="1256"/>
      <c r="L25" s="1256"/>
      <c r="M25" s="1256"/>
      <c r="N25" s="1256"/>
      <c r="O25" s="1256"/>
      <c r="P25" s="1256"/>
      <c r="Q25" s="1256"/>
      <c r="R25" s="1256"/>
      <c r="S25" s="1257"/>
      <c r="T25"/>
      <c r="U25" s="262"/>
      <c r="V25" s="1256"/>
      <c r="W25" s="1256"/>
      <c r="X25" s="1256"/>
      <c r="Y25" s="1256"/>
      <c r="Z25" s="1256"/>
      <c r="AA25" s="1256"/>
      <c r="AB25" s="1256"/>
      <c r="AC25" s="1256"/>
      <c r="AD25" s="1256"/>
      <c r="AE25" s="1256"/>
      <c r="AF25" s="1256"/>
      <c r="AG25" s="1257"/>
      <c r="AI25" s="1254"/>
      <c r="AJ25" s="1254"/>
      <c r="AK25" s="1254"/>
      <c r="AL25" s="1254"/>
      <c r="AM25" s="1254"/>
      <c r="AN25" s="1254"/>
      <c r="AO25" s="1255"/>
      <c r="AP25" s="1255"/>
      <c r="AQ25" s="1255"/>
      <c r="AR25" s="235"/>
      <c r="AS25" s="235"/>
    </row>
    <row r="26" spans="6:45" ht="15.95" customHeight="1">
      <c r="G26" s="268"/>
      <c r="H26" s="13"/>
      <c r="I26" s="40"/>
      <c r="J26" s="40"/>
      <c r="K26" s="40"/>
      <c r="L26" s="40"/>
      <c r="M26" s="40"/>
      <c r="N26" s="40"/>
      <c r="O26" s="40"/>
      <c r="P26" s="40"/>
      <c r="Q26" s="40"/>
      <c r="R26" s="40"/>
      <c r="S26" s="267"/>
      <c r="T26"/>
      <c r="U26" s="262"/>
      <c r="V26" s="1256"/>
      <c r="W26" s="1256"/>
      <c r="X26" s="1256"/>
      <c r="Y26" s="1256"/>
      <c r="Z26" s="1256"/>
      <c r="AA26" s="1256"/>
      <c r="AB26" s="1256"/>
      <c r="AC26" s="1256"/>
      <c r="AD26" s="1256"/>
      <c r="AE26" s="1256"/>
      <c r="AF26" s="1256"/>
      <c r="AG26" s="1257"/>
      <c r="AI26" s="1254"/>
      <c r="AJ26" s="1254"/>
      <c r="AK26" s="1254"/>
      <c r="AL26" s="1254"/>
      <c r="AM26" s="1254"/>
      <c r="AN26" s="1254"/>
      <c r="AO26" s="1255"/>
      <c r="AP26" s="1255"/>
      <c r="AQ26" s="1255"/>
      <c r="AR26" s="235"/>
      <c r="AS26" s="235"/>
    </row>
    <row r="27" spans="6:45" ht="15.95" customHeight="1">
      <c r="G27" s="268"/>
      <c r="S27" s="269"/>
      <c r="T27"/>
      <c r="U27" s="264" t="s">
        <v>1605</v>
      </c>
      <c r="V27" s="1256" t="s">
        <v>1609</v>
      </c>
      <c r="W27" s="1256"/>
      <c r="X27" s="1256"/>
      <c r="Y27" s="1256"/>
      <c r="Z27" s="1256"/>
      <c r="AA27" s="1256"/>
      <c r="AB27" s="1256"/>
      <c r="AC27" s="1256"/>
      <c r="AD27" s="1256"/>
      <c r="AE27" s="1256"/>
      <c r="AF27" s="1256"/>
      <c r="AG27" s="1257"/>
      <c r="AR27" s="235"/>
      <c r="AS27" s="235"/>
    </row>
    <row r="28" spans="6:45" ht="15.95" customHeight="1">
      <c r="G28" s="266"/>
      <c r="S28" s="267"/>
      <c r="T28"/>
      <c r="U28" s="262"/>
      <c r="V28" s="1256"/>
      <c r="W28" s="1256"/>
      <c r="X28" s="1256"/>
      <c r="Y28" s="1256"/>
      <c r="Z28" s="1256"/>
      <c r="AA28" s="1256"/>
      <c r="AB28" s="1256"/>
      <c r="AC28" s="1256"/>
      <c r="AD28" s="1256"/>
      <c r="AE28" s="1256"/>
      <c r="AF28" s="1256"/>
      <c r="AG28" s="1257"/>
      <c r="AR28" s="235"/>
      <c r="AS28" s="235"/>
    </row>
    <row r="29" spans="6:45" ht="15.95" customHeight="1">
      <c r="G29" s="266"/>
      <c r="S29" s="267"/>
      <c r="T29"/>
      <c r="U29" s="262"/>
      <c r="V29" s="1256"/>
      <c r="W29" s="1256"/>
      <c r="X29" s="1256"/>
      <c r="Y29" s="1256"/>
      <c r="Z29" s="1256"/>
      <c r="AA29" s="1256"/>
      <c r="AB29" s="1256"/>
      <c r="AC29" s="1256"/>
      <c r="AD29" s="1256"/>
      <c r="AE29" s="1256"/>
      <c r="AF29" s="1256"/>
      <c r="AG29" s="1257"/>
      <c r="AO29" s="235"/>
      <c r="AP29" s="235"/>
      <c r="AQ29" s="235"/>
      <c r="AR29" s="235"/>
      <c r="AS29" s="235"/>
    </row>
    <row r="30" spans="6:45" ht="15.95" customHeight="1">
      <c r="G30" s="266"/>
      <c r="S30" s="267"/>
      <c r="T30"/>
      <c r="U30" s="262"/>
      <c r="V30" s="1256"/>
      <c r="W30" s="1256"/>
      <c r="X30" s="1256"/>
      <c r="Y30" s="1256"/>
      <c r="Z30" s="1256"/>
      <c r="AA30" s="1256"/>
      <c r="AB30" s="1256"/>
      <c r="AC30" s="1256"/>
      <c r="AD30" s="1256"/>
      <c r="AE30" s="1256"/>
      <c r="AF30" s="1256"/>
      <c r="AG30" s="1257"/>
      <c r="AR30" s="235"/>
      <c r="AS30" s="235"/>
    </row>
    <row r="31" spans="6:45" ht="15.95" customHeight="1">
      <c r="G31" s="265"/>
      <c r="S31" s="272"/>
      <c r="T31"/>
      <c r="U31" s="265"/>
      <c r="V31" s="1256"/>
      <c r="W31" s="1256"/>
      <c r="X31" s="1256"/>
      <c r="Y31" s="1256"/>
      <c r="Z31" s="1256"/>
      <c r="AA31" s="1256"/>
      <c r="AB31" s="1256"/>
      <c r="AC31" s="1256"/>
      <c r="AD31" s="1256"/>
      <c r="AE31" s="1256"/>
      <c r="AF31" s="1256"/>
      <c r="AG31" s="1257"/>
      <c r="AR31" s="235"/>
      <c r="AS31" s="235"/>
    </row>
    <row r="32" spans="6:45" ht="15.95" customHeight="1">
      <c r="F32"/>
      <c r="G32" s="270"/>
      <c r="H32" s="575"/>
      <c r="I32" s="575"/>
      <c r="J32" s="575"/>
      <c r="K32" s="575"/>
      <c r="L32" s="575"/>
      <c r="M32" s="575"/>
      <c r="N32" s="575"/>
      <c r="O32" s="575"/>
      <c r="P32" s="575"/>
      <c r="Q32" s="575"/>
      <c r="R32" s="575"/>
      <c r="S32" s="271"/>
      <c r="T32"/>
      <c r="U32" s="273"/>
      <c r="V32" s="1264"/>
      <c r="W32" s="1264"/>
      <c r="X32" s="1264"/>
      <c r="Y32" s="1264"/>
      <c r="Z32" s="1264"/>
      <c r="AA32" s="1264"/>
      <c r="AB32" s="1264"/>
      <c r="AC32" s="1264"/>
      <c r="AD32" s="1264"/>
      <c r="AE32" s="1264"/>
      <c r="AF32" s="1264"/>
      <c r="AG32" s="1265"/>
      <c r="AR32" s="235"/>
      <c r="AS32" s="235"/>
    </row>
    <row r="33" spans="6:45" ht="15.95" customHeight="1">
      <c r="F33"/>
      <c r="G33"/>
      <c r="H33"/>
      <c r="I33"/>
      <c r="J33"/>
      <c r="K33"/>
      <c r="L33"/>
      <c r="M33"/>
      <c r="N33"/>
      <c r="O33"/>
      <c r="P33"/>
      <c r="Q33"/>
      <c r="R33"/>
      <c r="S33"/>
      <c r="T33"/>
      <c r="U33"/>
      <c r="V33"/>
      <c r="W33"/>
      <c r="AG33"/>
      <c r="AH33"/>
      <c r="AI33"/>
      <c r="AK33"/>
      <c r="AL33"/>
      <c r="AM33"/>
      <c r="AN33"/>
      <c r="AO33" s="235"/>
      <c r="AP33" s="235"/>
      <c r="AQ33" s="235"/>
      <c r="AR33" s="235"/>
      <c r="AS33" s="235"/>
    </row>
    <row r="34" spans="6:45" ht="15.95" hidden="1" customHeight="1">
      <c r="F34"/>
      <c r="G34"/>
      <c r="H34"/>
      <c r="I34"/>
      <c r="J34"/>
      <c r="K34"/>
      <c r="L34"/>
      <c r="M34"/>
      <c r="N34"/>
      <c r="O34"/>
      <c r="P34"/>
      <c r="Q34"/>
      <c r="R34"/>
      <c r="S34"/>
      <c r="T34"/>
      <c r="U34"/>
      <c r="V34"/>
      <c r="W34"/>
      <c r="AG34"/>
      <c r="AH34"/>
      <c r="AI34"/>
      <c r="AK34"/>
      <c r="AL34"/>
      <c r="AM34"/>
      <c r="AN34"/>
      <c r="AO34" s="235"/>
      <c r="AP34" s="235"/>
      <c r="AQ34" s="235"/>
      <c r="AR34" s="235"/>
      <c r="AS34" s="235"/>
    </row>
    <row r="35" spans="6:45" ht="15.95" hidden="1" customHeight="1">
      <c r="F35"/>
      <c r="G35"/>
      <c r="H35"/>
      <c r="I35"/>
      <c r="J35"/>
      <c r="K35"/>
      <c r="L35"/>
      <c r="M35"/>
      <c r="N35"/>
      <c r="O35"/>
      <c r="P35"/>
      <c r="Q35"/>
      <c r="R35"/>
      <c r="S35"/>
      <c r="T35"/>
      <c r="U35"/>
      <c r="V35"/>
      <c r="W35"/>
      <c r="AG35"/>
      <c r="AH35"/>
      <c r="AI35"/>
      <c r="AK35"/>
      <c r="AL35"/>
      <c r="AM35"/>
      <c r="AN35"/>
      <c r="AO35" s="235"/>
      <c r="AP35" s="235"/>
      <c r="AQ35" s="235"/>
      <c r="AR35" s="235"/>
      <c r="AS35" s="235"/>
    </row>
    <row r="36" spans="6:45" ht="15.95" hidden="1" customHeight="1">
      <c r="F36"/>
      <c r="G36"/>
      <c r="H36"/>
      <c r="I36"/>
      <c r="J36"/>
      <c r="K36"/>
      <c r="L36"/>
      <c r="M36"/>
      <c r="N36"/>
      <c r="O36"/>
      <c r="P36"/>
      <c r="Q36"/>
      <c r="R36"/>
      <c r="S36"/>
      <c r="T36"/>
      <c r="U36"/>
      <c r="V36"/>
      <c r="W36"/>
      <c r="X36"/>
      <c r="Y36"/>
      <c r="Z36" s="36"/>
      <c r="AA36" s="36"/>
      <c r="AB36" s="36"/>
      <c r="AC36" s="36"/>
      <c r="AM36" s="36"/>
      <c r="AN36" s="36"/>
      <c r="AO36" s="37"/>
      <c r="AP36" s="235"/>
      <c r="AQ36" s="235"/>
      <c r="AR36" s="235"/>
      <c r="AS36" s="235"/>
    </row>
    <row r="37" spans="6:45" ht="15.95" hidden="1" customHeight="1">
      <c r="F37"/>
      <c r="G37"/>
      <c r="H37"/>
      <c r="I37"/>
      <c r="J37"/>
      <c r="K37"/>
      <c r="L37"/>
      <c r="M37"/>
      <c r="N37"/>
      <c r="O37"/>
      <c r="P37"/>
      <c r="Q37"/>
      <c r="R37"/>
      <c r="S37"/>
      <c r="T37"/>
      <c r="U37"/>
      <c r="V37"/>
      <c r="W37"/>
      <c r="X37"/>
      <c r="Y37"/>
      <c r="Z37" s="36"/>
      <c r="AA37" s="36"/>
      <c r="AB37" s="36"/>
      <c r="AC37" s="36"/>
      <c r="AD37" s="36"/>
      <c r="AE37" s="36"/>
      <c r="AF37" s="36"/>
      <c r="AG37" s="36"/>
      <c r="AH37" s="36"/>
      <c r="AI37" s="36"/>
      <c r="AJ37" s="36"/>
      <c r="AK37" s="36"/>
      <c r="AL37" s="36"/>
      <c r="AM37" s="36"/>
      <c r="AN37" s="36"/>
      <c r="AO37" s="37"/>
      <c r="AP37" s="235"/>
      <c r="AQ37" s="235"/>
      <c r="AR37" s="235"/>
      <c r="AS37" s="235"/>
    </row>
    <row r="38" spans="6:45" ht="15.95" hidden="1" customHeight="1">
      <c r="F38" s="157"/>
      <c r="G38" s="157"/>
      <c r="H38" s="157"/>
      <c r="I38" s="157"/>
      <c r="J38" s="157"/>
      <c r="K38" s="157"/>
      <c r="L38" s="157"/>
      <c r="M38" s="157"/>
      <c r="N38" s="157"/>
      <c r="O38" s="157"/>
      <c r="P38" s="157"/>
      <c r="Q38" s="157"/>
      <c r="R38" s="157"/>
      <c r="S38" s="157"/>
      <c r="T38" s="157"/>
      <c r="U38" s="157"/>
      <c r="V38" s="157"/>
      <c r="W38" s="157"/>
      <c r="X38" s="157"/>
      <c r="Y38" s="157"/>
      <c r="Z38" s="36"/>
      <c r="AA38" s="36"/>
      <c r="AB38" s="36"/>
      <c r="AC38" s="36"/>
      <c r="AD38" s="36"/>
      <c r="AE38" s="36"/>
      <c r="AF38" s="36"/>
      <c r="AG38" s="36"/>
      <c r="AH38" s="36"/>
      <c r="AI38" s="36"/>
      <c r="AJ38" s="36"/>
      <c r="AK38" s="36"/>
      <c r="AL38" s="36"/>
      <c r="AM38" s="36"/>
      <c r="AN38" s="36"/>
      <c r="AO38" s="37"/>
      <c r="AP38" s="235"/>
      <c r="AQ38" s="235"/>
      <c r="AR38" s="235"/>
      <c r="AS38" s="235"/>
    </row>
    <row r="39" spans="6:45" ht="15.95" hidden="1" customHeight="1">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7"/>
      <c r="AP39" s="235"/>
      <c r="AQ39" s="235"/>
      <c r="AR39" s="235"/>
      <c r="AS39" s="235"/>
    </row>
    <row r="40" spans="6:45" ht="15.95" hidden="1" customHeight="1">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7"/>
      <c r="AP40" s="235"/>
      <c r="AQ40" s="235"/>
      <c r="AR40" s="235"/>
      <c r="AS40" s="235"/>
    </row>
    <row r="41" spans="6:45" ht="15.95" hidden="1" customHeight="1">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7"/>
      <c r="AP41" s="235"/>
      <c r="AQ41" s="235"/>
      <c r="AR41" s="235"/>
      <c r="AS41" s="235"/>
    </row>
    <row r="42" spans="6:45" ht="15.95" hidden="1" customHeight="1">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7"/>
      <c r="AP42" s="235"/>
      <c r="AQ42" s="235"/>
      <c r="AR42" s="235"/>
      <c r="AS42" s="235"/>
    </row>
    <row r="43" spans="6:45" ht="15.95" hidden="1" customHeight="1">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7"/>
      <c r="AP43" s="235"/>
      <c r="AQ43" s="235"/>
      <c r="AR43" s="235"/>
      <c r="AS43" s="235"/>
    </row>
    <row r="44" spans="6:45" ht="15.95" hidden="1" customHeight="1">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7"/>
      <c r="AP44" s="235"/>
      <c r="AQ44" s="235"/>
      <c r="AR44" s="235"/>
      <c r="AS44" s="235"/>
    </row>
    <row r="45" spans="6:45" ht="15.95" hidden="1" customHeight="1">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7"/>
      <c r="AP45" s="235"/>
      <c r="AQ45" s="235"/>
      <c r="AR45" s="235"/>
      <c r="AS45" s="235"/>
    </row>
    <row r="46" spans="6:45" ht="15.95" hidden="1" customHeight="1">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7"/>
      <c r="AP46" s="235"/>
      <c r="AQ46" s="235"/>
      <c r="AR46" s="235"/>
      <c r="AS46" s="235"/>
    </row>
    <row r="47" spans="6:45" ht="15.95" hidden="1" customHeight="1">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7"/>
      <c r="AP47" s="235"/>
      <c r="AQ47" s="235"/>
      <c r="AR47" s="235"/>
      <c r="AS47" s="235"/>
    </row>
    <row r="48" spans="6:45" ht="15.95" hidden="1" customHeight="1">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7"/>
      <c r="AP48" s="235"/>
      <c r="AQ48" s="235"/>
      <c r="AR48" s="235"/>
      <c r="AS48" s="235"/>
    </row>
    <row r="49" spans="6:45" ht="15.95" hidden="1" customHeight="1">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7"/>
      <c r="AP49" s="235"/>
      <c r="AQ49" s="235"/>
      <c r="AR49" s="235"/>
      <c r="AS49" s="235"/>
    </row>
    <row r="50" spans="6:45" ht="15.95" hidden="1" customHeight="1">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7"/>
      <c r="AP50" s="235"/>
      <c r="AQ50" s="235"/>
      <c r="AR50" s="235"/>
      <c r="AS50" s="235"/>
    </row>
    <row r="51" spans="6:45" ht="15.95" hidden="1" customHeight="1">
      <c r="Z51" s="36"/>
      <c r="AA51" s="36"/>
      <c r="AB51" s="36"/>
      <c r="AC51" s="36"/>
      <c r="AD51" s="36"/>
      <c r="AE51" s="36"/>
      <c r="AF51" s="36"/>
      <c r="AG51" s="36"/>
      <c r="AH51" s="36"/>
      <c r="AI51" s="36"/>
      <c r="AJ51" s="36"/>
      <c r="AK51" s="36"/>
      <c r="AL51" s="36"/>
      <c r="AM51" s="36"/>
      <c r="AN51" s="36"/>
      <c r="AO51" s="37"/>
      <c r="AP51" s="235"/>
      <c r="AQ51" s="235"/>
      <c r="AR51" s="235"/>
      <c r="AS51" s="235"/>
    </row>
    <row r="52" spans="6:45" ht="15.95" hidden="1" customHeight="1">
      <c r="Z52" s="36"/>
      <c r="AO52" s="235"/>
      <c r="AP52" s="235"/>
      <c r="AQ52" s="235"/>
      <c r="AR52" s="235"/>
      <c r="AS52" s="235"/>
    </row>
    <row r="53" spans="6:45" ht="15.95" hidden="1" customHeight="1">
      <c r="Z53" s="36"/>
      <c r="AO53" s="235"/>
      <c r="AP53" s="235"/>
      <c r="AQ53" s="235"/>
      <c r="AR53" s="235"/>
      <c r="AS53" s="235"/>
    </row>
    <row r="54" spans="6:45" ht="15.95" hidden="1" customHeight="1">
      <c r="Z54" s="36"/>
      <c r="AO54" s="235"/>
      <c r="AP54" s="235"/>
      <c r="AQ54" s="235"/>
      <c r="AR54" s="235"/>
      <c r="AS54" s="235"/>
    </row>
    <row r="55" spans="6:45" ht="15.95" hidden="1" customHeight="1">
      <c r="AO55" s="235"/>
      <c r="AP55" s="235"/>
      <c r="AQ55" s="235"/>
      <c r="AR55" s="235"/>
      <c r="AS55" s="235"/>
    </row>
    <row r="56" spans="6:45" ht="15.95" hidden="1" customHeight="1">
      <c r="AO56" s="235"/>
      <c r="AP56" s="235"/>
      <c r="AQ56" s="235"/>
      <c r="AR56" s="235"/>
      <c r="AS56" s="235"/>
    </row>
    <row r="57" spans="6:45" ht="15.95" hidden="1" customHeight="1">
      <c r="AO57" s="235"/>
      <c r="AP57" s="235"/>
      <c r="AQ57" s="235"/>
      <c r="AR57" s="235"/>
      <c r="AS57" s="235"/>
    </row>
    <row r="58" spans="6:45" ht="15.95" hidden="1" customHeight="1">
      <c r="AO58" s="235"/>
      <c r="AP58" s="235"/>
      <c r="AQ58" s="235"/>
      <c r="AR58" s="235"/>
      <c r="AS58" s="235"/>
    </row>
    <row r="59" spans="6:45" ht="15.95" hidden="1" customHeight="1">
      <c r="AO59" s="235"/>
      <c r="AP59" s="235"/>
      <c r="AQ59" s="235"/>
      <c r="AR59" s="235"/>
      <c r="AS59" s="235"/>
    </row>
    <row r="60" spans="6:45" ht="15.95" hidden="1" customHeight="1">
      <c r="AO60" s="235"/>
      <c r="AP60" s="235"/>
      <c r="AQ60" s="235"/>
      <c r="AR60" s="235"/>
      <c r="AS60" s="235"/>
    </row>
    <row r="61" spans="6:45" ht="15.95" hidden="1" customHeight="1">
      <c r="AO61" s="235"/>
      <c r="AP61" s="235"/>
      <c r="AQ61" s="235"/>
      <c r="AR61" s="235"/>
      <c r="AS61" s="235"/>
    </row>
    <row r="62" spans="6:45" ht="15.95" hidden="1" customHeight="1"/>
    <row r="63" spans="6:45" ht="15.95" hidden="1" customHeight="1"/>
    <row r="64" spans="6: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95" hidden="1" customHeight="1"/>
    <row r="204" spans="1:45" hidden="1"/>
    <row r="205" spans="1:45" hidden="1"/>
    <row r="206" spans="1:45" hidden="1"/>
    <row r="207" spans="1:45" hidden="1"/>
    <row r="208" spans="1:45"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sheetData>
  <sheetProtection algorithmName="SHA-512" hashValue="jS7uGtQKUlIqcfGb7XRpB+NVlc2givNNNdU3P89qCNiY7CebPhbygsqk5nuMx7W8iKd/OhdQhNaQ3t00uQ/U9g==" saltValue="mxJa4QQskzAmAoQ0Ir/6ww==" spinCount="100000" sheet="1" objects="1" scenarios="1" selectLockedCells="1"/>
  <mergeCells count="34">
    <mergeCell ref="AP1:AS3"/>
    <mergeCell ref="F1:I3"/>
    <mergeCell ref="J1:M3"/>
    <mergeCell ref="AH1:AK3"/>
    <mergeCell ref="AL1:AO3"/>
    <mergeCell ref="O1:AE3"/>
    <mergeCell ref="A4:E6"/>
    <mergeCell ref="A7:E8"/>
    <mergeCell ref="A9:AS10"/>
    <mergeCell ref="AO5:AS6"/>
    <mergeCell ref="AO7:AS7"/>
    <mergeCell ref="AO8:AS8"/>
    <mergeCell ref="M200:AG201"/>
    <mergeCell ref="H17:J17"/>
    <mergeCell ref="K17:S17"/>
    <mergeCell ref="H18:J18"/>
    <mergeCell ref="K18:S18"/>
    <mergeCell ref="H19:J19"/>
    <mergeCell ref="K19:S19"/>
    <mergeCell ref="H20:J20"/>
    <mergeCell ref="K20:S20"/>
    <mergeCell ref="H21:J21"/>
    <mergeCell ref="H24:S25"/>
    <mergeCell ref="H22:J22"/>
    <mergeCell ref="K22:S22"/>
    <mergeCell ref="K21:S21"/>
    <mergeCell ref="V27:AG32"/>
    <mergeCell ref="G12:S12"/>
    <mergeCell ref="U12:AG12"/>
    <mergeCell ref="AI24:AQ26"/>
    <mergeCell ref="V14:AG16"/>
    <mergeCell ref="V17:AG21"/>
    <mergeCell ref="V22:AG26"/>
    <mergeCell ref="AI21:AQ23"/>
  </mergeCells>
  <conditionalFormatting sqref="H17">
    <cfRule type="expression" dxfId="36" priority="1">
      <formula>IF(AND(INCENTOTALPRESE&gt;0,INCENTOTALPRESE&lt;=10000,INCENTOTALCUSE=0),FALSE,TRUE)</formula>
    </cfRule>
  </conditionalFormatting>
  <conditionalFormatting sqref="K17:S17">
    <cfRule type="expression" dxfId="35" priority="3">
      <formula>IF(AND(INCENTOTALPRESE&gt;0,INCENTOTALPRESE&lt;10000,INCENTOTALCUSE=0),FALSE,TRUE)</formula>
    </cfRule>
  </conditionalFormatting>
  <conditionalFormatting sqref="AO8:AS8">
    <cfRule type="expression" dxfId="34" priority="2">
      <formula>IF($AO$8=PROJSTATMEASURE,FALSE,TRUE)</formula>
    </cfRule>
  </conditionalFormatting>
  <hyperlinks>
    <hyperlink ref="AI21:AQ23" r:id="rId1" tooltip="Draft Email" display="✉ Draft Email" xr:uid="{EC3FD879-2F08-42D8-8473-107B8573BEB8}"/>
    <hyperlink ref="J1:M3" location="'M01-S02'!J1" tooltip="Instructions" display="'M01-S02'!J1" xr:uid="{45CD1543-B1D1-4D3A-8F0B-CF67B116D4FF}"/>
    <hyperlink ref="AL1:AO3" location="'M05-S05'!AL1" tooltip=" " display="'M05-S05'!AL1" xr:uid="{7F28B32F-D55E-486D-98BB-E458637A6228}"/>
    <hyperlink ref="AH1:AK3" location="'M05-S04'!AH1" tooltip=" " display="'M05-S04'!AH1" xr:uid="{37F66B17-BCD8-4170-9934-1742AB2D039A}"/>
    <hyperlink ref="AP1:AS3" location="'M01-S03'!AP1" tooltip="Contact" display="'M01-S03'!AP1" xr:uid="{00FEF401-8732-425C-8802-0AE18D489B09}"/>
    <hyperlink ref="B202" r:id="rId2" xr:uid="{8555F273-FA4E-4F67-B35D-FDEC1FDBA525}"/>
  </hyperlinks>
  <printOptions horizontalCentered="1"/>
  <pageMargins left="0.25" right="0.25" top="0.25" bottom="0.25" header="0.25" footer="0.25"/>
  <pageSetup scale="62"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AW370"/>
  <sheetViews>
    <sheetView showGridLines="0" showRowColHeaders="0" zoomScale="85" zoomScaleNormal="85" zoomScalePageLayoutView="70" workbookViewId="0"/>
  </sheetViews>
  <sheetFormatPr defaultColWidth="0" defaultRowHeight="15" customHeight="1" zeroHeight="1"/>
  <cols>
    <col min="1" max="45" width="4.7109375" customWidth="1"/>
    <col min="46" max="16384" width="4.7109375" hidden="1"/>
  </cols>
  <sheetData>
    <row r="1" spans="1:45"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1205">
        <f>INCENTOTAL</f>
        <v>0</v>
      </c>
      <c r="B4" s="1205"/>
      <c r="C4" s="1205"/>
      <c r="D4" s="1205"/>
      <c r="E4" s="1205"/>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ht="14.25" customHeight="1">
      <c r="A9" s="720" t="str">
        <f>M5S3</f>
        <v>Project Summary</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ht="18.7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80" customFormat="1" ht="18.75" customHeight="1">
      <c r="A11" s="289"/>
      <c r="B11" s="289"/>
      <c r="C11" s="289"/>
      <c r="D11" s="289"/>
      <c r="E11" s="289"/>
      <c r="F11" s="289"/>
      <c r="G11" s="289"/>
      <c r="H11" s="289"/>
      <c r="J11" s="1305" t="s">
        <v>2652</v>
      </c>
      <c r="K11" s="1305"/>
      <c r="L11" s="1305"/>
      <c r="M11" s="1305"/>
      <c r="N11" s="1305"/>
      <c r="O11" s="1305"/>
      <c r="P11" s="1305"/>
      <c r="Q11" s="1302" t="s">
        <v>2653</v>
      </c>
      <c r="R11" s="1302"/>
      <c r="S11" s="1302"/>
      <c r="T11" s="1302"/>
      <c r="U11" s="1302"/>
      <c r="V11" s="1302"/>
      <c r="W11" s="1302"/>
      <c r="X11" s="1302"/>
      <c r="Y11" s="1302"/>
      <c r="Z11" s="1302"/>
      <c r="AA11" s="1302"/>
      <c r="AB11" s="1302"/>
      <c r="AC11" s="1302"/>
      <c r="AD11" s="1302"/>
      <c r="AE11" s="1302"/>
      <c r="AF11" s="1302"/>
      <c r="AG11" s="1302"/>
      <c r="AH11" s="1302"/>
      <c r="AI11" s="1302"/>
      <c r="AJ11" s="1302"/>
      <c r="AK11" s="578"/>
      <c r="AL11" s="289"/>
      <c r="AM11" s="424"/>
      <c r="AN11" s="424"/>
      <c r="AO11" s="235"/>
      <c r="AP11" s="235"/>
      <c r="AQ11" s="235"/>
      <c r="AR11" s="235"/>
      <c r="AS11" s="235"/>
    </row>
    <row r="12" spans="1:45" ht="15.95" customHeight="1">
      <c r="J12" s="1305"/>
      <c r="K12" s="1305"/>
      <c r="L12" s="1305"/>
      <c r="M12" s="1305"/>
      <c r="N12" s="1305"/>
      <c r="O12" s="1305"/>
      <c r="P12" s="1305"/>
      <c r="Q12" s="1302"/>
      <c r="R12" s="1302"/>
      <c r="S12" s="1302"/>
      <c r="T12" s="1302"/>
      <c r="U12" s="1302"/>
      <c r="V12" s="1302"/>
      <c r="W12" s="1302"/>
      <c r="X12" s="1302"/>
      <c r="Y12" s="1302"/>
      <c r="Z12" s="1302"/>
      <c r="AA12" s="1302"/>
      <c r="AB12" s="1302"/>
      <c r="AC12" s="1302"/>
      <c r="AD12" s="1302"/>
      <c r="AE12" s="1302"/>
      <c r="AF12" s="1302"/>
      <c r="AG12" s="1302"/>
      <c r="AH12" s="1302"/>
      <c r="AI12" s="1302"/>
      <c r="AJ12" s="1302"/>
      <c r="AK12" s="578"/>
      <c r="AL12" s="298"/>
      <c r="AM12" s="424"/>
      <c r="AN12" s="424"/>
      <c r="AO12" s="37"/>
      <c r="AP12" s="235"/>
      <c r="AQ12" s="235"/>
      <c r="AR12" s="235"/>
      <c r="AS12" s="235"/>
    </row>
    <row r="13" spans="1:45" s="180" customFormat="1" ht="15.95" customHeight="1">
      <c r="J13" s="1305"/>
      <c r="K13" s="1305"/>
      <c r="L13" s="1305"/>
      <c r="M13" s="1305"/>
      <c r="N13" s="1305"/>
      <c r="O13" s="1305"/>
      <c r="P13" s="1305"/>
      <c r="Q13" s="1302"/>
      <c r="R13" s="1302"/>
      <c r="S13" s="1302"/>
      <c r="T13" s="1302"/>
      <c r="U13" s="1302"/>
      <c r="V13" s="1302"/>
      <c r="W13" s="1302"/>
      <c r="X13" s="1302"/>
      <c r="Y13" s="1302"/>
      <c r="Z13" s="1302"/>
      <c r="AA13" s="1302"/>
      <c r="AB13" s="1302"/>
      <c r="AC13" s="1302"/>
      <c r="AD13" s="1302"/>
      <c r="AE13" s="1302"/>
      <c r="AF13" s="1302"/>
      <c r="AG13" s="1302"/>
      <c r="AH13" s="1302"/>
      <c r="AI13" s="1302"/>
      <c r="AJ13" s="1302"/>
      <c r="AK13" s="578"/>
      <c r="AL13" s="298"/>
      <c r="AM13" s="577"/>
      <c r="AN13" s="577"/>
      <c r="AO13" s="37"/>
      <c r="AP13" s="235"/>
      <c r="AQ13" s="235"/>
      <c r="AR13" s="235"/>
      <c r="AS13" s="235"/>
    </row>
    <row r="14" spans="1:45" ht="15.95" customHeight="1">
      <c r="X14" s="298"/>
      <c r="Y14" s="298"/>
      <c r="Z14" s="298"/>
      <c r="AA14" s="298"/>
      <c r="AB14" s="298"/>
      <c r="AC14" s="298"/>
      <c r="AD14" s="298"/>
      <c r="AE14" s="298"/>
      <c r="AF14" s="298"/>
      <c r="AG14" s="298"/>
      <c r="AH14" s="298"/>
      <c r="AI14" s="298"/>
      <c r="AJ14" s="298"/>
      <c r="AK14" s="298"/>
      <c r="AL14" s="298"/>
      <c r="AM14" s="298"/>
      <c r="AN14" s="298"/>
      <c r="AO14" s="349"/>
      <c r="AP14" s="349"/>
      <c r="AQ14" s="349"/>
      <c r="AR14" s="349"/>
      <c r="AS14" s="235"/>
    </row>
    <row r="15" spans="1:45" ht="15.95" customHeight="1">
      <c r="H15" s="13"/>
      <c r="I15" s="95"/>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6"/>
      <c r="AL15" s="13"/>
      <c r="AO15" s="235"/>
      <c r="AP15" s="235"/>
      <c r="AQ15" s="235"/>
      <c r="AR15" s="350"/>
      <c r="AS15" s="235"/>
    </row>
    <row r="16" spans="1:45" ht="15.95" customHeight="1">
      <c r="H16" s="13"/>
      <c r="I16" s="59"/>
      <c r="J16" s="1296" t="s">
        <v>1987</v>
      </c>
      <c r="K16" s="1296"/>
      <c r="L16" s="1296"/>
      <c r="M16" s="1296"/>
      <c r="N16" s="1296"/>
      <c r="O16" s="1296"/>
      <c r="P16" s="1296"/>
      <c r="Q16" s="1296"/>
      <c r="R16" s="1296"/>
      <c r="S16" s="1296"/>
      <c r="T16" s="1296"/>
      <c r="U16" s="1296"/>
      <c r="V16" s="1296"/>
      <c r="W16" s="1296"/>
      <c r="X16" s="1296"/>
      <c r="Y16" s="1296"/>
      <c r="Z16" s="1296"/>
      <c r="AA16" s="1296"/>
      <c r="AB16" s="1296"/>
      <c r="AC16" s="449"/>
      <c r="AD16" s="450"/>
      <c r="AE16" s="450"/>
      <c r="AF16" s="451"/>
      <c r="AG16" s="451"/>
      <c r="AH16" s="451"/>
      <c r="AI16" s="451"/>
      <c r="AJ16" s="452"/>
      <c r="AK16" s="107"/>
      <c r="AL16" s="104"/>
      <c r="AO16" s="235"/>
      <c r="AP16" s="235"/>
      <c r="AQ16" s="235"/>
      <c r="AR16" s="350"/>
      <c r="AS16" s="235"/>
    </row>
    <row r="17" spans="2:45" ht="15.95" customHeight="1">
      <c r="B17" s="36"/>
      <c r="H17" s="13"/>
      <c r="I17" s="59"/>
      <c r="J17" s="1296"/>
      <c r="K17" s="1296"/>
      <c r="L17" s="1296"/>
      <c r="M17" s="1296"/>
      <c r="N17" s="1296"/>
      <c r="O17" s="1296"/>
      <c r="P17" s="1296"/>
      <c r="Q17" s="1296"/>
      <c r="R17" s="1296"/>
      <c r="S17" s="1296"/>
      <c r="T17" s="1296"/>
      <c r="U17" s="1296"/>
      <c r="V17" s="1296"/>
      <c r="W17" s="1296"/>
      <c r="X17" s="1296"/>
      <c r="Y17" s="1296"/>
      <c r="Z17" s="1296"/>
      <c r="AA17" s="1296"/>
      <c r="AB17" s="1296"/>
      <c r="AC17" s="453"/>
      <c r="AD17" s="600"/>
      <c r="AE17" s="600"/>
      <c r="AF17" s="601"/>
      <c r="AG17" s="601"/>
      <c r="AH17" s="601"/>
      <c r="AI17" s="601"/>
      <c r="AJ17" s="454"/>
      <c r="AK17" s="107"/>
      <c r="AL17" s="104"/>
    </row>
    <row r="18" spans="2:45" ht="15.95" customHeight="1">
      <c r="B18" s="36"/>
      <c r="H18" s="13"/>
      <c r="I18" s="59"/>
      <c r="J18" s="1296"/>
      <c r="K18" s="1296"/>
      <c r="L18" s="1296"/>
      <c r="M18" s="1296"/>
      <c r="N18" s="1296"/>
      <c r="O18" s="1296"/>
      <c r="P18" s="1296"/>
      <c r="Q18" s="1296"/>
      <c r="R18" s="1296"/>
      <c r="S18" s="1296"/>
      <c r="T18" s="1296"/>
      <c r="U18" s="1296"/>
      <c r="V18" s="1296"/>
      <c r="W18" s="1296"/>
      <c r="X18" s="1296"/>
      <c r="Y18" s="1296"/>
      <c r="Z18" s="1296"/>
      <c r="AA18" s="1296"/>
      <c r="AB18" s="1296"/>
      <c r="AC18" s="453"/>
      <c r="AD18" s="600"/>
      <c r="AE18" s="600"/>
      <c r="AF18" s="601"/>
      <c r="AG18" s="601"/>
      <c r="AH18" s="601"/>
      <c r="AI18" s="601"/>
      <c r="AJ18" s="454"/>
      <c r="AK18" s="107"/>
      <c r="AL18" s="104"/>
    </row>
    <row r="19" spans="2:45" ht="15.95" customHeight="1">
      <c r="B19" s="36"/>
      <c r="H19" s="13"/>
      <c r="I19" s="59"/>
      <c r="J19" s="1296"/>
      <c r="K19" s="1296"/>
      <c r="L19" s="1296"/>
      <c r="M19" s="1296"/>
      <c r="N19" s="1296"/>
      <c r="O19" s="1296"/>
      <c r="P19" s="1296"/>
      <c r="Q19" s="1296"/>
      <c r="R19" s="1296"/>
      <c r="S19" s="1296"/>
      <c r="T19" s="1296"/>
      <c r="U19" s="1296"/>
      <c r="V19" s="1296"/>
      <c r="W19" s="1296"/>
      <c r="X19" s="1296"/>
      <c r="Y19" s="1296"/>
      <c r="Z19" s="1296"/>
      <c r="AA19" s="1296"/>
      <c r="AB19" s="1296"/>
      <c r="AC19" s="455"/>
      <c r="AD19" s="456"/>
      <c r="AE19" s="456"/>
      <c r="AF19" s="457"/>
      <c r="AG19" s="457"/>
      <c r="AH19" s="457"/>
      <c r="AI19" s="457"/>
      <c r="AJ19" s="458"/>
      <c r="AK19" s="107"/>
      <c r="AL19" s="104"/>
    </row>
    <row r="20" spans="2:45" ht="15.95" customHeight="1">
      <c r="B20" s="36"/>
      <c r="H20" s="13"/>
      <c r="I20" s="59"/>
      <c r="J20" s="1301" t="str">
        <f>IF(M02S03F01="","",M02S03F01)</f>
        <v/>
      </c>
      <c r="K20" s="1301"/>
      <c r="L20" s="1301"/>
      <c r="M20" s="1301"/>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00"/>
      <c r="AL20" s="13"/>
      <c r="AO20" s="235"/>
      <c r="AP20" s="235"/>
      <c r="AQ20" s="235"/>
      <c r="AR20" s="235"/>
      <c r="AS20" s="235"/>
    </row>
    <row r="21" spans="2:45" ht="15.95" customHeight="1">
      <c r="B21" s="36"/>
      <c r="H21" s="13"/>
      <c r="I21" s="59"/>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00"/>
      <c r="AL21" s="13"/>
      <c r="AO21" s="235"/>
      <c r="AP21" s="235"/>
      <c r="AQ21" s="235"/>
      <c r="AR21" s="235"/>
      <c r="AS21" s="235"/>
    </row>
    <row r="22" spans="2:45" ht="15.95" customHeight="1">
      <c r="B22" s="36"/>
      <c r="H22" s="13"/>
      <c r="I22" s="59"/>
      <c r="J22" s="111" t="s">
        <v>1695</v>
      </c>
      <c r="K22" s="40"/>
      <c r="L22" s="40"/>
      <c r="M22" s="40"/>
      <c r="N22" s="40"/>
      <c r="O22" s="1300" t="str">
        <f>IF(M02S04F18="","",M02S04F18)</f>
        <v/>
      </c>
      <c r="P22" s="1300"/>
      <c r="Q22" s="1300"/>
      <c r="R22" s="1300"/>
      <c r="S22" s="1300"/>
      <c r="T22" s="1300"/>
      <c r="U22" s="1300"/>
      <c r="V22" s="1300"/>
      <c r="W22" s="1300"/>
      <c r="X22" s="1300"/>
      <c r="Y22" s="113" t="s">
        <v>1691</v>
      </c>
      <c r="AA22" s="299"/>
      <c r="AB22" s="1300" t="str">
        <f>IF(M02S02F02="","",M02S02F02)</f>
        <v/>
      </c>
      <c r="AC22" s="1300"/>
      <c r="AD22" s="1300"/>
      <c r="AE22" s="1300"/>
      <c r="AF22" s="1300"/>
      <c r="AG22" s="1300"/>
      <c r="AH22" s="1300"/>
      <c r="AI22" s="1300"/>
      <c r="AJ22" s="1300"/>
      <c r="AK22" s="100"/>
      <c r="AL22" s="13"/>
      <c r="AO22" s="235"/>
      <c r="AP22" s="235"/>
      <c r="AQ22" s="235"/>
      <c r="AR22" s="235"/>
      <c r="AS22" s="235"/>
    </row>
    <row r="23" spans="2:45" ht="15.95" customHeight="1">
      <c r="B23" s="36"/>
      <c r="H23" s="13"/>
      <c r="I23" s="59"/>
      <c r="J23" s="111" t="s">
        <v>1179</v>
      </c>
      <c r="K23" s="112"/>
      <c r="L23" s="112"/>
      <c r="O23" s="1300" t="str">
        <f>IF(OR(M02S04F08="",M02S04F09="",M02S04F10="",M02S04F11=""),"",CONCATENATE(M02S04F08,", ",M02S04F09, ", ", M02S04F10, " ", M02S04F11 ))</f>
        <v/>
      </c>
      <c r="P23" s="1300"/>
      <c r="Q23" s="1300"/>
      <c r="R23" s="1300"/>
      <c r="S23" s="1300"/>
      <c r="T23" s="1300"/>
      <c r="U23" s="1300"/>
      <c r="V23" s="1300"/>
      <c r="W23" s="1300"/>
      <c r="X23" s="1300"/>
      <c r="Y23" s="113" t="s">
        <v>1692</v>
      </c>
      <c r="AA23" s="112"/>
      <c r="AB23" s="1300" t="str">
        <f>IF(OR(M02S02F03="",M02S02F04="",M02S02F05="",M02S02F06=""),"",CONCATENATE(M02S02F03,", ",M02S02F04, ", ", M02S02F05, " ", M02S02F06 ))</f>
        <v/>
      </c>
      <c r="AC23" s="1300"/>
      <c r="AD23" s="1300"/>
      <c r="AE23" s="1300"/>
      <c r="AF23" s="1300"/>
      <c r="AG23" s="1300"/>
      <c r="AH23" s="1300"/>
      <c r="AI23" s="1300"/>
      <c r="AJ23" s="1300"/>
      <c r="AK23" s="100"/>
      <c r="AL23" s="13"/>
      <c r="AO23" s="235"/>
      <c r="AP23" s="235"/>
      <c r="AQ23" s="235"/>
      <c r="AR23" s="235"/>
      <c r="AS23" s="235"/>
    </row>
    <row r="24" spans="2:45" ht="15.95" customHeight="1">
      <c r="B24" s="36"/>
      <c r="H24" s="13"/>
      <c r="I24" s="59"/>
      <c r="J24" s="111" t="s">
        <v>1180</v>
      </c>
      <c r="O24" s="1300" t="str">
        <f>PROPER(M02S04F12&amp;" "&amp;M02S04F13)</f>
        <v xml:space="preserve"> </v>
      </c>
      <c r="P24" s="1300"/>
      <c r="Q24" s="1300"/>
      <c r="R24" s="1300"/>
      <c r="S24" s="1300"/>
      <c r="T24" s="1300"/>
      <c r="U24" s="1300"/>
      <c r="V24" s="1300"/>
      <c r="W24" s="1300"/>
      <c r="X24" s="1300"/>
      <c r="Y24" s="113" t="s">
        <v>1180</v>
      </c>
      <c r="AA24" s="112"/>
      <c r="AB24" s="1300" t="str">
        <f>PROPER(M02S02F07&amp;" "&amp;M02S02F08)</f>
        <v xml:space="preserve"> </v>
      </c>
      <c r="AC24" s="1300"/>
      <c r="AD24" s="1300"/>
      <c r="AE24" s="1300"/>
      <c r="AF24" s="1300"/>
      <c r="AG24" s="1300"/>
      <c r="AH24" s="1300"/>
      <c r="AI24" s="1300"/>
      <c r="AJ24" s="1300"/>
      <c r="AK24" s="100"/>
      <c r="AL24" s="13"/>
      <c r="AO24" s="235"/>
      <c r="AP24" s="235"/>
      <c r="AQ24" s="235"/>
      <c r="AR24" s="235"/>
      <c r="AS24" s="235"/>
    </row>
    <row r="25" spans="2:45" ht="15.95" customHeight="1">
      <c r="B25" s="36"/>
      <c r="H25" s="13"/>
      <c r="I25" s="59"/>
      <c r="J25" s="111" t="s">
        <v>1693</v>
      </c>
      <c r="O25" s="1299" t="str">
        <f>IF(M02S04F15="","",M02S04F15)</f>
        <v/>
      </c>
      <c r="P25" s="1299"/>
      <c r="Q25" s="1299"/>
      <c r="R25" s="1299"/>
      <c r="S25" s="1299"/>
      <c r="T25" s="1299"/>
      <c r="U25" s="1299"/>
      <c r="V25" s="1299"/>
      <c r="W25" s="1299"/>
      <c r="X25" s="1299"/>
      <c r="Y25" s="113" t="s">
        <v>1181</v>
      </c>
      <c r="AA25" s="112"/>
      <c r="AB25" s="1299">
        <f>M02S02F10</f>
        <v>0</v>
      </c>
      <c r="AC25" s="1299"/>
      <c r="AD25" s="1299"/>
      <c r="AE25" s="1299"/>
      <c r="AF25" s="1299"/>
      <c r="AG25" s="1299"/>
      <c r="AH25" s="1299"/>
      <c r="AI25" s="1299"/>
      <c r="AJ25" s="1299"/>
      <c r="AK25" s="100"/>
      <c r="AL25" s="13"/>
      <c r="AO25" s="235"/>
      <c r="AP25" s="235"/>
      <c r="AQ25" s="235"/>
      <c r="AR25" s="235"/>
      <c r="AS25" s="235"/>
    </row>
    <row r="26" spans="2:45" ht="15.95" customHeight="1">
      <c r="B26" s="36"/>
      <c r="H26" s="13"/>
      <c r="I26" s="59"/>
      <c r="J26" s="111" t="s">
        <v>1694</v>
      </c>
      <c r="O26" s="1300" t="str">
        <f>IF(M02S04F16="","",M02S04F16)</f>
        <v/>
      </c>
      <c r="P26" s="1300"/>
      <c r="Q26" s="1300"/>
      <c r="R26" s="1300"/>
      <c r="S26" s="1300"/>
      <c r="T26" s="1300"/>
      <c r="U26" s="1300"/>
      <c r="V26" s="1300"/>
      <c r="W26" s="1300"/>
      <c r="X26" s="1300"/>
      <c r="Y26" s="300" t="s">
        <v>1186</v>
      </c>
      <c r="Z26" s="40"/>
      <c r="AA26" s="40"/>
      <c r="AB26" s="1299" t="str">
        <f>IF(M02S02F11="","",M02S02F11)</f>
        <v/>
      </c>
      <c r="AC26" s="1299"/>
      <c r="AD26" s="1299"/>
      <c r="AE26" s="1299"/>
      <c r="AF26" s="1299"/>
      <c r="AG26" s="1299"/>
      <c r="AH26" s="1299"/>
      <c r="AI26" s="1299"/>
      <c r="AJ26" s="1299"/>
      <c r="AK26" s="100"/>
      <c r="AL26" s="13"/>
      <c r="AO26" s="235"/>
      <c r="AP26" s="235"/>
      <c r="AQ26" s="235"/>
      <c r="AR26" s="235"/>
      <c r="AS26" s="235"/>
    </row>
    <row r="27" spans="2:45" ht="15.95" customHeight="1">
      <c r="B27" s="36"/>
      <c r="H27" s="13"/>
      <c r="I27" s="59"/>
      <c r="AK27" s="100"/>
      <c r="AL27" s="13"/>
      <c r="AO27" s="235"/>
      <c r="AP27" s="235"/>
      <c r="AQ27" s="235"/>
      <c r="AR27" s="350"/>
      <c r="AS27" s="235"/>
    </row>
    <row r="28" spans="2:45" ht="15.95" customHeight="1" thickBot="1">
      <c r="B28" s="36"/>
      <c r="H28" s="13"/>
      <c r="I28" s="59"/>
      <c r="AK28" s="100"/>
      <c r="AL28" s="13"/>
      <c r="AO28" s="235"/>
      <c r="AP28" s="235"/>
      <c r="AQ28" s="235"/>
      <c r="AR28" s="350"/>
      <c r="AS28" s="235"/>
    </row>
    <row r="29" spans="2:45" ht="15.95" customHeight="1" thickBot="1">
      <c r="B29" s="36"/>
      <c r="H29" s="13"/>
      <c r="I29" s="59"/>
      <c r="J29" s="459"/>
      <c r="K29" s="1303" t="s">
        <v>1182</v>
      </c>
      <c r="L29" s="1304"/>
      <c r="M29" s="1304"/>
      <c r="N29" s="1304"/>
      <c r="O29" s="1304"/>
      <c r="P29" s="1304"/>
      <c r="Q29" s="1304"/>
      <c r="R29" s="1304"/>
      <c r="S29" s="1304"/>
      <c r="T29" s="1304"/>
      <c r="U29" s="1304"/>
      <c r="V29" s="1304"/>
      <c r="W29" s="1304"/>
      <c r="X29" s="1304"/>
      <c r="Y29" s="1304"/>
      <c r="Z29" s="1304"/>
      <c r="AA29" s="1304"/>
      <c r="AB29" s="1304"/>
      <c r="AC29" s="1304"/>
      <c r="AD29" s="1269" t="str">
        <f ca="1">IFERROR(IF(KWHSTATUS*M02S04F06=0,"---",KWHSTATUS*M02S04F06*5),"---")</f>
        <v>---</v>
      </c>
      <c r="AE29" s="1268"/>
      <c r="AF29" s="1268"/>
      <c r="AG29" s="1268"/>
      <c r="AH29" s="1268"/>
      <c r="AI29" s="1268"/>
      <c r="AJ29" s="1268"/>
      <c r="AK29" s="100"/>
      <c r="AL29" s="13"/>
      <c r="AO29" s="235"/>
      <c r="AP29" s="235"/>
      <c r="AQ29" s="235"/>
      <c r="AR29" s="350"/>
      <c r="AS29" s="235"/>
    </row>
    <row r="30" spans="2:45" ht="15.95" customHeight="1" thickBot="1">
      <c r="B30" s="36"/>
      <c r="H30" s="13"/>
      <c r="I30" s="59"/>
      <c r="J30" s="460"/>
      <c r="K30" s="1303"/>
      <c r="L30" s="1304"/>
      <c r="M30" s="1304"/>
      <c r="N30" s="1304"/>
      <c r="O30" s="1304"/>
      <c r="P30" s="1304"/>
      <c r="Q30" s="1304"/>
      <c r="R30" s="1304"/>
      <c r="S30" s="1304"/>
      <c r="T30" s="1304"/>
      <c r="U30" s="1304"/>
      <c r="V30" s="1304"/>
      <c r="W30" s="1304"/>
      <c r="X30" s="1304"/>
      <c r="Y30" s="1304"/>
      <c r="Z30" s="1304"/>
      <c r="AA30" s="1304"/>
      <c r="AB30" s="1304"/>
      <c r="AC30" s="1304"/>
      <c r="AD30" s="1268"/>
      <c r="AE30" s="1268"/>
      <c r="AF30" s="1268"/>
      <c r="AG30" s="1268"/>
      <c r="AH30" s="1268"/>
      <c r="AI30" s="1268"/>
      <c r="AJ30" s="1268"/>
      <c r="AK30" s="100"/>
      <c r="AL30" s="13"/>
      <c r="AO30" s="235"/>
      <c r="AP30" s="235"/>
      <c r="AQ30" s="235"/>
      <c r="AR30" s="350"/>
      <c r="AS30" s="235"/>
    </row>
    <row r="31" spans="2:45" ht="15.95" customHeight="1" thickBot="1">
      <c r="B31" s="36"/>
      <c r="H31" s="13"/>
      <c r="I31" s="59"/>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100"/>
      <c r="AL31" s="13"/>
      <c r="AO31" s="235"/>
      <c r="AP31" s="235"/>
      <c r="AQ31" s="235"/>
      <c r="AR31" s="350"/>
      <c r="AS31" s="235"/>
    </row>
    <row r="32" spans="2:45" ht="15.95" customHeight="1">
      <c r="B32" s="36"/>
      <c r="H32" s="13"/>
      <c r="I32" s="59"/>
      <c r="J32" s="1266" t="s">
        <v>69</v>
      </c>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00"/>
      <c r="AL32" s="13"/>
      <c r="AO32" s="235"/>
      <c r="AP32" s="235"/>
      <c r="AQ32" s="235"/>
      <c r="AR32" s="350"/>
      <c r="AS32" s="235"/>
    </row>
    <row r="33" spans="2:45" ht="15.95" customHeight="1">
      <c r="B33" s="36"/>
      <c r="H33" s="13"/>
      <c r="I33" s="59"/>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00"/>
      <c r="AL33" s="13"/>
      <c r="AO33" s="235"/>
      <c r="AP33" s="235"/>
      <c r="AQ33" s="235"/>
      <c r="AR33" s="350"/>
      <c r="AS33" s="235"/>
    </row>
    <row r="34" spans="2:45" ht="15.95" customHeight="1">
      <c r="B34" s="36"/>
      <c r="H34" s="13"/>
      <c r="I34" s="59"/>
      <c r="J34" s="39"/>
      <c r="K34" s="39"/>
      <c r="L34" s="39"/>
      <c r="M34" s="39"/>
      <c r="N34" s="39"/>
      <c r="O34" s="39"/>
      <c r="P34" s="39"/>
      <c r="Q34" s="40"/>
      <c r="R34" s="40"/>
      <c r="S34" s="40"/>
      <c r="T34" s="40"/>
      <c r="U34" s="1295"/>
      <c r="V34" s="1295"/>
      <c r="W34" s="1295"/>
      <c r="X34" s="1295"/>
      <c r="Y34" s="1295"/>
      <c r="Z34" s="40"/>
      <c r="AA34" s="40"/>
      <c r="AB34" s="40"/>
      <c r="AC34" s="40"/>
      <c r="AD34" s="40"/>
      <c r="AE34" s="40"/>
      <c r="AF34" s="40"/>
      <c r="AG34" s="40"/>
      <c r="AH34" s="40"/>
      <c r="AI34" s="40"/>
      <c r="AJ34" s="40"/>
      <c r="AK34" s="100"/>
      <c r="AL34" s="13"/>
      <c r="AO34" s="235"/>
      <c r="AP34" s="235"/>
      <c r="AQ34" s="235"/>
      <c r="AR34" s="350"/>
      <c r="AS34" s="235"/>
    </row>
    <row r="35" spans="2:45" ht="15.95" customHeight="1">
      <c r="B35" s="36"/>
      <c r="H35" s="13"/>
      <c r="I35" s="59"/>
      <c r="J35" s="40"/>
      <c r="K35" s="13"/>
      <c r="L35" s="40"/>
      <c r="M35" s="13"/>
      <c r="N35" s="13"/>
      <c r="O35" s="13"/>
      <c r="P35" s="13"/>
      <c r="Q35" s="13"/>
      <c r="R35" s="40"/>
      <c r="S35" s="40"/>
      <c r="T35" s="40"/>
      <c r="U35" s="1295"/>
      <c r="V35" s="1295"/>
      <c r="W35" s="1295"/>
      <c r="X35" s="1295"/>
      <c r="Y35" s="1295"/>
      <c r="Z35" s="39"/>
      <c r="AA35" s="39"/>
      <c r="AB35" s="105"/>
      <c r="AC35" s="105"/>
      <c r="AD35" s="13"/>
      <c r="AE35" s="13"/>
      <c r="AF35" s="105"/>
      <c r="AG35" s="105"/>
      <c r="AH35" s="105"/>
      <c r="AI35" s="105"/>
      <c r="AJ35" s="40"/>
      <c r="AK35" s="100"/>
      <c r="AL35" s="13"/>
      <c r="AO35" s="235"/>
      <c r="AP35" s="235"/>
      <c r="AQ35" s="235"/>
      <c r="AR35" s="350"/>
      <c r="AS35" s="235"/>
    </row>
    <row r="36" spans="2:45" s="14" customFormat="1" ht="15.95" customHeight="1">
      <c r="B36" s="36"/>
      <c r="F36"/>
      <c r="G36"/>
      <c r="H36" s="13"/>
      <c r="I36" s="59"/>
      <c r="K36" s="1298" t="str">
        <f ca="1">IFERROR(IF(KWHSTATUS*M02S04F06=0,"---",KWHSTATUS*M02S04F06),"---")</f>
        <v>---</v>
      </c>
      <c r="L36" s="1298"/>
      <c r="M36" s="1298"/>
      <c r="N36" s="1298"/>
      <c r="O36" s="1298"/>
      <c r="P36" s="1298"/>
      <c r="Q36" s="1298"/>
      <c r="R36" s="1298"/>
      <c r="S36" s="1298"/>
      <c r="T36" s="1298"/>
      <c r="U36" s="1295"/>
      <c r="V36" s="1295"/>
      <c r="W36" s="1295"/>
      <c r="X36" s="1295"/>
      <c r="Y36" s="1295"/>
      <c r="Z36" s="1298" t="str">
        <f>IF(INCENTOTAL=0,"---",INCENTOTAL)</f>
        <v>---</v>
      </c>
      <c r="AA36" s="1298"/>
      <c r="AB36" s="1298"/>
      <c r="AC36" s="1298"/>
      <c r="AD36" s="1298"/>
      <c r="AE36" s="1298"/>
      <c r="AF36" s="1298"/>
      <c r="AG36" s="1298"/>
      <c r="AH36" s="1298"/>
      <c r="AI36" s="1298"/>
      <c r="AK36" s="100"/>
      <c r="AL36" s="13"/>
      <c r="AO36" s="235"/>
      <c r="AP36" s="235"/>
      <c r="AQ36" s="235"/>
      <c r="AR36" s="235"/>
      <c r="AS36" s="235"/>
    </row>
    <row r="37" spans="2:45" s="14" customFormat="1" ht="15.95" customHeight="1">
      <c r="B37" s="36"/>
      <c r="F37"/>
      <c r="G37"/>
      <c r="H37" s="13"/>
      <c r="I37" s="59"/>
      <c r="K37" s="1298"/>
      <c r="L37" s="1298"/>
      <c r="M37" s="1298"/>
      <c r="N37" s="1298"/>
      <c r="O37" s="1298"/>
      <c r="P37" s="1298"/>
      <c r="Q37" s="1298"/>
      <c r="R37" s="1298"/>
      <c r="S37" s="1298"/>
      <c r="T37" s="1298"/>
      <c r="U37" s="1295"/>
      <c r="V37" s="1295"/>
      <c r="W37" s="1295"/>
      <c r="X37" s="1295"/>
      <c r="Y37" s="1295"/>
      <c r="Z37" s="1298"/>
      <c r="AA37" s="1298"/>
      <c r="AB37" s="1298"/>
      <c r="AC37" s="1298"/>
      <c r="AD37" s="1298"/>
      <c r="AE37" s="1298"/>
      <c r="AF37" s="1298"/>
      <c r="AG37" s="1298"/>
      <c r="AH37" s="1298"/>
      <c r="AI37" s="1298"/>
      <c r="AK37" s="100"/>
      <c r="AL37" s="13"/>
      <c r="AO37" s="235"/>
      <c r="AP37" s="235"/>
      <c r="AQ37" s="235"/>
      <c r="AR37" s="235"/>
      <c r="AS37" s="235"/>
    </row>
    <row r="38" spans="2:45" s="14" customFormat="1" ht="15.95" customHeight="1">
      <c r="B38" s="36"/>
      <c r="F38"/>
      <c r="G38"/>
      <c r="H38" s="13"/>
      <c r="I38" s="59"/>
      <c r="K38" s="1297" t="s">
        <v>1928</v>
      </c>
      <c r="L38" s="1297"/>
      <c r="M38" s="1297"/>
      <c r="N38" s="1297"/>
      <c r="O38" s="1297"/>
      <c r="P38" s="1297"/>
      <c r="Q38" s="1297"/>
      <c r="R38" s="1297"/>
      <c r="S38" s="1297"/>
      <c r="T38" s="1297"/>
      <c r="U38" s="1295"/>
      <c r="V38" s="1295"/>
      <c r="W38" s="1295"/>
      <c r="X38" s="1295"/>
      <c r="Y38" s="1295"/>
      <c r="Z38" s="1297" t="s">
        <v>1986</v>
      </c>
      <c r="AA38" s="1297"/>
      <c r="AB38" s="1297"/>
      <c r="AC38" s="1297"/>
      <c r="AD38" s="1297"/>
      <c r="AE38" s="1297"/>
      <c r="AF38" s="1297"/>
      <c r="AG38" s="1297"/>
      <c r="AH38" s="1297"/>
      <c r="AI38" s="1297"/>
      <c r="AK38" s="100"/>
      <c r="AL38" s="13"/>
      <c r="AO38" s="235"/>
      <c r="AP38" s="235"/>
      <c r="AQ38" s="235"/>
      <c r="AR38" s="235"/>
      <c r="AS38" s="235"/>
    </row>
    <row r="39" spans="2:45" s="14" customFormat="1" ht="15.95" customHeight="1">
      <c r="B39" s="36"/>
      <c r="F39"/>
      <c r="G39"/>
      <c r="H39" s="13"/>
      <c r="I39" s="59"/>
      <c r="K39" s="1297"/>
      <c r="L39" s="1297"/>
      <c r="M39" s="1297"/>
      <c r="N39" s="1297"/>
      <c r="O39" s="1297"/>
      <c r="P39" s="1297"/>
      <c r="Q39" s="1297"/>
      <c r="R39" s="1297"/>
      <c r="S39" s="1297"/>
      <c r="T39" s="1297"/>
      <c r="U39" s="1295"/>
      <c r="V39" s="1295"/>
      <c r="W39" s="1295"/>
      <c r="X39" s="1295"/>
      <c r="Y39" s="1295"/>
      <c r="Z39" s="1297"/>
      <c r="AA39" s="1297"/>
      <c r="AB39" s="1297"/>
      <c r="AC39" s="1297"/>
      <c r="AD39" s="1297"/>
      <c r="AE39" s="1297"/>
      <c r="AF39" s="1297"/>
      <c r="AG39" s="1297"/>
      <c r="AH39" s="1297"/>
      <c r="AI39" s="1297"/>
      <c r="AK39" s="100"/>
      <c r="AL39" s="13"/>
      <c r="AO39" s="235"/>
      <c r="AP39" s="235"/>
      <c r="AQ39" s="235"/>
      <c r="AR39" s="235"/>
      <c r="AS39" s="235"/>
    </row>
    <row r="40" spans="2:45" s="14" customFormat="1" ht="15.95" customHeight="1">
      <c r="B40" s="36"/>
      <c r="H40" s="13"/>
      <c r="I40" s="59"/>
      <c r="U40" s="1295"/>
      <c r="V40" s="1295"/>
      <c r="W40" s="1295"/>
      <c r="X40" s="1295"/>
      <c r="Y40" s="1295"/>
      <c r="Z40" s="40"/>
      <c r="AK40" s="100"/>
      <c r="AL40" s="13"/>
      <c r="AO40" s="235"/>
      <c r="AP40" s="235"/>
      <c r="AQ40" s="235"/>
      <c r="AR40" s="235"/>
      <c r="AS40" s="235"/>
    </row>
    <row r="41" spans="2:45" s="14" customFormat="1" ht="15.95" customHeight="1">
      <c r="B41" s="36"/>
      <c r="H41" s="13"/>
      <c r="I41" s="59"/>
      <c r="U41" s="1295"/>
      <c r="V41" s="1295"/>
      <c r="W41" s="1295"/>
      <c r="X41" s="1295"/>
      <c r="Y41" s="1295"/>
      <c r="Z41" s="40"/>
      <c r="AK41" s="100"/>
      <c r="AL41" s="13"/>
      <c r="AO41" s="235"/>
      <c r="AP41" s="235"/>
      <c r="AQ41" s="235"/>
      <c r="AR41" s="235"/>
      <c r="AS41" s="235"/>
    </row>
    <row r="42" spans="2:45" s="14" customFormat="1" ht="15.95" customHeight="1" thickBot="1">
      <c r="B42" s="36"/>
      <c r="H42" s="13"/>
      <c r="I42" s="59"/>
      <c r="J42" s="40"/>
      <c r="K42" s="40"/>
      <c r="L42" s="40"/>
      <c r="M42" s="13"/>
      <c r="N42" s="13"/>
      <c r="O42" s="13"/>
      <c r="P42" s="13"/>
      <c r="Q42" s="13"/>
      <c r="R42" s="40"/>
      <c r="S42" s="93"/>
      <c r="T42" s="93"/>
      <c r="U42" s="1295"/>
      <c r="V42" s="1295"/>
      <c r="W42" s="1295"/>
      <c r="X42" s="1295"/>
      <c r="Y42" s="1295"/>
      <c r="Z42" s="93"/>
      <c r="AA42" s="93"/>
      <c r="AB42" s="105"/>
      <c r="AC42" s="105"/>
      <c r="AD42" s="105"/>
      <c r="AE42" s="105"/>
      <c r="AF42" s="105"/>
      <c r="AG42" s="105"/>
      <c r="AH42" s="105"/>
      <c r="AI42" s="105"/>
      <c r="AJ42" s="40"/>
      <c r="AK42" s="100"/>
      <c r="AL42" s="13"/>
      <c r="AO42" s="235"/>
      <c r="AP42" s="235"/>
      <c r="AQ42" s="235"/>
      <c r="AR42" s="235"/>
      <c r="AS42" s="235"/>
    </row>
    <row r="43" spans="2:45" s="14" customFormat="1" ht="18.75" customHeight="1" thickBot="1">
      <c r="B43" s="36"/>
      <c r="H43" s="13"/>
      <c r="I43" s="59"/>
      <c r="J43" s="40"/>
      <c r="K43" s="40"/>
      <c r="L43" s="40"/>
      <c r="M43" s="40"/>
      <c r="N43" s="40"/>
      <c r="O43" s="1273" t="s">
        <v>1988</v>
      </c>
      <c r="P43" s="1273"/>
      <c r="Q43" s="1273"/>
      <c r="R43" s="1273"/>
      <c r="S43" s="1273"/>
      <c r="T43" s="1273"/>
      <c r="U43" s="1273"/>
      <c r="V43" s="1273"/>
      <c r="W43" s="1273"/>
      <c r="X43" s="1268" t="s">
        <v>1989</v>
      </c>
      <c r="Y43" s="1268"/>
      <c r="Z43" s="1268"/>
      <c r="AA43" s="1268"/>
      <c r="AB43" s="1268"/>
      <c r="AC43" s="1268"/>
      <c r="AD43" s="1268"/>
      <c r="AE43" s="1268"/>
      <c r="AF43" s="1268"/>
      <c r="AJ43" s="92"/>
      <c r="AK43" s="100"/>
      <c r="AO43" s="235"/>
      <c r="AP43" s="235"/>
      <c r="AQ43" s="235"/>
      <c r="AR43" s="235"/>
      <c r="AS43" s="235"/>
    </row>
    <row r="44" spans="2:45" s="14" customFormat="1" ht="15.95" customHeight="1" thickBot="1">
      <c r="H44" s="13"/>
      <c r="I44" s="59"/>
      <c r="J44" s="40"/>
      <c r="K44" s="1288" t="s">
        <v>325</v>
      </c>
      <c r="L44" s="1288"/>
      <c r="M44" s="1288"/>
      <c r="N44" s="1288"/>
      <c r="O44" s="1274" t="str">
        <f>IF(COSTTOTALALL=0,"",COSTTOTALALL)</f>
        <v/>
      </c>
      <c r="P44" s="1274"/>
      <c r="Q44" s="1274"/>
      <c r="R44" s="1274"/>
      <c r="S44" s="1274"/>
      <c r="T44" s="1274"/>
      <c r="U44" s="1274"/>
      <c r="V44" s="1274"/>
      <c r="W44" s="1274"/>
      <c r="X44" s="1269" t="str">
        <f>IF(COSTTOTALALL-INCENTOTAL=0,"",IF('M01-S01'!P62&lt;&gt;"","---",COSTTOTALALL-INCENTOTAL))</f>
        <v/>
      </c>
      <c r="Y44" s="1269"/>
      <c r="Z44" s="1269"/>
      <c r="AA44" s="1269"/>
      <c r="AB44" s="1269"/>
      <c r="AC44" s="1269"/>
      <c r="AD44" s="1269"/>
      <c r="AE44" s="1269"/>
      <c r="AF44" s="1269"/>
      <c r="AJ44" s="92"/>
      <c r="AK44" s="100"/>
      <c r="AO44" s="235"/>
      <c r="AP44" s="235"/>
      <c r="AQ44" s="235"/>
      <c r="AR44" s="235"/>
      <c r="AS44" s="235"/>
    </row>
    <row r="45" spans="2:45" s="14" customFormat="1" ht="15.95" customHeight="1" thickBot="1">
      <c r="H45" s="13"/>
      <c r="I45" s="59"/>
      <c r="J45" s="40"/>
      <c r="K45" s="1272"/>
      <c r="L45" s="1272"/>
      <c r="M45" s="1272"/>
      <c r="N45" s="1272"/>
      <c r="O45" s="1274"/>
      <c r="P45" s="1274"/>
      <c r="Q45" s="1274"/>
      <c r="R45" s="1274"/>
      <c r="S45" s="1274"/>
      <c r="T45" s="1274"/>
      <c r="U45" s="1274"/>
      <c r="V45" s="1274"/>
      <c r="W45" s="1274"/>
      <c r="X45" s="1269"/>
      <c r="Y45" s="1269"/>
      <c r="Z45" s="1269"/>
      <c r="AA45" s="1269"/>
      <c r="AB45" s="1269"/>
      <c r="AC45" s="1269"/>
      <c r="AD45" s="1269"/>
      <c r="AE45" s="1269"/>
      <c r="AF45" s="1269"/>
      <c r="AJ45" s="92"/>
      <c r="AK45" s="100"/>
      <c r="AO45" s="235"/>
      <c r="AP45" s="235"/>
      <c r="AQ45" s="235"/>
      <c r="AR45" s="235"/>
      <c r="AS45" s="235"/>
    </row>
    <row r="46" spans="2:45" s="14" customFormat="1" ht="15.95" customHeight="1" thickBot="1">
      <c r="H46" s="13"/>
      <c r="I46" s="59"/>
      <c r="J46" s="40"/>
      <c r="K46" s="1271" t="s">
        <v>1203</v>
      </c>
      <c r="L46" s="1271"/>
      <c r="M46" s="1271"/>
      <c r="N46" s="1271"/>
      <c r="O46" s="1275" t="str">
        <f ca="1">IFERROR(K36/O44,"")</f>
        <v/>
      </c>
      <c r="P46" s="1275"/>
      <c r="Q46" s="1275"/>
      <c r="R46" s="1275"/>
      <c r="S46" s="1275"/>
      <c r="T46" s="1275"/>
      <c r="U46" s="1275"/>
      <c r="V46" s="1275"/>
      <c r="W46" s="1275"/>
      <c r="X46" s="1270" t="str">
        <f ca="1">IFERROR(K36/X44,"")</f>
        <v/>
      </c>
      <c r="Y46" s="1270"/>
      <c r="Z46" s="1270"/>
      <c r="AA46" s="1270"/>
      <c r="AB46" s="1270"/>
      <c r="AC46" s="1270"/>
      <c r="AD46" s="1270"/>
      <c r="AE46" s="1270"/>
      <c r="AF46" s="1270"/>
      <c r="AJ46" s="92"/>
      <c r="AK46" s="100"/>
      <c r="AO46" s="235"/>
      <c r="AP46" s="235"/>
      <c r="AQ46" s="235"/>
      <c r="AR46" s="235"/>
      <c r="AS46" s="235"/>
    </row>
    <row r="47" spans="2:45" s="14" customFormat="1" ht="15.95" customHeight="1" thickBot="1">
      <c r="H47" s="13"/>
      <c r="I47" s="59"/>
      <c r="J47" s="40"/>
      <c r="K47" s="1272"/>
      <c r="L47" s="1272"/>
      <c r="M47" s="1272"/>
      <c r="N47" s="1272"/>
      <c r="O47" s="1275"/>
      <c r="P47" s="1275"/>
      <c r="Q47" s="1275"/>
      <c r="R47" s="1275"/>
      <c r="S47" s="1275"/>
      <c r="T47" s="1275"/>
      <c r="U47" s="1275"/>
      <c r="V47" s="1275"/>
      <c r="W47" s="1275"/>
      <c r="X47" s="1270"/>
      <c r="Y47" s="1270"/>
      <c r="Z47" s="1270"/>
      <c r="AA47" s="1270"/>
      <c r="AB47" s="1270"/>
      <c r="AC47" s="1270"/>
      <c r="AD47" s="1270"/>
      <c r="AE47" s="1270"/>
      <c r="AF47" s="1270"/>
      <c r="AJ47" s="92"/>
      <c r="AK47" s="100"/>
      <c r="AO47" s="235"/>
      <c r="AP47" s="235"/>
      <c r="AQ47" s="235"/>
      <c r="AR47" s="235"/>
      <c r="AS47" s="235"/>
    </row>
    <row r="48" spans="2:45" s="14" customFormat="1" ht="15.95" customHeight="1" thickBot="1">
      <c r="H48" s="13"/>
      <c r="I48" s="59"/>
      <c r="J48" s="40"/>
      <c r="K48" s="1271" t="s">
        <v>336</v>
      </c>
      <c r="L48" s="1271"/>
      <c r="M48" s="1271"/>
      <c r="N48" s="1271"/>
      <c r="O48" s="1289" t="str">
        <f ca="1">IFERROR(O44/K36,"")</f>
        <v/>
      </c>
      <c r="P48" s="1289"/>
      <c r="Q48" s="1289"/>
      <c r="R48" s="1289"/>
      <c r="S48" s="1289"/>
      <c r="T48" s="1289"/>
      <c r="U48" s="1289"/>
      <c r="V48" s="1289"/>
      <c r="W48" s="1289"/>
      <c r="X48" s="1287" t="str">
        <f ca="1">IFERROR(X44/K36,"")</f>
        <v/>
      </c>
      <c r="Y48" s="1287"/>
      <c r="Z48" s="1287"/>
      <c r="AA48" s="1287"/>
      <c r="AB48" s="1287"/>
      <c r="AC48" s="1287"/>
      <c r="AD48" s="1287"/>
      <c r="AE48" s="1287"/>
      <c r="AF48" s="1287"/>
      <c r="AJ48" s="92"/>
      <c r="AK48" s="100"/>
      <c r="AO48" s="235"/>
      <c r="AP48" s="235"/>
      <c r="AQ48" s="235"/>
      <c r="AR48" s="235"/>
      <c r="AS48" s="235"/>
    </row>
    <row r="49" spans="3:49" s="14" customFormat="1" ht="15.95" customHeight="1" thickBot="1">
      <c r="H49" s="13"/>
      <c r="I49" s="59"/>
      <c r="J49" s="40"/>
      <c r="K49" s="1288"/>
      <c r="L49" s="1288"/>
      <c r="M49" s="1288"/>
      <c r="N49" s="1288"/>
      <c r="O49" s="1289"/>
      <c r="P49" s="1289"/>
      <c r="Q49" s="1289"/>
      <c r="R49" s="1289"/>
      <c r="S49" s="1289"/>
      <c r="T49" s="1289"/>
      <c r="U49" s="1289"/>
      <c r="V49" s="1289"/>
      <c r="W49" s="1289"/>
      <c r="X49" s="1287"/>
      <c r="Y49" s="1287"/>
      <c r="Z49" s="1287"/>
      <c r="AA49" s="1287"/>
      <c r="AB49" s="1287"/>
      <c r="AC49" s="1287"/>
      <c r="AD49" s="1287"/>
      <c r="AE49" s="1287"/>
      <c r="AF49" s="1287"/>
      <c r="AJ49" s="92"/>
      <c r="AK49" s="100"/>
      <c r="AO49" s="235"/>
      <c r="AP49" s="235"/>
      <c r="AQ49" s="235"/>
      <c r="AR49" s="235"/>
      <c r="AS49" s="235"/>
    </row>
    <row r="50" spans="3:49" s="14" customFormat="1" ht="15.95" customHeight="1" thickBot="1">
      <c r="H50" s="13"/>
      <c r="I50" s="59"/>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100"/>
      <c r="AL50" s="13"/>
      <c r="AO50" s="235"/>
      <c r="AP50" s="235"/>
      <c r="AQ50" s="235"/>
      <c r="AR50" s="235"/>
      <c r="AS50" s="235"/>
    </row>
    <row r="51" spans="3:49" s="14" customFormat="1" ht="15.95" customHeight="1">
      <c r="H51" s="13"/>
      <c r="I51" s="59"/>
      <c r="J51" s="1266" t="s">
        <v>1183</v>
      </c>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00"/>
      <c r="AL51" s="13"/>
      <c r="AO51" s="235"/>
      <c r="AP51" s="235"/>
      <c r="AQ51" s="235"/>
      <c r="AR51" s="235"/>
      <c r="AS51" s="235"/>
    </row>
    <row r="52" spans="3:49" s="14" customFormat="1" ht="15.95" customHeight="1">
      <c r="H52" s="13"/>
      <c r="I52" s="59"/>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00"/>
      <c r="AL52" s="13"/>
      <c r="AO52" s="235"/>
      <c r="AP52" s="235"/>
      <c r="AQ52" s="235"/>
      <c r="AR52" s="235"/>
      <c r="AS52" s="235"/>
      <c r="AU52" s="301" t="s">
        <v>1696</v>
      </c>
    </row>
    <row r="53" spans="3:49" s="14" customFormat="1" ht="15.95" customHeight="1">
      <c r="H53" s="13"/>
      <c r="I53" s="59"/>
      <c r="T53" s="180"/>
      <c r="U53" s="180"/>
      <c r="V53" s="180"/>
      <c r="W53" s="180"/>
      <c r="X53" s="180"/>
      <c r="Y53" s="180"/>
      <c r="Z53" s="180"/>
      <c r="AA53" s="180"/>
      <c r="AB53" s="180"/>
      <c r="AC53" s="180"/>
      <c r="AD53" s="180"/>
      <c r="AE53" s="180"/>
      <c r="AF53" s="180"/>
      <c r="AG53" s="180"/>
      <c r="AH53" s="180"/>
      <c r="AI53" s="180"/>
      <c r="AJ53" s="180"/>
      <c r="AK53" s="100"/>
      <c r="AL53" s="13"/>
      <c r="AO53" s="235"/>
      <c r="AP53" s="235"/>
      <c r="AQ53" s="235"/>
      <c r="AR53" s="235"/>
      <c r="AS53" s="235"/>
      <c r="AU53" s="14" t="s">
        <v>1189</v>
      </c>
      <c r="AW53" s="14">
        <v>7.7599619999999989E-4</v>
      </c>
    </row>
    <row r="54" spans="3:49" s="14" customFormat="1" ht="15.95" customHeight="1">
      <c r="H54" s="13"/>
      <c r="I54" s="59"/>
      <c r="T54" s="180"/>
      <c r="U54" s="180"/>
      <c r="V54" s="180"/>
      <c r="W54" s="180"/>
      <c r="X54" s="180"/>
      <c r="Y54" s="180"/>
      <c r="Z54" s="180"/>
      <c r="AA54" s="180"/>
      <c r="AB54" s="180"/>
      <c r="AC54" s="180"/>
      <c r="AD54" s="180"/>
      <c r="AE54" s="180"/>
      <c r="AF54" s="180"/>
      <c r="AG54" s="180"/>
      <c r="AH54" s="180"/>
      <c r="AI54" s="180"/>
      <c r="AJ54" s="180"/>
      <c r="AK54" s="100"/>
      <c r="AL54" s="13"/>
      <c r="AO54" s="235"/>
      <c r="AP54" s="235"/>
      <c r="AQ54" s="235"/>
      <c r="AR54" s="235"/>
      <c r="AS54" s="235"/>
      <c r="AU54" s="14" t="s">
        <v>1187</v>
      </c>
      <c r="AW54" s="17">
        <f>KWHTOTALALL</f>
        <v>0</v>
      </c>
    </row>
    <row r="55" spans="3:49" s="14" customFormat="1" ht="15.95" customHeight="1">
      <c r="H55" s="13"/>
      <c r="I55" s="59"/>
      <c r="J55" s="1277" t="s">
        <v>1228</v>
      </c>
      <c r="K55" s="1277"/>
      <c r="L55" s="1277"/>
      <c r="M55" s="1277"/>
      <c r="N55" s="1277"/>
      <c r="O55" s="1277"/>
      <c r="P55" s="1277"/>
      <c r="Q55" s="1277"/>
      <c r="R55" s="1277"/>
      <c r="T55" s="180"/>
      <c r="U55" s="180"/>
      <c r="V55" s="180"/>
      <c r="W55" s="180"/>
      <c r="X55" s="180"/>
      <c r="Y55" s="180"/>
      <c r="Z55" s="180"/>
      <c r="AA55" s="180"/>
      <c r="AB55" s="180"/>
      <c r="AC55" s="180"/>
      <c r="AD55" s="180"/>
      <c r="AE55" s="180"/>
      <c r="AF55" s="180"/>
      <c r="AG55" s="180"/>
      <c r="AH55" s="180"/>
      <c r="AI55" s="180"/>
      <c r="AJ55" s="180"/>
      <c r="AK55" s="100"/>
      <c r="AL55" s="13"/>
      <c r="AO55" s="235"/>
      <c r="AP55" s="235"/>
      <c r="AQ55" s="235"/>
      <c r="AR55" s="235"/>
      <c r="AS55" s="235"/>
      <c r="AU55" s="31" t="s">
        <v>1190</v>
      </c>
      <c r="AW55" s="14">
        <f>AW53*AW54</f>
        <v>0</v>
      </c>
    </row>
    <row r="56" spans="3:49" s="14" customFormat="1" ht="15.95" customHeight="1">
      <c r="C56" s="22"/>
      <c r="D56" s="22"/>
      <c r="E56" s="22"/>
      <c r="F56" s="22"/>
      <c r="G56" s="22"/>
      <c r="H56" s="13"/>
      <c r="I56" s="59"/>
      <c r="J56" s="1277"/>
      <c r="K56" s="1277"/>
      <c r="L56" s="1277"/>
      <c r="M56" s="1277"/>
      <c r="N56" s="1277"/>
      <c r="O56" s="1277"/>
      <c r="P56" s="1277"/>
      <c r="Q56" s="1277"/>
      <c r="R56" s="1277"/>
      <c r="T56" s="180"/>
      <c r="U56" s="180"/>
      <c r="V56" s="180"/>
      <c r="W56" s="180"/>
      <c r="X56" s="180"/>
      <c r="Y56" s="180"/>
      <c r="Z56" s="180"/>
      <c r="AA56" s="180"/>
      <c r="AB56" s="180"/>
      <c r="AC56" s="180"/>
      <c r="AD56" s="180"/>
      <c r="AE56" s="180"/>
      <c r="AF56" s="180"/>
      <c r="AG56" s="180"/>
      <c r="AH56" s="180"/>
      <c r="AI56" s="180"/>
      <c r="AJ56" s="180"/>
      <c r="AK56" s="100"/>
      <c r="AL56" s="13"/>
      <c r="AO56" s="235"/>
      <c r="AP56" s="235"/>
      <c r="AQ56" s="235"/>
      <c r="AR56" s="235"/>
      <c r="AS56" s="235"/>
      <c r="AU56" s="14" t="s">
        <v>1191</v>
      </c>
      <c r="AW56" s="14">
        <v>4.67</v>
      </c>
    </row>
    <row r="57" spans="3:49" s="14" customFormat="1" ht="15.95" customHeight="1">
      <c r="C57" s="22"/>
      <c r="D57" s="22"/>
      <c r="E57" s="22"/>
      <c r="F57" s="22"/>
      <c r="G57" s="22"/>
      <c r="H57" s="13"/>
      <c r="I57" s="59"/>
      <c r="J57" s="1276">
        <f>KWHTOTALALL</f>
        <v>0</v>
      </c>
      <c r="K57" s="1276"/>
      <c r="L57" s="1276"/>
      <c r="M57" s="1276"/>
      <c r="N57" s="1276"/>
      <c r="O57" s="1276"/>
      <c r="P57" s="1276"/>
      <c r="Q57" s="1276"/>
      <c r="R57" s="1276"/>
      <c r="T57" s="180"/>
      <c r="U57" s="180"/>
      <c r="V57" s="180"/>
      <c r="W57" s="180"/>
      <c r="X57" s="180"/>
      <c r="Y57" s="180"/>
      <c r="Z57" s="180"/>
      <c r="AA57" s="180"/>
      <c r="AB57" s="180"/>
      <c r="AC57" s="180"/>
      <c r="AD57" s="180"/>
      <c r="AE57" s="180"/>
      <c r="AF57" s="180"/>
      <c r="AG57" s="180"/>
      <c r="AH57" s="180"/>
      <c r="AI57" s="180"/>
      <c r="AJ57" s="180"/>
      <c r="AK57" s="100"/>
      <c r="AL57" s="13"/>
      <c r="AO57" s="235"/>
      <c r="AP57" s="235"/>
      <c r="AQ57" s="235"/>
      <c r="AR57" s="235"/>
      <c r="AS57" s="235"/>
      <c r="AU57" s="14" t="s">
        <v>1193</v>
      </c>
      <c r="AW57" s="14">
        <f>6.672/12</f>
        <v>0.55599999999999994</v>
      </c>
    </row>
    <row r="58" spans="3:49" s="14" customFormat="1" ht="15.95" customHeight="1">
      <c r="C58" s="22"/>
      <c r="D58" s="22"/>
      <c r="E58" s="22"/>
      <c r="F58" s="22"/>
      <c r="G58" s="22"/>
      <c r="H58" s="13"/>
      <c r="I58" s="59"/>
      <c r="J58" s="1276"/>
      <c r="K58" s="1276"/>
      <c r="L58" s="1276"/>
      <c r="M58" s="1276"/>
      <c r="N58" s="1276"/>
      <c r="O58" s="1276"/>
      <c r="P58" s="1276"/>
      <c r="Q58" s="1276"/>
      <c r="R58" s="1276"/>
      <c r="T58" s="180"/>
      <c r="U58" s="180"/>
      <c r="V58" s="180"/>
      <c r="W58" s="180"/>
      <c r="X58" s="180"/>
      <c r="Y58" s="180"/>
      <c r="Z58" s="180"/>
      <c r="AA58" s="180"/>
      <c r="AB58" s="180"/>
      <c r="AC58" s="180"/>
      <c r="AD58" s="180"/>
      <c r="AE58" s="180"/>
      <c r="AF58" s="180"/>
      <c r="AG58" s="180"/>
      <c r="AH58" s="180"/>
      <c r="AI58" s="180"/>
      <c r="AJ58" s="180"/>
      <c r="AK58" s="100"/>
      <c r="AL58" s="13"/>
      <c r="AO58" s="235"/>
      <c r="AP58" s="235"/>
      <c r="AQ58" s="235"/>
      <c r="AR58" s="235"/>
      <c r="AS58" s="235"/>
      <c r="AU58" s="14" t="s">
        <v>1192</v>
      </c>
      <c r="AW58" s="58">
        <v>2.87</v>
      </c>
    </row>
    <row r="59" spans="3:49" s="14" customFormat="1" ht="15.95" customHeight="1">
      <c r="C59" s="22"/>
      <c r="D59" s="22"/>
      <c r="E59" s="22"/>
      <c r="F59" s="22"/>
      <c r="G59" s="22"/>
      <c r="H59" s="13"/>
      <c r="I59" s="59"/>
      <c r="K59" s="132"/>
      <c r="L59" s="132"/>
      <c r="M59" s="132"/>
      <c r="N59" s="132"/>
      <c r="O59" s="132"/>
      <c r="P59" s="132"/>
      <c r="Q59" s="132"/>
      <c r="R59" s="132"/>
      <c r="S59" s="132"/>
      <c r="T59" s="1278" t="s">
        <v>1299</v>
      </c>
      <c r="U59" s="1278"/>
      <c r="V59" s="1278"/>
      <c r="W59" s="1278"/>
      <c r="X59" s="1278"/>
      <c r="Y59" s="1278"/>
      <c r="Z59" s="1278"/>
      <c r="AA59" s="132"/>
      <c r="AB59" s="132"/>
      <c r="AC59" s="132"/>
      <c r="AD59" s="132"/>
      <c r="AE59" s="132"/>
      <c r="AF59" s="132"/>
      <c r="AG59" s="132"/>
      <c r="AH59" s="132"/>
      <c r="AI59" s="132"/>
      <c r="AJ59" s="132"/>
      <c r="AK59" s="100"/>
      <c r="AL59" s="13"/>
      <c r="AO59" s="235"/>
      <c r="AP59" s="235"/>
      <c r="AQ59" s="235"/>
      <c r="AR59" s="235"/>
      <c r="AS59" s="235"/>
      <c r="AU59" s="301" t="s">
        <v>1697</v>
      </c>
    </row>
    <row r="60" spans="3:49" s="14" customFormat="1" ht="15.95" customHeight="1">
      <c r="C60" s="22"/>
      <c r="D60" s="22"/>
      <c r="E60" s="22"/>
      <c r="F60" s="22"/>
      <c r="G60" s="22"/>
      <c r="H60" s="13"/>
      <c r="I60" s="59"/>
      <c r="J60" s="133"/>
      <c r="K60" s="133"/>
      <c r="L60" s="133"/>
      <c r="M60" s="133"/>
      <c r="N60" s="133"/>
      <c r="O60" s="133"/>
      <c r="P60" s="133"/>
      <c r="Q60" s="133"/>
      <c r="R60" s="133"/>
      <c r="S60" s="133"/>
      <c r="T60" s="1278"/>
      <c r="U60" s="1278"/>
      <c r="V60" s="1278"/>
      <c r="W60" s="1278"/>
      <c r="X60" s="1278"/>
      <c r="Y60" s="1278"/>
      <c r="Z60" s="1278"/>
      <c r="AA60" s="133"/>
      <c r="AB60" s="133"/>
      <c r="AC60" s="133"/>
      <c r="AD60" s="133"/>
      <c r="AE60" s="133"/>
      <c r="AF60" s="133"/>
      <c r="AG60" s="133"/>
      <c r="AH60" s="133"/>
      <c r="AI60" s="133"/>
      <c r="AJ60" s="133"/>
      <c r="AK60" s="100"/>
      <c r="AL60" s="13"/>
      <c r="AO60" s="235"/>
      <c r="AP60" s="235"/>
      <c r="AQ60" s="235"/>
      <c r="AR60" s="235"/>
      <c r="AS60" s="235"/>
    </row>
    <row r="61" spans="3:49" s="14" customFormat="1" ht="15.95" customHeight="1">
      <c r="C61" s="22"/>
      <c r="D61" s="22"/>
      <c r="E61" s="22"/>
      <c r="F61" s="22"/>
      <c r="G61" s="22"/>
      <c r="H61" s="13"/>
      <c r="I61" s="59"/>
      <c r="T61" s="1278"/>
      <c r="U61" s="1278"/>
      <c r="V61" s="1278"/>
      <c r="W61" s="1278"/>
      <c r="X61" s="1278"/>
      <c r="Y61" s="1278"/>
      <c r="Z61" s="1278"/>
      <c r="AK61" s="100"/>
      <c r="AL61" s="13"/>
    </row>
    <row r="62" spans="3:49" s="14" customFormat="1" ht="15.95" customHeight="1">
      <c r="C62" s="22"/>
      <c r="H62" s="13"/>
      <c r="I62" s="59"/>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00"/>
      <c r="AL62" s="13"/>
    </row>
    <row r="63" spans="3:49" s="14" customFormat="1" ht="15.95" customHeight="1">
      <c r="C63" s="22"/>
      <c r="H63" s="13"/>
      <c r="I63" s="59"/>
      <c r="K63" s="180"/>
      <c r="L63" s="180"/>
      <c r="M63" s="1291">
        <f>$AW$55/$AW$56</f>
        <v>0</v>
      </c>
      <c r="N63" s="1291"/>
      <c r="O63" s="1291"/>
      <c r="P63" s="1291"/>
      <c r="Q63" s="1291"/>
      <c r="R63" s="1291"/>
      <c r="S63" s="602"/>
      <c r="T63" s="602"/>
      <c r="U63" s="180"/>
      <c r="V63" s="1291">
        <f>($AW$55/$AW$57)</f>
        <v>0</v>
      </c>
      <c r="W63" s="1291"/>
      <c r="X63" s="1291"/>
      <c r="Y63" s="1291"/>
      <c r="Z63" s="1291"/>
      <c r="AA63" s="1291"/>
      <c r="AB63" s="603"/>
      <c r="AC63" s="603"/>
      <c r="AD63" s="603"/>
      <c r="AE63" s="1291">
        <f>$AW$55/$AW$58</f>
        <v>0</v>
      </c>
      <c r="AF63" s="1291"/>
      <c r="AG63" s="1291"/>
      <c r="AH63" s="1291"/>
      <c r="AI63" s="1291"/>
      <c r="AJ63" s="1291"/>
      <c r="AK63" s="100"/>
      <c r="AL63" s="13"/>
    </row>
    <row r="64" spans="3:49" s="14" customFormat="1" ht="15.95" customHeight="1">
      <c r="C64" s="22"/>
      <c r="H64" s="13"/>
      <c r="I64" s="59"/>
      <c r="K64" s="180"/>
      <c r="L64" s="180"/>
      <c r="M64" s="1292" t="s">
        <v>1223</v>
      </c>
      <c r="N64" s="1292"/>
      <c r="O64" s="1292"/>
      <c r="P64" s="1292"/>
      <c r="Q64" s="1292"/>
      <c r="R64" s="1292"/>
      <c r="S64" s="604"/>
      <c r="T64" s="604"/>
      <c r="U64" s="180"/>
      <c r="V64" s="1294" t="s">
        <v>1225</v>
      </c>
      <c r="W64" s="1294"/>
      <c r="X64" s="1294"/>
      <c r="Y64" s="1294"/>
      <c r="Z64" s="1294"/>
      <c r="AA64" s="1294"/>
      <c r="AB64" s="605"/>
      <c r="AC64" s="605"/>
      <c r="AD64" s="605"/>
      <c r="AE64" s="1294" t="s">
        <v>1227</v>
      </c>
      <c r="AF64" s="1294"/>
      <c r="AG64" s="1294"/>
      <c r="AH64" s="1294"/>
      <c r="AI64" s="1294"/>
      <c r="AJ64" s="1294"/>
      <c r="AK64" s="100"/>
      <c r="AL64" s="130"/>
    </row>
    <row r="65" spans="3:39" s="14" customFormat="1" ht="15.95" customHeight="1">
      <c r="C65" s="22"/>
      <c r="H65" s="13"/>
      <c r="I65" s="59"/>
      <c r="K65" s="180"/>
      <c r="L65" s="180"/>
      <c r="M65" s="1292" t="s">
        <v>1224</v>
      </c>
      <c r="N65" s="1292"/>
      <c r="O65" s="1292"/>
      <c r="P65" s="1292"/>
      <c r="Q65" s="1292"/>
      <c r="R65" s="1292"/>
      <c r="S65" s="604"/>
      <c r="T65" s="604"/>
      <c r="U65" s="180"/>
      <c r="V65" s="1290" t="s">
        <v>1226</v>
      </c>
      <c r="W65" s="1290"/>
      <c r="X65" s="1290"/>
      <c r="Y65" s="1290"/>
      <c r="Z65" s="1290"/>
      <c r="AA65" s="1290"/>
      <c r="AB65" s="180"/>
      <c r="AC65" s="180"/>
      <c r="AD65" s="180"/>
      <c r="AE65" s="1293" t="s">
        <v>1231</v>
      </c>
      <c r="AF65" s="1293"/>
      <c r="AG65" s="1293"/>
      <c r="AH65" s="1293"/>
      <c r="AI65" s="1293"/>
      <c r="AJ65" s="1293"/>
      <c r="AK65" s="100"/>
      <c r="AL65" s="131"/>
    </row>
    <row r="66" spans="3:39" s="14" customFormat="1" ht="15.95" customHeight="1">
      <c r="C66" s="22"/>
      <c r="H66" s="13"/>
      <c r="I66" s="59"/>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00"/>
      <c r="AL66" s="13"/>
    </row>
    <row r="67" spans="3:39" s="14" customFormat="1" ht="15.95" customHeight="1">
      <c r="C67" s="22"/>
      <c r="H67" s="13"/>
      <c r="I67" s="59"/>
      <c r="AK67" s="100"/>
      <c r="AL67" s="13"/>
    </row>
    <row r="68" spans="3:39" s="14" customFormat="1" ht="15.95" customHeight="1" thickBot="1">
      <c r="C68" s="22"/>
      <c r="H68" s="13"/>
      <c r="I68" s="59"/>
      <c r="J68" s="13"/>
      <c r="K68" s="13"/>
      <c r="L68" s="13"/>
      <c r="M68" s="13"/>
      <c r="N68" s="13"/>
      <c r="O68" s="13"/>
      <c r="P68" s="13"/>
      <c r="Q68" s="13"/>
      <c r="R68" s="13"/>
      <c r="S68" s="13"/>
      <c r="T68" s="13"/>
      <c r="U68" s="40"/>
      <c r="V68" s="40"/>
      <c r="W68" s="40"/>
      <c r="X68" s="40"/>
      <c r="Y68" s="40"/>
      <c r="Z68" s="40"/>
      <c r="AA68" s="13"/>
      <c r="AB68" s="13"/>
      <c r="AC68" s="13"/>
      <c r="AD68" s="13"/>
      <c r="AE68" s="13"/>
      <c r="AF68" s="13"/>
      <c r="AG68" s="13"/>
      <c r="AH68" s="13"/>
      <c r="AI68" s="13"/>
      <c r="AJ68" s="13"/>
      <c r="AK68" s="100"/>
      <c r="AL68" s="13"/>
    </row>
    <row r="69" spans="3:39" s="14" customFormat="1" ht="15.95" customHeight="1">
      <c r="C69" s="22"/>
      <c r="H69" s="13"/>
      <c r="I69" s="59"/>
      <c r="J69" s="1266" t="s">
        <v>1184</v>
      </c>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00"/>
      <c r="AL69" s="13"/>
    </row>
    <row r="70" spans="3:39" s="14" customFormat="1" ht="15.95" customHeight="1">
      <c r="C70" s="22"/>
      <c r="D70" s="22"/>
      <c r="E70" s="22"/>
      <c r="F70" s="22"/>
      <c r="G70" s="22"/>
      <c r="H70" s="13"/>
      <c r="I70" s="59"/>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00"/>
      <c r="AL70" s="13"/>
    </row>
    <row r="71" spans="3:39" s="14" customFormat="1" ht="15.95" customHeight="1">
      <c r="C71" s="22"/>
      <c r="D71" s="22"/>
      <c r="E71" s="22"/>
      <c r="F71" s="22"/>
      <c r="G71" s="22"/>
      <c r="H71" s="13"/>
      <c r="I71" s="59"/>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99"/>
      <c r="AI71" s="40"/>
      <c r="AJ71" s="40"/>
      <c r="AK71" s="100"/>
      <c r="AL71" s="13"/>
    </row>
    <row r="72" spans="3:39" s="14" customFormat="1" ht="15.95" customHeight="1">
      <c r="C72" s="22"/>
      <c r="D72" s="22"/>
      <c r="E72" s="22"/>
      <c r="F72" s="22"/>
      <c r="G72" s="22"/>
      <c r="H72" s="13"/>
      <c r="I72" s="59"/>
      <c r="J72" s="1279" t="s">
        <v>1194</v>
      </c>
      <c r="K72" s="1279"/>
      <c r="L72" s="1279"/>
      <c r="M72" s="1279"/>
      <c r="N72" s="1279"/>
      <c r="O72" s="1279"/>
      <c r="P72" s="1279"/>
      <c r="Q72" s="1279"/>
      <c r="R72" s="1279"/>
      <c r="S72" s="1279"/>
      <c r="T72" s="1279"/>
      <c r="U72" s="1279"/>
      <c r="V72" s="1279"/>
      <c r="W72" s="40"/>
      <c r="Y72" s="108" t="s">
        <v>1185</v>
      </c>
      <c r="Z72" s="109"/>
      <c r="AA72" s="110" t="s">
        <v>2080</v>
      </c>
      <c r="AB72" s="92"/>
      <c r="AC72" s="109"/>
      <c r="AD72" s="109"/>
      <c r="AE72" s="109"/>
      <c r="AF72" s="109"/>
      <c r="AG72" s="109"/>
      <c r="AH72" s="109"/>
      <c r="AI72" s="109"/>
      <c r="AJ72" s="109"/>
      <c r="AK72" s="100"/>
      <c r="AL72" s="13"/>
    </row>
    <row r="73" spans="3:39" s="14" customFormat="1" ht="15.95" customHeight="1">
      <c r="C73" s="22"/>
      <c r="D73" s="22"/>
      <c r="E73" s="22"/>
      <c r="F73" s="22"/>
      <c r="G73" s="22"/>
      <c r="H73" s="13"/>
      <c r="I73" s="59"/>
      <c r="J73" s="1286" t="s">
        <v>1188</v>
      </c>
      <c r="K73" s="1286"/>
      <c r="L73" s="1286"/>
      <c r="M73" s="1286"/>
      <c r="N73" s="1286"/>
      <c r="O73" s="1286"/>
      <c r="P73" s="1286"/>
      <c r="Q73" s="1286"/>
      <c r="R73" s="1286"/>
      <c r="S73" s="1286"/>
      <c r="T73" s="1286"/>
      <c r="U73" s="1286"/>
      <c r="V73" s="1286"/>
      <c r="W73" s="40"/>
      <c r="Y73" s="108" t="s">
        <v>1181</v>
      </c>
      <c r="Z73" s="93"/>
      <c r="AA73" s="110" t="s">
        <v>1910</v>
      </c>
      <c r="AB73" s="93"/>
      <c r="AC73" s="93"/>
      <c r="AD73" s="101"/>
      <c r="AE73" s="101"/>
      <c r="AF73" s="93"/>
      <c r="AG73" s="93"/>
      <c r="AH73" s="93"/>
      <c r="AI73" s="93"/>
      <c r="AJ73" s="97"/>
      <c r="AK73" s="100"/>
      <c r="AL73" s="13"/>
    </row>
    <row r="74" spans="3:39" s="14" customFormat="1" ht="15.95" customHeight="1">
      <c r="C74" s="22"/>
      <c r="D74" s="22"/>
      <c r="E74" s="22"/>
      <c r="F74" s="22"/>
      <c r="G74" s="22"/>
      <c r="H74" s="13"/>
      <c r="I74" s="59"/>
      <c r="J74" s="1286"/>
      <c r="K74" s="1286"/>
      <c r="L74" s="1286"/>
      <c r="M74" s="1286"/>
      <c r="N74" s="1286"/>
      <c r="O74" s="1286"/>
      <c r="P74" s="1286"/>
      <c r="Q74" s="1286"/>
      <c r="R74" s="1286"/>
      <c r="S74" s="1286"/>
      <c r="T74" s="1286"/>
      <c r="U74" s="1286"/>
      <c r="V74" s="1286"/>
      <c r="W74" s="40"/>
      <c r="Y74" s="108" t="s">
        <v>1186</v>
      </c>
      <c r="Z74" s="93"/>
      <c r="AA74" s="467" t="s">
        <v>2068</v>
      </c>
      <c r="AB74" s="93"/>
      <c r="AC74" s="93"/>
      <c r="AD74" s="101"/>
      <c r="AE74" s="101"/>
      <c r="AF74" s="98"/>
      <c r="AG74" s="93"/>
      <c r="AH74" s="93"/>
      <c r="AI74" s="93"/>
      <c r="AJ74" s="97"/>
      <c r="AK74" s="100"/>
      <c r="AL74" s="13"/>
    </row>
    <row r="75" spans="3:39" s="14" customFormat="1" ht="15.95" customHeight="1">
      <c r="C75" s="22"/>
      <c r="D75" s="22"/>
      <c r="E75" s="22"/>
      <c r="F75" s="22"/>
      <c r="G75" s="22"/>
      <c r="H75" s="13"/>
      <c r="I75" s="59"/>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100"/>
      <c r="AL75" s="13"/>
    </row>
    <row r="76" spans="3:39" s="14" customFormat="1" ht="15.95" customHeight="1">
      <c r="C76" s="22"/>
      <c r="D76" s="22"/>
      <c r="E76" s="22"/>
      <c r="F76" s="22"/>
      <c r="G76" s="22"/>
      <c r="H76" s="13"/>
      <c r="I76" s="59"/>
      <c r="J76" s="1280" t="s">
        <v>2079</v>
      </c>
      <c r="K76" s="1281"/>
      <c r="L76" s="1281"/>
      <c r="M76" s="1281"/>
      <c r="N76" s="1281"/>
      <c r="O76" s="1281"/>
      <c r="P76" s="1281"/>
      <c r="Q76" s="1281"/>
      <c r="R76" s="1281"/>
      <c r="S76" s="1281"/>
      <c r="T76" s="1281"/>
      <c r="U76" s="1281"/>
      <c r="V76" s="1281"/>
      <c r="W76" s="1281"/>
      <c r="X76" s="1281"/>
      <c r="Y76" s="1281"/>
      <c r="Z76" s="1281"/>
      <c r="AA76" s="1281"/>
      <c r="AB76" s="1281"/>
      <c r="AC76" s="1281"/>
      <c r="AD76" s="1281"/>
      <c r="AE76" s="1281"/>
      <c r="AF76" s="1281"/>
      <c r="AG76" s="1281"/>
      <c r="AH76" s="1281"/>
      <c r="AI76" s="1281"/>
      <c r="AJ76" s="1282"/>
      <c r="AK76" s="100"/>
      <c r="AL76" s="13"/>
    </row>
    <row r="77" spans="3:39" s="14" customFormat="1" ht="15.95" customHeight="1">
      <c r="C77" s="22"/>
      <c r="D77" s="22"/>
      <c r="E77" s="22"/>
      <c r="F77" s="22"/>
      <c r="G77" s="22"/>
      <c r="H77" s="13"/>
      <c r="I77" s="59"/>
      <c r="J77" s="1283"/>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F77" s="1284"/>
      <c r="AG77" s="1284"/>
      <c r="AH77" s="1284"/>
      <c r="AI77" s="1284"/>
      <c r="AJ77" s="1285"/>
      <c r="AK77" s="100"/>
      <c r="AL77" s="13"/>
    </row>
    <row r="78" spans="3:39" s="14" customFormat="1" ht="15.95" customHeight="1">
      <c r="C78" s="22"/>
      <c r="D78" s="22"/>
      <c r="E78" s="22"/>
      <c r="F78" s="22"/>
      <c r="G78" s="22"/>
      <c r="H78" s="13"/>
      <c r="I78" s="60"/>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61"/>
      <c r="AL78" s="13"/>
    </row>
    <row r="79" spans="3:39" s="180" customFormat="1" ht="15.95" customHeight="1">
      <c r="C79" s="31"/>
      <c r="D79" s="31"/>
      <c r="E79" s="31"/>
      <c r="F79" s="31"/>
      <c r="G79" s="31"/>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row>
    <row r="80" spans="3:39" s="14" customFormat="1" ht="15" customHeight="1">
      <c r="C80" s="22"/>
      <c r="D80" s="22"/>
      <c r="E80" s="22"/>
      <c r="F80" s="22"/>
      <c r="G80" s="22"/>
      <c r="H80" s="31"/>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31"/>
    </row>
    <row r="81" spans="3:42" s="14" customFormat="1" ht="15" hidden="1" customHeight="1">
      <c r="C81" s="22"/>
      <c r="D81" s="22"/>
      <c r="E81" s="22"/>
      <c r="F81" s="22"/>
      <c r="G81" s="22"/>
      <c r="I81" s="31"/>
      <c r="AK81" s="31"/>
      <c r="AM81" s="31"/>
    </row>
    <row r="82" spans="3:42" s="14" customFormat="1" ht="15" hidden="1" customHeight="1">
      <c r="C82" s="22"/>
      <c r="D82" s="22"/>
      <c r="E82" s="22"/>
      <c r="F82" s="22"/>
      <c r="G82" s="22"/>
      <c r="I82" s="31"/>
      <c r="AK82" s="31"/>
      <c r="AM82" s="31"/>
    </row>
    <row r="83" spans="3:42" s="14" customFormat="1" ht="15" hidden="1" customHeight="1">
      <c r="C83" s="22"/>
      <c r="D83" s="22"/>
      <c r="E83" s="22"/>
      <c r="F83" s="22"/>
      <c r="G83" s="22"/>
    </row>
    <row r="84" spans="3:42" s="14" customFormat="1" ht="15" hidden="1" customHeight="1">
      <c r="C84" s="22"/>
      <c r="D84" s="22"/>
      <c r="E84" s="22"/>
      <c r="F84" s="22"/>
      <c r="G84" s="22"/>
    </row>
    <row r="85" spans="3:42" s="14" customFormat="1" ht="15" hidden="1" customHeight="1">
      <c r="C85" s="22"/>
      <c r="D85" s="22"/>
      <c r="E85" s="22"/>
      <c r="F85" s="22"/>
      <c r="G85" s="22"/>
    </row>
    <row r="86" spans="3:42" s="14" customFormat="1" ht="15" hidden="1" customHeight="1">
      <c r="C86" s="22"/>
      <c r="D86" s="22"/>
      <c r="E86" s="22"/>
      <c r="F86" s="22"/>
      <c r="G86" s="22"/>
    </row>
    <row r="87" spans="3:42" s="14" customFormat="1" ht="15" hidden="1" customHeight="1">
      <c r="C87" s="22"/>
      <c r="D87" s="22"/>
      <c r="E87" s="22"/>
      <c r="F87" s="22"/>
      <c r="G87" s="22"/>
    </row>
    <row r="88" spans="3:42" s="14" customFormat="1" ht="15" hidden="1" customHeight="1">
      <c r="C88" s="22"/>
      <c r="D88" s="22"/>
      <c r="E88" s="22"/>
      <c r="F88" s="22"/>
      <c r="G88" s="22"/>
    </row>
    <row r="89" spans="3:42" s="14" customFormat="1" ht="15" hidden="1" customHeight="1">
      <c r="C89" s="22"/>
      <c r="D89" s="22"/>
      <c r="E89" s="22"/>
      <c r="F89" s="22"/>
      <c r="G89" s="22"/>
    </row>
    <row r="90" spans="3:42" s="14" customFormat="1" ht="15" hidden="1" customHeight="1">
      <c r="C90" s="22"/>
      <c r="D90" s="22"/>
      <c r="E90" s="22"/>
      <c r="F90" s="22"/>
      <c r="G90" s="22"/>
      <c r="H90" s="22"/>
    </row>
    <row r="91" spans="3:42" s="14" customFormat="1" ht="15" hidden="1" customHeight="1">
      <c r="C91" s="22"/>
      <c r="D91" s="22"/>
      <c r="E91" s="22"/>
      <c r="F91" s="22"/>
      <c r="G91" s="22"/>
      <c r="H91" s="22"/>
    </row>
    <row r="92" spans="3:42" s="14" customFormat="1" ht="15" hidden="1" customHeight="1">
      <c r="C92"/>
      <c r="D92"/>
      <c r="E92"/>
      <c r="F92"/>
      <c r="G92"/>
      <c r="H92"/>
      <c r="I92"/>
      <c r="AK92"/>
      <c r="AL92"/>
      <c r="AM92"/>
      <c r="AN92"/>
      <c r="AO92"/>
      <c r="AP92"/>
    </row>
    <row r="93" spans="3:42" s="14" customFormat="1" ht="15" hidden="1" customHeight="1">
      <c r="C93"/>
      <c r="D93"/>
      <c r="E93"/>
      <c r="F93"/>
      <c r="G93"/>
      <c r="H93"/>
      <c r="I93"/>
      <c r="AK93"/>
      <c r="AL93"/>
      <c r="AM93"/>
      <c r="AN93"/>
      <c r="AO93"/>
      <c r="AP93"/>
    </row>
    <row r="94" spans="3:42" s="14" customFormat="1" ht="15" hidden="1" customHeight="1">
      <c r="C94"/>
      <c r="D94"/>
      <c r="E94"/>
      <c r="F94"/>
      <c r="G94"/>
      <c r="H94"/>
      <c r="I94"/>
      <c r="AK94"/>
      <c r="AL94"/>
      <c r="AM94"/>
      <c r="AN94"/>
      <c r="AO94"/>
      <c r="AP94"/>
    </row>
    <row r="95" spans="3:42" s="14" customFormat="1" ht="15" hidden="1" customHeight="1">
      <c r="C95"/>
      <c r="D95"/>
      <c r="E95"/>
      <c r="F95"/>
      <c r="G95"/>
      <c r="H95"/>
      <c r="I95"/>
      <c r="AK95"/>
      <c r="AL95"/>
      <c r="AM95"/>
      <c r="AN95"/>
      <c r="AO95"/>
      <c r="AP95"/>
    </row>
    <row r="96" spans="3:42" s="14" customFormat="1" ht="15" hidden="1" customHeight="1">
      <c r="C96"/>
      <c r="D96"/>
      <c r="E96"/>
      <c r="F96"/>
      <c r="G96"/>
      <c r="H96"/>
      <c r="I96"/>
      <c r="AK96"/>
      <c r="AL96"/>
      <c r="AM96"/>
      <c r="AN96"/>
      <c r="AO96"/>
      <c r="AP96"/>
    </row>
    <row r="97" spans="3:42" s="14" customFormat="1" ht="15" hidden="1" customHeight="1">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row>
    <row r="98" spans="3:42" s="14" customFormat="1" ht="15" hidden="1" customHeight="1">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row>
    <row r="99" spans="3:42" s="14" customFormat="1" ht="15" hidden="1" customHeight="1">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row>
    <row r="100" spans="3:42" s="14" customFormat="1" ht="15" hidden="1" customHeight="1">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row>
    <row r="101" spans="3:42" s="14" customFormat="1" ht="15" hidden="1" customHeight="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row>
    <row r="102" spans="3:42" s="14" customFormat="1" ht="15" hidden="1" customHeight="1">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row>
    <row r="103" spans="3:42" s="14" customFormat="1" ht="15" hidden="1" customHeight="1">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row>
    <row r="104" spans="3:42" s="14" customFormat="1" ht="15" hidden="1" customHeight="1">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row>
    <row r="105" spans="3:42" s="14" customFormat="1" ht="15" hidden="1" customHeight="1">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row>
    <row r="106" spans="3:42" s="14" customFormat="1" ht="15" hidden="1" customHeight="1">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row>
    <row r="107" spans="3:42" s="14" customFormat="1" ht="15" hidden="1" customHeight="1">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row>
    <row r="108" spans="3:42" s="14" customFormat="1" ht="15" hidden="1" customHeight="1">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row>
    <row r="109" spans="3:42" s="14" customFormat="1" ht="15" hidden="1" customHeight="1">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row>
    <row r="110" spans="3:42" s="14" customFormat="1" ht="15" hidden="1" customHeight="1">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row>
    <row r="111" spans="3:42" s="14" customFormat="1" ht="15" hidden="1" customHeight="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row>
    <row r="112" spans="3:42" s="14" customFormat="1" ht="15" hidden="1" customHeight="1">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row>
    <row r="113" spans="3:42" s="14" customFormat="1" ht="15" hidden="1" customHeight="1">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row>
    <row r="114" spans="3:42" s="14" customFormat="1" ht="15" hidden="1" customHeight="1">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row>
    <row r="115" spans="3:42" s="14" customFormat="1" ht="15" hidden="1" customHeight="1">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row>
    <row r="116" spans="3:42" s="14" customFormat="1" ht="15" hidden="1" customHeight="1">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row>
    <row r="117" spans="3:42" s="14" customFormat="1" ht="15" hidden="1" customHeight="1">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row>
    <row r="118" spans="3:42" s="14" customFormat="1" ht="15" hidden="1" customHeight="1">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row>
    <row r="119" spans="3:42" s="14" customFormat="1" ht="15" hidden="1" customHeight="1">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row>
    <row r="120" spans="3:42" s="14" customFormat="1" ht="15" hidden="1" customHeight="1">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row>
    <row r="121" spans="3:42" s="14" customFormat="1" ht="15" hidden="1" customHeight="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row>
    <row r="122" spans="3:42" s="14" customFormat="1" ht="15" hidden="1" customHeight="1">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row>
    <row r="123" spans="3:42" s="14" customFormat="1" ht="15" hidden="1" customHeight="1">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row>
    <row r="124" spans="3:42" s="14" customFormat="1" ht="15" hidden="1" customHeight="1">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row>
    <row r="125" spans="3:42" s="14" customFormat="1" ht="15" hidden="1" customHeight="1">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row>
    <row r="126" spans="3:42" s="14" customFormat="1" ht="15" hidden="1" customHeight="1">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row>
    <row r="127" spans="3:42" s="14" customFormat="1" ht="15" hidden="1" customHeight="1">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row>
    <row r="128" spans="3:42" s="14" customFormat="1" ht="15" hidden="1" customHeight="1">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row>
    <row r="129" spans="3:42" s="14" customFormat="1" ht="15" hidden="1" customHeight="1">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row>
    <row r="130" spans="3:42" s="14" customFormat="1" ht="15" hidden="1" customHeight="1">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row>
    <row r="131" spans="3:42" s="14" customFormat="1" ht="15" hidden="1" customHeight="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row>
    <row r="132" spans="3:42" s="14" customFormat="1" ht="15" hidden="1" customHeight="1">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row>
    <row r="133" spans="3:42" s="14" customFormat="1" ht="15" hidden="1" customHeight="1">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row>
    <row r="134" spans="3:42" s="14" customFormat="1" ht="15" hidden="1" customHeight="1">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row>
    <row r="135" spans="3:42" s="14" customFormat="1" ht="15" hidden="1" customHeight="1">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row>
    <row r="136" spans="3:42" s="14" customFormat="1" ht="15" hidden="1" customHeight="1">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row>
    <row r="137" spans="3:42" s="14" customFormat="1" ht="15" hidden="1" customHeight="1">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row>
    <row r="138" spans="3:42" s="14" customFormat="1" ht="15" hidden="1" customHeight="1">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row>
    <row r="139" spans="3:42" s="14" customFormat="1" ht="15" hidden="1" customHeight="1">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row>
    <row r="140" spans="3:42" s="14" customFormat="1" ht="15" hidden="1" customHeight="1">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row>
    <row r="141" spans="3:42" s="14" customFormat="1" ht="15" hidden="1" customHeight="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row>
    <row r="142" spans="3:42" s="14" customFormat="1" ht="15" hidden="1" customHeight="1">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row>
    <row r="143" spans="3:42" s="14" customFormat="1" ht="15" hidden="1" customHeight="1">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row>
    <row r="144" spans="3:42" s="14" customFormat="1" ht="15" hidden="1" customHeight="1">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row>
    <row r="145" spans="3:42" s="14" customFormat="1" ht="15" hidden="1" customHeight="1">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row>
    <row r="146" spans="3:42" s="14" customFormat="1" ht="15" hidden="1" customHeight="1">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row>
    <row r="147" spans="3:42" s="14" customFormat="1" ht="15" hidden="1" customHeight="1">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row>
    <row r="148" spans="3:42" s="14" customFormat="1" ht="15" hidden="1" customHeight="1">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row>
    <row r="149" spans="3:42" s="14" customFormat="1" ht="15" hidden="1" customHeight="1">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row>
    <row r="150" spans="3:42" s="14" customFormat="1" ht="15" hidden="1" customHeight="1">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row>
    <row r="151" spans="3:42" s="14" customFormat="1" ht="15" hidden="1" customHeight="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row>
    <row r="152" spans="3:42" s="14" customFormat="1" ht="15" hidden="1" customHeight="1">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row>
    <row r="153" spans="3:42" s="14" customFormat="1" ht="15" hidden="1" customHeight="1">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row>
    <row r="154" spans="3:42" s="14" customFormat="1" ht="15" hidden="1" customHeight="1">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row>
    <row r="155" spans="3:42" s="14" customFormat="1" ht="15" hidden="1" customHeight="1">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row>
    <row r="156" spans="3:42" s="14" customFormat="1" ht="15" hidden="1" customHeight="1">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row>
    <row r="157" spans="3:42" s="14" customFormat="1" ht="15" hidden="1" customHeight="1">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row>
    <row r="158" spans="3:42" s="14" customFormat="1" ht="15" hidden="1" customHeight="1">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row>
    <row r="159" spans="3:42" s="14" customFormat="1" ht="15" hidden="1" customHeight="1">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row>
    <row r="160" spans="3:42" s="14" customFormat="1" ht="15" hidden="1" customHeight="1">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row>
    <row r="161" spans="3:42" s="14" customFormat="1" ht="15" hidden="1" customHeight="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row>
    <row r="162" spans="3:42" s="14" customFormat="1" ht="15" hidden="1" customHeight="1">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row>
    <row r="163" spans="3:42" s="14" customFormat="1" ht="15" hidden="1" customHeight="1">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row>
    <row r="164" spans="3:42" s="14" customFormat="1" ht="15" hidden="1" customHeight="1">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row>
    <row r="165" spans="3:42" s="14" customFormat="1" ht="15" hidden="1" customHeight="1">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row>
    <row r="166" spans="3:42" s="14" customFormat="1" ht="15" hidden="1" customHeight="1">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row>
    <row r="167" spans="3:42" s="14" customFormat="1" ht="15" hidden="1" customHeight="1">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row>
    <row r="168" spans="3:42" s="14" customFormat="1" ht="15" hidden="1" customHeight="1">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row>
    <row r="169" spans="3:42" s="14" customFormat="1" ht="15" hidden="1" customHeight="1">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row>
    <row r="170" spans="3:42" s="14" customFormat="1" ht="15" hidden="1" customHeight="1">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row>
    <row r="171" spans="3:42" s="14" customFormat="1" ht="15" hidden="1" customHeight="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row>
    <row r="172" spans="3:42" s="14" customFormat="1" ht="15" hidden="1" customHeight="1">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row>
    <row r="173" spans="3:42" s="14" customFormat="1" ht="15" hidden="1" customHeight="1">
      <c r="C173" s="22"/>
      <c r="D173" s="22"/>
      <c r="E173" s="22"/>
      <c r="F173" s="22"/>
      <c r="G173" s="22"/>
      <c r="H173" s="22"/>
      <c r="J173" s="22"/>
      <c r="K173" s="22"/>
      <c r="L173" s="22"/>
      <c r="M173" s="22"/>
      <c r="N173" s="22"/>
      <c r="O173" s="22"/>
    </row>
    <row r="174" spans="3:42" s="14" customFormat="1" ht="15" hidden="1" customHeight="1">
      <c r="C174" s="22"/>
      <c r="D174" s="22"/>
      <c r="E174" s="22"/>
      <c r="F174" s="22"/>
      <c r="G174" s="22"/>
      <c r="H174" s="22"/>
      <c r="J174" s="22"/>
      <c r="K174" s="22"/>
      <c r="L174" s="22"/>
      <c r="M174" s="22"/>
      <c r="N174" s="22"/>
      <c r="O174" s="22"/>
    </row>
    <row r="175" spans="3:42" s="14" customFormat="1" ht="15" hidden="1" customHeight="1">
      <c r="C175" s="22"/>
      <c r="D175" s="22"/>
      <c r="E175" s="22"/>
      <c r="F175" s="22"/>
      <c r="G175" s="22"/>
      <c r="H175" s="22"/>
      <c r="J175" s="22"/>
      <c r="K175" s="22"/>
      <c r="L175" s="22"/>
      <c r="M175" s="22"/>
      <c r="N175" s="22"/>
      <c r="O175" s="22"/>
    </row>
    <row r="176" spans="3:42" s="14" customFormat="1" ht="15" hidden="1" customHeight="1">
      <c r="C176" s="22"/>
      <c r="D176" s="22"/>
      <c r="E176" s="22"/>
      <c r="F176" s="22"/>
      <c r="G176" s="22"/>
      <c r="H176" s="22"/>
      <c r="J176" s="22"/>
      <c r="K176" s="22"/>
      <c r="L176" s="22"/>
      <c r="M176" s="22"/>
      <c r="N176" s="22"/>
      <c r="O176" s="22"/>
    </row>
    <row r="177" spans="3:15" s="14" customFormat="1" ht="15" hidden="1" customHeight="1">
      <c r="C177" s="22"/>
      <c r="D177" s="22"/>
      <c r="E177" s="22"/>
      <c r="F177" s="22"/>
      <c r="G177" s="22"/>
      <c r="H177" s="22"/>
      <c r="J177" s="22"/>
      <c r="K177" s="22"/>
      <c r="L177" s="22"/>
      <c r="M177" s="22"/>
      <c r="N177" s="22"/>
      <c r="O177" s="22"/>
    </row>
    <row r="178" spans="3:15" s="14" customFormat="1" ht="15" hidden="1" customHeight="1">
      <c r="C178" s="22"/>
      <c r="D178" s="22"/>
      <c r="E178" s="22"/>
      <c r="F178" s="22"/>
      <c r="G178" s="22"/>
      <c r="H178" s="22"/>
      <c r="J178" s="22"/>
      <c r="K178" s="22"/>
      <c r="L178" s="22"/>
      <c r="M178" s="22"/>
      <c r="N178" s="22"/>
      <c r="O178" s="22"/>
    </row>
    <row r="179" spans="3:15" s="14" customFormat="1" ht="15" hidden="1" customHeight="1">
      <c r="C179" s="22"/>
      <c r="D179" s="22"/>
      <c r="E179" s="22"/>
      <c r="F179" s="22"/>
      <c r="G179" s="22"/>
      <c r="H179" s="22"/>
      <c r="J179" s="22"/>
      <c r="K179" s="22"/>
      <c r="L179" s="22"/>
      <c r="M179" s="22"/>
      <c r="N179" s="22"/>
      <c r="O179" s="22"/>
    </row>
    <row r="180" spans="3:15" s="14" customFormat="1" ht="15" hidden="1" customHeight="1">
      <c r="C180" s="22"/>
      <c r="D180" s="22"/>
      <c r="E180" s="22"/>
      <c r="F180" s="22"/>
      <c r="G180" s="22"/>
      <c r="H180" s="22"/>
      <c r="J180" s="22"/>
      <c r="K180" s="22"/>
      <c r="L180" s="22"/>
      <c r="M180" s="22"/>
      <c r="N180" s="22"/>
      <c r="O180" s="22"/>
    </row>
    <row r="181" spans="3:15" s="14" customFormat="1" ht="15" hidden="1" customHeight="1">
      <c r="C181" s="22"/>
      <c r="D181" s="22"/>
      <c r="E181" s="22"/>
      <c r="F181" s="22"/>
      <c r="G181" s="22"/>
      <c r="H181" s="22"/>
      <c r="J181" s="22"/>
      <c r="K181" s="22"/>
      <c r="L181" s="22"/>
      <c r="M181" s="22"/>
      <c r="N181" s="22"/>
      <c r="O181" s="22"/>
    </row>
    <row r="182" spans="3:15" s="14" customFormat="1" ht="15" hidden="1" customHeight="1">
      <c r="C182" s="22"/>
      <c r="D182" s="22"/>
      <c r="E182" s="22"/>
      <c r="F182" s="22"/>
      <c r="G182" s="22"/>
      <c r="H182" s="22"/>
      <c r="J182" s="22"/>
      <c r="K182" s="22"/>
      <c r="L182" s="22"/>
      <c r="M182" s="22"/>
      <c r="N182" s="22"/>
      <c r="O182" s="22"/>
    </row>
    <row r="183" spans="3:15" s="14" customFormat="1" ht="15" hidden="1" customHeight="1">
      <c r="C183" s="22"/>
      <c r="D183" s="22"/>
      <c r="E183" s="22"/>
      <c r="F183" s="22"/>
      <c r="G183" s="22"/>
      <c r="H183" s="22"/>
      <c r="J183" s="22"/>
      <c r="K183" s="22"/>
      <c r="L183" s="22"/>
      <c r="M183" s="22"/>
      <c r="N183" s="22"/>
      <c r="O183" s="22"/>
    </row>
    <row r="184" spans="3:15" s="14" customFormat="1" ht="15" hidden="1" customHeight="1">
      <c r="C184" s="22"/>
      <c r="D184" s="22"/>
      <c r="E184" s="22"/>
      <c r="F184" s="22"/>
      <c r="G184" s="22"/>
      <c r="H184" s="22"/>
      <c r="J184" s="22"/>
      <c r="K184" s="22"/>
      <c r="L184" s="22"/>
      <c r="M184" s="22"/>
      <c r="N184" s="22"/>
      <c r="O184" s="22"/>
    </row>
    <row r="185" spans="3:15" s="14" customFormat="1" ht="15" hidden="1" customHeight="1">
      <c r="C185" s="22"/>
      <c r="D185" s="22"/>
      <c r="E185" s="22"/>
      <c r="F185" s="22"/>
      <c r="G185" s="22"/>
      <c r="H185" s="22"/>
      <c r="J185" s="22"/>
      <c r="K185" s="22"/>
      <c r="L185" s="22"/>
      <c r="M185" s="22"/>
      <c r="N185" s="22"/>
      <c r="O185" s="22"/>
    </row>
    <row r="186" spans="3:15" s="14" customFormat="1" ht="15" hidden="1" customHeight="1">
      <c r="C186" s="22"/>
      <c r="D186" s="22"/>
      <c r="E186" s="22"/>
      <c r="F186" s="22"/>
      <c r="G186" s="22"/>
      <c r="H186" s="22"/>
      <c r="J186" s="22"/>
      <c r="K186" s="22"/>
      <c r="L186" s="22"/>
      <c r="M186" s="22"/>
      <c r="N186" s="22"/>
      <c r="O186" s="22"/>
    </row>
    <row r="187" spans="3:15" s="14" customFormat="1" ht="15" hidden="1" customHeight="1">
      <c r="C187" s="22"/>
      <c r="D187" s="22"/>
      <c r="E187" s="22"/>
      <c r="F187" s="22"/>
      <c r="G187" s="22"/>
      <c r="H187" s="22"/>
      <c r="J187" s="22"/>
      <c r="K187" s="22"/>
      <c r="L187" s="22"/>
      <c r="M187" s="22"/>
      <c r="N187" s="22"/>
      <c r="O187" s="22"/>
    </row>
    <row r="188" spans="3:15" s="14" customFormat="1" ht="15" hidden="1" customHeight="1">
      <c r="C188" s="22"/>
      <c r="D188" s="22"/>
      <c r="E188" s="22"/>
      <c r="F188" s="22"/>
      <c r="G188" s="22"/>
      <c r="H188" s="22"/>
      <c r="J188" s="22"/>
      <c r="K188" s="22"/>
      <c r="L188" s="22"/>
      <c r="M188" s="22"/>
      <c r="N188" s="22"/>
      <c r="O188" s="22"/>
    </row>
    <row r="189" spans="3:15" s="14" customFormat="1" ht="15" hidden="1" customHeight="1">
      <c r="C189" s="22"/>
      <c r="D189" s="22"/>
      <c r="E189" s="22"/>
      <c r="F189" s="22"/>
      <c r="G189" s="22"/>
      <c r="H189" s="22"/>
      <c r="J189" s="22"/>
      <c r="K189" s="22"/>
      <c r="L189" s="22"/>
      <c r="M189" s="22"/>
      <c r="N189" s="22"/>
      <c r="O189" s="22"/>
    </row>
    <row r="190" spans="3:15" s="14" customFormat="1" ht="15" hidden="1" customHeight="1">
      <c r="C190" s="22"/>
      <c r="D190" s="22"/>
      <c r="E190" s="22"/>
      <c r="F190" s="22"/>
      <c r="G190" s="22"/>
      <c r="H190" s="22"/>
      <c r="J190" s="22"/>
      <c r="K190" s="22"/>
      <c r="L190" s="22"/>
      <c r="M190" s="22"/>
      <c r="N190" s="22"/>
      <c r="O190" s="22"/>
    </row>
    <row r="191" spans="3:15" s="14" customFormat="1" ht="15" hidden="1" customHeight="1">
      <c r="C191" s="22"/>
      <c r="D191" s="22"/>
      <c r="E191" s="22"/>
      <c r="F191" s="22"/>
      <c r="G191" s="22"/>
      <c r="H191" s="22"/>
      <c r="J191" s="22"/>
      <c r="K191" s="22"/>
      <c r="L191" s="22"/>
      <c r="M191" s="22"/>
      <c r="N191" s="22"/>
      <c r="O191" s="22"/>
    </row>
    <row r="192" spans="3:15" s="14" customFormat="1" ht="15" hidden="1" customHeight="1">
      <c r="C192" s="22"/>
      <c r="D192" s="22"/>
      <c r="E192" s="22"/>
      <c r="F192" s="22"/>
      <c r="G192" s="22"/>
      <c r="H192" s="22"/>
      <c r="J192" s="22"/>
      <c r="K192" s="22"/>
      <c r="L192" s="22"/>
      <c r="M192" s="22"/>
      <c r="N192" s="22"/>
      <c r="O192" s="22"/>
    </row>
    <row r="193" spans="1:45" s="14" customFormat="1" ht="15" hidden="1" customHeight="1">
      <c r="C193" s="22"/>
      <c r="D193" s="22"/>
      <c r="E193" s="22"/>
      <c r="F193" s="22"/>
      <c r="G193" s="22"/>
      <c r="H193" s="22"/>
      <c r="J193" s="22"/>
      <c r="K193" s="22"/>
      <c r="L193" s="22"/>
      <c r="M193" s="22"/>
      <c r="N193" s="22"/>
      <c r="O193" s="22"/>
    </row>
    <row r="194" spans="1:45" s="14" customFormat="1" ht="15" hidden="1" customHeight="1">
      <c r="C194" s="22"/>
      <c r="D194" s="22"/>
      <c r="E194" s="22"/>
      <c r="F194" s="22"/>
      <c r="G194" s="22"/>
      <c r="H194" s="22"/>
      <c r="J194" s="22"/>
      <c r="K194" s="22"/>
      <c r="L194" s="22"/>
      <c r="M194" s="22"/>
      <c r="N194" s="22"/>
      <c r="O194" s="22"/>
    </row>
    <row r="195" spans="1:45" s="14" customFormat="1" ht="15" hidden="1" customHeight="1">
      <c r="C195" s="22"/>
      <c r="D195" s="22"/>
      <c r="E195" s="22"/>
      <c r="F195" s="22"/>
      <c r="G195" s="22"/>
      <c r="H195" s="22"/>
      <c r="J195" s="22"/>
      <c r="K195" s="22"/>
      <c r="L195" s="22"/>
      <c r="M195" s="22"/>
      <c r="N195" s="22"/>
      <c r="O195" s="22"/>
    </row>
    <row r="196" spans="1:45" s="14" customFormat="1" ht="15" hidden="1" customHeight="1">
      <c r="C196" s="22"/>
      <c r="D196" s="22"/>
      <c r="E196" s="22"/>
      <c r="F196" s="22"/>
      <c r="G196" s="22"/>
      <c r="H196" s="22"/>
      <c r="J196" s="22"/>
      <c r="K196" s="22"/>
      <c r="L196" s="22"/>
      <c r="M196" s="22"/>
      <c r="N196" s="22"/>
      <c r="O196" s="22"/>
    </row>
    <row r="197" spans="1:45" s="14" customFormat="1" ht="15" hidden="1" customHeight="1">
      <c r="C197" s="22"/>
      <c r="D197" s="22"/>
      <c r="E197" s="22"/>
      <c r="F197" s="22"/>
      <c r="G197" s="22"/>
      <c r="H197" s="22"/>
      <c r="J197" s="22"/>
      <c r="K197" s="22"/>
      <c r="L197" s="22"/>
      <c r="M197" s="22"/>
      <c r="N197" s="22"/>
      <c r="O197" s="22"/>
    </row>
    <row r="198" spans="1:45" s="14" customFormat="1" ht="15" hidden="1" customHeight="1">
      <c r="C198" s="31"/>
      <c r="D198" s="31"/>
      <c r="E198" s="31"/>
      <c r="F198" s="31"/>
      <c r="G198" s="31"/>
      <c r="H198" s="31"/>
      <c r="J198" s="31"/>
      <c r="K198" s="31"/>
      <c r="L198" s="31"/>
      <c r="M198" s="31"/>
      <c r="N198" s="31"/>
      <c r="O198" s="31"/>
    </row>
    <row r="199" spans="1:45" s="14" customFormat="1" ht="15" hidden="1" customHeight="1">
      <c r="C199" s="22"/>
      <c r="D199" s="22"/>
      <c r="E199" s="22"/>
      <c r="F199" s="22"/>
      <c r="G199" s="22"/>
      <c r="H199" s="22"/>
      <c r="J199" s="22"/>
      <c r="K199" s="22"/>
      <c r="L199" s="22"/>
      <c r="M199" s="22"/>
      <c r="N199" s="22"/>
      <c r="O199" s="22"/>
    </row>
    <row r="200" spans="1:45" ht="1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 hidden="1" customHeight="1"/>
    <row r="204" spans="1:45" ht="15" hidden="1" customHeight="1"/>
    <row r="205" spans="1:45" ht="15" hidden="1" customHeight="1"/>
    <row r="206" spans="1:45" ht="15" hidden="1" customHeight="1"/>
    <row r="207" spans="1:45" ht="15" hidden="1" customHeight="1"/>
    <row r="208" spans="1:45"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sheetData>
  <sheetProtection algorithmName="SHA-512" hashValue="/dJN1xYtOt1Mp1GwYeQ4XPuWFOeVxE+rheV4/Sk/OdKeFbBhRAkuKsYLrFvH6FrgakC1nA44rrdhV/CtRdi4Pw==" saltValue="gqBpW8SlK4h+Toe8r7E7dQ==" spinCount="100000" sheet="1" objects="1" scenarios="1" selectLockedCells="1"/>
  <mergeCells count="63">
    <mergeCell ref="Q11:AJ13"/>
    <mergeCell ref="K29:AC30"/>
    <mergeCell ref="AO5:AS6"/>
    <mergeCell ref="AO7:AS7"/>
    <mergeCell ref="AO8:AS8"/>
    <mergeCell ref="A9:AS10"/>
    <mergeCell ref="O25:X25"/>
    <mergeCell ref="O26:X26"/>
    <mergeCell ref="AB23:AJ23"/>
    <mergeCell ref="AB24:AJ24"/>
    <mergeCell ref="AB25:AJ25"/>
    <mergeCell ref="J11:P13"/>
    <mergeCell ref="AP1:AS3"/>
    <mergeCell ref="A4:E6"/>
    <mergeCell ref="A7:E8"/>
    <mergeCell ref="F1:I3"/>
    <mergeCell ref="J1:M3"/>
    <mergeCell ref="AH1:AK3"/>
    <mergeCell ref="AL1:AO3"/>
    <mergeCell ref="O1:AE3"/>
    <mergeCell ref="U34:Y42"/>
    <mergeCell ref="K44:N45"/>
    <mergeCell ref="J32:AJ33"/>
    <mergeCell ref="J16:AB19"/>
    <mergeCell ref="AD29:AJ30"/>
    <mergeCell ref="Z38:AI39"/>
    <mergeCell ref="K38:T39"/>
    <mergeCell ref="Z36:AI37"/>
    <mergeCell ref="K36:T37"/>
    <mergeCell ref="AB26:AJ26"/>
    <mergeCell ref="AB22:AJ22"/>
    <mergeCell ref="O22:X22"/>
    <mergeCell ref="J20:AJ21"/>
    <mergeCell ref="O23:X23"/>
    <mergeCell ref="O24:X24"/>
    <mergeCell ref="M200:AG201"/>
    <mergeCell ref="J72:V72"/>
    <mergeCell ref="J76:AJ77"/>
    <mergeCell ref="J73:V74"/>
    <mergeCell ref="X48:AF49"/>
    <mergeCell ref="K48:N49"/>
    <mergeCell ref="O48:W49"/>
    <mergeCell ref="V65:AA65"/>
    <mergeCell ref="M63:R63"/>
    <mergeCell ref="M64:R64"/>
    <mergeCell ref="M65:R65"/>
    <mergeCell ref="AE63:AJ63"/>
    <mergeCell ref="AE65:AJ65"/>
    <mergeCell ref="AE64:AJ64"/>
    <mergeCell ref="V63:AA63"/>
    <mergeCell ref="V64:AA64"/>
    <mergeCell ref="J69:AJ70"/>
    <mergeCell ref="J51:AJ52"/>
    <mergeCell ref="X43:AF43"/>
    <mergeCell ref="X44:AF45"/>
    <mergeCell ref="X46:AF47"/>
    <mergeCell ref="K46:N47"/>
    <mergeCell ref="O43:W43"/>
    <mergeCell ref="O44:W45"/>
    <mergeCell ref="O46:W47"/>
    <mergeCell ref="J57:R58"/>
    <mergeCell ref="J55:R56"/>
    <mergeCell ref="T59:Z61"/>
  </mergeCells>
  <conditionalFormatting sqref="AO8:AS8">
    <cfRule type="expression" dxfId="33" priority="1">
      <formula>IF($AO$8=PROJSTATMEASURE,FALSE,TRUE)</formula>
    </cfRule>
  </conditionalFormatting>
  <hyperlinks>
    <hyperlink ref="AA74" r:id="rId1" xr:uid="{00000000-0004-0000-1000-000001000000}"/>
    <hyperlink ref="AU59" r:id="rId2" xr:uid="{BB4D2701-8032-4B82-A432-61780740EEE8}"/>
    <hyperlink ref="AU52" r:id="rId3" xr:uid="{8AE24C3C-3A48-4A3C-B6D7-5A49715A57CD}"/>
    <hyperlink ref="J1:M3" location="'M01-S02'!J1" tooltip="Instructions" display="'M01-S02'!J1" xr:uid="{0E1C73E4-7BCB-41A8-BBB5-EFFFC749E51E}"/>
    <hyperlink ref="AL1:AO3" location="'M05-S05'!AL1" tooltip=" " display="'M05-S05'!AL1" xr:uid="{FF826B06-DFF9-4AD9-AA24-8E3C5BF79A1E}"/>
    <hyperlink ref="AH1:AK3" location="'M05-S04'!AH1" tooltip=" " display="'M05-S04'!AH1" xr:uid="{512A23C7-7BAB-4FAC-8703-DD78AC131AFD}"/>
    <hyperlink ref="AP1:AS3" location="'M01-S03'!AP1" tooltip="Contact" display="'M01-S03'!AP1" xr:uid="{692DBB78-BBC1-489C-96AE-D60038BC8003}"/>
    <hyperlink ref="B202" r:id="rId4" xr:uid="{999D9534-F787-437E-B9B6-5786524C6DCD}"/>
  </hyperlinks>
  <printOptions horizontalCentered="1" verticalCentered="1"/>
  <pageMargins left="0" right="0" top="0.1" bottom="0.1" header="0.1" footer="0.1"/>
  <pageSetup scale="80" orientation="portrait" r:id="rId5"/>
  <colBreaks count="1" manualBreakCount="1">
    <brk id="36"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'M01-S01'!I62-TODAY()&gt;=7</xm:f>
            <x14:dxf>
              <font>
                <b val="0"/>
                <i val="0"/>
                <color theme="1"/>
              </font>
            </x14:dxf>
          </x14:cfRule>
          <x14:cfRule type="expression" priority="799" id="{DF5BE1B5-151F-4191-9DDE-9812A30F0259}">
            <xm:f>AND('M01-S01'!I62-TODAY()&lt;7,'M01-S01'!I62-TODAY()&gt;2)</xm:f>
            <x14:dxf>
              <font>
                <b/>
                <i val="0"/>
                <color rgb="FFFF0000"/>
              </font>
            </x14:dxf>
          </x14:cfRule>
          <xm:sqref>Q11</xm:sqref>
        </x14:conditionalFormatting>
        <x14:conditionalFormatting xmlns:xm="http://schemas.microsoft.com/office/excel/2006/main">
          <x14:cfRule type="expression" priority="801" id="{F6DAAC88-B8D6-415B-B7A9-77BF6AEEEEE1}">
            <xm:f>AND('M01-S01'!I62-TODAY()&lt;=2,'M01-S01'!I62-TODAY()&gt;=0)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Q11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pageSetUpPr fitToPage="1"/>
  </sheetPr>
  <dimension ref="A1:AS202"/>
  <sheetViews>
    <sheetView showGridLines="0" showRowColHeaders="0" zoomScale="85" zoomScaleNormal="85" workbookViewId="0">
      <selection activeCell="O42" sqref="O42:V42"/>
    </sheetView>
  </sheetViews>
  <sheetFormatPr defaultColWidth="0" defaultRowHeight="15.95" customHeight="1" zeroHeight="1"/>
  <cols>
    <col min="1" max="45" width="4.7109375" customWidth="1"/>
    <col min="46" max="16384" width="4.7109375" hidden="1"/>
  </cols>
  <sheetData>
    <row r="1" spans="1:45"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1205">
        <f>INCENTOTAL</f>
        <v>0</v>
      </c>
      <c r="B4" s="1205"/>
      <c r="C4" s="1205"/>
      <c r="D4" s="1205"/>
      <c r="E4" s="1205"/>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ht="15.95" customHeight="1">
      <c r="A9" s="720" t="str">
        <f>M5S4</f>
        <v>Offer Form</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5"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5" ht="15.95" customHeight="1">
      <c r="F11" s="1346" t="s">
        <v>1583</v>
      </c>
      <c r="G11" s="1346"/>
      <c r="H11" s="1346"/>
      <c r="I11" s="1346"/>
      <c r="J11" s="1346"/>
      <c r="K11" s="1346"/>
      <c r="L11" s="1346"/>
      <c r="M11" s="1346"/>
      <c r="N11" s="1346"/>
      <c r="O11" s="1346"/>
      <c r="P11" s="1346"/>
      <c r="Q11" s="1346"/>
      <c r="R11" s="1346"/>
      <c r="S11" s="1346"/>
      <c r="T11" s="1346"/>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7"/>
      <c r="AP11" s="1347"/>
      <c r="AQ11" s="235"/>
      <c r="AR11" s="235"/>
      <c r="AS11" s="235"/>
    </row>
    <row r="12" spans="1:45" ht="15.95" customHeight="1">
      <c r="F12" s="1346"/>
      <c r="G12" s="1346"/>
      <c r="H12" s="1346"/>
      <c r="I12" s="1346"/>
      <c r="J12" s="1346"/>
      <c r="K12" s="1346"/>
      <c r="L12" s="1346"/>
      <c r="M12" s="1346"/>
      <c r="N12" s="1346"/>
      <c r="O12" s="1346"/>
      <c r="P12" s="1346"/>
      <c r="Q12" s="1346"/>
      <c r="R12" s="1346"/>
      <c r="S12" s="1346"/>
      <c r="T12" s="1346"/>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7"/>
      <c r="AP12" s="1347"/>
      <c r="AQ12" s="235"/>
      <c r="AR12" s="235"/>
      <c r="AS12" s="235"/>
    </row>
    <row r="13" spans="1:45" ht="15.95" customHeight="1">
      <c r="I13" s="205"/>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7"/>
      <c r="AO13" s="235"/>
      <c r="AP13" s="235"/>
      <c r="AQ13" s="235"/>
      <c r="AR13" s="235"/>
      <c r="AS13" s="235"/>
    </row>
    <row r="14" spans="1:45" ht="15.95" customHeight="1">
      <c r="I14" s="208"/>
      <c r="J14" s="465"/>
      <c r="K14" s="465"/>
      <c r="L14" s="465"/>
      <c r="M14" s="465"/>
      <c r="N14" s="465"/>
      <c r="O14" s="465"/>
      <c r="P14" s="465"/>
      <c r="Q14" s="465"/>
      <c r="R14" s="465"/>
      <c r="S14" s="465"/>
      <c r="T14" s="465"/>
      <c r="U14" s="465"/>
      <c r="V14" s="465"/>
      <c r="W14" s="465"/>
      <c r="X14" s="465"/>
      <c r="Y14" s="465"/>
      <c r="Z14" s="465"/>
      <c r="AA14" s="465"/>
      <c r="AB14" s="465"/>
      <c r="AC14" s="464"/>
      <c r="AD14" s="464"/>
      <c r="AE14" s="464"/>
      <c r="AF14" s="464"/>
      <c r="AG14" s="464"/>
      <c r="AH14" s="464"/>
      <c r="AI14" s="464"/>
      <c r="AJ14" s="464"/>
      <c r="AK14" s="209"/>
      <c r="AO14" s="235"/>
      <c r="AP14" s="235"/>
      <c r="AQ14" s="235"/>
      <c r="AR14" s="235"/>
      <c r="AS14" s="235"/>
    </row>
    <row r="15" spans="1:45" ht="15.95" customHeight="1">
      <c r="I15" s="208"/>
      <c r="J15" s="465"/>
      <c r="K15" s="465"/>
      <c r="L15" s="465"/>
      <c r="M15" s="465"/>
      <c r="N15" s="465"/>
      <c r="O15" s="465"/>
      <c r="P15" s="465"/>
      <c r="Q15" s="465"/>
      <c r="R15" s="465"/>
      <c r="S15" s="465"/>
      <c r="T15" s="465"/>
      <c r="U15" s="465"/>
      <c r="V15" s="465"/>
      <c r="W15" s="465"/>
      <c r="X15" s="465"/>
      <c r="Y15" s="465"/>
      <c r="Z15" s="465"/>
      <c r="AA15" s="465"/>
      <c r="AB15" s="465"/>
      <c r="AC15" s="464"/>
      <c r="AD15" s="464"/>
      <c r="AE15" s="464"/>
      <c r="AF15" s="464"/>
      <c r="AG15" s="464"/>
      <c r="AH15" s="464"/>
      <c r="AI15" s="464"/>
      <c r="AJ15" s="464"/>
      <c r="AK15" s="209"/>
      <c r="AO15" s="235"/>
      <c r="AP15" s="235"/>
      <c r="AQ15" s="235"/>
      <c r="AR15" s="235"/>
      <c r="AS15" s="235"/>
    </row>
    <row r="16" spans="1:45" ht="15.95" customHeight="1">
      <c r="I16" s="208"/>
      <c r="J16" s="465"/>
      <c r="K16" s="465"/>
      <c r="L16" s="465"/>
      <c r="M16" s="465"/>
      <c r="N16" s="465"/>
      <c r="O16" s="465"/>
      <c r="P16" s="465"/>
      <c r="Q16" s="465"/>
      <c r="R16" s="465"/>
      <c r="S16" s="465"/>
      <c r="T16" s="465"/>
      <c r="U16" s="465"/>
      <c r="V16" s="465"/>
      <c r="W16" s="465"/>
      <c r="X16" s="465"/>
      <c r="Y16" s="465"/>
      <c r="Z16" s="465"/>
      <c r="AA16" s="465"/>
      <c r="AB16" s="465"/>
      <c r="AC16" s="464"/>
      <c r="AD16" s="464"/>
      <c r="AE16" s="464"/>
      <c r="AF16" s="464"/>
      <c r="AG16" s="464"/>
      <c r="AH16" s="464"/>
      <c r="AI16" s="464"/>
      <c r="AJ16" s="464"/>
      <c r="AK16" s="209"/>
      <c r="AO16" s="235"/>
      <c r="AP16" s="235"/>
      <c r="AQ16" s="235"/>
      <c r="AR16" s="235"/>
      <c r="AS16" s="235"/>
    </row>
    <row r="17" spans="9:45" ht="15.95" customHeight="1">
      <c r="I17" s="208"/>
      <c r="J17" s="465"/>
      <c r="K17" s="465"/>
      <c r="L17" s="465"/>
      <c r="M17" s="465"/>
      <c r="N17" s="465"/>
      <c r="O17" s="465"/>
      <c r="P17" s="465"/>
      <c r="Q17" s="465"/>
      <c r="R17" s="465"/>
      <c r="S17" s="465"/>
      <c r="T17" s="465"/>
      <c r="U17" s="465"/>
      <c r="V17" s="465"/>
      <c r="W17" s="465"/>
      <c r="X17" s="465"/>
      <c r="Y17" s="465"/>
      <c r="Z17" s="465"/>
      <c r="AA17" s="465"/>
      <c r="AB17" s="465"/>
      <c r="AC17" s="464"/>
      <c r="AD17" s="464"/>
      <c r="AE17" s="464"/>
      <c r="AF17" s="464"/>
      <c r="AG17" s="464"/>
      <c r="AH17" s="464"/>
      <c r="AI17" s="464"/>
      <c r="AJ17" s="464"/>
      <c r="AK17" s="209"/>
      <c r="AO17" s="235"/>
      <c r="AP17" s="235"/>
      <c r="AQ17" s="235"/>
      <c r="AR17" s="235"/>
      <c r="AS17" s="235"/>
    </row>
    <row r="18" spans="9:45" ht="15.95" customHeight="1">
      <c r="I18" s="208"/>
      <c r="J18" s="1344" t="s">
        <v>77</v>
      </c>
      <c r="K18" s="1344"/>
      <c r="L18" s="1344"/>
      <c r="M18" s="1344"/>
      <c r="N18" s="1344"/>
      <c r="O18" s="1344"/>
      <c r="P18" s="1344"/>
      <c r="Q18" s="1344"/>
      <c r="R18" s="1344"/>
      <c r="S18" s="1344"/>
      <c r="T18" s="1344"/>
      <c r="U18" s="1344"/>
      <c r="V18" s="1344"/>
      <c r="W18" s="1344"/>
      <c r="X18" s="466"/>
      <c r="Y18" s="466"/>
      <c r="Z18" s="466"/>
      <c r="AA18" s="466"/>
      <c r="AB18" s="466"/>
      <c r="AC18" s="1345" t="str">
        <f>CONCATENATE("Project # ",PROJID)</f>
        <v xml:space="preserve">Project # </v>
      </c>
      <c r="AD18" s="1345"/>
      <c r="AE18" s="1345"/>
      <c r="AF18" s="1345"/>
      <c r="AG18" s="1345"/>
      <c r="AH18" s="1345"/>
      <c r="AI18" s="1345"/>
      <c r="AJ18" s="1345"/>
      <c r="AK18" s="209"/>
      <c r="AO18" s="235"/>
      <c r="AP18" s="235"/>
      <c r="AQ18" s="235"/>
      <c r="AR18" s="235"/>
      <c r="AS18" s="235"/>
    </row>
    <row r="19" spans="9:45" ht="15.95" customHeight="1">
      <c r="I19" s="208"/>
      <c r="J19" s="1344"/>
      <c r="K19" s="1344"/>
      <c r="L19" s="1344"/>
      <c r="M19" s="1344"/>
      <c r="N19" s="1344"/>
      <c r="O19" s="1344"/>
      <c r="P19" s="1344"/>
      <c r="Q19" s="1344"/>
      <c r="R19" s="1344"/>
      <c r="S19" s="1344"/>
      <c r="T19" s="1344"/>
      <c r="U19" s="1344"/>
      <c r="V19" s="1344"/>
      <c r="W19" s="1344"/>
      <c r="X19" s="466"/>
      <c r="Y19" s="466"/>
      <c r="Z19" s="466"/>
      <c r="AA19" s="466"/>
      <c r="AB19" s="466"/>
      <c r="AC19" s="1345"/>
      <c r="AD19" s="1345"/>
      <c r="AE19" s="1345"/>
      <c r="AF19" s="1345"/>
      <c r="AG19" s="1345"/>
      <c r="AH19" s="1345"/>
      <c r="AI19" s="1345"/>
      <c r="AJ19" s="1345"/>
      <c r="AK19" s="209"/>
      <c r="AO19" s="235"/>
      <c r="AP19" s="235"/>
      <c r="AQ19" s="235"/>
      <c r="AR19" s="235"/>
      <c r="AS19" s="235"/>
    </row>
    <row r="20" spans="9:45" ht="15.95" customHeight="1">
      <c r="I20" s="208"/>
      <c r="J20" s="1344"/>
      <c r="K20" s="1344"/>
      <c r="L20" s="1344"/>
      <c r="M20" s="1344"/>
      <c r="N20" s="1344"/>
      <c r="O20" s="1344"/>
      <c r="P20" s="1344"/>
      <c r="Q20" s="1344"/>
      <c r="R20" s="1344"/>
      <c r="S20" s="1344"/>
      <c r="T20" s="1344"/>
      <c r="U20" s="1344"/>
      <c r="V20" s="1344"/>
      <c r="W20" s="1344"/>
      <c r="X20" s="466"/>
      <c r="Y20" s="466"/>
      <c r="Z20" s="466"/>
      <c r="AA20" s="466"/>
      <c r="AB20" s="466"/>
      <c r="AC20" s="1345"/>
      <c r="AD20" s="1345"/>
      <c r="AE20" s="1345"/>
      <c r="AF20" s="1345"/>
      <c r="AG20" s="1345"/>
      <c r="AH20" s="1345"/>
      <c r="AI20" s="1345"/>
      <c r="AJ20" s="1345"/>
      <c r="AK20" s="209"/>
      <c r="AO20" s="235"/>
      <c r="AP20" s="235"/>
      <c r="AQ20" s="235"/>
      <c r="AR20" s="235"/>
      <c r="AS20" s="235"/>
    </row>
    <row r="21" spans="9:45" ht="15.95" customHeight="1">
      <c r="I21" s="208"/>
      <c r="J21" s="1349">
        <f>M02S03F01</f>
        <v>0</v>
      </c>
      <c r="K21" s="1349"/>
      <c r="L21" s="1349"/>
      <c r="M21" s="1349"/>
      <c r="N21" s="1349"/>
      <c r="O21" s="1349"/>
      <c r="P21" s="1349"/>
      <c r="Q21" s="1349"/>
      <c r="R21" s="1349"/>
      <c r="S21" s="1349"/>
      <c r="T21" s="1349"/>
      <c r="U21" s="1349"/>
      <c r="V21" s="1349"/>
      <c r="W21" s="1349"/>
      <c r="X21" s="1350">
        <f>M02S04F18</f>
        <v>0</v>
      </c>
      <c r="Y21" s="1350"/>
      <c r="Z21" s="1350"/>
      <c r="AA21" s="1350"/>
      <c r="AB21" s="1350"/>
      <c r="AC21" s="1350"/>
      <c r="AD21" s="1350"/>
      <c r="AE21" s="1350"/>
      <c r="AF21" s="1350"/>
      <c r="AG21" s="1350"/>
      <c r="AH21" s="1350"/>
      <c r="AI21" s="1350"/>
      <c r="AJ21" s="1350"/>
      <c r="AK21" s="209"/>
      <c r="AO21" s="235"/>
      <c r="AP21" s="235"/>
      <c r="AQ21" s="235"/>
      <c r="AR21" s="235"/>
      <c r="AS21" s="235"/>
    </row>
    <row r="22" spans="9:45" ht="15.95" customHeight="1">
      <c r="I22" s="208"/>
      <c r="J22" s="1349"/>
      <c r="K22" s="1349"/>
      <c r="L22" s="1349"/>
      <c r="M22" s="1349"/>
      <c r="N22" s="1349"/>
      <c r="O22" s="1349"/>
      <c r="P22" s="1349"/>
      <c r="Q22" s="1349"/>
      <c r="R22" s="1349"/>
      <c r="S22" s="1349"/>
      <c r="T22" s="1349"/>
      <c r="U22" s="1349"/>
      <c r="V22" s="1349"/>
      <c r="W22" s="1349"/>
      <c r="X22" s="1350"/>
      <c r="Y22" s="1350"/>
      <c r="Z22" s="1350"/>
      <c r="AA22" s="1350"/>
      <c r="AB22" s="1350"/>
      <c r="AC22" s="1350"/>
      <c r="AD22" s="1350"/>
      <c r="AE22" s="1350"/>
      <c r="AF22" s="1350"/>
      <c r="AG22" s="1350"/>
      <c r="AH22" s="1350"/>
      <c r="AI22" s="1350"/>
      <c r="AJ22" s="1350"/>
      <c r="AK22" s="209"/>
      <c r="AO22" s="235"/>
      <c r="AP22" s="235"/>
      <c r="AQ22" s="235"/>
      <c r="AR22" s="235"/>
      <c r="AS22" s="235"/>
    </row>
    <row r="23" spans="9:45" ht="15.95" customHeight="1">
      <c r="I23" s="208"/>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209"/>
      <c r="AO23" s="235"/>
      <c r="AP23" s="235"/>
      <c r="AQ23" s="235"/>
      <c r="AR23" s="235"/>
      <c r="AS23" s="235"/>
    </row>
    <row r="24" spans="9:45" ht="15.95" customHeight="1">
      <c r="I24" s="208"/>
      <c r="J24" s="1351" t="s">
        <v>1567</v>
      </c>
      <c r="K24" s="1351"/>
      <c r="L24" s="1351"/>
      <c r="M24" s="1351"/>
      <c r="N24" s="1351"/>
      <c r="O24" s="210"/>
      <c r="P24" s="1352" t="s">
        <v>1568</v>
      </c>
      <c r="Q24" s="1352"/>
      <c r="R24" s="1352"/>
      <c r="S24" s="1352"/>
      <c r="T24" s="1352"/>
      <c r="U24" s="1352"/>
      <c r="V24" s="211"/>
      <c r="W24" s="1352" t="s">
        <v>1569</v>
      </c>
      <c r="X24" s="1352"/>
      <c r="Y24" s="1352"/>
      <c r="Z24" s="1352"/>
      <c r="AA24" s="1352"/>
      <c r="AB24" s="1352"/>
      <c r="AC24" s="211"/>
      <c r="AD24" s="1353" t="str">
        <f>IF(M02S04F02="Yes","","Company Contact")</f>
        <v>Company Contact</v>
      </c>
      <c r="AE24" s="1353"/>
      <c r="AF24" s="1353"/>
      <c r="AG24" s="1353"/>
      <c r="AH24" s="1353"/>
      <c r="AI24" s="1353"/>
      <c r="AJ24" s="211"/>
      <c r="AK24" s="209"/>
      <c r="AO24" s="235"/>
      <c r="AP24" s="235"/>
      <c r="AQ24" s="235"/>
      <c r="AR24" s="235"/>
      <c r="AS24" s="235"/>
    </row>
    <row r="25" spans="9:45" ht="15.95" customHeight="1">
      <c r="I25" s="208"/>
      <c r="J25" s="1351"/>
      <c r="K25" s="1351"/>
      <c r="L25" s="1351"/>
      <c r="M25" s="1351"/>
      <c r="N25" s="1351"/>
      <c r="O25" s="210"/>
      <c r="P25" s="1354">
        <f>M02S04F07</f>
        <v>0</v>
      </c>
      <c r="Q25" s="1354"/>
      <c r="R25" s="1354"/>
      <c r="S25" s="1354"/>
      <c r="T25" s="1354"/>
      <c r="U25" s="1354"/>
      <c r="V25" s="212"/>
      <c r="W25" s="1354" t="str">
        <f>CONCATENATE(M02S04F12," ",M02S04F13)</f>
        <v xml:space="preserve"> </v>
      </c>
      <c r="X25" s="1354"/>
      <c r="Y25" s="1354"/>
      <c r="Z25" s="1354"/>
      <c r="AA25" s="1354"/>
      <c r="AB25" s="1354"/>
      <c r="AC25" s="212"/>
      <c r="AD25" s="1354" t="str">
        <f>CONCATENATE(M02S03F06," ",M02S03F07)</f>
        <v xml:space="preserve"> </v>
      </c>
      <c r="AE25" s="1354"/>
      <c r="AF25" s="1354"/>
      <c r="AG25" s="1354"/>
      <c r="AH25" s="1354"/>
      <c r="AI25" s="1354"/>
      <c r="AJ25" s="213"/>
      <c r="AK25" s="209"/>
      <c r="AO25" s="235"/>
      <c r="AP25" s="235"/>
      <c r="AQ25" s="235"/>
      <c r="AR25" s="235"/>
      <c r="AS25" s="235"/>
    </row>
    <row r="26" spans="9:45" ht="15.95" customHeight="1">
      <c r="I26" s="208"/>
      <c r="J26" s="1351"/>
      <c r="K26" s="1351"/>
      <c r="L26" s="1351"/>
      <c r="M26" s="1351"/>
      <c r="N26" s="1351"/>
      <c r="O26" s="210"/>
      <c r="P26" s="1354">
        <f>M02S04F08</f>
        <v>0</v>
      </c>
      <c r="Q26" s="1354"/>
      <c r="R26" s="1354"/>
      <c r="S26" s="1354"/>
      <c r="T26" s="1354"/>
      <c r="U26" s="1354"/>
      <c r="V26" s="212"/>
      <c r="W26" s="1355" t="str">
        <f>M02S04F15</f>
        <v/>
      </c>
      <c r="X26" s="1355"/>
      <c r="Y26" s="1355"/>
      <c r="Z26" s="1355"/>
      <c r="AA26" s="1355"/>
      <c r="AB26" s="1355"/>
      <c r="AC26" s="214"/>
      <c r="AD26" s="1355">
        <f>M02S03F09</f>
        <v>0</v>
      </c>
      <c r="AE26" s="1355"/>
      <c r="AF26" s="1355"/>
      <c r="AG26" s="1355"/>
      <c r="AH26" s="1355"/>
      <c r="AI26" s="1355"/>
      <c r="AJ26" s="215"/>
      <c r="AK26" s="209"/>
      <c r="AO26" s="235"/>
      <c r="AP26" s="235"/>
      <c r="AQ26" s="235"/>
      <c r="AR26" s="235"/>
      <c r="AS26" s="235"/>
    </row>
    <row r="27" spans="9:45" ht="15.95" customHeight="1">
      <c r="I27" s="208"/>
      <c r="J27" s="1351"/>
      <c r="K27" s="1351"/>
      <c r="L27" s="1351"/>
      <c r="M27" s="1351"/>
      <c r="N27" s="1351"/>
      <c r="O27" s="210"/>
      <c r="P27" s="1354" t="str">
        <f>CONCATENATE(M02S04F09,", ",M02S04F10," ",M02S04F11)</f>
        <v xml:space="preserve">, MO </v>
      </c>
      <c r="Q27" s="1354"/>
      <c r="R27" s="1354"/>
      <c r="S27" s="1354"/>
      <c r="T27" s="1354"/>
      <c r="U27" s="1354"/>
      <c r="V27" s="212"/>
      <c r="W27" s="1354" t="str">
        <f>M02S04F16</f>
        <v/>
      </c>
      <c r="X27" s="1354"/>
      <c r="Y27" s="1354"/>
      <c r="Z27" s="1354"/>
      <c r="AA27" s="1354"/>
      <c r="AB27" s="1354"/>
      <c r="AC27" s="212"/>
      <c r="AD27" s="1354">
        <f>M02S03F10</f>
        <v>0</v>
      </c>
      <c r="AE27" s="1354"/>
      <c r="AF27" s="1354"/>
      <c r="AG27" s="1354"/>
      <c r="AH27" s="1354"/>
      <c r="AI27" s="1354"/>
      <c r="AJ27" s="213"/>
      <c r="AK27" s="209"/>
      <c r="AO27" s="235"/>
      <c r="AP27" s="235"/>
      <c r="AQ27" s="235"/>
      <c r="AR27" s="235"/>
      <c r="AS27" s="235"/>
    </row>
    <row r="28" spans="9:45" ht="15.95" customHeight="1">
      <c r="I28" s="208"/>
      <c r="J28" s="37"/>
      <c r="K28" s="37"/>
      <c r="L28" s="37"/>
      <c r="M28" s="37"/>
      <c r="N28" s="37"/>
      <c r="O28" s="37"/>
      <c r="P28" s="216"/>
      <c r="Q28" s="216"/>
      <c r="R28" s="216"/>
      <c r="S28" s="216"/>
      <c r="T28" s="216"/>
      <c r="U28" s="216"/>
      <c r="V28" s="216"/>
      <c r="W28" s="216"/>
      <c r="X28" s="216"/>
      <c r="Y28" s="216"/>
      <c r="Z28" s="216"/>
      <c r="AA28" s="216"/>
      <c r="AB28" s="216"/>
      <c r="AC28" s="216"/>
      <c r="AD28" s="216"/>
      <c r="AE28" s="216"/>
      <c r="AF28" s="216"/>
      <c r="AG28" s="216"/>
      <c r="AH28" s="216"/>
      <c r="AI28" s="216"/>
      <c r="AJ28" s="216"/>
      <c r="AK28" s="209"/>
      <c r="AO28" s="235"/>
      <c r="AP28" s="235"/>
      <c r="AQ28" s="235"/>
      <c r="AR28" s="235"/>
      <c r="AS28" s="235"/>
    </row>
    <row r="29" spans="9:45" ht="15.95" customHeight="1">
      <c r="I29" s="208"/>
      <c r="J29" s="1306" t="s">
        <v>1570</v>
      </c>
      <c r="K29" s="1306"/>
      <c r="L29" s="1306"/>
      <c r="M29" s="1306"/>
      <c r="N29" s="1306"/>
      <c r="O29" s="217"/>
      <c r="P29" s="1340" t="s">
        <v>76</v>
      </c>
      <c r="Q29" s="1340"/>
      <c r="R29" s="1340"/>
      <c r="S29" s="1340"/>
      <c r="T29" s="1340"/>
      <c r="U29" s="1340"/>
      <c r="V29" s="218"/>
      <c r="W29" s="1341" t="s">
        <v>79</v>
      </c>
      <c r="X29" s="1341"/>
      <c r="Y29" s="1341"/>
      <c r="Z29" s="1341"/>
      <c r="AA29" s="1341"/>
      <c r="AB29" s="1341"/>
      <c r="AC29" s="218"/>
      <c r="AD29" s="218"/>
      <c r="AE29" s="218"/>
      <c r="AF29" s="218"/>
      <c r="AG29" s="218"/>
      <c r="AH29" s="218"/>
      <c r="AI29" s="218"/>
      <c r="AJ29" s="218"/>
      <c r="AK29" s="209"/>
      <c r="AO29" s="235"/>
      <c r="AP29" s="235"/>
      <c r="AQ29" s="235"/>
      <c r="AR29" s="235"/>
      <c r="AS29" s="235"/>
    </row>
    <row r="30" spans="9:45" ht="15.95" customHeight="1">
      <c r="I30" s="208"/>
      <c r="J30" s="1306"/>
      <c r="K30" s="1306"/>
      <c r="L30" s="1306"/>
      <c r="M30" s="1306"/>
      <c r="N30" s="1306"/>
      <c r="O30" s="217"/>
      <c r="P30" s="1342">
        <f>M02S02F02</f>
        <v>0</v>
      </c>
      <c r="Q30" s="1342"/>
      <c r="R30" s="1342"/>
      <c r="S30" s="1342"/>
      <c r="T30" s="1342"/>
      <c r="U30" s="1342"/>
      <c r="V30" s="219"/>
      <c r="W30" s="1342" t="str">
        <f>CONCATENATE(M02S02F07," ",M02S02F08)</f>
        <v xml:space="preserve"> </v>
      </c>
      <c r="X30" s="1342"/>
      <c r="Y30" s="1342"/>
      <c r="Z30" s="1342"/>
      <c r="AA30" s="1342"/>
      <c r="AB30" s="1342"/>
      <c r="AC30" s="220"/>
      <c r="AD30" s="220"/>
      <c r="AE30" s="219"/>
      <c r="AF30" s="219"/>
      <c r="AG30" s="219"/>
      <c r="AH30" s="219"/>
      <c r="AI30" s="219"/>
      <c r="AJ30" s="221"/>
      <c r="AK30" s="209"/>
      <c r="AO30" s="235"/>
      <c r="AP30" s="235"/>
      <c r="AQ30" s="235"/>
      <c r="AR30" s="235"/>
      <c r="AS30" s="235"/>
    </row>
    <row r="31" spans="9:45" ht="15.95" customHeight="1">
      <c r="I31" s="208"/>
      <c r="J31" s="1306"/>
      <c r="K31" s="1306"/>
      <c r="L31" s="1306"/>
      <c r="M31" s="1306"/>
      <c r="N31" s="1306"/>
      <c r="O31" s="217"/>
      <c r="P31" s="1342">
        <f>M02S02F03</f>
        <v>0</v>
      </c>
      <c r="Q31" s="1342"/>
      <c r="R31" s="1342"/>
      <c r="S31" s="1342"/>
      <c r="T31" s="1342"/>
      <c r="U31" s="1342"/>
      <c r="V31" s="219"/>
      <c r="W31" s="1343">
        <f>M02S02F10</f>
        <v>0</v>
      </c>
      <c r="X31" s="1343"/>
      <c r="Y31" s="1343"/>
      <c r="Z31" s="1343"/>
      <c r="AA31" s="1343"/>
      <c r="AB31" s="1343"/>
      <c r="AC31" s="220"/>
      <c r="AD31" s="220"/>
      <c r="AE31" s="222"/>
      <c r="AF31" s="222"/>
      <c r="AG31" s="222"/>
      <c r="AH31" s="222"/>
      <c r="AI31" s="222"/>
      <c r="AJ31" s="223"/>
      <c r="AK31" s="209"/>
      <c r="AO31" s="235"/>
      <c r="AP31" s="235"/>
      <c r="AQ31" s="235"/>
      <c r="AR31" s="235"/>
      <c r="AS31" s="235"/>
    </row>
    <row r="32" spans="9:45" ht="15.95" customHeight="1">
      <c r="I32" s="208"/>
      <c r="J32" s="1306"/>
      <c r="K32" s="1306"/>
      <c r="L32" s="1306"/>
      <c r="M32" s="1306"/>
      <c r="N32" s="1306"/>
      <c r="O32" s="217"/>
      <c r="P32" s="1342" t="str">
        <f>CONCATENATE(M02S02F04,", ",M02S02F05," ",M02S02F06)</f>
        <v xml:space="preserve">,  </v>
      </c>
      <c r="Q32" s="1342"/>
      <c r="R32" s="1342"/>
      <c r="S32" s="1342"/>
      <c r="T32" s="1342"/>
      <c r="U32" s="1342"/>
      <c r="V32" s="219"/>
      <c r="W32" s="1342">
        <f>M02S02F11</f>
        <v>0</v>
      </c>
      <c r="X32" s="1342"/>
      <c r="Y32" s="1342"/>
      <c r="Z32" s="1342"/>
      <c r="AA32" s="1342"/>
      <c r="AB32" s="1342"/>
      <c r="AC32" s="220"/>
      <c r="AD32" s="220"/>
      <c r="AE32" s="219"/>
      <c r="AF32" s="219"/>
      <c r="AG32" s="219"/>
      <c r="AH32" s="219"/>
      <c r="AI32" s="219"/>
      <c r="AJ32" s="224"/>
      <c r="AK32" s="209"/>
      <c r="AO32" s="235"/>
      <c r="AP32" s="235"/>
      <c r="AQ32" s="235"/>
      <c r="AR32" s="235"/>
      <c r="AS32" s="235"/>
    </row>
    <row r="33" spans="9:45" ht="15.95" customHeight="1">
      <c r="I33" s="208"/>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209"/>
      <c r="AO33" s="235"/>
      <c r="AP33" s="235"/>
      <c r="AQ33" s="235"/>
      <c r="AR33" s="235"/>
      <c r="AS33" s="235"/>
    </row>
    <row r="34" spans="9:45" ht="15.95" customHeight="1">
      <c r="I34" s="208"/>
      <c r="J34" s="1331" t="s">
        <v>1985</v>
      </c>
      <c r="K34" s="1331"/>
      <c r="L34" s="1331"/>
      <c r="M34" s="1331"/>
      <c r="N34" s="1331"/>
      <c r="O34" s="217"/>
      <c r="P34" s="1332" t="s">
        <v>2717</v>
      </c>
      <c r="Q34" s="1332"/>
      <c r="R34" s="1332"/>
      <c r="S34" s="1332"/>
      <c r="T34" s="1333" t="s">
        <v>1187</v>
      </c>
      <c r="U34" s="1333"/>
      <c r="V34" s="1333"/>
      <c r="W34" s="1333"/>
      <c r="X34" s="1333"/>
      <c r="Y34" s="1333" t="s">
        <v>1581</v>
      </c>
      <c r="Z34" s="1333"/>
      <c r="AA34" s="1333"/>
      <c r="AB34" s="1333"/>
      <c r="AC34" s="1333"/>
      <c r="AD34" s="1333" t="s">
        <v>1990</v>
      </c>
      <c r="AE34" s="1333"/>
      <c r="AF34" s="1333"/>
      <c r="AG34" s="1333"/>
      <c r="AH34" s="1333"/>
      <c r="AI34" s="225"/>
      <c r="AJ34" s="225"/>
      <c r="AK34" s="209"/>
      <c r="AO34" s="235"/>
      <c r="AP34" s="235"/>
      <c r="AQ34" s="235"/>
      <c r="AR34" s="235"/>
      <c r="AS34" s="235"/>
    </row>
    <row r="35" spans="9:45" ht="15.95" customHeight="1">
      <c r="I35" s="208"/>
      <c r="J35" s="1331"/>
      <c r="K35" s="1331"/>
      <c r="L35" s="1331"/>
      <c r="M35" s="1331"/>
      <c r="N35" s="1331"/>
      <c r="O35" s="217"/>
      <c r="P35" s="1335" t="s">
        <v>1443</v>
      </c>
      <c r="Q35" s="1336"/>
      <c r="R35" s="1336"/>
      <c r="S35" s="1336"/>
      <c r="T35" s="1348">
        <f ca="1">KWHTOTALPRESE</f>
        <v>0</v>
      </c>
      <c r="U35" s="1348"/>
      <c r="V35" s="1348"/>
      <c r="W35" s="1348"/>
      <c r="X35" s="1348"/>
      <c r="Y35" s="1334">
        <f ca="1">COSTTOTALPRESE</f>
        <v>0</v>
      </c>
      <c r="Z35" s="1334"/>
      <c r="AA35" s="1334"/>
      <c r="AB35" s="1334"/>
      <c r="AC35" s="1334"/>
      <c r="AD35" s="1334">
        <f>INCENTOTALPRESE</f>
        <v>0</v>
      </c>
      <c r="AE35" s="1334"/>
      <c r="AF35" s="1334"/>
      <c r="AG35" s="1334"/>
      <c r="AH35" s="1339"/>
      <c r="AI35" s="249"/>
      <c r="AJ35" s="221"/>
      <c r="AK35" s="209"/>
      <c r="AO35" s="235"/>
      <c r="AP35" s="235"/>
      <c r="AQ35" s="235"/>
      <c r="AR35" s="235"/>
      <c r="AS35" s="235"/>
    </row>
    <row r="36" spans="9:45" ht="15.95" customHeight="1">
      <c r="I36" s="208"/>
      <c r="J36" s="1331"/>
      <c r="K36" s="1331"/>
      <c r="L36" s="1331"/>
      <c r="M36" s="1331"/>
      <c r="N36" s="1331"/>
      <c r="O36" s="217"/>
      <c r="P36" s="1335" t="s">
        <v>144</v>
      </c>
      <c r="Q36" s="1336"/>
      <c r="R36" s="1336"/>
      <c r="S36" s="1336"/>
      <c r="T36" s="1325">
        <f ca="1">KWHTOTALCUSE</f>
        <v>0</v>
      </c>
      <c r="U36" s="1325"/>
      <c r="V36" s="1325"/>
      <c r="W36" s="1325"/>
      <c r="X36" s="1325"/>
      <c r="Y36" s="1327">
        <f ca="1">COSTTOTALCUSE</f>
        <v>0</v>
      </c>
      <c r="Z36" s="1327"/>
      <c r="AA36" s="1327"/>
      <c r="AB36" s="1327"/>
      <c r="AC36" s="1327"/>
      <c r="AD36" s="1327">
        <f>INCENTOTALCUSE</f>
        <v>0</v>
      </c>
      <c r="AE36" s="1327"/>
      <c r="AF36" s="1327"/>
      <c r="AG36" s="1327"/>
      <c r="AH36" s="1328"/>
      <c r="AI36" s="249"/>
      <c r="AJ36" s="221"/>
      <c r="AK36" s="209"/>
      <c r="AO36" s="235"/>
      <c r="AP36" s="235"/>
      <c r="AQ36" s="235"/>
      <c r="AR36" s="235"/>
      <c r="AS36" s="235"/>
    </row>
    <row r="37" spans="9:45" ht="15.95" customHeight="1">
      <c r="I37" s="208"/>
      <c r="J37" s="1331"/>
      <c r="K37" s="1331"/>
      <c r="L37" s="1331"/>
      <c r="M37" s="1331"/>
      <c r="N37" s="1331"/>
      <c r="O37" s="217"/>
      <c r="P37" s="1337" t="s">
        <v>84</v>
      </c>
      <c r="Q37" s="1338"/>
      <c r="R37" s="1338"/>
      <c r="S37" s="1338"/>
      <c r="T37" s="1326">
        <f ca="1">KWHTOTAL</f>
        <v>0</v>
      </c>
      <c r="U37" s="1326"/>
      <c r="V37" s="1326"/>
      <c r="W37" s="1326"/>
      <c r="X37" s="1326"/>
      <c r="Y37" s="1329">
        <f ca="1">COSTTOTAL</f>
        <v>0</v>
      </c>
      <c r="Z37" s="1329"/>
      <c r="AA37" s="1329"/>
      <c r="AB37" s="1329"/>
      <c r="AC37" s="1329"/>
      <c r="AD37" s="1329">
        <f>INCENTOTAL</f>
        <v>0</v>
      </c>
      <c r="AE37" s="1329"/>
      <c r="AF37" s="1329"/>
      <c r="AG37" s="1329"/>
      <c r="AH37" s="1330"/>
      <c r="AI37" s="226"/>
      <c r="AJ37" s="226"/>
      <c r="AK37" s="209"/>
      <c r="AO37" s="235"/>
      <c r="AP37" s="235"/>
      <c r="AQ37" s="235"/>
      <c r="AR37" s="235"/>
      <c r="AS37" s="235"/>
    </row>
    <row r="38" spans="9:45" ht="15.95" customHeight="1">
      <c r="I38" s="208"/>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209"/>
      <c r="AO38" s="235"/>
      <c r="AP38" s="235"/>
      <c r="AQ38" s="235"/>
      <c r="AR38" s="235"/>
      <c r="AS38" s="235"/>
    </row>
    <row r="39" spans="9:45" ht="15.95" customHeight="1">
      <c r="I39" s="208"/>
      <c r="J39" s="1306" t="s">
        <v>2078</v>
      </c>
      <c r="K39" s="1306"/>
      <c r="L39" s="1306"/>
      <c r="M39" s="1306"/>
      <c r="N39" s="1306"/>
      <c r="O39" s="227"/>
      <c r="P39" s="227"/>
      <c r="Q39" s="227"/>
      <c r="R39" s="227"/>
      <c r="S39" s="227"/>
      <c r="T39" s="227"/>
      <c r="U39" s="227"/>
      <c r="V39" s="227"/>
      <c r="W39" s="227"/>
      <c r="X39" s="227"/>
      <c r="Y39" s="227"/>
      <c r="Z39" s="227"/>
      <c r="AA39" s="227"/>
      <c r="AB39" s="227"/>
      <c r="AC39" s="227"/>
      <c r="AD39" s="227"/>
      <c r="AE39" s="227"/>
      <c r="AF39" s="227"/>
      <c r="AG39" s="227"/>
      <c r="AH39" s="228"/>
      <c r="AI39" s="228"/>
      <c r="AJ39" s="228"/>
      <c r="AK39" s="209"/>
      <c r="AO39" s="235"/>
      <c r="AP39" s="235"/>
      <c r="AQ39" s="235"/>
      <c r="AR39" s="235"/>
      <c r="AS39" s="235"/>
    </row>
    <row r="40" spans="9:45" ht="15.95" customHeight="1">
      <c r="I40" s="208"/>
      <c r="J40" s="1306"/>
      <c r="K40" s="1306"/>
      <c r="L40" s="1306"/>
      <c r="M40" s="1306"/>
      <c r="N40" s="1306"/>
      <c r="O40" s="227"/>
      <c r="P40" s="227"/>
      <c r="Q40" s="227"/>
      <c r="R40" s="227"/>
      <c r="S40" s="227"/>
      <c r="T40" s="227"/>
      <c r="U40" s="227"/>
      <c r="V40" s="227"/>
      <c r="W40" s="227"/>
      <c r="X40" s="227"/>
      <c r="Y40" s="227"/>
      <c r="Z40" s="227"/>
      <c r="AA40" s="227"/>
      <c r="AB40" s="227"/>
      <c r="AC40" s="227"/>
      <c r="AD40" s="227"/>
      <c r="AE40" s="227"/>
      <c r="AF40" s="227"/>
      <c r="AG40" s="227"/>
      <c r="AH40" s="228"/>
      <c r="AI40" s="228"/>
      <c r="AJ40" s="228"/>
      <c r="AK40" s="209"/>
      <c r="AO40" s="235"/>
      <c r="AP40" s="235"/>
      <c r="AQ40" s="235"/>
      <c r="AR40" s="235"/>
      <c r="AS40" s="235"/>
    </row>
    <row r="41" spans="9:45" ht="15.95" customHeight="1">
      <c r="I41" s="208"/>
      <c r="J41" s="1306"/>
      <c r="K41" s="1306"/>
      <c r="L41" s="1306"/>
      <c r="M41" s="1306"/>
      <c r="N41" s="1306"/>
      <c r="O41" s="220" t="s">
        <v>1571</v>
      </c>
      <c r="P41" s="219"/>
      <c r="Q41" s="219"/>
      <c r="R41" s="219"/>
      <c r="S41" s="219"/>
      <c r="T41" s="219"/>
      <c r="U41" s="219"/>
      <c r="V41" s="219"/>
      <c r="W41" s="219"/>
      <c r="X41" s="220" t="s">
        <v>1572</v>
      </c>
      <c r="Y41" s="220"/>
      <c r="Z41" s="219"/>
      <c r="AA41" s="219"/>
      <c r="AB41" s="219"/>
      <c r="AC41" s="219"/>
      <c r="AD41" s="219"/>
      <c r="AE41" s="219"/>
      <c r="AF41" s="227"/>
      <c r="AG41" s="220" t="s">
        <v>1573</v>
      </c>
      <c r="AH41" s="219"/>
      <c r="AI41" s="219"/>
      <c r="AJ41" s="219"/>
      <c r="AK41" s="209"/>
      <c r="AO41" s="235"/>
      <c r="AP41" s="235"/>
      <c r="AQ41" s="235"/>
      <c r="AR41" s="235"/>
      <c r="AS41" s="235"/>
    </row>
    <row r="42" spans="9:45" ht="15.95" customHeight="1">
      <c r="I42" s="208"/>
      <c r="J42" s="1306"/>
      <c r="K42" s="1306"/>
      <c r="L42" s="1306"/>
      <c r="M42" s="1306"/>
      <c r="N42" s="1306"/>
      <c r="O42" s="1307"/>
      <c r="P42" s="1307"/>
      <c r="Q42" s="1307"/>
      <c r="R42" s="1307"/>
      <c r="S42" s="1307"/>
      <c r="T42" s="1307"/>
      <c r="U42" s="1307"/>
      <c r="V42" s="1307"/>
      <c r="W42" s="229"/>
      <c r="X42" s="1311" t="str">
        <f>IF(O42="","",O42)</f>
        <v/>
      </c>
      <c r="Y42" s="1311"/>
      <c r="Z42" s="1311"/>
      <c r="AA42" s="1311"/>
      <c r="AB42" s="1311"/>
      <c r="AC42" s="1311"/>
      <c r="AD42" s="1311"/>
      <c r="AE42" s="1311"/>
      <c r="AF42" s="230"/>
      <c r="AG42" s="1312"/>
      <c r="AH42" s="1312"/>
      <c r="AI42" s="1312"/>
      <c r="AJ42" s="231"/>
      <c r="AK42" s="209"/>
      <c r="AO42" s="235"/>
      <c r="AP42" s="235"/>
      <c r="AQ42" s="235"/>
      <c r="AR42" s="235"/>
      <c r="AS42" s="235"/>
    </row>
    <row r="43" spans="9:45" ht="15.95" customHeight="1">
      <c r="I43" s="208"/>
      <c r="J43" s="1306"/>
      <c r="K43" s="1306"/>
      <c r="L43" s="1306"/>
      <c r="M43" s="1306"/>
      <c r="N43" s="1306"/>
      <c r="O43" s="1313" t="str">
        <f ca="1">IF(CELL("protect",O42)=1,"eSignature Signed","")</f>
        <v/>
      </c>
      <c r="P43" s="1313"/>
      <c r="Q43" s="1313"/>
      <c r="R43" s="1313"/>
      <c r="S43" s="1313"/>
      <c r="T43" s="227"/>
      <c r="U43" s="227"/>
      <c r="V43" s="227"/>
      <c r="W43" s="227"/>
      <c r="X43" s="227"/>
      <c r="Y43" s="227"/>
      <c r="Z43" s="227"/>
      <c r="AA43" s="227"/>
      <c r="AB43" s="227"/>
      <c r="AC43" s="227"/>
      <c r="AD43" s="227"/>
      <c r="AE43" s="227"/>
      <c r="AF43" s="227"/>
      <c r="AG43" s="227"/>
      <c r="AH43" s="227"/>
      <c r="AI43" s="227"/>
      <c r="AJ43" s="227"/>
      <c r="AK43" s="209"/>
      <c r="AO43" s="235"/>
      <c r="AP43" s="235"/>
      <c r="AQ43" s="235"/>
      <c r="AR43" s="235"/>
      <c r="AS43" s="235"/>
    </row>
    <row r="44" spans="9:45" ht="15.95" customHeight="1">
      <c r="I44" s="208"/>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209"/>
      <c r="AO44" s="235"/>
      <c r="AP44" s="235"/>
      <c r="AQ44" s="235"/>
      <c r="AR44" s="235"/>
      <c r="AS44" s="235"/>
    </row>
    <row r="45" spans="9:45" ht="15.95" customHeight="1">
      <c r="I45" s="208"/>
      <c r="J45" s="232"/>
      <c r="K45" s="1317" t="s">
        <v>1574</v>
      </c>
      <c r="L45" s="1317"/>
      <c r="M45" s="1317"/>
      <c r="N45" s="1317"/>
      <c r="O45" s="1317"/>
      <c r="P45" s="1317"/>
      <c r="Q45" s="1317"/>
      <c r="R45" s="1317"/>
      <c r="S45" s="1317"/>
      <c r="T45" s="1317"/>
      <c r="U45" s="1317"/>
      <c r="V45" s="233"/>
      <c r="W45" s="180"/>
      <c r="X45" s="232"/>
      <c r="Y45" s="1317" t="s">
        <v>1575</v>
      </c>
      <c r="Z45" s="1317"/>
      <c r="AA45" s="1317"/>
      <c r="AB45" s="1317"/>
      <c r="AC45" s="1317"/>
      <c r="AD45" s="1317"/>
      <c r="AE45" s="1317"/>
      <c r="AF45" s="1317"/>
      <c r="AG45" s="1317"/>
      <c r="AH45" s="1317"/>
      <c r="AI45" s="1317"/>
      <c r="AJ45" s="233"/>
      <c r="AK45" s="209"/>
      <c r="AO45" s="235"/>
      <c r="AP45" s="235"/>
      <c r="AQ45" s="235"/>
      <c r="AR45" s="235"/>
      <c r="AS45" s="235"/>
    </row>
    <row r="46" spans="9:45" ht="15.95" customHeight="1">
      <c r="I46" s="208"/>
      <c r="J46" s="234"/>
      <c r="K46" s="1317"/>
      <c r="L46" s="1317"/>
      <c r="M46" s="1317"/>
      <c r="N46" s="1317"/>
      <c r="O46" s="1317"/>
      <c r="P46" s="1317"/>
      <c r="Q46" s="1317"/>
      <c r="R46" s="1317"/>
      <c r="S46" s="1317"/>
      <c r="T46" s="1317"/>
      <c r="U46" s="1317"/>
      <c r="V46" s="234"/>
      <c r="W46" s="180"/>
      <c r="X46" s="234"/>
      <c r="Y46" s="1317"/>
      <c r="Z46" s="1317"/>
      <c r="AA46" s="1317"/>
      <c r="AB46" s="1317"/>
      <c r="AC46" s="1317"/>
      <c r="AD46" s="1317"/>
      <c r="AE46" s="1317"/>
      <c r="AF46" s="1317"/>
      <c r="AG46" s="1317"/>
      <c r="AH46" s="1317"/>
      <c r="AI46" s="1317"/>
      <c r="AJ46" s="234"/>
      <c r="AK46" s="209"/>
      <c r="AO46" s="235"/>
      <c r="AP46" s="235"/>
      <c r="AQ46" s="235"/>
      <c r="AR46" s="235"/>
      <c r="AS46" s="235"/>
    </row>
    <row r="47" spans="9:45" ht="15.95" customHeight="1">
      <c r="I47" s="208"/>
      <c r="J47" s="1318" t="s">
        <v>1576</v>
      </c>
      <c r="K47" s="1318"/>
      <c r="L47" s="1318"/>
      <c r="M47" s="1318"/>
      <c r="N47" s="1318"/>
      <c r="O47" s="1318"/>
      <c r="P47" s="1318"/>
      <c r="Q47" s="1318"/>
      <c r="R47" s="1318"/>
      <c r="S47" s="1318"/>
      <c r="T47" s="1318"/>
      <c r="U47" s="1318"/>
      <c r="V47" s="1318"/>
      <c r="W47" s="180"/>
      <c r="X47" s="1318" t="s">
        <v>1577</v>
      </c>
      <c r="Y47" s="1318"/>
      <c r="Z47" s="1318"/>
      <c r="AA47" s="1318"/>
      <c r="AB47" s="1318"/>
      <c r="AC47" s="1318"/>
      <c r="AD47" s="1318"/>
      <c r="AE47" s="1318"/>
      <c r="AF47" s="1318"/>
      <c r="AG47" s="1318"/>
      <c r="AH47" s="1318"/>
      <c r="AI47" s="1318"/>
      <c r="AJ47" s="1318"/>
      <c r="AK47" s="209"/>
      <c r="AO47" s="235"/>
      <c r="AP47" s="235"/>
      <c r="AQ47" s="235"/>
      <c r="AR47" s="235"/>
      <c r="AS47" s="235"/>
    </row>
    <row r="48" spans="9:45" ht="15.95" customHeight="1">
      <c r="I48" s="208"/>
      <c r="J48" s="1318"/>
      <c r="K48" s="1318"/>
      <c r="L48" s="1318"/>
      <c r="M48" s="1318"/>
      <c r="N48" s="1318"/>
      <c r="O48" s="1318"/>
      <c r="P48" s="1318"/>
      <c r="Q48" s="1318"/>
      <c r="R48" s="1318"/>
      <c r="S48" s="1318"/>
      <c r="T48" s="1318"/>
      <c r="U48" s="1318"/>
      <c r="V48" s="1318"/>
      <c r="W48" s="180"/>
      <c r="X48" s="1318"/>
      <c r="Y48" s="1318"/>
      <c r="Z48" s="1318"/>
      <c r="AA48" s="1318"/>
      <c r="AB48" s="1318"/>
      <c r="AC48" s="1318"/>
      <c r="AD48" s="1318"/>
      <c r="AE48" s="1318"/>
      <c r="AF48" s="1318"/>
      <c r="AG48" s="1318"/>
      <c r="AH48" s="1318"/>
      <c r="AI48" s="1318"/>
      <c r="AJ48" s="1318"/>
      <c r="AK48" s="209"/>
      <c r="AO48" s="235"/>
      <c r="AP48" s="235"/>
      <c r="AQ48" s="235"/>
      <c r="AR48" s="235"/>
      <c r="AS48" s="235"/>
    </row>
    <row r="49" spans="9:45" ht="15.95" customHeight="1">
      <c r="I49" s="208"/>
      <c r="J49" s="1318"/>
      <c r="K49" s="1318"/>
      <c r="L49" s="1318"/>
      <c r="M49" s="1318"/>
      <c r="N49" s="1318"/>
      <c r="O49" s="1318"/>
      <c r="P49" s="1318"/>
      <c r="Q49" s="1318"/>
      <c r="R49" s="1318"/>
      <c r="S49" s="1318"/>
      <c r="T49" s="1318"/>
      <c r="U49" s="1318"/>
      <c r="V49" s="1318"/>
      <c r="W49" s="235"/>
      <c r="X49" s="1318"/>
      <c r="Y49" s="1318"/>
      <c r="Z49" s="1318"/>
      <c r="AA49" s="1318"/>
      <c r="AB49" s="1318"/>
      <c r="AC49" s="1318"/>
      <c r="AD49" s="1318"/>
      <c r="AE49" s="1318"/>
      <c r="AF49" s="1318"/>
      <c r="AG49" s="1318"/>
      <c r="AH49" s="1318"/>
      <c r="AI49" s="1318"/>
      <c r="AJ49" s="1318"/>
      <c r="AK49" s="209"/>
      <c r="AO49" s="235"/>
      <c r="AP49" s="235"/>
      <c r="AQ49" s="235"/>
      <c r="AR49" s="235"/>
      <c r="AS49" s="235"/>
    </row>
    <row r="50" spans="9:45" ht="15.95" customHeight="1">
      <c r="I50" s="208"/>
      <c r="J50" s="1318"/>
      <c r="K50" s="1318"/>
      <c r="L50" s="1318"/>
      <c r="M50" s="1318"/>
      <c r="N50" s="1318"/>
      <c r="O50" s="1318"/>
      <c r="P50" s="1318"/>
      <c r="Q50" s="1318"/>
      <c r="R50" s="1318"/>
      <c r="S50" s="1318"/>
      <c r="T50" s="1318"/>
      <c r="U50" s="1318"/>
      <c r="V50" s="1318"/>
      <c r="W50" s="235"/>
      <c r="X50" s="232"/>
      <c r="Y50" s="232"/>
      <c r="Z50" s="232"/>
      <c r="AA50" s="232"/>
      <c r="AB50" s="232"/>
      <c r="AC50" s="232"/>
      <c r="AD50" s="232"/>
      <c r="AE50" s="232"/>
      <c r="AF50" s="232"/>
      <c r="AG50" s="232"/>
      <c r="AH50" s="232"/>
      <c r="AI50" s="232"/>
      <c r="AJ50" s="232"/>
      <c r="AK50" s="209"/>
      <c r="AO50" s="235"/>
      <c r="AP50" s="235"/>
      <c r="AQ50" s="235"/>
      <c r="AR50" s="235"/>
      <c r="AS50" s="235"/>
    </row>
    <row r="51" spans="9:45" ht="15.95" customHeight="1">
      <c r="I51" s="208"/>
      <c r="J51" s="232"/>
      <c r="K51" s="1319" t="s">
        <v>1646</v>
      </c>
      <c r="L51" s="1319"/>
      <c r="M51" s="1319"/>
      <c r="N51" s="1319"/>
      <c r="O51" s="1319"/>
      <c r="P51" s="232"/>
      <c r="Q51" s="1319" t="s">
        <v>1647</v>
      </c>
      <c r="R51" s="1319"/>
      <c r="S51" s="1319"/>
      <c r="T51" s="1319"/>
      <c r="U51" s="1319"/>
      <c r="V51" s="232"/>
      <c r="W51" s="235"/>
      <c r="X51" s="232"/>
      <c r="Y51" s="1321" t="s">
        <v>1578</v>
      </c>
      <c r="Z51" s="1321"/>
      <c r="AA51" s="1321"/>
      <c r="AB51" s="1321"/>
      <c r="AC51" s="1321"/>
      <c r="AD51" s="1321"/>
      <c r="AE51" s="1321"/>
      <c r="AF51" s="232"/>
      <c r="AG51" s="1319" t="s">
        <v>1573</v>
      </c>
      <c r="AH51" s="1319"/>
      <c r="AI51" s="1319"/>
      <c r="AJ51" s="232"/>
      <c r="AK51" s="209"/>
      <c r="AO51" s="235"/>
      <c r="AP51" s="235"/>
      <c r="AQ51" s="235"/>
      <c r="AR51" s="235"/>
      <c r="AS51" s="235"/>
    </row>
    <row r="52" spans="9:45" ht="15.95" customHeight="1">
      <c r="I52" s="208"/>
      <c r="J52" s="232"/>
      <c r="K52" s="1320"/>
      <c r="L52" s="1320"/>
      <c r="M52" s="1320"/>
      <c r="N52" s="1320"/>
      <c r="O52" s="1320"/>
      <c r="P52" s="232"/>
      <c r="Q52" s="1320"/>
      <c r="R52" s="1320"/>
      <c r="S52" s="1320"/>
      <c r="T52" s="1320"/>
      <c r="U52" s="1320"/>
      <c r="V52" s="232"/>
      <c r="W52" s="235"/>
      <c r="X52" s="232"/>
      <c r="Y52" s="1322"/>
      <c r="Z52" s="1322"/>
      <c r="AA52" s="1322"/>
      <c r="AB52" s="1322"/>
      <c r="AC52" s="1322"/>
      <c r="AD52" s="1322"/>
      <c r="AE52" s="1322"/>
      <c r="AF52" s="232"/>
      <c r="AG52" s="1320"/>
      <c r="AH52" s="1320"/>
      <c r="AI52" s="1320"/>
      <c r="AJ52" s="232"/>
      <c r="AK52" s="209"/>
      <c r="AO52" s="235"/>
      <c r="AP52" s="235"/>
      <c r="AQ52" s="235"/>
      <c r="AR52" s="235"/>
      <c r="AS52" s="235"/>
    </row>
    <row r="53" spans="9:45" ht="15.95" customHeight="1">
      <c r="I53" s="208"/>
      <c r="J53" s="232"/>
      <c r="K53" s="232"/>
      <c r="L53" s="232"/>
      <c r="M53" s="232"/>
      <c r="N53" s="232"/>
      <c r="O53" s="232"/>
      <c r="P53" s="232"/>
      <c r="Q53" s="232"/>
      <c r="R53" s="232"/>
      <c r="S53" s="232"/>
      <c r="T53" s="232"/>
      <c r="U53" s="232"/>
      <c r="V53" s="232"/>
      <c r="W53" s="235"/>
      <c r="X53" s="232"/>
      <c r="Y53" s="232"/>
      <c r="Z53" s="232"/>
      <c r="AA53" s="232"/>
      <c r="AB53" s="232"/>
      <c r="AC53" s="232"/>
      <c r="AD53" s="232"/>
      <c r="AE53" s="232"/>
      <c r="AF53" s="232"/>
      <c r="AG53" s="232"/>
      <c r="AH53" s="232"/>
      <c r="AI53" s="232"/>
      <c r="AJ53" s="232"/>
      <c r="AK53" s="209"/>
      <c r="AO53" s="235"/>
      <c r="AP53" s="235"/>
      <c r="AQ53" s="235"/>
      <c r="AR53" s="235"/>
      <c r="AS53" s="235"/>
    </row>
    <row r="54" spans="9:45" ht="15.95" customHeight="1">
      <c r="I54" s="208"/>
      <c r="J54" s="232"/>
      <c r="K54" s="232"/>
      <c r="L54" s="232"/>
      <c r="M54" s="232"/>
      <c r="N54" s="232"/>
      <c r="O54" s="232"/>
      <c r="P54" s="232"/>
      <c r="Q54" s="232"/>
      <c r="R54" s="232"/>
      <c r="S54" s="232"/>
      <c r="T54" s="232"/>
      <c r="U54" s="232"/>
      <c r="V54" s="232"/>
      <c r="W54" s="235"/>
      <c r="X54" s="232"/>
      <c r="Y54" s="232"/>
      <c r="Z54" s="232"/>
      <c r="AA54" s="232"/>
      <c r="AB54" s="232"/>
      <c r="AC54" s="232"/>
      <c r="AD54" s="232"/>
      <c r="AE54" s="232"/>
      <c r="AF54" s="232"/>
      <c r="AG54" s="232"/>
      <c r="AH54" s="232"/>
      <c r="AI54" s="232"/>
      <c r="AJ54" s="232"/>
      <c r="AK54" s="209"/>
      <c r="AO54" s="235"/>
      <c r="AP54" s="235"/>
      <c r="AQ54" s="235"/>
      <c r="AR54" s="235"/>
      <c r="AS54" s="235"/>
    </row>
    <row r="55" spans="9:45" ht="15.95" customHeight="1">
      <c r="I55" s="208"/>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209"/>
      <c r="AO55" s="235"/>
      <c r="AP55" s="235"/>
      <c r="AQ55" s="235"/>
      <c r="AR55" s="235"/>
      <c r="AS55" s="235"/>
    </row>
    <row r="56" spans="9:45" ht="15.95" customHeight="1">
      <c r="I56" s="208"/>
      <c r="J56" s="1314" t="s">
        <v>1579</v>
      </c>
      <c r="K56" s="1315" t="s">
        <v>1580</v>
      </c>
      <c r="L56" s="1315"/>
      <c r="M56" s="1315"/>
      <c r="N56" s="1315"/>
      <c r="O56" s="471"/>
      <c r="P56" s="471"/>
      <c r="Q56" s="471"/>
      <c r="R56" s="471"/>
      <c r="S56" s="471"/>
      <c r="T56" s="471"/>
      <c r="U56" s="471"/>
      <c r="V56" s="471"/>
      <c r="W56" s="471"/>
      <c r="X56" s="471"/>
      <c r="Y56" s="471"/>
      <c r="Z56" s="471"/>
      <c r="AA56" s="471"/>
      <c r="AB56" s="471"/>
      <c r="AC56" s="236"/>
      <c r="AD56" s="236"/>
      <c r="AE56" s="236"/>
      <c r="AF56" s="236"/>
      <c r="AG56" s="236"/>
      <c r="AH56" s="236"/>
      <c r="AI56" s="236"/>
      <c r="AJ56" s="236"/>
      <c r="AK56" s="209"/>
      <c r="AS56" s="235"/>
    </row>
    <row r="57" spans="9:45" ht="15.95" customHeight="1">
      <c r="I57" s="208"/>
      <c r="J57" s="1314"/>
      <c r="K57" s="1315"/>
      <c r="L57" s="1315"/>
      <c r="M57" s="1315"/>
      <c r="N57" s="1315"/>
      <c r="O57" s="471"/>
      <c r="P57" s="1309" t="s">
        <v>2109</v>
      </c>
      <c r="Q57" s="1309"/>
      <c r="R57" s="1309"/>
      <c r="S57" s="1309"/>
      <c r="T57" s="1309"/>
      <c r="U57" s="1309"/>
      <c r="V57" s="1309"/>
      <c r="W57" s="1309"/>
      <c r="X57" s="1309"/>
      <c r="Y57" s="1309"/>
      <c r="Z57" s="1309"/>
      <c r="AA57" s="1309"/>
      <c r="AB57" s="471"/>
      <c r="AC57" s="1310" t="s">
        <v>2070</v>
      </c>
      <c r="AD57" s="1310"/>
      <c r="AE57" s="1310"/>
      <c r="AF57" s="1310"/>
      <c r="AG57" s="1310"/>
      <c r="AH57" s="1310"/>
      <c r="AI57" s="470"/>
      <c r="AJ57" s="236"/>
      <c r="AK57" s="209"/>
      <c r="AS57" s="235"/>
    </row>
    <row r="58" spans="9:45" ht="15.95" customHeight="1">
      <c r="I58" s="208"/>
      <c r="J58" s="1314"/>
      <c r="K58" s="1315"/>
      <c r="L58" s="1315"/>
      <c r="M58" s="1315"/>
      <c r="N58" s="1315"/>
      <c r="O58" s="471"/>
      <c r="P58" s="1309"/>
      <c r="Q58" s="1309"/>
      <c r="R58" s="1309"/>
      <c r="S58" s="1309"/>
      <c r="T58" s="1309"/>
      <c r="U58" s="1309"/>
      <c r="V58" s="1309"/>
      <c r="W58" s="1309"/>
      <c r="X58" s="1309"/>
      <c r="Y58" s="1309"/>
      <c r="Z58" s="1309"/>
      <c r="AA58" s="1309"/>
      <c r="AB58" s="471"/>
      <c r="AC58" s="1310"/>
      <c r="AD58" s="1310"/>
      <c r="AE58" s="1310"/>
      <c r="AF58" s="1310"/>
      <c r="AG58" s="1310"/>
      <c r="AH58" s="1310"/>
      <c r="AI58" s="470"/>
      <c r="AJ58" s="237"/>
      <c r="AK58" s="209"/>
      <c r="AS58" s="235"/>
    </row>
    <row r="59" spans="9:45" ht="15.95" customHeight="1">
      <c r="I59" s="208"/>
      <c r="J59" s="1314"/>
      <c r="K59" s="1315"/>
      <c r="L59" s="1315"/>
      <c r="M59" s="1315"/>
      <c r="N59" s="1315"/>
      <c r="O59" s="471"/>
      <c r="P59" s="1309"/>
      <c r="Q59" s="1309"/>
      <c r="R59" s="1309"/>
      <c r="S59" s="1309"/>
      <c r="T59" s="1309"/>
      <c r="U59" s="1309"/>
      <c r="V59" s="1309"/>
      <c r="W59" s="1309"/>
      <c r="X59" s="1309"/>
      <c r="Y59" s="1309"/>
      <c r="Z59" s="1309"/>
      <c r="AA59" s="1309"/>
      <c r="AB59" s="471"/>
      <c r="AC59" s="1310"/>
      <c r="AD59" s="1310"/>
      <c r="AE59" s="1310"/>
      <c r="AF59" s="1310"/>
      <c r="AG59" s="1310"/>
      <c r="AH59" s="1310"/>
      <c r="AI59" s="470"/>
      <c r="AJ59" s="237"/>
      <c r="AK59" s="209"/>
      <c r="AM59" s="469"/>
      <c r="AN59" s="469"/>
      <c r="AO59" s="469"/>
      <c r="AP59" s="469"/>
      <c r="AQ59" s="469"/>
      <c r="AR59" s="469"/>
      <c r="AS59" s="235"/>
    </row>
    <row r="60" spans="9:45" ht="15.95" customHeight="1">
      <c r="I60" s="208"/>
      <c r="J60" s="1314"/>
      <c r="K60" s="1315"/>
      <c r="L60" s="1315"/>
      <c r="M60" s="1315"/>
      <c r="N60" s="1315"/>
      <c r="O60" s="1308"/>
      <c r="P60" s="1308"/>
      <c r="Q60" s="1308"/>
      <c r="R60" s="1308"/>
      <c r="S60" s="1308"/>
      <c r="T60" s="1308"/>
      <c r="U60" s="1308"/>
      <c r="V60" s="1308"/>
      <c r="W60" s="1308"/>
      <c r="X60" s="1308"/>
      <c r="Y60" s="1308"/>
      <c r="Z60" s="1308"/>
      <c r="AA60" s="1308"/>
      <c r="AB60" s="1308"/>
      <c r="AC60" s="1308"/>
      <c r="AD60" s="1308"/>
      <c r="AE60" s="1308"/>
      <c r="AF60" s="1308"/>
      <c r="AG60" s="1308"/>
      <c r="AH60" s="1308"/>
      <c r="AI60" s="1308"/>
      <c r="AJ60" s="1308"/>
      <c r="AK60" s="209"/>
      <c r="AM60" s="469"/>
      <c r="AN60" s="469"/>
      <c r="AO60" s="469"/>
      <c r="AP60" s="469"/>
      <c r="AQ60" s="469"/>
      <c r="AR60" s="469"/>
      <c r="AS60" s="235"/>
    </row>
    <row r="61" spans="9:45" ht="15.95" customHeight="1">
      <c r="I61" s="208"/>
      <c r="J61" s="1323" t="s">
        <v>2103</v>
      </c>
      <c r="K61" s="1323"/>
      <c r="L61" s="1323"/>
      <c r="M61" s="1323"/>
      <c r="N61" s="1323"/>
      <c r="O61" s="1323"/>
      <c r="P61" s="1323"/>
      <c r="Q61" s="1323"/>
      <c r="R61" s="1323"/>
      <c r="S61" s="1323"/>
      <c r="T61" s="1323"/>
      <c r="U61" s="1323"/>
      <c r="V61" s="1323"/>
      <c r="W61" s="1323"/>
      <c r="X61" s="1323"/>
      <c r="Y61" s="1323"/>
      <c r="Z61" s="1323"/>
      <c r="AA61" s="1323"/>
      <c r="AB61" s="1323"/>
      <c r="AC61" s="1323"/>
      <c r="AD61" s="1323"/>
      <c r="AE61" s="1323"/>
      <c r="AF61" s="1323"/>
      <c r="AG61" s="1323"/>
      <c r="AH61" s="1323"/>
      <c r="AI61" s="1323"/>
      <c r="AJ61" s="1323"/>
      <c r="AK61" s="209"/>
      <c r="AM61" s="469"/>
      <c r="AN61" s="469"/>
      <c r="AO61" s="469"/>
      <c r="AP61" s="469"/>
      <c r="AQ61" s="469"/>
      <c r="AR61" s="469"/>
      <c r="AS61" s="235"/>
    </row>
    <row r="62" spans="9:45" ht="15.95" customHeight="1">
      <c r="I62" s="208"/>
      <c r="J62" s="1324" t="s">
        <v>2704</v>
      </c>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209"/>
      <c r="AM62" s="469"/>
      <c r="AN62" s="469"/>
      <c r="AO62" s="469"/>
      <c r="AP62" s="469"/>
      <c r="AQ62" s="469"/>
      <c r="AR62" s="469"/>
    </row>
    <row r="63" spans="9:45" ht="15.95" customHeight="1">
      <c r="I63" s="208"/>
      <c r="J63" s="1324"/>
      <c r="K63" s="1324"/>
      <c r="L63" s="1324"/>
      <c r="M63" s="1324"/>
      <c r="N63" s="1324"/>
      <c r="O63" s="1324"/>
      <c r="P63" s="1324"/>
      <c r="Q63" s="1324"/>
      <c r="R63" s="1324"/>
      <c r="S63" s="1324"/>
      <c r="T63" s="1324"/>
      <c r="U63" s="1324"/>
      <c r="V63" s="1324"/>
      <c r="W63" s="1324"/>
      <c r="X63" s="1324"/>
      <c r="Y63" s="1324"/>
      <c r="Z63" s="1324"/>
      <c r="AA63" s="1324"/>
      <c r="AB63" s="1324"/>
      <c r="AC63" s="1324"/>
      <c r="AD63" s="1324"/>
      <c r="AE63" s="1324"/>
      <c r="AF63" s="1324"/>
      <c r="AG63" s="1324"/>
      <c r="AH63" s="1324"/>
      <c r="AI63" s="1324"/>
      <c r="AJ63" s="1324"/>
      <c r="AK63" s="209"/>
    </row>
    <row r="64" spans="9:45" ht="15.95" customHeight="1">
      <c r="I64" s="208"/>
      <c r="J64" s="1324"/>
      <c r="K64" s="1324"/>
      <c r="L64" s="1324"/>
      <c r="M64" s="1324"/>
      <c r="N64" s="1324"/>
      <c r="O64" s="1324"/>
      <c r="P64" s="1324"/>
      <c r="Q64" s="1324"/>
      <c r="R64" s="1324"/>
      <c r="S64" s="1324"/>
      <c r="T64" s="1324"/>
      <c r="U64" s="1324"/>
      <c r="V64" s="1324"/>
      <c r="W64" s="1324"/>
      <c r="X64" s="1324"/>
      <c r="Y64" s="1324"/>
      <c r="Z64" s="1324"/>
      <c r="AA64" s="1324"/>
      <c r="AB64" s="1324"/>
      <c r="AC64" s="1324"/>
      <c r="AD64" s="1324"/>
      <c r="AE64" s="1324"/>
      <c r="AF64" s="1324"/>
      <c r="AG64" s="1324"/>
      <c r="AH64" s="1324"/>
      <c r="AI64" s="1324"/>
      <c r="AJ64" s="1324"/>
      <c r="AK64" s="209"/>
    </row>
    <row r="65" spans="9:45" ht="15.95" customHeight="1">
      <c r="I65" s="208"/>
      <c r="J65" s="1324"/>
      <c r="K65" s="1324"/>
      <c r="L65" s="1324"/>
      <c r="M65" s="1324"/>
      <c r="N65" s="1324"/>
      <c r="O65" s="1324"/>
      <c r="P65" s="1324"/>
      <c r="Q65" s="1324"/>
      <c r="R65" s="1324"/>
      <c r="S65" s="1324"/>
      <c r="T65" s="1324"/>
      <c r="U65" s="1324"/>
      <c r="V65" s="1324"/>
      <c r="W65" s="1324"/>
      <c r="X65" s="1324"/>
      <c r="Y65" s="1324"/>
      <c r="Z65" s="1324"/>
      <c r="AA65" s="1324"/>
      <c r="AB65" s="1324"/>
      <c r="AC65" s="1324"/>
      <c r="AD65" s="1324"/>
      <c r="AE65" s="1324"/>
      <c r="AF65" s="1324"/>
      <c r="AG65" s="1324"/>
      <c r="AH65" s="1324"/>
      <c r="AI65" s="1324"/>
      <c r="AJ65" s="1324"/>
      <c r="AK65" s="209"/>
    </row>
    <row r="66" spans="9:45" ht="15.95" customHeight="1">
      <c r="I66" s="208"/>
      <c r="J66" s="1324"/>
      <c r="K66" s="1324"/>
      <c r="L66" s="1324"/>
      <c r="M66" s="1324"/>
      <c r="N66" s="1324"/>
      <c r="O66" s="1324"/>
      <c r="P66" s="1324"/>
      <c r="Q66" s="1324"/>
      <c r="R66" s="1324"/>
      <c r="S66" s="1324"/>
      <c r="T66" s="1324"/>
      <c r="U66" s="1324"/>
      <c r="V66" s="1324"/>
      <c r="W66" s="1324"/>
      <c r="X66" s="1324"/>
      <c r="Y66" s="1324"/>
      <c r="Z66" s="1324"/>
      <c r="AA66" s="1324"/>
      <c r="AB66" s="1324"/>
      <c r="AC66" s="1324"/>
      <c r="AD66" s="1324"/>
      <c r="AE66" s="1324"/>
      <c r="AF66" s="1324"/>
      <c r="AG66" s="1324"/>
      <c r="AH66" s="1324"/>
      <c r="AI66" s="1324"/>
      <c r="AJ66" s="1324"/>
      <c r="AK66" s="209"/>
    </row>
    <row r="67" spans="9:45" ht="15.95" customHeight="1">
      <c r="I67" s="208"/>
      <c r="J67" s="1324"/>
      <c r="K67" s="1324"/>
      <c r="L67" s="1324"/>
      <c r="M67" s="1324"/>
      <c r="N67" s="1324"/>
      <c r="O67" s="1324"/>
      <c r="P67" s="1324"/>
      <c r="Q67" s="1324"/>
      <c r="R67" s="1324"/>
      <c r="S67" s="1324"/>
      <c r="T67" s="1324"/>
      <c r="U67" s="1324"/>
      <c r="V67" s="1324"/>
      <c r="W67" s="1324"/>
      <c r="X67" s="1324"/>
      <c r="Y67" s="1324"/>
      <c r="Z67" s="1324"/>
      <c r="AA67" s="1324"/>
      <c r="AB67" s="1324"/>
      <c r="AC67" s="1324"/>
      <c r="AD67" s="1324"/>
      <c r="AE67" s="1324"/>
      <c r="AF67" s="1324"/>
      <c r="AG67" s="1324"/>
      <c r="AH67" s="1324"/>
      <c r="AI67" s="1324"/>
      <c r="AJ67" s="1324"/>
      <c r="AK67" s="209"/>
    </row>
    <row r="68" spans="9:45" ht="15.95" customHeight="1">
      <c r="I68" s="208"/>
      <c r="J68" s="1324"/>
      <c r="K68" s="1324"/>
      <c r="L68" s="1324"/>
      <c r="M68" s="1324"/>
      <c r="N68" s="1324"/>
      <c r="O68" s="1324"/>
      <c r="P68" s="1324"/>
      <c r="Q68" s="1324"/>
      <c r="R68" s="1324"/>
      <c r="S68" s="1324"/>
      <c r="T68" s="1324"/>
      <c r="U68" s="1324"/>
      <c r="V68" s="1324"/>
      <c r="W68" s="1324"/>
      <c r="X68" s="1324"/>
      <c r="Y68" s="1324"/>
      <c r="Z68" s="1324"/>
      <c r="AA68" s="1324"/>
      <c r="AB68" s="1324"/>
      <c r="AC68" s="1324"/>
      <c r="AD68" s="1324"/>
      <c r="AE68" s="1324"/>
      <c r="AF68" s="1324"/>
      <c r="AG68" s="1324"/>
      <c r="AH68" s="1324"/>
      <c r="AI68" s="1324"/>
      <c r="AJ68" s="1324"/>
      <c r="AK68" s="209"/>
    </row>
    <row r="69" spans="9:45" ht="15.95" customHeight="1">
      <c r="I69" s="208"/>
      <c r="J69" s="1324"/>
      <c r="K69" s="1324"/>
      <c r="L69" s="1324"/>
      <c r="M69" s="1324"/>
      <c r="N69" s="1324"/>
      <c r="O69" s="1324"/>
      <c r="P69" s="1324"/>
      <c r="Q69" s="1324"/>
      <c r="R69" s="1324"/>
      <c r="S69" s="1324"/>
      <c r="T69" s="1324"/>
      <c r="U69" s="1324"/>
      <c r="V69" s="1324"/>
      <c r="W69" s="1324"/>
      <c r="X69" s="1324"/>
      <c r="Y69" s="1324"/>
      <c r="Z69" s="1324"/>
      <c r="AA69" s="1324"/>
      <c r="AB69" s="1324"/>
      <c r="AC69" s="1324"/>
      <c r="AD69" s="1324"/>
      <c r="AE69" s="1324"/>
      <c r="AF69" s="1324"/>
      <c r="AG69" s="1324"/>
      <c r="AH69" s="1324"/>
      <c r="AI69" s="1324"/>
      <c r="AJ69" s="1324"/>
      <c r="AK69" s="209"/>
    </row>
    <row r="70" spans="9:45" ht="15.95" customHeight="1">
      <c r="I70" s="208"/>
      <c r="J70" s="1324"/>
      <c r="K70" s="1324"/>
      <c r="L70" s="1324"/>
      <c r="M70" s="1324"/>
      <c r="N70" s="1324"/>
      <c r="O70" s="1324"/>
      <c r="P70" s="1324"/>
      <c r="Q70" s="1324"/>
      <c r="R70" s="1324"/>
      <c r="S70" s="1324"/>
      <c r="T70" s="1324"/>
      <c r="U70" s="1324"/>
      <c r="V70" s="1324"/>
      <c r="W70" s="1324"/>
      <c r="X70" s="1324"/>
      <c r="Y70" s="1324"/>
      <c r="Z70" s="1324"/>
      <c r="AA70" s="1324"/>
      <c r="AB70" s="1324"/>
      <c r="AC70" s="1324"/>
      <c r="AD70" s="1324"/>
      <c r="AE70" s="1324"/>
      <c r="AF70" s="1324"/>
      <c r="AG70" s="1324"/>
      <c r="AH70" s="1324"/>
      <c r="AI70" s="1324"/>
      <c r="AJ70" s="1324"/>
      <c r="AK70" s="209"/>
    </row>
    <row r="71" spans="9:45" ht="15.95" customHeight="1">
      <c r="I71" s="208"/>
      <c r="J71" s="1324"/>
      <c r="K71" s="1324"/>
      <c r="L71" s="1324"/>
      <c r="M71" s="1324"/>
      <c r="N71" s="1324"/>
      <c r="O71" s="1324"/>
      <c r="P71" s="1324"/>
      <c r="Q71" s="1324"/>
      <c r="R71" s="1324"/>
      <c r="S71" s="1324"/>
      <c r="T71" s="1324"/>
      <c r="U71" s="1324"/>
      <c r="V71" s="1324"/>
      <c r="W71" s="1324"/>
      <c r="X71" s="1324"/>
      <c r="Y71" s="1324"/>
      <c r="Z71" s="1324"/>
      <c r="AA71" s="1324"/>
      <c r="AB71" s="1324"/>
      <c r="AC71" s="1324"/>
      <c r="AD71" s="1324"/>
      <c r="AE71" s="1324"/>
      <c r="AF71" s="1324"/>
      <c r="AG71" s="1324"/>
      <c r="AH71" s="1324"/>
      <c r="AI71" s="1324"/>
      <c r="AJ71" s="1324"/>
      <c r="AK71" s="209"/>
    </row>
    <row r="72" spans="9:45" ht="15.95" customHeight="1">
      <c r="I72" s="208"/>
      <c r="J72" s="1316" t="s">
        <v>2791</v>
      </c>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c r="AH72" s="1316"/>
      <c r="AI72" s="1316"/>
      <c r="AJ72" s="1316"/>
      <c r="AK72" s="209"/>
      <c r="AS72" s="469"/>
    </row>
    <row r="73" spans="9:45" ht="15.95" customHeight="1">
      <c r="I73" s="208"/>
      <c r="J73" s="1316"/>
      <c r="K73" s="1316"/>
      <c r="L73" s="1316"/>
      <c r="M73" s="1316"/>
      <c r="N73" s="1316"/>
      <c r="O73" s="1316"/>
      <c r="P73" s="1316"/>
      <c r="Q73" s="1316"/>
      <c r="R73" s="1316"/>
      <c r="S73" s="1316"/>
      <c r="T73" s="1316"/>
      <c r="U73" s="1316"/>
      <c r="V73" s="1316"/>
      <c r="W73" s="1316"/>
      <c r="X73" s="1316"/>
      <c r="Y73" s="1316"/>
      <c r="Z73" s="1316"/>
      <c r="AA73" s="1316"/>
      <c r="AB73" s="1316"/>
      <c r="AC73" s="1316"/>
      <c r="AD73" s="1316"/>
      <c r="AE73" s="1316"/>
      <c r="AF73" s="1316"/>
      <c r="AG73" s="1316"/>
      <c r="AH73" s="1316"/>
      <c r="AI73" s="1316"/>
      <c r="AJ73" s="1316"/>
      <c r="AK73" s="209"/>
      <c r="AS73" s="469"/>
    </row>
    <row r="74" spans="9:45" ht="15.95" customHeight="1">
      <c r="I74" s="239"/>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1"/>
      <c r="AS74" s="469"/>
    </row>
    <row r="75" spans="9:45" ht="15.95" customHeight="1">
      <c r="AS75" s="469"/>
    </row>
    <row r="76" spans="9:45" ht="15.95" hidden="1" customHeight="1"/>
    <row r="77" spans="9:45" ht="15.95" hidden="1" customHeight="1"/>
    <row r="78" spans="9:45" ht="15.95" hidden="1" customHeight="1"/>
    <row r="79" spans="9:45" ht="15.95" hidden="1" customHeight="1"/>
    <row r="80" spans="9:45"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s="180" customFormat="1"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s="180" customFormat="1"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s="180" customFormat="1"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sheetData>
  <sheetProtection algorithmName="SHA-512" hashValue="1pmssPgeKX665mvCWG5ZacvJkaFWSD26G3mkOQqDxiI7uWJZiUYKzTteIAfUGdHoRfiRp1kSMT9U1YZgeAgFFw==" saltValue="lgcf++Udc0Fj4XsUYGjetg==" spinCount="100000" sheet="1" objects="1" scenarios="1" selectLockedCells="1"/>
  <mergeCells count="78">
    <mergeCell ref="T35:X35"/>
    <mergeCell ref="J21:W22"/>
    <mergeCell ref="X21:AJ22"/>
    <mergeCell ref="J24:N27"/>
    <mergeCell ref="P24:U24"/>
    <mergeCell ref="W24:AB24"/>
    <mergeCell ref="AD24:AI24"/>
    <mergeCell ref="P25:U25"/>
    <mergeCell ref="W25:AB25"/>
    <mergeCell ref="AD25:AI25"/>
    <mergeCell ref="P26:U26"/>
    <mergeCell ref="W26:AB26"/>
    <mergeCell ref="AD26:AI26"/>
    <mergeCell ref="P27:U27"/>
    <mergeCell ref="W27:AB27"/>
    <mergeCell ref="AD27:AI27"/>
    <mergeCell ref="AP1:AS3"/>
    <mergeCell ref="F1:I3"/>
    <mergeCell ref="J1:M3"/>
    <mergeCell ref="AH1:AK3"/>
    <mergeCell ref="AL1:AO3"/>
    <mergeCell ref="O1:AE3"/>
    <mergeCell ref="A4:E6"/>
    <mergeCell ref="A7:E8"/>
    <mergeCell ref="A9:AS10"/>
    <mergeCell ref="J18:W20"/>
    <mergeCell ref="AC18:AJ20"/>
    <mergeCell ref="AO5:AS6"/>
    <mergeCell ref="AO7:AS7"/>
    <mergeCell ref="AO8:AS8"/>
    <mergeCell ref="F11:AP12"/>
    <mergeCell ref="J29:N32"/>
    <mergeCell ref="P29:U29"/>
    <mergeCell ref="W29:AB29"/>
    <mergeCell ref="P30:U30"/>
    <mergeCell ref="W30:AB30"/>
    <mergeCell ref="P31:U31"/>
    <mergeCell ref="W31:AB31"/>
    <mergeCell ref="P32:U32"/>
    <mergeCell ref="W32:AB32"/>
    <mergeCell ref="T36:X36"/>
    <mergeCell ref="T37:X37"/>
    <mergeCell ref="AD36:AH36"/>
    <mergeCell ref="AD37:AH37"/>
    <mergeCell ref="J34:N37"/>
    <mergeCell ref="P34:S34"/>
    <mergeCell ref="Y34:AC34"/>
    <mergeCell ref="Y35:AC35"/>
    <mergeCell ref="Y36:AC36"/>
    <mergeCell ref="Y37:AC37"/>
    <mergeCell ref="P35:S35"/>
    <mergeCell ref="P36:S36"/>
    <mergeCell ref="P37:S37"/>
    <mergeCell ref="AD34:AH34"/>
    <mergeCell ref="AD35:AH35"/>
    <mergeCell ref="T34:X34"/>
    <mergeCell ref="M200:AG201"/>
    <mergeCell ref="J56:J60"/>
    <mergeCell ref="K56:N60"/>
    <mergeCell ref="J72:AJ73"/>
    <mergeCell ref="K45:U46"/>
    <mergeCell ref="Y45:AI46"/>
    <mergeCell ref="J47:V50"/>
    <mergeCell ref="X47:AJ49"/>
    <mergeCell ref="K51:O52"/>
    <mergeCell ref="Q51:U52"/>
    <mergeCell ref="Y51:AE52"/>
    <mergeCell ref="J61:AJ61"/>
    <mergeCell ref="J62:AJ71"/>
    <mergeCell ref="AG51:AI52"/>
    <mergeCell ref="J39:N43"/>
    <mergeCell ref="O42:V42"/>
    <mergeCell ref="O60:AJ60"/>
    <mergeCell ref="P57:AA59"/>
    <mergeCell ref="AC57:AH59"/>
    <mergeCell ref="X42:AE42"/>
    <mergeCell ref="AG42:AI42"/>
    <mergeCell ref="O43:S43"/>
  </mergeCells>
  <conditionalFormatting sqref="O42 AG42">
    <cfRule type="containsBlanks" dxfId="29" priority="17">
      <formula>LEN(TRIM(O42))=0</formula>
    </cfRule>
  </conditionalFormatting>
  <conditionalFormatting sqref="K51">
    <cfRule type="expression" dxfId="28" priority="9">
      <formula>K51&lt;&gt;"project start date"</formula>
    </cfRule>
  </conditionalFormatting>
  <conditionalFormatting sqref="K51">
    <cfRule type="containsBlanks" dxfId="27" priority="8">
      <formula>LEN(TRIM(K51))=0</formula>
    </cfRule>
  </conditionalFormatting>
  <conditionalFormatting sqref="Q51">
    <cfRule type="containsBlanks" dxfId="26" priority="7">
      <formula>LEN(TRIM(Q51))=0</formula>
    </cfRule>
  </conditionalFormatting>
  <conditionalFormatting sqref="Q51">
    <cfRule type="expression" dxfId="25" priority="6">
      <formula>Q51&lt;&gt;"completion paperwork submission date"</formula>
    </cfRule>
  </conditionalFormatting>
  <conditionalFormatting sqref="Y51">
    <cfRule type="expression" dxfId="24" priority="5">
      <formula>Y51&lt;&gt;"Customer Signature"</formula>
    </cfRule>
  </conditionalFormatting>
  <conditionalFormatting sqref="Y51">
    <cfRule type="containsBlanks" dxfId="23" priority="4">
      <formula>LEN(TRIM(Y51))=0</formula>
    </cfRule>
  </conditionalFormatting>
  <conditionalFormatting sqref="AG51">
    <cfRule type="expression" dxfId="22" priority="3">
      <formula>AG51&lt;&gt;"Date"</formula>
    </cfRule>
  </conditionalFormatting>
  <conditionalFormatting sqref="AG51">
    <cfRule type="containsBlanks" dxfId="21" priority="2">
      <formula>LEN(TRIM(AG51))=0</formula>
    </cfRule>
  </conditionalFormatting>
  <conditionalFormatting sqref="AO8:AS8">
    <cfRule type="expression" dxfId="20" priority="1">
      <formula>IF($AO$8=PROJSTATMEASURE,FALSE,TRUE)</formula>
    </cfRule>
  </conditionalFormatting>
  <hyperlinks>
    <hyperlink ref="J1:M3" location="'M01-S02'!J1" tooltip="Instructions" display="'M01-S02'!J1" xr:uid="{34697313-10F1-4FD2-A15F-F29190C4CB6F}"/>
    <hyperlink ref="AL1:AO3" location="'M05-S05'!AL1" tooltip=" " display="'M05-S05'!AL1" xr:uid="{7A84616D-6F6F-4858-93DD-8E39DAFD6D93}"/>
    <hyperlink ref="AH1:AK3" location="'M05-S04'!AH1" tooltip=" " display="'M05-S04'!AH1" xr:uid="{C5057265-3D65-4CB3-B0E9-DC857CEC4035}"/>
    <hyperlink ref="AP1:AS3" location="'M01-S03'!AP1" tooltip="Contact" display="'M01-S03'!AP1" xr:uid="{CB80B30F-2497-4B75-86DA-A84AE7602904}"/>
    <hyperlink ref="B202" r:id="rId1" xr:uid="{ABE9C549-C9FC-47CE-AE0D-7D2FF3B03001}"/>
    <hyperlink ref="AC57:AH59" r:id="rId2" display="✉ Draft Email" xr:uid="{EB4A0270-9671-4D34-9177-4B46BAFDE71A}"/>
  </hyperlinks>
  <printOptions horizontalCentered="1" verticalCentered="1"/>
  <pageMargins left="0" right="0" top="0" bottom="0" header="0.25" footer="0.25"/>
  <pageSetup scale="84"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'M01-S01'!I62-TODAY()&gt;=7</xm:f>
            <x14:dxf>
              <font>
                <b val="0"/>
                <i val="0"/>
                <color theme="1"/>
              </font>
            </x14:dxf>
          </x14:cfRule>
          <x14:cfRule type="expression" priority="11" id="{1AB1E336-16BD-4E47-8E59-7283F122EBC7}">
            <xm:f>AND('M01-S01'!I62-TODAY()&lt;7,'M01-S01'!I62-TODAY()&gt;2)</xm:f>
            <x14:dxf>
              <font>
                <b/>
                <i val="0"/>
                <color rgb="FFFF0000"/>
              </font>
            </x14:dxf>
          </x14:cfRule>
          <xm:sqref>F11</xm:sqref>
        </x14:conditionalFormatting>
        <x14:conditionalFormatting xmlns:xm="http://schemas.microsoft.com/office/excel/2006/main">
          <x14:cfRule type="expression" priority="12" id="{EF036CDB-59D6-4855-9AAE-3A8ACFC9B96D}">
            <xm:f>AND('M01-S01'!I62-TODAY()&lt;=2,'M01-S01'!I62-TODAY()&gt;=0)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F11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pageSetUpPr fitToPage="1"/>
  </sheetPr>
  <dimension ref="A1:AS202"/>
  <sheetViews>
    <sheetView showGridLines="0" showRowColHeaders="0" zoomScale="85" zoomScaleNormal="85" workbookViewId="0">
      <selection activeCell="K58" sqref="K58:Q58"/>
    </sheetView>
  </sheetViews>
  <sheetFormatPr defaultColWidth="0" defaultRowHeight="15.95" customHeight="1" zeroHeight="1"/>
  <cols>
    <col min="1" max="45" width="4.7109375" customWidth="1"/>
    <col min="46" max="16384" width="4.7109375" hidden="1"/>
  </cols>
  <sheetData>
    <row r="1" spans="1:45"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1205">
        <f>INCENTOTAL</f>
        <v>0</v>
      </c>
      <c r="B4" s="1205"/>
      <c r="C4" s="1205"/>
      <c r="D4" s="1205"/>
      <c r="E4" s="1205"/>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ht="15.95" customHeight="1">
      <c r="A9" s="720" t="str">
        <f>M5S5</f>
        <v>Completion Form</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7"/>
      <c r="AP9" s="727"/>
      <c r="AQ9" s="727"/>
      <c r="AR9" s="727"/>
      <c r="AS9" s="727"/>
    </row>
    <row r="10" spans="1:45"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8"/>
      <c r="AP10" s="728"/>
      <c r="AQ10" s="728"/>
      <c r="AR10" s="728"/>
      <c r="AS10" s="728"/>
    </row>
    <row r="11" spans="1:45" ht="15.95" customHeight="1">
      <c r="F11" s="1346" t="s">
        <v>1584</v>
      </c>
      <c r="G11" s="1346"/>
      <c r="H11" s="1346"/>
      <c r="I11" s="1346"/>
      <c r="J11" s="1346"/>
      <c r="K11" s="1346"/>
      <c r="L11" s="1346"/>
      <c r="M11" s="1346"/>
      <c r="N11" s="1346"/>
      <c r="O11" s="1346"/>
      <c r="P11" s="1346"/>
      <c r="Q11" s="1346"/>
      <c r="R11" s="1346"/>
      <c r="S11" s="1346"/>
      <c r="T11" s="1346"/>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7"/>
      <c r="AP11" s="1347"/>
      <c r="AQ11" s="235"/>
      <c r="AR11" s="235"/>
      <c r="AS11" s="235"/>
    </row>
    <row r="12" spans="1:45" ht="15.95" customHeight="1">
      <c r="F12" s="1346"/>
      <c r="G12" s="1346"/>
      <c r="H12" s="1346"/>
      <c r="I12" s="1346"/>
      <c r="J12" s="1346"/>
      <c r="K12" s="1346"/>
      <c r="L12" s="1346"/>
      <c r="M12" s="1346"/>
      <c r="N12" s="1346"/>
      <c r="O12" s="1346"/>
      <c r="P12" s="1346"/>
      <c r="Q12" s="1346"/>
      <c r="R12" s="1346"/>
      <c r="S12" s="1346"/>
      <c r="T12" s="1346"/>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7"/>
      <c r="AP12" s="1347"/>
      <c r="AQ12" s="235"/>
      <c r="AR12" s="235"/>
      <c r="AS12" s="235"/>
    </row>
    <row r="13" spans="1:45" ht="15.95" customHeight="1">
      <c r="I13" s="205"/>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7"/>
      <c r="AO13" s="235"/>
      <c r="AP13" s="235"/>
      <c r="AQ13" s="235"/>
      <c r="AR13" s="235"/>
      <c r="AS13" s="235"/>
    </row>
    <row r="14" spans="1:45" ht="15.95" customHeight="1">
      <c r="I14" s="243"/>
      <c r="J14" s="465"/>
      <c r="K14" s="465"/>
      <c r="L14" s="465"/>
      <c r="M14" s="465"/>
      <c r="N14" s="465"/>
      <c r="O14" s="465"/>
      <c r="P14" s="465"/>
      <c r="Q14" s="465"/>
      <c r="R14" s="465"/>
      <c r="S14" s="465"/>
      <c r="T14" s="465"/>
      <c r="U14" s="465"/>
      <c r="V14" s="465"/>
      <c r="W14" s="465"/>
      <c r="X14" s="465"/>
      <c r="Y14" s="465"/>
      <c r="Z14" s="465"/>
      <c r="AA14" s="465"/>
      <c r="AB14" s="465"/>
      <c r="AC14" s="464"/>
      <c r="AD14" s="464"/>
      <c r="AE14" s="464"/>
      <c r="AF14" s="464"/>
      <c r="AG14" s="464"/>
      <c r="AH14" s="464"/>
      <c r="AI14" s="464"/>
      <c r="AJ14" s="464"/>
      <c r="AK14" s="244"/>
      <c r="AO14" s="235"/>
      <c r="AP14" s="235"/>
      <c r="AQ14" s="235"/>
      <c r="AR14" s="235"/>
      <c r="AS14" s="235"/>
    </row>
    <row r="15" spans="1:45" ht="15.95" customHeight="1">
      <c r="I15" s="243"/>
      <c r="J15" s="465"/>
      <c r="K15" s="465"/>
      <c r="L15" s="465"/>
      <c r="M15" s="465"/>
      <c r="N15" s="465"/>
      <c r="O15" s="465"/>
      <c r="P15" s="465"/>
      <c r="Q15" s="465"/>
      <c r="R15" s="465"/>
      <c r="S15" s="465"/>
      <c r="T15" s="465"/>
      <c r="U15" s="465"/>
      <c r="V15" s="465"/>
      <c r="W15" s="465"/>
      <c r="X15" s="465"/>
      <c r="Y15" s="465"/>
      <c r="Z15" s="465"/>
      <c r="AA15" s="465"/>
      <c r="AB15" s="465"/>
      <c r="AC15" s="464"/>
      <c r="AD15" s="464"/>
      <c r="AE15" s="464"/>
      <c r="AF15" s="464"/>
      <c r="AG15" s="464"/>
      <c r="AH15" s="464"/>
      <c r="AI15" s="464"/>
      <c r="AJ15" s="464"/>
      <c r="AK15" s="244"/>
      <c r="AO15" s="235"/>
      <c r="AP15" s="235"/>
      <c r="AQ15" s="235"/>
      <c r="AR15" s="235"/>
      <c r="AS15" s="235"/>
    </row>
    <row r="16" spans="1:45" ht="15.95" customHeight="1">
      <c r="I16" s="243"/>
      <c r="J16" s="465"/>
      <c r="K16" s="465"/>
      <c r="L16" s="465"/>
      <c r="M16" s="465"/>
      <c r="N16" s="465"/>
      <c r="O16" s="465"/>
      <c r="P16" s="465"/>
      <c r="Q16" s="465"/>
      <c r="R16" s="465"/>
      <c r="S16" s="465"/>
      <c r="T16" s="465"/>
      <c r="U16" s="465"/>
      <c r="V16" s="465"/>
      <c r="W16" s="465"/>
      <c r="X16" s="465"/>
      <c r="Y16" s="465"/>
      <c r="Z16" s="465"/>
      <c r="AA16" s="465"/>
      <c r="AB16" s="465"/>
      <c r="AC16" s="464"/>
      <c r="AD16" s="464"/>
      <c r="AE16" s="464"/>
      <c r="AF16" s="464"/>
      <c r="AG16" s="464"/>
      <c r="AH16" s="464"/>
      <c r="AI16" s="464"/>
      <c r="AJ16" s="464"/>
      <c r="AK16" s="244"/>
      <c r="AO16" s="235"/>
      <c r="AP16" s="235"/>
      <c r="AQ16" s="235"/>
      <c r="AR16" s="235"/>
      <c r="AS16" s="235"/>
    </row>
    <row r="17" spans="9:45" ht="15.95" customHeight="1">
      <c r="I17" s="243"/>
      <c r="J17" s="465"/>
      <c r="K17" s="465"/>
      <c r="L17" s="465"/>
      <c r="M17" s="465"/>
      <c r="N17" s="465"/>
      <c r="O17" s="465"/>
      <c r="P17" s="465"/>
      <c r="Q17" s="465"/>
      <c r="R17" s="465"/>
      <c r="S17" s="465"/>
      <c r="T17" s="465"/>
      <c r="U17" s="465"/>
      <c r="V17" s="465"/>
      <c r="W17" s="465"/>
      <c r="X17" s="465"/>
      <c r="Y17" s="465"/>
      <c r="Z17" s="465"/>
      <c r="AA17" s="465"/>
      <c r="AB17" s="465"/>
      <c r="AC17" s="464"/>
      <c r="AD17" s="464"/>
      <c r="AE17" s="464"/>
      <c r="AF17" s="464"/>
      <c r="AG17" s="464"/>
      <c r="AH17" s="464"/>
      <c r="AI17" s="464"/>
      <c r="AJ17" s="464"/>
      <c r="AK17" s="244"/>
      <c r="AO17" s="235"/>
      <c r="AP17" s="235"/>
      <c r="AQ17" s="235"/>
      <c r="AR17" s="235"/>
      <c r="AS17" s="235"/>
    </row>
    <row r="18" spans="9:45" ht="15.95" customHeight="1">
      <c r="I18" s="243"/>
      <c r="J18" s="1344" t="s">
        <v>78</v>
      </c>
      <c r="K18" s="1344"/>
      <c r="L18" s="1344"/>
      <c r="M18" s="1344"/>
      <c r="N18" s="1344"/>
      <c r="O18" s="1344"/>
      <c r="P18" s="1344"/>
      <c r="Q18" s="1344"/>
      <c r="R18" s="1344"/>
      <c r="S18" s="1344"/>
      <c r="T18" s="1344"/>
      <c r="U18" s="1344"/>
      <c r="V18" s="1344"/>
      <c r="W18" s="1344"/>
      <c r="X18" s="466"/>
      <c r="Y18" s="466"/>
      <c r="Z18" s="466"/>
      <c r="AA18" s="466"/>
      <c r="AB18" s="466"/>
      <c r="AC18" s="1345" t="str">
        <f>CONCATENATE("Project # ",PROJID)</f>
        <v xml:space="preserve">Project # </v>
      </c>
      <c r="AD18" s="1345"/>
      <c r="AE18" s="1345"/>
      <c r="AF18" s="1345"/>
      <c r="AG18" s="1345"/>
      <c r="AH18" s="1345"/>
      <c r="AI18" s="1345"/>
      <c r="AJ18" s="1345"/>
      <c r="AK18" s="244"/>
      <c r="AO18" s="235"/>
      <c r="AP18" s="235"/>
      <c r="AQ18" s="235"/>
      <c r="AR18" s="235"/>
      <c r="AS18" s="235"/>
    </row>
    <row r="19" spans="9:45" ht="15.95" customHeight="1">
      <c r="I19" s="243"/>
      <c r="J19" s="1344"/>
      <c r="K19" s="1344"/>
      <c r="L19" s="1344"/>
      <c r="M19" s="1344"/>
      <c r="N19" s="1344"/>
      <c r="O19" s="1344"/>
      <c r="P19" s="1344"/>
      <c r="Q19" s="1344"/>
      <c r="R19" s="1344"/>
      <c r="S19" s="1344"/>
      <c r="T19" s="1344"/>
      <c r="U19" s="1344"/>
      <c r="V19" s="1344"/>
      <c r="W19" s="1344"/>
      <c r="X19" s="466"/>
      <c r="Y19" s="466"/>
      <c r="Z19" s="466"/>
      <c r="AA19" s="466"/>
      <c r="AB19" s="466"/>
      <c r="AC19" s="1345"/>
      <c r="AD19" s="1345"/>
      <c r="AE19" s="1345"/>
      <c r="AF19" s="1345"/>
      <c r="AG19" s="1345"/>
      <c r="AH19" s="1345"/>
      <c r="AI19" s="1345"/>
      <c r="AJ19" s="1345"/>
      <c r="AK19" s="244"/>
      <c r="AO19" s="235"/>
      <c r="AP19" s="235"/>
      <c r="AQ19" s="235"/>
      <c r="AR19" s="235"/>
      <c r="AS19" s="235"/>
    </row>
    <row r="20" spans="9:45" ht="15.95" customHeight="1">
      <c r="I20" s="243"/>
      <c r="J20" s="1344"/>
      <c r="K20" s="1344"/>
      <c r="L20" s="1344"/>
      <c r="M20" s="1344"/>
      <c r="N20" s="1344"/>
      <c r="O20" s="1344"/>
      <c r="P20" s="1344"/>
      <c r="Q20" s="1344"/>
      <c r="R20" s="1344"/>
      <c r="S20" s="1344"/>
      <c r="T20" s="1344"/>
      <c r="U20" s="1344"/>
      <c r="V20" s="1344"/>
      <c r="W20" s="1344"/>
      <c r="X20" s="466"/>
      <c r="Y20" s="466"/>
      <c r="Z20" s="466"/>
      <c r="AA20" s="466"/>
      <c r="AB20" s="466"/>
      <c r="AC20" s="1345"/>
      <c r="AD20" s="1345"/>
      <c r="AE20" s="1345"/>
      <c r="AF20" s="1345"/>
      <c r="AG20" s="1345"/>
      <c r="AH20" s="1345"/>
      <c r="AI20" s="1345"/>
      <c r="AJ20" s="1345"/>
      <c r="AK20" s="244"/>
      <c r="AO20" s="235"/>
      <c r="AP20" s="235"/>
      <c r="AQ20" s="235"/>
      <c r="AR20" s="235"/>
      <c r="AS20" s="235"/>
    </row>
    <row r="21" spans="9:45" ht="15.95" customHeight="1">
      <c r="I21" s="243"/>
      <c r="J21" s="1349">
        <f>M02S03F01</f>
        <v>0</v>
      </c>
      <c r="K21" s="1349"/>
      <c r="L21" s="1349"/>
      <c r="M21" s="1349"/>
      <c r="N21" s="1349"/>
      <c r="O21" s="1349"/>
      <c r="P21" s="1349"/>
      <c r="Q21" s="1349"/>
      <c r="R21" s="1349"/>
      <c r="S21" s="1349"/>
      <c r="T21" s="1349"/>
      <c r="U21" s="1349"/>
      <c r="V21" s="1349"/>
      <c r="W21" s="1349"/>
      <c r="X21" s="1350">
        <f>M02S04F18</f>
        <v>0</v>
      </c>
      <c r="Y21" s="1350"/>
      <c r="Z21" s="1350"/>
      <c r="AA21" s="1350"/>
      <c r="AB21" s="1350"/>
      <c r="AC21" s="1350"/>
      <c r="AD21" s="1350"/>
      <c r="AE21" s="1350"/>
      <c r="AF21" s="1350"/>
      <c r="AG21" s="1350"/>
      <c r="AH21" s="1350"/>
      <c r="AI21" s="1350"/>
      <c r="AJ21" s="1350"/>
      <c r="AK21" s="244"/>
      <c r="AO21" s="235"/>
      <c r="AP21" s="235"/>
      <c r="AQ21" s="235"/>
      <c r="AR21" s="235"/>
      <c r="AS21" s="235"/>
    </row>
    <row r="22" spans="9:45" ht="15.95" customHeight="1">
      <c r="I22" s="243"/>
      <c r="J22" s="1349"/>
      <c r="K22" s="1349"/>
      <c r="L22" s="1349"/>
      <c r="M22" s="1349"/>
      <c r="N22" s="1349"/>
      <c r="O22" s="1349"/>
      <c r="P22" s="1349"/>
      <c r="Q22" s="1349"/>
      <c r="R22" s="1349"/>
      <c r="S22" s="1349"/>
      <c r="T22" s="1349"/>
      <c r="U22" s="1349"/>
      <c r="V22" s="1349"/>
      <c r="W22" s="1349"/>
      <c r="X22" s="1350"/>
      <c r="Y22" s="1350"/>
      <c r="Z22" s="1350"/>
      <c r="AA22" s="1350"/>
      <c r="AB22" s="1350"/>
      <c r="AC22" s="1350"/>
      <c r="AD22" s="1350"/>
      <c r="AE22" s="1350"/>
      <c r="AF22" s="1350"/>
      <c r="AG22" s="1350"/>
      <c r="AH22" s="1350"/>
      <c r="AI22" s="1350"/>
      <c r="AJ22" s="1350"/>
      <c r="AK22" s="244"/>
      <c r="AO22" s="235"/>
      <c r="AP22" s="235"/>
      <c r="AQ22" s="235" t="s">
        <v>782</v>
      </c>
      <c r="AR22" s="235"/>
      <c r="AS22" s="235"/>
    </row>
    <row r="23" spans="9:45" ht="15.95" customHeight="1">
      <c r="I23" s="243"/>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244"/>
      <c r="AO23" s="235"/>
      <c r="AP23" s="235"/>
      <c r="AQ23" s="235"/>
      <c r="AR23" s="235"/>
      <c r="AS23" s="235"/>
    </row>
    <row r="24" spans="9:45" ht="15.95" customHeight="1">
      <c r="I24" s="243"/>
      <c r="J24" s="1351" t="s">
        <v>1567</v>
      </c>
      <c r="K24" s="1351"/>
      <c r="L24" s="1351"/>
      <c r="M24" s="1351"/>
      <c r="N24" s="1351"/>
      <c r="O24" s="210"/>
      <c r="P24" s="1352" t="s">
        <v>1568</v>
      </c>
      <c r="Q24" s="1352"/>
      <c r="R24" s="1352"/>
      <c r="S24" s="1352"/>
      <c r="T24" s="1352"/>
      <c r="U24" s="1352"/>
      <c r="V24" s="211"/>
      <c r="W24" s="1352" t="s">
        <v>1569</v>
      </c>
      <c r="X24" s="1352"/>
      <c r="Y24" s="1352"/>
      <c r="Z24" s="1352"/>
      <c r="AA24" s="1352"/>
      <c r="AB24" s="1352"/>
      <c r="AC24" s="211"/>
      <c r="AD24" s="1353" t="str">
        <f>IF(M02S04F02="Yes","","Company Contact")</f>
        <v>Company Contact</v>
      </c>
      <c r="AE24" s="1353"/>
      <c r="AF24" s="1353"/>
      <c r="AG24" s="1353"/>
      <c r="AH24" s="1353"/>
      <c r="AI24" s="1353"/>
      <c r="AJ24" s="211"/>
      <c r="AK24" s="244"/>
      <c r="AO24" s="235"/>
      <c r="AP24" s="235"/>
      <c r="AQ24" s="235"/>
      <c r="AR24" s="235"/>
      <c r="AS24" s="235"/>
    </row>
    <row r="25" spans="9:45" ht="15.95" customHeight="1">
      <c r="I25" s="243"/>
      <c r="J25" s="1351"/>
      <c r="K25" s="1351"/>
      <c r="L25" s="1351"/>
      <c r="M25" s="1351"/>
      <c r="N25" s="1351"/>
      <c r="O25" s="210"/>
      <c r="P25" s="1354">
        <f>M02S04F07</f>
        <v>0</v>
      </c>
      <c r="Q25" s="1354"/>
      <c r="R25" s="1354"/>
      <c r="S25" s="1354"/>
      <c r="T25" s="1354"/>
      <c r="U25" s="1354"/>
      <c r="V25" s="212"/>
      <c r="W25" s="1354" t="str">
        <f>CONCATENATE(M02S04F12," ",M02S04F13)</f>
        <v xml:space="preserve"> </v>
      </c>
      <c r="X25" s="1354"/>
      <c r="Y25" s="1354"/>
      <c r="Z25" s="1354"/>
      <c r="AA25" s="1354"/>
      <c r="AB25" s="1354"/>
      <c r="AC25" s="212"/>
      <c r="AD25" s="1354" t="str">
        <f>CONCATENATE(M02S03F06," ",M02S03F07)</f>
        <v xml:space="preserve"> </v>
      </c>
      <c r="AE25" s="1354"/>
      <c r="AF25" s="1354"/>
      <c r="AG25" s="1354"/>
      <c r="AH25" s="1354"/>
      <c r="AI25" s="1354"/>
      <c r="AJ25" s="213"/>
      <c r="AK25" s="244"/>
      <c r="AO25" s="235"/>
      <c r="AP25" s="235"/>
      <c r="AQ25" s="235"/>
      <c r="AR25" s="235"/>
      <c r="AS25" s="235"/>
    </row>
    <row r="26" spans="9:45" ht="15.95" customHeight="1">
      <c r="I26" s="243"/>
      <c r="J26" s="1351"/>
      <c r="K26" s="1351"/>
      <c r="L26" s="1351"/>
      <c r="M26" s="1351"/>
      <c r="N26" s="1351"/>
      <c r="O26" s="210"/>
      <c r="P26" s="1354">
        <f>M02S04F08</f>
        <v>0</v>
      </c>
      <c r="Q26" s="1354"/>
      <c r="R26" s="1354"/>
      <c r="S26" s="1354"/>
      <c r="T26" s="1354"/>
      <c r="U26" s="1354"/>
      <c r="V26" s="212"/>
      <c r="W26" s="1355" t="str">
        <f>M02S04F15</f>
        <v/>
      </c>
      <c r="X26" s="1355"/>
      <c r="Y26" s="1355"/>
      <c r="Z26" s="1355"/>
      <c r="AA26" s="1355"/>
      <c r="AB26" s="1355"/>
      <c r="AC26" s="214"/>
      <c r="AD26" s="1355">
        <f>M02S03F09</f>
        <v>0</v>
      </c>
      <c r="AE26" s="1355"/>
      <c r="AF26" s="1355"/>
      <c r="AG26" s="1355"/>
      <c r="AH26" s="1355"/>
      <c r="AI26" s="1355"/>
      <c r="AJ26" s="215"/>
      <c r="AK26" s="244"/>
      <c r="AO26" s="235"/>
      <c r="AP26" s="235"/>
      <c r="AQ26" s="235"/>
      <c r="AR26" s="235"/>
      <c r="AS26" s="235"/>
    </row>
    <row r="27" spans="9:45" ht="15.95" customHeight="1">
      <c r="I27" s="243"/>
      <c r="J27" s="1351"/>
      <c r="K27" s="1351"/>
      <c r="L27" s="1351"/>
      <c r="M27" s="1351"/>
      <c r="N27" s="1351"/>
      <c r="O27" s="210"/>
      <c r="P27" s="1354" t="str">
        <f>CONCATENATE(M02S04F09,", ",M02S04F10," ",M02S04F11)</f>
        <v xml:space="preserve">, MO </v>
      </c>
      <c r="Q27" s="1354"/>
      <c r="R27" s="1354"/>
      <c r="S27" s="1354"/>
      <c r="T27" s="1354"/>
      <c r="U27" s="1354"/>
      <c r="V27" s="212"/>
      <c r="W27" s="1354" t="str">
        <f>M02S04F16</f>
        <v/>
      </c>
      <c r="X27" s="1354"/>
      <c r="Y27" s="1354"/>
      <c r="Z27" s="1354"/>
      <c r="AA27" s="1354"/>
      <c r="AB27" s="1354"/>
      <c r="AC27" s="212"/>
      <c r="AD27" s="1354">
        <f>M02S03F10</f>
        <v>0</v>
      </c>
      <c r="AE27" s="1354"/>
      <c r="AF27" s="1354"/>
      <c r="AG27" s="1354"/>
      <c r="AH27" s="1354"/>
      <c r="AI27" s="1354"/>
      <c r="AJ27" s="213"/>
      <c r="AK27" s="244"/>
      <c r="AO27" s="235"/>
      <c r="AP27" s="235"/>
      <c r="AQ27" s="235"/>
      <c r="AR27" s="235"/>
      <c r="AS27" s="235"/>
    </row>
    <row r="28" spans="9:45" ht="15.95" customHeight="1">
      <c r="I28" s="243"/>
      <c r="J28" s="37"/>
      <c r="K28" s="37"/>
      <c r="L28" s="37"/>
      <c r="M28" s="37"/>
      <c r="N28" s="37"/>
      <c r="O28" s="37"/>
      <c r="P28" s="216"/>
      <c r="Q28" s="216"/>
      <c r="R28" s="216"/>
      <c r="S28" s="216"/>
      <c r="T28" s="216"/>
      <c r="U28" s="216"/>
      <c r="V28" s="216"/>
      <c r="W28" s="216"/>
      <c r="X28" s="216"/>
      <c r="Y28" s="216"/>
      <c r="Z28" s="216"/>
      <c r="AA28" s="216"/>
      <c r="AB28" s="216"/>
      <c r="AC28" s="216"/>
      <c r="AD28" s="216"/>
      <c r="AE28" s="216"/>
      <c r="AF28" s="216"/>
      <c r="AG28" s="216"/>
      <c r="AH28" s="216"/>
      <c r="AI28" s="216"/>
      <c r="AJ28" s="216"/>
      <c r="AK28" s="244"/>
      <c r="AO28" s="235"/>
      <c r="AP28" s="235"/>
      <c r="AQ28" s="235"/>
      <c r="AR28" s="235"/>
      <c r="AS28" s="235"/>
    </row>
    <row r="29" spans="9:45" ht="15.95" customHeight="1">
      <c r="I29" s="243"/>
      <c r="J29" s="1306" t="s">
        <v>1570</v>
      </c>
      <c r="K29" s="1306"/>
      <c r="L29" s="1306"/>
      <c r="M29" s="1306"/>
      <c r="N29" s="1306"/>
      <c r="O29" s="217"/>
      <c r="P29" s="1340" t="s">
        <v>76</v>
      </c>
      <c r="Q29" s="1340"/>
      <c r="R29" s="1340"/>
      <c r="S29" s="1340"/>
      <c r="T29" s="1340"/>
      <c r="U29" s="1340"/>
      <c r="V29" s="218"/>
      <c r="W29" s="1341" t="s">
        <v>79</v>
      </c>
      <c r="X29" s="1341"/>
      <c r="Y29" s="1341"/>
      <c r="Z29" s="1341"/>
      <c r="AA29" s="1341"/>
      <c r="AB29" s="1341"/>
      <c r="AC29" s="218"/>
      <c r="AD29" s="218"/>
      <c r="AE29" s="218"/>
      <c r="AF29" s="218"/>
      <c r="AG29" s="218"/>
      <c r="AH29" s="218"/>
      <c r="AI29" s="218"/>
      <c r="AJ29" s="218"/>
      <c r="AK29" s="244"/>
      <c r="AO29" s="235"/>
      <c r="AP29" s="235"/>
      <c r="AQ29" s="235"/>
      <c r="AR29" s="235"/>
      <c r="AS29" s="235"/>
    </row>
    <row r="30" spans="9:45" ht="15.95" customHeight="1">
      <c r="I30" s="243"/>
      <c r="J30" s="1306"/>
      <c r="K30" s="1306"/>
      <c r="L30" s="1306"/>
      <c r="M30" s="1306"/>
      <c r="N30" s="1306"/>
      <c r="O30" s="217"/>
      <c r="P30" s="1342">
        <f>M02S02F02</f>
        <v>0</v>
      </c>
      <c r="Q30" s="1342"/>
      <c r="R30" s="1342"/>
      <c r="S30" s="1342"/>
      <c r="T30" s="1342"/>
      <c r="U30" s="1342"/>
      <c r="V30" s="219"/>
      <c r="W30" s="1342" t="str">
        <f>CONCATENATE(M02S02F07," ",M02S02F08)</f>
        <v xml:space="preserve"> </v>
      </c>
      <c r="X30" s="1342"/>
      <c r="Y30" s="1342"/>
      <c r="Z30" s="1342"/>
      <c r="AA30" s="1342"/>
      <c r="AB30" s="1342"/>
      <c r="AC30" s="220"/>
      <c r="AD30" s="220"/>
      <c r="AE30" s="219"/>
      <c r="AF30" s="219"/>
      <c r="AG30" s="219"/>
      <c r="AH30" s="219"/>
      <c r="AI30" s="219"/>
      <c r="AJ30" s="249"/>
      <c r="AK30" s="244"/>
      <c r="AO30" s="235"/>
      <c r="AP30" s="235"/>
      <c r="AQ30" s="235"/>
      <c r="AR30" s="235"/>
      <c r="AS30" s="235"/>
    </row>
    <row r="31" spans="9:45" ht="15.95" customHeight="1">
      <c r="I31" s="243"/>
      <c r="J31" s="1306"/>
      <c r="K31" s="1306"/>
      <c r="L31" s="1306"/>
      <c r="M31" s="1306"/>
      <c r="N31" s="1306"/>
      <c r="O31" s="217"/>
      <c r="P31" s="1342">
        <f>M02S02F03</f>
        <v>0</v>
      </c>
      <c r="Q31" s="1342"/>
      <c r="R31" s="1342"/>
      <c r="S31" s="1342"/>
      <c r="T31" s="1342"/>
      <c r="U31" s="1342"/>
      <c r="V31" s="219"/>
      <c r="W31" s="1343">
        <f>M02S02F10</f>
        <v>0</v>
      </c>
      <c r="X31" s="1343"/>
      <c r="Y31" s="1343"/>
      <c r="Z31" s="1343"/>
      <c r="AA31" s="1343"/>
      <c r="AB31" s="1343"/>
      <c r="AC31" s="220"/>
      <c r="AD31" s="220"/>
      <c r="AE31" s="222"/>
      <c r="AF31" s="222"/>
      <c r="AG31" s="222"/>
      <c r="AH31" s="222"/>
      <c r="AI31" s="222"/>
      <c r="AJ31" s="223"/>
      <c r="AK31" s="244"/>
      <c r="AO31" s="235"/>
      <c r="AP31" s="235"/>
      <c r="AQ31" s="235"/>
      <c r="AR31" s="235"/>
      <c r="AS31" s="235"/>
    </row>
    <row r="32" spans="9:45" ht="15.95" customHeight="1">
      <c r="I32" s="243"/>
      <c r="J32" s="1306"/>
      <c r="K32" s="1306"/>
      <c r="L32" s="1306"/>
      <c r="M32" s="1306"/>
      <c r="N32" s="1306"/>
      <c r="O32" s="217"/>
      <c r="P32" s="1342" t="str">
        <f>CONCATENATE(M02S02F04,", ",M02S02F05," ",M02S02F06)</f>
        <v xml:space="preserve">,  </v>
      </c>
      <c r="Q32" s="1342"/>
      <c r="R32" s="1342"/>
      <c r="S32" s="1342"/>
      <c r="T32" s="1342"/>
      <c r="U32" s="1342"/>
      <c r="V32" s="219"/>
      <c r="W32" s="1342">
        <f>M02S02F11</f>
        <v>0</v>
      </c>
      <c r="X32" s="1342"/>
      <c r="Y32" s="1342"/>
      <c r="Z32" s="1342"/>
      <c r="AA32" s="1342"/>
      <c r="AB32" s="1342"/>
      <c r="AC32" s="220"/>
      <c r="AD32" s="220"/>
      <c r="AE32" s="219"/>
      <c r="AF32" s="219"/>
      <c r="AG32" s="219"/>
      <c r="AH32" s="219"/>
      <c r="AI32" s="219"/>
      <c r="AJ32" s="224"/>
      <c r="AK32" s="244"/>
      <c r="AO32" s="235"/>
      <c r="AP32" s="235"/>
      <c r="AQ32" s="235"/>
      <c r="AR32" s="235"/>
      <c r="AS32" s="235"/>
    </row>
    <row r="33" spans="9:45" ht="15.95" customHeight="1">
      <c r="I33" s="243"/>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244"/>
      <c r="AO33" s="235"/>
      <c r="AP33" s="235"/>
      <c r="AQ33" s="235"/>
      <c r="AR33" s="235"/>
      <c r="AS33" s="235"/>
    </row>
    <row r="34" spans="9:45" ht="15.95" customHeight="1">
      <c r="I34" s="243"/>
      <c r="J34" s="1331" t="s">
        <v>1985</v>
      </c>
      <c r="K34" s="1331"/>
      <c r="L34" s="1331"/>
      <c r="M34" s="1331"/>
      <c r="N34" s="1331"/>
      <c r="O34" s="217"/>
      <c r="P34" s="1332" t="s">
        <v>2717</v>
      </c>
      <c r="Q34" s="1332"/>
      <c r="R34" s="1332"/>
      <c r="S34" s="1332"/>
      <c r="T34" s="1333" t="s">
        <v>1187</v>
      </c>
      <c r="U34" s="1333"/>
      <c r="V34" s="1333"/>
      <c r="W34" s="1333"/>
      <c r="X34" s="1333"/>
      <c r="Y34" s="1333" t="s">
        <v>1581</v>
      </c>
      <c r="Z34" s="1333"/>
      <c r="AA34" s="1333"/>
      <c r="AB34" s="1333"/>
      <c r="AC34" s="1333"/>
      <c r="AD34" s="1333" t="s">
        <v>1990</v>
      </c>
      <c r="AE34" s="1333"/>
      <c r="AF34" s="1333"/>
      <c r="AG34" s="1333"/>
      <c r="AH34" s="1333"/>
      <c r="AI34" s="225"/>
      <c r="AJ34" s="225"/>
      <c r="AK34" s="244"/>
      <c r="AO34" s="235"/>
      <c r="AP34" s="235"/>
      <c r="AQ34" s="235"/>
      <c r="AR34" s="235"/>
      <c r="AS34" s="235"/>
    </row>
    <row r="35" spans="9:45" ht="15.95" customHeight="1">
      <c r="I35" s="243"/>
      <c r="J35" s="1331"/>
      <c r="K35" s="1331"/>
      <c r="L35" s="1331"/>
      <c r="M35" s="1331"/>
      <c r="N35" s="1331"/>
      <c r="O35" s="217"/>
      <c r="P35" s="1335" t="s">
        <v>1443</v>
      </c>
      <c r="Q35" s="1336"/>
      <c r="R35" s="1336"/>
      <c r="S35" s="1336"/>
      <c r="T35" s="1348">
        <f ca="1">KWHTOTALPRESE</f>
        <v>0</v>
      </c>
      <c r="U35" s="1348"/>
      <c r="V35" s="1348"/>
      <c r="W35" s="1348"/>
      <c r="X35" s="1348"/>
      <c r="Y35" s="1334">
        <f ca="1">COSTTOTALPRESE</f>
        <v>0</v>
      </c>
      <c r="Z35" s="1334"/>
      <c r="AA35" s="1334"/>
      <c r="AB35" s="1334"/>
      <c r="AC35" s="1334"/>
      <c r="AD35" s="1334">
        <f>INCENTOTALPRESE</f>
        <v>0</v>
      </c>
      <c r="AE35" s="1334"/>
      <c r="AF35" s="1334"/>
      <c r="AG35" s="1334"/>
      <c r="AH35" s="1339"/>
      <c r="AI35" s="249"/>
      <c r="AJ35" s="221"/>
      <c r="AK35" s="244"/>
      <c r="AO35" s="235"/>
      <c r="AP35" s="235"/>
      <c r="AQ35" s="235"/>
      <c r="AR35" s="235"/>
      <c r="AS35" s="235"/>
    </row>
    <row r="36" spans="9:45" ht="15.95" customHeight="1">
      <c r="I36" s="243"/>
      <c r="J36" s="1331"/>
      <c r="K36" s="1331"/>
      <c r="L36" s="1331"/>
      <c r="M36" s="1331"/>
      <c r="N36" s="1331"/>
      <c r="O36" s="217"/>
      <c r="P36" s="1335" t="s">
        <v>144</v>
      </c>
      <c r="Q36" s="1336"/>
      <c r="R36" s="1336"/>
      <c r="S36" s="1336"/>
      <c r="T36" s="1325">
        <f ca="1">KWHTOTALCUSE</f>
        <v>0</v>
      </c>
      <c r="U36" s="1325"/>
      <c r="V36" s="1325"/>
      <c r="W36" s="1325"/>
      <c r="X36" s="1325"/>
      <c r="Y36" s="1327">
        <f ca="1">COSTTOTALCUSE</f>
        <v>0</v>
      </c>
      <c r="Z36" s="1327"/>
      <c r="AA36" s="1327"/>
      <c r="AB36" s="1327"/>
      <c r="AC36" s="1327"/>
      <c r="AD36" s="1327">
        <f>INCENTOTALCUSE</f>
        <v>0</v>
      </c>
      <c r="AE36" s="1327"/>
      <c r="AF36" s="1327"/>
      <c r="AG36" s="1327"/>
      <c r="AH36" s="1328"/>
      <c r="AI36" s="249"/>
      <c r="AJ36" s="221"/>
      <c r="AK36" s="244"/>
      <c r="AO36" s="235"/>
      <c r="AP36" s="235"/>
      <c r="AQ36" s="235"/>
      <c r="AR36" s="235"/>
      <c r="AS36" s="235"/>
    </row>
    <row r="37" spans="9:45" ht="15.95" customHeight="1">
      <c r="I37" s="243"/>
      <c r="J37" s="1331"/>
      <c r="K37" s="1331"/>
      <c r="L37" s="1331"/>
      <c r="M37" s="1331"/>
      <c r="N37" s="1331"/>
      <c r="O37" s="217"/>
      <c r="P37" s="1337" t="s">
        <v>84</v>
      </c>
      <c r="Q37" s="1338"/>
      <c r="R37" s="1338"/>
      <c r="S37" s="1338"/>
      <c r="T37" s="1326">
        <f ca="1">KWHTOTAL</f>
        <v>0</v>
      </c>
      <c r="U37" s="1326"/>
      <c r="V37" s="1326"/>
      <c r="W37" s="1326"/>
      <c r="X37" s="1326"/>
      <c r="Y37" s="1329">
        <f ca="1">COSTTOTAL</f>
        <v>0</v>
      </c>
      <c r="Z37" s="1329"/>
      <c r="AA37" s="1329"/>
      <c r="AB37" s="1329"/>
      <c r="AC37" s="1329"/>
      <c r="AD37" s="1329">
        <f>INCENTOTAL</f>
        <v>0</v>
      </c>
      <c r="AE37" s="1329"/>
      <c r="AF37" s="1329"/>
      <c r="AG37" s="1329"/>
      <c r="AH37" s="1330"/>
      <c r="AI37" s="226"/>
      <c r="AJ37" s="226"/>
      <c r="AK37" s="244"/>
      <c r="AO37" s="235"/>
      <c r="AP37" s="235"/>
      <c r="AQ37" s="235"/>
      <c r="AR37" s="235"/>
      <c r="AS37" s="235"/>
    </row>
    <row r="38" spans="9:45" ht="15.95" customHeight="1">
      <c r="I38" s="243"/>
      <c r="J38" s="235"/>
      <c r="K38" s="235"/>
      <c r="L38" s="245"/>
      <c r="M38" s="245"/>
      <c r="N38" s="245"/>
      <c r="O38" s="245"/>
      <c r="P38" s="245"/>
      <c r="Q38" s="245"/>
      <c r="R38" s="245"/>
      <c r="S38" s="245"/>
      <c r="T38" s="245"/>
      <c r="U38" s="245"/>
      <c r="V38" s="246"/>
      <c r="W38" s="37"/>
      <c r="X38" s="235"/>
      <c r="Y38" s="235"/>
      <c r="Z38" s="245"/>
      <c r="AA38" s="245"/>
      <c r="AB38" s="245"/>
      <c r="AC38" s="245"/>
      <c r="AD38" s="245"/>
      <c r="AE38" s="245"/>
      <c r="AF38" s="245"/>
      <c r="AG38" s="245"/>
      <c r="AH38" s="245"/>
      <c r="AI38" s="245"/>
      <c r="AJ38" s="246"/>
      <c r="AK38" s="244"/>
      <c r="AO38" s="235"/>
      <c r="AP38" s="235"/>
      <c r="AQ38" s="235"/>
      <c r="AR38" s="235"/>
      <c r="AS38" s="235"/>
    </row>
    <row r="39" spans="9:45" ht="15.95" customHeight="1">
      <c r="I39" s="243"/>
      <c r="J39" s="232"/>
      <c r="K39" s="1317" t="s">
        <v>1585</v>
      </c>
      <c r="L39" s="1317"/>
      <c r="M39" s="1317"/>
      <c r="N39" s="1317"/>
      <c r="O39" s="1317"/>
      <c r="P39" s="1317"/>
      <c r="Q39" s="1317"/>
      <c r="R39" s="1317"/>
      <c r="S39" s="1317"/>
      <c r="T39" s="1317"/>
      <c r="U39" s="1317"/>
      <c r="V39" s="234"/>
      <c r="W39" s="37"/>
      <c r="X39" s="232"/>
      <c r="Y39" s="1317" t="s">
        <v>1586</v>
      </c>
      <c r="Z39" s="1317"/>
      <c r="AA39" s="1317"/>
      <c r="AB39" s="1317"/>
      <c r="AC39" s="1317"/>
      <c r="AD39" s="1317"/>
      <c r="AE39" s="1317"/>
      <c r="AF39" s="1317"/>
      <c r="AG39" s="1317"/>
      <c r="AH39" s="1317"/>
      <c r="AI39" s="1317"/>
      <c r="AJ39" s="234"/>
      <c r="AK39" s="244"/>
      <c r="AO39" s="235"/>
      <c r="AP39" s="235"/>
      <c r="AQ39" s="235"/>
      <c r="AR39" s="235"/>
      <c r="AS39" s="235"/>
    </row>
    <row r="40" spans="9:45" ht="15.95" customHeight="1">
      <c r="I40" s="243"/>
      <c r="J40" s="234"/>
      <c r="K40" s="1317"/>
      <c r="L40" s="1317"/>
      <c r="M40" s="1317"/>
      <c r="N40" s="1317"/>
      <c r="O40" s="1317"/>
      <c r="P40" s="1317"/>
      <c r="Q40" s="1317"/>
      <c r="R40" s="1317"/>
      <c r="S40" s="1317"/>
      <c r="T40" s="1317"/>
      <c r="U40" s="1317"/>
      <c r="V40" s="234"/>
      <c r="W40" s="37"/>
      <c r="X40" s="234"/>
      <c r="Y40" s="1317"/>
      <c r="Z40" s="1317"/>
      <c r="AA40" s="1317"/>
      <c r="AB40" s="1317"/>
      <c r="AC40" s="1317"/>
      <c r="AD40" s="1317"/>
      <c r="AE40" s="1317"/>
      <c r="AF40" s="1317"/>
      <c r="AG40" s="1317"/>
      <c r="AH40" s="1317"/>
      <c r="AI40" s="1317"/>
      <c r="AJ40" s="234"/>
      <c r="AK40" s="244"/>
      <c r="AO40" s="235"/>
      <c r="AP40" s="235"/>
      <c r="AQ40" s="235"/>
      <c r="AR40" s="235"/>
      <c r="AS40" s="235"/>
    </row>
    <row r="41" spans="9:45" ht="15.95" customHeight="1">
      <c r="I41" s="243"/>
      <c r="J41" s="1318" t="s">
        <v>2792</v>
      </c>
      <c r="K41" s="1318"/>
      <c r="L41" s="1318"/>
      <c r="M41" s="1318"/>
      <c r="N41" s="1318"/>
      <c r="O41" s="1318"/>
      <c r="P41" s="1318"/>
      <c r="Q41" s="1318"/>
      <c r="R41" s="1318"/>
      <c r="S41" s="1318"/>
      <c r="T41" s="1318"/>
      <c r="U41" s="1318"/>
      <c r="V41" s="1318"/>
      <c r="W41" s="235"/>
      <c r="X41" s="1318" t="s">
        <v>1587</v>
      </c>
      <c r="Y41" s="1318"/>
      <c r="Z41" s="1318"/>
      <c r="AA41" s="1318"/>
      <c r="AB41" s="1318"/>
      <c r="AC41" s="1318"/>
      <c r="AD41" s="1318"/>
      <c r="AE41" s="1318"/>
      <c r="AF41" s="1318"/>
      <c r="AG41" s="1318"/>
      <c r="AH41" s="1318"/>
      <c r="AI41" s="1318"/>
      <c r="AJ41" s="1318"/>
      <c r="AK41" s="244"/>
      <c r="AO41" s="235"/>
      <c r="AP41" s="235"/>
      <c r="AQ41" s="235"/>
      <c r="AR41" s="235"/>
      <c r="AS41" s="235"/>
    </row>
    <row r="42" spans="9:45" ht="15.95" customHeight="1">
      <c r="I42" s="243"/>
      <c r="J42" s="1318"/>
      <c r="K42" s="1318"/>
      <c r="L42" s="1318"/>
      <c r="M42" s="1318"/>
      <c r="N42" s="1318"/>
      <c r="O42" s="1318"/>
      <c r="P42" s="1318"/>
      <c r="Q42" s="1318"/>
      <c r="R42" s="1318"/>
      <c r="S42" s="1318"/>
      <c r="T42" s="1318"/>
      <c r="U42" s="1318"/>
      <c r="V42" s="1318"/>
      <c r="W42" s="235"/>
      <c r="X42" s="1318"/>
      <c r="Y42" s="1318"/>
      <c r="Z42" s="1318"/>
      <c r="AA42" s="1318"/>
      <c r="AB42" s="1318"/>
      <c r="AC42" s="1318"/>
      <c r="AD42" s="1318"/>
      <c r="AE42" s="1318"/>
      <c r="AF42" s="1318"/>
      <c r="AG42" s="1318"/>
      <c r="AH42" s="1318"/>
      <c r="AI42" s="1318"/>
      <c r="AJ42" s="1318"/>
      <c r="AK42" s="244"/>
      <c r="AO42" s="235"/>
      <c r="AP42" s="235"/>
      <c r="AQ42" s="235"/>
      <c r="AR42" s="235"/>
      <c r="AS42" s="235"/>
    </row>
    <row r="43" spans="9:45" ht="15.95" customHeight="1">
      <c r="I43" s="243"/>
      <c r="J43" s="1318"/>
      <c r="K43" s="1318"/>
      <c r="L43" s="1318"/>
      <c r="M43" s="1318"/>
      <c r="N43" s="1318"/>
      <c r="O43" s="1318"/>
      <c r="P43" s="1318"/>
      <c r="Q43" s="1318"/>
      <c r="R43" s="1318"/>
      <c r="S43" s="1318"/>
      <c r="T43" s="1318"/>
      <c r="U43" s="1318"/>
      <c r="V43" s="1318"/>
      <c r="W43" s="235"/>
      <c r="X43" s="218" t="s">
        <v>1281</v>
      </c>
      <c r="Y43" s="232"/>
      <c r="Z43" s="218"/>
      <c r="AA43" s="218"/>
      <c r="AB43" s="1356">
        <f>M05S01F01</f>
        <v>0</v>
      </c>
      <c r="AC43" s="1356"/>
      <c r="AD43" s="1356"/>
      <c r="AE43" s="1356"/>
      <c r="AF43" s="1356" t="str">
        <f>IF(ISNUMBER(SEARCH("Bill Credit",AB43)), CONCATENATE("Account ",M05S01F14), " ")</f>
        <v xml:space="preserve"> </v>
      </c>
      <c r="AG43" s="1356"/>
      <c r="AH43" s="1356"/>
      <c r="AI43" s="1356"/>
      <c r="AJ43" s="221"/>
      <c r="AK43" s="244"/>
      <c r="AO43" s="235"/>
      <c r="AP43" s="235"/>
      <c r="AQ43" s="235"/>
      <c r="AR43" s="235"/>
      <c r="AS43" s="235"/>
    </row>
    <row r="44" spans="9:45" ht="15.95" customHeight="1">
      <c r="I44" s="243"/>
      <c r="J44" s="1318"/>
      <c r="K44" s="1318"/>
      <c r="L44" s="1318"/>
      <c r="M44" s="1318"/>
      <c r="N44" s="1318"/>
      <c r="O44" s="1318"/>
      <c r="P44" s="1318"/>
      <c r="Q44" s="1318"/>
      <c r="R44" s="1318"/>
      <c r="S44" s="1318"/>
      <c r="T44" s="1318"/>
      <c r="U44" s="1318"/>
      <c r="V44" s="1318"/>
      <c r="W44" s="235"/>
      <c r="X44" s="218" t="s">
        <v>1648</v>
      </c>
      <c r="Y44" s="232"/>
      <c r="Z44" s="218"/>
      <c r="AA44" s="218"/>
      <c r="AB44" s="1356" t="str">
        <f>M05S01F02</f>
        <v/>
      </c>
      <c r="AC44" s="1356"/>
      <c r="AD44" s="1356"/>
      <c r="AE44" s="1356"/>
      <c r="AF44" s="1356"/>
      <c r="AG44" s="1356"/>
      <c r="AH44" s="221"/>
      <c r="AI44" s="221"/>
      <c r="AJ44" s="221"/>
      <c r="AK44" s="244"/>
      <c r="AO44" s="235"/>
      <c r="AP44" s="235"/>
      <c r="AQ44" s="235"/>
      <c r="AR44" s="235"/>
      <c r="AS44" s="235"/>
    </row>
    <row r="45" spans="9:45" ht="15.95" customHeight="1">
      <c r="I45" s="243"/>
      <c r="J45" s="247"/>
      <c r="K45" s="248"/>
      <c r="L45" s="1358" t="s">
        <v>1588</v>
      </c>
      <c r="M45" s="1358"/>
      <c r="N45" s="1358"/>
      <c r="O45" s="1358"/>
      <c r="P45" s="1358"/>
      <c r="Q45" s="1358"/>
      <c r="R45" s="1358"/>
      <c r="S45" s="1358"/>
      <c r="T45" s="1358"/>
      <c r="U45" s="1358"/>
      <c r="V45" s="233"/>
      <c r="W45" s="235"/>
      <c r="X45" s="224"/>
      <c r="Y45" s="218"/>
      <c r="Z45" s="218"/>
      <c r="AA45" s="218"/>
      <c r="AB45" s="1359" t="str">
        <f>CONCATENATE(M05S01F07," ",M05S01F08)</f>
        <v xml:space="preserve"> </v>
      </c>
      <c r="AC45" s="1359"/>
      <c r="AD45" s="1359"/>
      <c r="AE45" s="1359"/>
      <c r="AF45" s="1359"/>
      <c r="AG45" s="1359"/>
      <c r="AH45" s="221"/>
      <c r="AI45" s="221"/>
      <c r="AJ45" s="221"/>
      <c r="AK45" s="244"/>
      <c r="AO45" s="235"/>
      <c r="AP45" s="235"/>
      <c r="AQ45" s="235"/>
      <c r="AR45" s="235"/>
      <c r="AS45" s="235"/>
    </row>
    <row r="46" spans="9:45" ht="15.95" customHeight="1">
      <c r="I46" s="243"/>
      <c r="J46" s="247"/>
      <c r="K46" s="248"/>
      <c r="L46" s="1358"/>
      <c r="M46" s="1358"/>
      <c r="N46" s="1358"/>
      <c r="O46" s="1358"/>
      <c r="P46" s="1358"/>
      <c r="Q46" s="1358"/>
      <c r="R46" s="1358"/>
      <c r="S46" s="1358"/>
      <c r="T46" s="1358"/>
      <c r="U46" s="1358"/>
      <c r="V46" s="233"/>
      <c r="W46" s="235"/>
      <c r="X46" s="224"/>
      <c r="Y46" s="218"/>
      <c r="Z46" s="218"/>
      <c r="AA46" s="218"/>
      <c r="AB46" s="1359" t="str">
        <f>M05S01F03</f>
        <v/>
      </c>
      <c r="AC46" s="1359"/>
      <c r="AD46" s="1359"/>
      <c r="AE46" s="1359"/>
      <c r="AF46" s="1359"/>
      <c r="AG46" s="1359"/>
      <c r="AH46" s="221"/>
      <c r="AI46" s="221"/>
      <c r="AJ46" s="221"/>
      <c r="AK46" s="244"/>
      <c r="AO46" s="235"/>
      <c r="AP46" s="235"/>
      <c r="AQ46" s="235"/>
      <c r="AR46" s="235"/>
      <c r="AS46" s="235"/>
    </row>
    <row r="47" spans="9:45" ht="15.95" customHeight="1">
      <c r="I47" s="243"/>
      <c r="J47" s="242"/>
      <c r="K47" s="248"/>
      <c r="L47" s="1360" t="s">
        <v>1589</v>
      </c>
      <c r="M47" s="1361"/>
      <c r="N47" s="1361"/>
      <c r="O47" s="1361"/>
      <c r="P47" s="1361"/>
      <c r="Q47" s="1361"/>
      <c r="R47" s="1361"/>
      <c r="S47" s="1361"/>
      <c r="T47" s="1361"/>
      <c r="U47" s="1361"/>
      <c r="V47" s="242"/>
      <c r="W47" s="235"/>
      <c r="X47" s="250"/>
      <c r="Y47" s="218"/>
      <c r="Z47" s="218"/>
      <c r="AA47" s="218"/>
      <c r="AB47" s="1359" t="str">
        <f>CONCATENATE(M05S01F04,", ",M05S01F05," ",M05S01F06)</f>
        <v xml:space="preserve">,  </v>
      </c>
      <c r="AC47" s="1359"/>
      <c r="AD47" s="1359"/>
      <c r="AE47" s="1359"/>
      <c r="AF47" s="1359"/>
      <c r="AG47" s="1359"/>
      <c r="AH47" s="221"/>
      <c r="AI47" s="221"/>
      <c r="AJ47" s="251"/>
      <c r="AK47" s="244"/>
      <c r="AO47" s="235"/>
      <c r="AP47" s="235"/>
      <c r="AQ47" s="235"/>
      <c r="AR47" s="235"/>
      <c r="AS47" s="235"/>
    </row>
    <row r="48" spans="9:45" ht="15.95" customHeight="1">
      <c r="I48" s="243"/>
      <c r="J48" s="242"/>
      <c r="K48" s="248"/>
      <c r="L48" s="1361"/>
      <c r="M48" s="1361"/>
      <c r="N48" s="1361"/>
      <c r="O48" s="1361"/>
      <c r="P48" s="1361"/>
      <c r="Q48" s="1361"/>
      <c r="R48" s="1361"/>
      <c r="S48" s="1361"/>
      <c r="T48" s="1361"/>
      <c r="U48" s="1361"/>
      <c r="V48" s="242"/>
      <c r="W48" s="235"/>
      <c r="X48" s="218" t="s">
        <v>1649</v>
      </c>
      <c r="Y48" s="232"/>
      <c r="Z48" s="218"/>
      <c r="AA48" s="218"/>
      <c r="AB48" s="1356">
        <f>M05S01F11</f>
        <v>0</v>
      </c>
      <c r="AC48" s="1356"/>
      <c r="AD48" s="1356"/>
      <c r="AE48" s="1356"/>
      <c r="AF48" s="1356"/>
      <c r="AG48" s="1356"/>
      <c r="AH48" s="1356" t="str">
        <f>IF(ISBLANK(M05S01F12),"",CONCATENATE(M05S01F12,"-",M05S01F13))</f>
        <v/>
      </c>
      <c r="AI48" s="1356"/>
      <c r="AJ48" s="1356"/>
      <c r="AK48" s="244"/>
      <c r="AO48" s="235"/>
      <c r="AP48" s="235"/>
      <c r="AQ48" s="235"/>
      <c r="AR48" s="235"/>
      <c r="AS48" s="235"/>
    </row>
    <row r="49" spans="9:45" ht="15.95" customHeight="1">
      <c r="I49" s="243"/>
      <c r="J49" s="235"/>
      <c r="K49" s="235"/>
      <c r="L49" s="245"/>
      <c r="M49" s="245"/>
      <c r="N49" s="245"/>
      <c r="O49" s="245"/>
      <c r="P49" s="245"/>
      <c r="Q49" s="245"/>
      <c r="R49" s="245"/>
      <c r="S49" s="245"/>
      <c r="T49" s="245"/>
      <c r="U49" s="245"/>
      <c r="V49" s="252"/>
      <c r="W49" s="235"/>
      <c r="X49" s="235"/>
      <c r="Y49" s="235"/>
      <c r="Z49" s="253"/>
      <c r="AA49" s="253"/>
      <c r="AB49" s="253"/>
      <c r="AC49" s="253"/>
      <c r="AD49" s="253"/>
      <c r="AE49" s="253"/>
      <c r="AF49" s="253"/>
      <c r="AG49" s="253"/>
      <c r="AH49" s="253"/>
      <c r="AI49" s="253"/>
      <c r="AJ49" s="235"/>
      <c r="AK49" s="244"/>
      <c r="AO49" s="235"/>
      <c r="AP49" s="235"/>
      <c r="AQ49" s="235"/>
      <c r="AR49" s="235"/>
      <c r="AS49" s="235"/>
    </row>
    <row r="50" spans="9:45" ht="15.95" customHeight="1">
      <c r="I50" s="243"/>
      <c r="J50" s="232"/>
      <c r="K50" s="1317" t="s">
        <v>1590</v>
      </c>
      <c r="L50" s="1317"/>
      <c r="M50" s="1317"/>
      <c r="N50" s="1317"/>
      <c r="O50" s="1317"/>
      <c r="P50" s="1317"/>
      <c r="Q50" s="1317"/>
      <c r="R50" s="1317"/>
      <c r="S50" s="1317"/>
      <c r="T50" s="1317"/>
      <c r="U50" s="1317"/>
      <c r="V50" s="233"/>
      <c r="W50" s="235"/>
      <c r="X50" s="232"/>
      <c r="Y50" s="1357" t="s">
        <v>1591</v>
      </c>
      <c r="Z50" s="1357"/>
      <c r="AA50" s="1357"/>
      <c r="AB50" s="1357"/>
      <c r="AC50" s="1357"/>
      <c r="AD50" s="1357"/>
      <c r="AE50" s="1357"/>
      <c r="AF50" s="1357"/>
      <c r="AG50" s="1357"/>
      <c r="AH50" s="1357"/>
      <c r="AI50" s="1357"/>
      <c r="AJ50" s="232"/>
      <c r="AK50" s="244"/>
      <c r="AQ50" s="235"/>
      <c r="AR50" s="235"/>
      <c r="AS50" s="235"/>
    </row>
    <row r="51" spans="9:45" ht="15.95" customHeight="1">
      <c r="I51" s="243"/>
      <c r="J51" s="234"/>
      <c r="K51" s="1317"/>
      <c r="L51" s="1317"/>
      <c r="M51" s="1317"/>
      <c r="N51" s="1317"/>
      <c r="O51" s="1317"/>
      <c r="P51" s="1317"/>
      <c r="Q51" s="1317"/>
      <c r="R51" s="1317"/>
      <c r="S51" s="1317"/>
      <c r="T51" s="1317"/>
      <c r="U51" s="1317"/>
      <c r="V51" s="234"/>
      <c r="W51" s="235"/>
      <c r="X51" s="232"/>
      <c r="Y51" s="1357"/>
      <c r="Z51" s="1357"/>
      <c r="AA51" s="1357"/>
      <c r="AB51" s="1357"/>
      <c r="AC51" s="1357"/>
      <c r="AD51" s="1357"/>
      <c r="AE51" s="1357"/>
      <c r="AF51" s="1357"/>
      <c r="AG51" s="1357"/>
      <c r="AH51" s="1357"/>
      <c r="AI51" s="1357"/>
      <c r="AJ51" s="232"/>
      <c r="AK51" s="244"/>
      <c r="AQ51" s="235"/>
      <c r="AR51" s="235"/>
      <c r="AS51" s="235"/>
    </row>
    <row r="52" spans="9:45" ht="15.95" customHeight="1">
      <c r="I52" s="243"/>
      <c r="J52" s="1318" t="s">
        <v>1577</v>
      </c>
      <c r="K52" s="1318"/>
      <c r="L52" s="1318"/>
      <c r="M52" s="1318"/>
      <c r="N52" s="1318"/>
      <c r="O52" s="1318"/>
      <c r="P52" s="1318"/>
      <c r="Q52" s="1318"/>
      <c r="R52" s="1318"/>
      <c r="S52" s="1318"/>
      <c r="T52" s="1318"/>
      <c r="U52" s="1318"/>
      <c r="V52" s="1318"/>
      <c r="W52" s="235"/>
      <c r="X52" s="1318" t="s">
        <v>2104</v>
      </c>
      <c r="Y52" s="1318"/>
      <c r="Z52" s="1318"/>
      <c r="AA52" s="1318"/>
      <c r="AB52" s="1318"/>
      <c r="AC52" s="1318"/>
      <c r="AD52" s="1318"/>
      <c r="AE52" s="1318"/>
      <c r="AF52" s="1318"/>
      <c r="AG52" s="1318"/>
      <c r="AH52" s="1318"/>
      <c r="AI52" s="1318"/>
      <c r="AJ52" s="1318"/>
      <c r="AK52" s="244"/>
      <c r="AQ52" s="235"/>
      <c r="AR52" s="235"/>
      <c r="AS52" s="235"/>
    </row>
    <row r="53" spans="9:45" ht="15.95" customHeight="1">
      <c r="I53" s="243"/>
      <c r="J53" s="1318"/>
      <c r="K53" s="1318"/>
      <c r="L53" s="1318"/>
      <c r="M53" s="1318"/>
      <c r="N53" s="1318"/>
      <c r="O53" s="1318"/>
      <c r="P53" s="1318"/>
      <c r="Q53" s="1318"/>
      <c r="R53" s="1318"/>
      <c r="S53" s="1318"/>
      <c r="T53" s="1318"/>
      <c r="U53" s="1318"/>
      <c r="V53" s="1318"/>
      <c r="W53" s="235"/>
      <c r="X53" s="1318"/>
      <c r="Y53" s="1318"/>
      <c r="Z53" s="1318"/>
      <c r="AA53" s="1318"/>
      <c r="AB53" s="1318"/>
      <c r="AC53" s="1318"/>
      <c r="AD53" s="1318"/>
      <c r="AE53" s="1318"/>
      <c r="AF53" s="1318"/>
      <c r="AG53" s="1318"/>
      <c r="AH53" s="1318"/>
      <c r="AI53" s="1318"/>
      <c r="AJ53" s="1318"/>
      <c r="AK53" s="244"/>
      <c r="AQ53" s="235"/>
      <c r="AR53" s="235"/>
      <c r="AS53" s="235"/>
    </row>
    <row r="54" spans="9:45" ht="15.95" customHeight="1">
      <c r="I54" s="243"/>
      <c r="J54" s="1318"/>
      <c r="K54" s="1318"/>
      <c r="L54" s="1318"/>
      <c r="M54" s="1318"/>
      <c r="N54" s="1318"/>
      <c r="O54" s="1318"/>
      <c r="P54" s="1318"/>
      <c r="Q54" s="1318"/>
      <c r="R54" s="1318"/>
      <c r="S54" s="1318"/>
      <c r="T54" s="1318"/>
      <c r="U54" s="1318"/>
      <c r="V54" s="1318"/>
      <c r="W54" s="253"/>
      <c r="X54" s="233"/>
      <c r="Y54" s="233"/>
      <c r="Z54" s="233"/>
      <c r="AA54" s="233"/>
      <c r="AB54" s="233"/>
      <c r="AC54" s="233"/>
      <c r="AD54" s="233"/>
      <c r="AE54" s="233"/>
      <c r="AF54" s="233"/>
      <c r="AG54" s="233"/>
      <c r="AH54" s="233"/>
      <c r="AI54" s="233"/>
      <c r="AJ54" s="233"/>
      <c r="AK54" s="244"/>
      <c r="AQ54" s="235"/>
      <c r="AR54" s="235"/>
      <c r="AS54" s="235"/>
    </row>
    <row r="55" spans="9:45" ht="15.95" customHeight="1">
      <c r="I55" s="243"/>
      <c r="J55" s="232"/>
      <c r="K55" s="232"/>
      <c r="L55" s="232"/>
      <c r="M55" s="232"/>
      <c r="N55" s="232"/>
      <c r="O55" s="232"/>
      <c r="P55" s="232"/>
      <c r="Q55" s="232"/>
      <c r="R55" s="232"/>
      <c r="S55" s="232"/>
      <c r="T55" s="232"/>
      <c r="U55" s="232"/>
      <c r="V55" s="232"/>
      <c r="W55" s="253"/>
      <c r="X55" s="474" t="s">
        <v>2105</v>
      </c>
      <c r="Y55" s="254" t="s">
        <v>2108</v>
      </c>
      <c r="Z55" s="472"/>
      <c r="AA55" s="472"/>
      <c r="AB55" s="472"/>
      <c r="AC55" s="472"/>
      <c r="AD55" s="472"/>
      <c r="AE55" s="472"/>
      <c r="AF55" s="472"/>
      <c r="AG55" s="472"/>
      <c r="AH55" s="472"/>
      <c r="AI55" s="472"/>
      <c r="AJ55" s="232"/>
      <c r="AK55" s="244"/>
      <c r="AQ55" s="235"/>
      <c r="AR55" s="235"/>
      <c r="AS55" s="235"/>
    </row>
    <row r="56" spans="9:45" ht="15.95" customHeight="1">
      <c r="I56" s="243"/>
      <c r="J56" s="232"/>
      <c r="K56" s="232"/>
      <c r="L56" s="232"/>
      <c r="M56" s="232"/>
      <c r="N56" s="232"/>
      <c r="O56" s="232"/>
      <c r="P56" s="232"/>
      <c r="Q56" s="232"/>
      <c r="R56" s="232"/>
      <c r="S56" s="232"/>
      <c r="T56" s="232"/>
      <c r="U56" s="232"/>
      <c r="V56" s="232"/>
      <c r="W56" s="235"/>
      <c r="X56" s="475" t="s">
        <v>2106</v>
      </c>
      <c r="Y56" s="473" t="s">
        <v>2107</v>
      </c>
      <c r="Z56" s="472"/>
      <c r="AA56" s="472"/>
      <c r="AB56" s="472"/>
      <c r="AC56" s="472"/>
      <c r="AD56" s="472"/>
      <c r="AE56" s="472"/>
      <c r="AF56" s="472"/>
      <c r="AG56" s="472"/>
      <c r="AH56" s="472"/>
      <c r="AI56" s="472"/>
      <c r="AJ56" s="232"/>
      <c r="AK56" s="244"/>
      <c r="AO56" s="235"/>
      <c r="AP56" s="235"/>
      <c r="AQ56" s="235"/>
      <c r="AR56" s="235"/>
      <c r="AS56" s="235"/>
    </row>
    <row r="57" spans="9:45" ht="15.95" customHeight="1">
      <c r="I57" s="243"/>
      <c r="J57" s="232"/>
      <c r="K57" s="232"/>
      <c r="L57" s="232"/>
      <c r="M57" s="232"/>
      <c r="N57" s="232"/>
      <c r="O57" s="232"/>
      <c r="P57" s="232"/>
      <c r="Q57" s="232"/>
      <c r="R57" s="232"/>
      <c r="S57" s="232"/>
      <c r="T57" s="232"/>
      <c r="U57" s="232"/>
      <c r="V57" s="232"/>
      <c r="W57" s="235"/>
      <c r="X57" s="232"/>
      <c r="Y57" s="232"/>
      <c r="Z57" s="472"/>
      <c r="AA57" s="472"/>
      <c r="AB57" s="472"/>
      <c r="AC57" s="472"/>
      <c r="AD57" s="472"/>
      <c r="AE57" s="472"/>
      <c r="AF57" s="472"/>
      <c r="AG57" s="472"/>
      <c r="AH57" s="472"/>
      <c r="AI57" s="472"/>
      <c r="AJ57" s="232"/>
      <c r="AK57" s="244"/>
      <c r="AO57" s="235"/>
      <c r="AP57" s="235"/>
      <c r="AQ57" s="235"/>
      <c r="AR57" s="235"/>
      <c r="AS57" s="235"/>
    </row>
    <row r="58" spans="9:45" ht="15.95" customHeight="1">
      <c r="I58" s="243"/>
      <c r="J58" s="232"/>
      <c r="K58" s="1322" t="s">
        <v>1578</v>
      </c>
      <c r="L58" s="1322"/>
      <c r="M58" s="1322"/>
      <c r="N58" s="1322"/>
      <c r="O58" s="1322"/>
      <c r="P58" s="1322"/>
      <c r="Q58" s="1322"/>
      <c r="R58" s="232"/>
      <c r="S58" s="1320" t="s">
        <v>1573</v>
      </c>
      <c r="T58" s="1320"/>
      <c r="U58" s="1320"/>
      <c r="V58" s="232"/>
      <c r="W58" s="235"/>
      <c r="X58" s="232"/>
      <c r="Y58" s="254"/>
      <c r="Z58" s="472"/>
      <c r="AA58" s="1310" t="s">
        <v>2070</v>
      </c>
      <c r="AB58" s="1310"/>
      <c r="AC58" s="1310"/>
      <c r="AD58" s="1310"/>
      <c r="AE58" s="1310"/>
      <c r="AF58" s="1310"/>
      <c r="AG58" s="472"/>
      <c r="AH58" s="472"/>
      <c r="AI58" s="472"/>
      <c r="AJ58" s="232"/>
      <c r="AK58" s="244"/>
      <c r="AS58" s="235"/>
    </row>
    <row r="59" spans="9:45" ht="15.95" customHeight="1">
      <c r="I59" s="243"/>
      <c r="J59" s="232"/>
      <c r="K59" s="232"/>
      <c r="L59" s="232"/>
      <c r="M59" s="232"/>
      <c r="N59" s="232"/>
      <c r="O59" s="232"/>
      <c r="P59" s="232"/>
      <c r="Q59" s="232"/>
      <c r="R59" s="232"/>
      <c r="S59" s="232"/>
      <c r="T59" s="232"/>
      <c r="U59" s="232"/>
      <c r="V59" s="232"/>
      <c r="W59" s="235"/>
      <c r="X59" s="232"/>
      <c r="Y59" s="255"/>
      <c r="Z59" s="472"/>
      <c r="AA59" s="1310"/>
      <c r="AB59" s="1310"/>
      <c r="AC59" s="1310"/>
      <c r="AD59" s="1310"/>
      <c r="AE59" s="1310"/>
      <c r="AF59" s="1310"/>
      <c r="AG59" s="472"/>
      <c r="AH59" s="472"/>
      <c r="AI59" s="472"/>
      <c r="AJ59" s="232"/>
      <c r="AK59" s="244"/>
      <c r="AS59" s="235"/>
    </row>
    <row r="60" spans="9:45" ht="15.95" customHeight="1">
      <c r="I60" s="243"/>
      <c r="J60" s="232"/>
      <c r="K60" s="232"/>
      <c r="L60" s="232"/>
      <c r="M60" s="232"/>
      <c r="N60" s="232"/>
      <c r="O60" s="232"/>
      <c r="P60" s="232"/>
      <c r="Q60" s="232"/>
      <c r="R60" s="232"/>
      <c r="S60" s="232"/>
      <c r="T60" s="232"/>
      <c r="U60" s="232"/>
      <c r="V60" s="232"/>
      <c r="W60" s="235"/>
      <c r="X60" s="232"/>
      <c r="Y60" s="255"/>
      <c r="Z60" s="472"/>
      <c r="AA60" s="1310"/>
      <c r="AB60" s="1310"/>
      <c r="AC60" s="1310"/>
      <c r="AD60" s="1310"/>
      <c r="AE60" s="1310"/>
      <c r="AF60" s="1310"/>
      <c r="AG60" s="472"/>
      <c r="AH60" s="472"/>
      <c r="AI60" s="472"/>
      <c r="AJ60" s="232"/>
      <c r="AK60" s="244"/>
      <c r="AS60" s="235"/>
    </row>
    <row r="61" spans="9:45" ht="15.95" customHeight="1">
      <c r="I61" s="243"/>
      <c r="J61" s="232"/>
      <c r="K61" s="232"/>
      <c r="L61" s="232"/>
      <c r="M61" s="232"/>
      <c r="N61" s="232"/>
      <c r="O61" s="232"/>
      <c r="P61" s="232"/>
      <c r="Q61" s="232"/>
      <c r="R61" s="232"/>
      <c r="S61" s="232"/>
      <c r="T61" s="232"/>
      <c r="U61" s="232"/>
      <c r="V61" s="232"/>
      <c r="W61" s="238"/>
      <c r="X61" s="232"/>
      <c r="Y61" s="232"/>
      <c r="Z61" s="232"/>
      <c r="AA61" s="232"/>
      <c r="AB61" s="232"/>
      <c r="AC61" s="232"/>
      <c r="AD61" s="232"/>
      <c r="AE61" s="232"/>
      <c r="AF61" s="232"/>
      <c r="AG61" s="232"/>
      <c r="AH61" s="232"/>
      <c r="AI61" s="232"/>
      <c r="AJ61" s="232"/>
      <c r="AK61" s="244"/>
      <c r="AS61" s="235"/>
    </row>
    <row r="62" spans="9:45" ht="15.95" customHeight="1">
      <c r="I62" s="243"/>
      <c r="J62" s="1324" t="s">
        <v>2705</v>
      </c>
      <c r="K62" s="1324"/>
      <c r="L62" s="1324"/>
      <c r="M62" s="1324"/>
      <c r="N62" s="1324"/>
      <c r="O62" s="1324"/>
      <c r="P62" s="1324"/>
      <c r="Q62" s="1324"/>
      <c r="R62" s="1324"/>
      <c r="S62" s="1324"/>
      <c r="T62" s="1324"/>
      <c r="U62" s="1324"/>
      <c r="V62" s="1324"/>
      <c r="W62" s="1324"/>
      <c r="X62" s="1324"/>
      <c r="Y62" s="1324"/>
      <c r="Z62" s="1324"/>
      <c r="AA62" s="1324"/>
      <c r="AB62" s="1324"/>
      <c r="AC62" s="1324"/>
      <c r="AD62" s="1324"/>
      <c r="AE62" s="1324"/>
      <c r="AF62" s="1324"/>
      <c r="AG62" s="1324"/>
      <c r="AH62" s="1324"/>
      <c r="AI62" s="1324"/>
      <c r="AJ62" s="1324"/>
      <c r="AK62" s="244"/>
    </row>
    <row r="63" spans="9:45" ht="15.95" customHeight="1">
      <c r="I63" s="243"/>
      <c r="J63" s="1324"/>
      <c r="K63" s="1324"/>
      <c r="L63" s="1324"/>
      <c r="M63" s="1324"/>
      <c r="N63" s="1324"/>
      <c r="O63" s="1324"/>
      <c r="P63" s="1324"/>
      <c r="Q63" s="1324"/>
      <c r="R63" s="1324"/>
      <c r="S63" s="1324"/>
      <c r="T63" s="1324"/>
      <c r="U63" s="1324"/>
      <c r="V63" s="1324"/>
      <c r="W63" s="1324"/>
      <c r="X63" s="1324"/>
      <c r="Y63" s="1324"/>
      <c r="Z63" s="1324"/>
      <c r="AA63" s="1324"/>
      <c r="AB63" s="1324"/>
      <c r="AC63" s="1324"/>
      <c r="AD63" s="1324"/>
      <c r="AE63" s="1324"/>
      <c r="AF63" s="1324"/>
      <c r="AG63" s="1324"/>
      <c r="AH63" s="1324"/>
      <c r="AI63" s="1324"/>
      <c r="AJ63" s="1324"/>
      <c r="AK63" s="244"/>
    </row>
    <row r="64" spans="9:45" ht="15.95" customHeight="1">
      <c r="I64" s="243"/>
      <c r="J64" s="1324"/>
      <c r="K64" s="1324"/>
      <c r="L64" s="1324"/>
      <c r="M64" s="1324"/>
      <c r="N64" s="1324"/>
      <c r="O64" s="1324"/>
      <c r="P64" s="1324"/>
      <c r="Q64" s="1324"/>
      <c r="R64" s="1324"/>
      <c r="S64" s="1324"/>
      <c r="T64" s="1324"/>
      <c r="U64" s="1324"/>
      <c r="V64" s="1324"/>
      <c r="W64" s="1324"/>
      <c r="X64" s="1324"/>
      <c r="Y64" s="1324"/>
      <c r="Z64" s="1324"/>
      <c r="AA64" s="1324"/>
      <c r="AB64" s="1324"/>
      <c r="AC64" s="1324"/>
      <c r="AD64" s="1324"/>
      <c r="AE64" s="1324"/>
      <c r="AF64" s="1324"/>
      <c r="AG64" s="1324"/>
      <c r="AH64" s="1324"/>
      <c r="AI64" s="1324"/>
      <c r="AJ64" s="1324"/>
      <c r="AK64" s="244"/>
    </row>
    <row r="65" spans="9:37" ht="15.95" customHeight="1">
      <c r="I65" s="243"/>
      <c r="J65" s="1324"/>
      <c r="K65" s="1324"/>
      <c r="L65" s="1324"/>
      <c r="M65" s="1324"/>
      <c r="N65" s="1324"/>
      <c r="O65" s="1324"/>
      <c r="P65" s="1324"/>
      <c r="Q65" s="1324"/>
      <c r="R65" s="1324"/>
      <c r="S65" s="1324"/>
      <c r="T65" s="1324"/>
      <c r="U65" s="1324"/>
      <c r="V65" s="1324"/>
      <c r="W65" s="1324"/>
      <c r="X65" s="1324"/>
      <c r="Y65" s="1324"/>
      <c r="Z65" s="1324"/>
      <c r="AA65" s="1324"/>
      <c r="AB65" s="1324"/>
      <c r="AC65" s="1324"/>
      <c r="AD65" s="1324"/>
      <c r="AE65" s="1324"/>
      <c r="AF65" s="1324"/>
      <c r="AG65" s="1324"/>
      <c r="AH65" s="1324"/>
      <c r="AI65" s="1324"/>
      <c r="AJ65" s="1324"/>
      <c r="AK65" s="244"/>
    </row>
    <row r="66" spans="9:37" ht="15.95" customHeight="1">
      <c r="I66" s="243"/>
      <c r="J66" s="1324"/>
      <c r="K66" s="1324"/>
      <c r="L66" s="1324"/>
      <c r="M66" s="1324"/>
      <c r="N66" s="1324"/>
      <c r="O66" s="1324"/>
      <c r="P66" s="1324"/>
      <c r="Q66" s="1324"/>
      <c r="R66" s="1324"/>
      <c r="S66" s="1324"/>
      <c r="T66" s="1324"/>
      <c r="U66" s="1324"/>
      <c r="V66" s="1324"/>
      <c r="W66" s="1324"/>
      <c r="X66" s="1324"/>
      <c r="Y66" s="1324"/>
      <c r="Z66" s="1324"/>
      <c r="AA66" s="1324"/>
      <c r="AB66" s="1324"/>
      <c r="AC66" s="1324"/>
      <c r="AD66" s="1324"/>
      <c r="AE66" s="1324"/>
      <c r="AF66" s="1324"/>
      <c r="AG66" s="1324"/>
      <c r="AH66" s="1324"/>
      <c r="AI66" s="1324"/>
      <c r="AJ66" s="1324"/>
      <c r="AK66" s="244"/>
    </row>
    <row r="67" spans="9:37" ht="15.95" customHeight="1">
      <c r="I67" s="243"/>
      <c r="J67" s="1324"/>
      <c r="K67" s="1324"/>
      <c r="L67" s="1324"/>
      <c r="M67" s="1324"/>
      <c r="N67" s="1324"/>
      <c r="O67" s="1324"/>
      <c r="P67" s="1324"/>
      <c r="Q67" s="1324"/>
      <c r="R67" s="1324"/>
      <c r="S67" s="1324"/>
      <c r="T67" s="1324"/>
      <c r="U67" s="1324"/>
      <c r="V67" s="1324"/>
      <c r="W67" s="1324"/>
      <c r="X67" s="1324"/>
      <c r="Y67" s="1324"/>
      <c r="Z67" s="1324"/>
      <c r="AA67" s="1324"/>
      <c r="AB67" s="1324"/>
      <c r="AC67" s="1324"/>
      <c r="AD67" s="1324"/>
      <c r="AE67" s="1324"/>
      <c r="AF67" s="1324"/>
      <c r="AG67" s="1324"/>
      <c r="AH67" s="1324"/>
      <c r="AI67" s="1324"/>
      <c r="AJ67" s="1324"/>
      <c r="AK67" s="244"/>
    </row>
    <row r="68" spans="9:37" ht="15.95" customHeight="1">
      <c r="I68" s="243"/>
      <c r="J68" s="1324"/>
      <c r="K68" s="1324"/>
      <c r="L68" s="1324"/>
      <c r="M68" s="1324"/>
      <c r="N68" s="1324"/>
      <c r="O68" s="1324"/>
      <c r="P68" s="1324"/>
      <c r="Q68" s="1324"/>
      <c r="R68" s="1324"/>
      <c r="S68" s="1324"/>
      <c r="T68" s="1324"/>
      <c r="U68" s="1324"/>
      <c r="V68" s="1324"/>
      <c r="W68" s="1324"/>
      <c r="X68" s="1324"/>
      <c r="Y68" s="1324"/>
      <c r="Z68" s="1324"/>
      <c r="AA68" s="1324"/>
      <c r="AB68" s="1324"/>
      <c r="AC68" s="1324"/>
      <c r="AD68" s="1324"/>
      <c r="AE68" s="1324"/>
      <c r="AF68" s="1324"/>
      <c r="AG68" s="1324"/>
      <c r="AH68" s="1324"/>
      <c r="AI68" s="1324"/>
      <c r="AJ68" s="1324"/>
      <c r="AK68" s="244"/>
    </row>
    <row r="69" spans="9:37" ht="15.95" customHeight="1">
      <c r="I69" s="243"/>
      <c r="J69" s="1324"/>
      <c r="K69" s="1324"/>
      <c r="L69" s="1324"/>
      <c r="M69" s="1324"/>
      <c r="N69" s="1324"/>
      <c r="O69" s="1324"/>
      <c r="P69" s="1324"/>
      <c r="Q69" s="1324"/>
      <c r="R69" s="1324"/>
      <c r="S69" s="1324"/>
      <c r="T69" s="1324"/>
      <c r="U69" s="1324"/>
      <c r="V69" s="1324"/>
      <c r="W69" s="1324"/>
      <c r="X69" s="1324"/>
      <c r="Y69" s="1324"/>
      <c r="Z69" s="1324"/>
      <c r="AA69" s="1324"/>
      <c r="AB69" s="1324"/>
      <c r="AC69" s="1324"/>
      <c r="AD69" s="1324"/>
      <c r="AE69" s="1324"/>
      <c r="AF69" s="1324"/>
      <c r="AG69" s="1324"/>
      <c r="AH69" s="1324"/>
      <c r="AI69" s="1324"/>
      <c r="AJ69" s="1324"/>
      <c r="AK69" s="244"/>
    </row>
    <row r="70" spans="9:37" ht="15.95" customHeight="1">
      <c r="I70" s="243"/>
      <c r="J70" s="1324"/>
      <c r="K70" s="1324"/>
      <c r="L70" s="1324"/>
      <c r="M70" s="1324"/>
      <c r="N70" s="1324"/>
      <c r="O70" s="1324"/>
      <c r="P70" s="1324"/>
      <c r="Q70" s="1324"/>
      <c r="R70" s="1324"/>
      <c r="S70" s="1324"/>
      <c r="T70" s="1324"/>
      <c r="U70" s="1324"/>
      <c r="V70" s="1324"/>
      <c r="W70" s="1324"/>
      <c r="X70" s="1324"/>
      <c r="Y70" s="1324"/>
      <c r="Z70" s="1324"/>
      <c r="AA70" s="1324"/>
      <c r="AB70" s="1324"/>
      <c r="AC70" s="1324"/>
      <c r="AD70" s="1324"/>
      <c r="AE70" s="1324"/>
      <c r="AF70" s="1324"/>
      <c r="AG70" s="1324"/>
      <c r="AH70" s="1324"/>
      <c r="AI70" s="1324"/>
      <c r="AJ70" s="1324"/>
      <c r="AK70" s="244"/>
    </row>
    <row r="71" spans="9:37" ht="15.95" customHeight="1">
      <c r="I71" s="243"/>
      <c r="J71" s="1316" t="s">
        <v>2791</v>
      </c>
      <c r="K71" s="1316"/>
      <c r="L71" s="1316"/>
      <c r="M71" s="1316"/>
      <c r="N71" s="1316"/>
      <c r="O71" s="1316"/>
      <c r="P71" s="1316"/>
      <c r="Q71" s="1316"/>
      <c r="R71" s="1316"/>
      <c r="S71" s="1316"/>
      <c r="T71" s="1316"/>
      <c r="U71" s="1316"/>
      <c r="V71" s="1316"/>
      <c r="W71" s="1316"/>
      <c r="X71" s="1316"/>
      <c r="Y71" s="1316"/>
      <c r="Z71" s="1316"/>
      <c r="AA71" s="1316"/>
      <c r="AB71" s="1316"/>
      <c r="AC71" s="1316"/>
      <c r="AD71" s="1316"/>
      <c r="AE71" s="1316"/>
      <c r="AF71" s="1316"/>
      <c r="AG71" s="1316"/>
      <c r="AH71" s="1316"/>
      <c r="AI71" s="1316"/>
      <c r="AJ71" s="1316"/>
      <c r="AK71" s="244"/>
    </row>
    <row r="72" spans="9:37" ht="15.95" customHeight="1">
      <c r="I72" s="243"/>
      <c r="J72" s="1316"/>
      <c r="K72" s="1316"/>
      <c r="L72" s="1316"/>
      <c r="M72" s="1316"/>
      <c r="N72" s="1316"/>
      <c r="O72" s="1316"/>
      <c r="P72" s="1316"/>
      <c r="Q72" s="1316"/>
      <c r="R72" s="1316"/>
      <c r="S72" s="1316"/>
      <c r="T72" s="1316"/>
      <c r="U72" s="1316"/>
      <c r="V72" s="1316"/>
      <c r="W72" s="1316"/>
      <c r="X72" s="1316"/>
      <c r="Y72" s="1316"/>
      <c r="Z72" s="1316"/>
      <c r="AA72" s="1316"/>
      <c r="AB72" s="1316"/>
      <c r="AC72" s="1316"/>
      <c r="AD72" s="1316"/>
      <c r="AE72" s="1316"/>
      <c r="AF72" s="1316"/>
      <c r="AG72" s="1316"/>
      <c r="AH72" s="1316"/>
      <c r="AI72" s="1316"/>
      <c r="AJ72" s="1316"/>
      <c r="AK72" s="244"/>
    </row>
    <row r="73" spans="9:37" ht="15.95" customHeight="1">
      <c r="I73" s="256"/>
      <c r="J73" s="257"/>
      <c r="K73" s="258"/>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60"/>
    </row>
    <row r="74" spans="9:37" ht="15.95" customHeight="1"/>
    <row r="75" spans="9:37" ht="15.95" hidden="1" customHeight="1"/>
    <row r="76" spans="9:37" ht="15.95" hidden="1" customHeight="1"/>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5" ht="15.95" hidden="1" customHeight="1"/>
    <row r="194" spans="1:45" ht="15.95" hidden="1" customHeight="1"/>
    <row r="195" spans="1:45" ht="15.95" hidden="1" customHeight="1"/>
    <row r="196" spans="1:45" ht="15.95" hidden="1" customHeight="1"/>
    <row r="197" spans="1:45" ht="15.95" hidden="1" customHeight="1"/>
    <row r="198" spans="1:45" ht="15.95" hidden="1" customHeight="1"/>
    <row r="199" spans="1:45" ht="15.95" hidden="1" customHeight="1"/>
    <row r="200" spans="1:45" s="180" customFormat="1"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s="180" customFormat="1"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s="180" customFormat="1"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sheetData>
  <sheetProtection algorithmName="SHA-512" hashValue="Ro4hJnafRpDOCr8FC/vlIRPeNqsrtlVUvixiQE40MWaJ9jp1rrQYlFnlZilqMkFi74fwFW/CC3GARp1nAg9VLQ==" saltValue="PvqmSesCSseXgU462LTQCg==" spinCount="100000" sheet="1" objects="1" scenarios="1" selectLockedCells="1"/>
  <mergeCells count="80">
    <mergeCell ref="AP1:AS3"/>
    <mergeCell ref="F1:I3"/>
    <mergeCell ref="J1:M3"/>
    <mergeCell ref="AH1:AK3"/>
    <mergeCell ref="AL1:AO3"/>
    <mergeCell ref="O1:AE3"/>
    <mergeCell ref="A4:E6"/>
    <mergeCell ref="A7:E8"/>
    <mergeCell ref="A9:AS10"/>
    <mergeCell ref="AO5:AS6"/>
    <mergeCell ref="AO7:AS7"/>
    <mergeCell ref="AO8:AS8"/>
    <mergeCell ref="J18:W20"/>
    <mergeCell ref="AC18:AJ20"/>
    <mergeCell ref="J21:W22"/>
    <mergeCell ref="X21:AJ22"/>
    <mergeCell ref="J24:N27"/>
    <mergeCell ref="P24:U24"/>
    <mergeCell ref="W24:AB24"/>
    <mergeCell ref="AD24:AI24"/>
    <mergeCell ref="P25:U25"/>
    <mergeCell ref="W25:AB25"/>
    <mergeCell ref="AD25:AI25"/>
    <mergeCell ref="P26:U26"/>
    <mergeCell ref="W26:AB26"/>
    <mergeCell ref="AD26:AI26"/>
    <mergeCell ref="P27:U27"/>
    <mergeCell ref="W27:AB27"/>
    <mergeCell ref="AD27:AI27"/>
    <mergeCell ref="J29:N32"/>
    <mergeCell ref="P29:U29"/>
    <mergeCell ref="W29:AB29"/>
    <mergeCell ref="P30:U30"/>
    <mergeCell ref="W30:AB30"/>
    <mergeCell ref="P31:U31"/>
    <mergeCell ref="W31:AB31"/>
    <mergeCell ref="P32:U32"/>
    <mergeCell ref="W32:AB32"/>
    <mergeCell ref="T34:X34"/>
    <mergeCell ref="Y34:AC34"/>
    <mergeCell ref="AD34:AH34"/>
    <mergeCell ref="P35:S35"/>
    <mergeCell ref="T35:X35"/>
    <mergeCell ref="Y35:AC35"/>
    <mergeCell ref="AD35:AH35"/>
    <mergeCell ref="P36:S36"/>
    <mergeCell ref="T36:X36"/>
    <mergeCell ref="Y36:AC36"/>
    <mergeCell ref="AD36:AH36"/>
    <mergeCell ref="AB43:AE43"/>
    <mergeCell ref="AF43:AI43"/>
    <mergeCell ref="P37:S37"/>
    <mergeCell ref="T37:X37"/>
    <mergeCell ref="Y37:AC37"/>
    <mergeCell ref="AD37:AH37"/>
    <mergeCell ref="Y39:AI40"/>
    <mergeCell ref="J41:V44"/>
    <mergeCell ref="X41:AJ42"/>
    <mergeCell ref="AB44:AG44"/>
    <mergeCell ref="F11:AP12"/>
    <mergeCell ref="P34:S34"/>
    <mergeCell ref="K58:Q58"/>
    <mergeCell ref="S58:U58"/>
    <mergeCell ref="AH48:AJ48"/>
    <mergeCell ref="K50:U51"/>
    <mergeCell ref="Y50:AI51"/>
    <mergeCell ref="J52:V54"/>
    <mergeCell ref="L45:U46"/>
    <mergeCell ref="J34:N37"/>
    <mergeCell ref="AB45:AG45"/>
    <mergeCell ref="AB46:AG46"/>
    <mergeCell ref="L47:U48"/>
    <mergeCell ref="AB47:AG47"/>
    <mergeCell ref="AB48:AG48"/>
    <mergeCell ref="K39:U40"/>
    <mergeCell ref="J62:AJ70"/>
    <mergeCell ref="AA58:AF60"/>
    <mergeCell ref="X52:AJ53"/>
    <mergeCell ref="M200:AG201"/>
    <mergeCell ref="J71:AJ72"/>
  </mergeCells>
  <conditionalFormatting sqref="K58">
    <cfRule type="expression" dxfId="16" priority="5">
      <formula>K58&lt;&gt;"Customer Signature"</formula>
    </cfRule>
  </conditionalFormatting>
  <conditionalFormatting sqref="K58">
    <cfRule type="containsBlanks" dxfId="15" priority="4">
      <formula>LEN(TRIM(K58))=0</formula>
    </cfRule>
  </conditionalFormatting>
  <conditionalFormatting sqref="S58">
    <cfRule type="expression" dxfId="14" priority="3">
      <formula>S58&lt;&gt;"Date"</formula>
    </cfRule>
  </conditionalFormatting>
  <conditionalFormatting sqref="S58">
    <cfRule type="containsBlanks" dxfId="13" priority="2">
      <formula>LEN(TRIM(S58))=0</formula>
    </cfRule>
  </conditionalFormatting>
  <conditionalFormatting sqref="AO8:AS8">
    <cfRule type="expression" dxfId="12" priority="1">
      <formula>IF($AO$8=PROJSTATMEASURE,FALSE,TRUE)</formula>
    </cfRule>
  </conditionalFormatting>
  <hyperlinks>
    <hyperlink ref="J1:M3" location="'M01-S02'!J1" tooltip="Instructions" display="'M01-S02'!J1" xr:uid="{9BEA7E18-DD68-4185-8CC7-5B751F3A548F}"/>
    <hyperlink ref="AL1:AO3" location="'M05-S05'!AL1" tooltip=" " display="'M05-S05'!AL1" xr:uid="{C7423274-0FAC-4769-BC5F-E4022DD31A5D}"/>
    <hyperlink ref="AH1:AK3" location="'M05-S04'!AH1" tooltip=" " display="'M05-S04'!AH1" xr:uid="{49464C05-ED8C-4570-8EFA-20A55749DAFC}"/>
    <hyperlink ref="AP1:AS3" location="'M01-S03'!AP1" tooltip="Contact" display="'M01-S03'!AP1" xr:uid="{76A0A3B8-00C2-4420-AB6B-5ECFF6D96934}"/>
    <hyperlink ref="B202" r:id="rId1" xr:uid="{ECC4E7AC-9D0B-48E6-B3ED-C403D65F4D66}"/>
    <hyperlink ref="AA58:AF60" r:id="rId2" display="✉ Draft Email" xr:uid="{77BD6288-C117-4F94-AEBB-023CDF36057C}"/>
  </hyperlinks>
  <printOptions horizontalCentered="1" verticalCentered="1"/>
  <pageMargins left="0" right="0" top="0" bottom="0" header="0.25" footer="0.25"/>
  <pageSetup scale="8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Check Box 1">
              <controlPr defaultSize="0" autoFill="0" autoLine="0" autoPict="0">
                <anchor moveWithCells="1">
                  <from>
                    <xdr:col>10</xdr:col>
                    <xdr:colOff>28575</xdr:colOff>
                    <xdr:row>44</xdr:row>
                    <xdr:rowOff>104775</xdr:rowOff>
                  </from>
                  <to>
                    <xdr:col>10</xdr:col>
                    <xdr:colOff>257175</xdr:colOff>
                    <xdr:row>45</xdr:row>
                    <xdr:rowOff>114300</xdr:rowOff>
                  </to>
                </anchor>
              </controlPr>
            </control>
          </mc:Choice>
        </mc:AlternateContent>
        <mc:AlternateContent xmlns:mc="http://schemas.openxmlformats.org/markup-compatibility/2006">
          <mc:Choice Requires="x14">
            <control shapeId="59394" r:id="rId7" name="Check Box 2">
              <controlPr defaultSize="0" autoFill="0" autoLine="0" autoPict="0">
                <anchor moveWithCells="1">
                  <from>
                    <xdr:col>10</xdr:col>
                    <xdr:colOff>28575</xdr:colOff>
                    <xdr:row>46</xdr:row>
                    <xdr:rowOff>9525</xdr:rowOff>
                  </from>
                  <to>
                    <xdr:col>10</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'M01-S01'!I62-TODAY()&gt;=7</xm:f>
            <x14:dxf>
              <font>
                <b val="0"/>
                <i val="0"/>
                <color theme="1"/>
              </font>
            </x14:dxf>
          </x14:cfRule>
          <x14:cfRule type="expression" priority="7" id="{24AD2262-CADE-433D-B3E2-B401794218E9}">
            <xm:f>AND('M01-S01'!I62-TODAY()&lt;7,'M01-S01'!I62-TODAY()&gt;2)</xm:f>
            <x14:dxf>
              <font>
                <b/>
                <i val="0"/>
                <color rgb="FFFF0000"/>
              </font>
            </x14:dxf>
          </x14:cfRule>
          <xm:sqref>F11</xm:sqref>
        </x14:conditionalFormatting>
        <x14:conditionalFormatting xmlns:xm="http://schemas.microsoft.com/office/excel/2006/main">
          <x14:cfRule type="expression" priority="8" id="{81C0909E-B1E2-4DA1-9766-9AE50367F8B6}">
            <xm:f>AND('M01-S01'!I62-TODAY()&lt;=2,'M01-S01'!I62-TODAY()&gt;=0)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F11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pageSetUpPr fitToPage="1"/>
  </sheetPr>
  <dimension ref="A1:AS221"/>
  <sheetViews>
    <sheetView showGridLines="0" showRowColHeaders="0" zoomScale="85" zoomScaleNormal="85" workbookViewId="0">
      <selection activeCell="C12" sqref="C12:U13"/>
    </sheetView>
  </sheetViews>
  <sheetFormatPr defaultColWidth="0" defaultRowHeight="15" customHeight="1" zeroHeight="1"/>
  <cols>
    <col min="1" max="45" width="4.7109375" customWidth="1"/>
    <col min="46" max="16384" width="4.7109375" hidden="1"/>
  </cols>
  <sheetData>
    <row r="1" spans="1:45" ht="15.95" customHeight="1">
      <c r="A1" s="297"/>
      <c r="B1" s="139"/>
      <c r="C1" s="139"/>
      <c r="D1" s="139"/>
      <c r="E1" s="139"/>
      <c r="F1" s="1129" t="str">
        <f>M1S1</f>
        <v>Welcome</v>
      </c>
      <c r="G1" s="1129"/>
      <c r="H1" s="1129"/>
      <c r="I1" s="1129"/>
      <c r="J1" s="713" t="str">
        <f>M1S2</f>
        <v>Instructions</v>
      </c>
      <c r="K1" s="714"/>
      <c r="L1" s="714"/>
      <c r="M1" s="714"/>
      <c r="N1" s="235"/>
      <c r="O1" s="718" t="str">
        <f ca="1">CONCATENATE(IF(EXPIRATION_DATE=TODAY(),"This application expires today!",""),
IF(AND(EXPIRATION_DATE&lt;=ABS(TODAY()+14),EXPIRATION_DATE&gt;TODAY(),EXPIRATION_DATE-TODAY()&lt;&gt;1),"This application expires in "&amp;EXPIRATION_DATE-TODAY()&amp;" days!",
IF(AND(EXPIRATION_DATE&lt;=ABS(TODAY()+14),EXPIRATION_DATE&gt;=TODAY(),EXPIRATION_DATE-TODAY()=1),"This application expires in "&amp;EXPIRATION_DATE-TODAY()&amp;" day!","")),
IF(EXPIRATION_DATE&lt;TODAY()," ",""),IF(EXPIRATION_DATE&lt;TODAY(),"This application is expired. Download the latest version from",""),
IF(EXPIRATION_DATE&lt;TODAY()," ",""),IF(EXPIRATION_DATE&lt;TODAY(),"the program website",""),IF(EXPIRATION_DATE&lt;TODAY()," ",""),IF(EXPIRATION_DATE&lt;TODAY(),"or contact a program representative for assistance.",""))</f>
        <v/>
      </c>
      <c r="P1" s="718"/>
      <c r="Q1" s="718"/>
      <c r="R1" s="718"/>
      <c r="S1" s="718"/>
      <c r="T1" s="718"/>
      <c r="U1" s="718"/>
      <c r="V1" s="718"/>
      <c r="W1" s="718"/>
      <c r="X1" s="718"/>
      <c r="Y1" s="718"/>
      <c r="Z1" s="718"/>
      <c r="AA1" s="718"/>
      <c r="AB1" s="718"/>
      <c r="AC1" s="718"/>
      <c r="AD1" s="718"/>
      <c r="AE1" s="718"/>
      <c r="AF1" s="235"/>
      <c r="AG1" s="235"/>
      <c r="AH1" s="716" t="str">
        <f>IF(ACTIVEOFFER="Yes","Sign Offer
Form","")</f>
        <v/>
      </c>
      <c r="AI1" s="716"/>
      <c r="AJ1" s="716"/>
      <c r="AK1" s="716"/>
      <c r="AL1" s="716" t="str">
        <f>IF(ACTIVECOMPL="Yes","Sign Completion
Form","")</f>
        <v/>
      </c>
      <c r="AM1" s="716"/>
      <c r="AN1" s="716"/>
      <c r="AO1" s="716"/>
      <c r="AP1" s="707" t="s">
        <v>1712</v>
      </c>
      <c r="AQ1" s="708"/>
      <c r="AR1" s="708"/>
      <c r="AS1" s="708"/>
    </row>
    <row r="2" spans="1:45" ht="15.95" customHeight="1">
      <c r="A2" s="13"/>
      <c r="B2" s="139"/>
      <c r="C2" s="139"/>
      <c r="D2" s="139"/>
      <c r="E2" s="139"/>
      <c r="F2" s="1130"/>
      <c r="G2" s="1130"/>
      <c r="H2" s="1130"/>
      <c r="I2" s="1130"/>
      <c r="J2" s="714"/>
      <c r="K2" s="714"/>
      <c r="L2" s="714"/>
      <c r="M2" s="714"/>
      <c r="N2" s="235"/>
      <c r="O2" s="718"/>
      <c r="P2" s="718"/>
      <c r="Q2" s="718"/>
      <c r="R2" s="718"/>
      <c r="S2" s="718"/>
      <c r="T2" s="718"/>
      <c r="U2" s="718"/>
      <c r="V2" s="718"/>
      <c r="W2" s="718"/>
      <c r="X2" s="718"/>
      <c r="Y2" s="718"/>
      <c r="Z2" s="718"/>
      <c r="AA2" s="718"/>
      <c r="AB2" s="718"/>
      <c r="AC2" s="718"/>
      <c r="AD2" s="718"/>
      <c r="AE2" s="718"/>
      <c r="AF2" s="235"/>
      <c r="AG2" s="235"/>
      <c r="AH2" s="716"/>
      <c r="AI2" s="716"/>
      <c r="AJ2" s="716"/>
      <c r="AK2" s="716"/>
      <c r="AL2" s="716"/>
      <c r="AM2" s="716"/>
      <c r="AN2" s="716"/>
      <c r="AO2" s="716"/>
      <c r="AP2" s="708"/>
      <c r="AQ2" s="708"/>
      <c r="AR2" s="708"/>
      <c r="AS2" s="708"/>
    </row>
    <row r="3" spans="1:45" ht="15.95" customHeight="1" thickBot="1">
      <c r="A3" s="141"/>
      <c r="B3" s="142"/>
      <c r="C3" s="142"/>
      <c r="D3" s="142"/>
      <c r="E3" s="142"/>
      <c r="F3" s="1131"/>
      <c r="G3" s="1131"/>
      <c r="H3" s="1131"/>
      <c r="I3" s="1131"/>
      <c r="J3" s="715"/>
      <c r="K3" s="715"/>
      <c r="L3" s="715"/>
      <c r="M3" s="715"/>
      <c r="N3" s="335"/>
      <c r="O3" s="719"/>
      <c r="P3" s="719"/>
      <c r="Q3" s="719"/>
      <c r="R3" s="719"/>
      <c r="S3" s="719"/>
      <c r="T3" s="719"/>
      <c r="U3" s="719"/>
      <c r="V3" s="719"/>
      <c r="W3" s="719"/>
      <c r="X3" s="719"/>
      <c r="Y3" s="719"/>
      <c r="Z3" s="719"/>
      <c r="AA3" s="719"/>
      <c r="AB3" s="719"/>
      <c r="AC3" s="719"/>
      <c r="AD3" s="719"/>
      <c r="AE3" s="719"/>
      <c r="AF3" s="335"/>
      <c r="AG3" s="335"/>
      <c r="AH3" s="717"/>
      <c r="AI3" s="717"/>
      <c r="AJ3" s="717"/>
      <c r="AK3" s="717"/>
      <c r="AL3" s="717"/>
      <c r="AM3" s="717"/>
      <c r="AN3" s="717"/>
      <c r="AO3" s="717"/>
      <c r="AP3" s="709"/>
      <c r="AQ3" s="709"/>
      <c r="AR3" s="709"/>
      <c r="AS3" s="709"/>
    </row>
    <row r="4" spans="1:45" ht="15.95" customHeight="1">
      <c r="A4" s="1205">
        <f>INCENTOTAL</f>
        <v>0</v>
      </c>
      <c r="B4" s="1205"/>
      <c r="C4" s="1205"/>
      <c r="D4" s="1205"/>
      <c r="E4" s="1205"/>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ht="15.95" customHeight="1">
      <c r="A5" s="724"/>
      <c r="B5" s="724"/>
      <c r="C5" s="724"/>
      <c r="D5" s="724"/>
      <c r="E5" s="724"/>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750">
        <f ca="1">PROGRESSSTATUS</f>
        <v>0</v>
      </c>
      <c r="AP5" s="750"/>
      <c r="AQ5" s="750"/>
      <c r="AR5" s="750"/>
      <c r="AS5" s="750"/>
    </row>
    <row r="6" spans="1:45" ht="15.95" customHeight="1">
      <c r="A6" s="724"/>
      <c r="B6" s="724"/>
      <c r="C6" s="724"/>
      <c r="D6" s="724"/>
      <c r="E6" s="724"/>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750"/>
      <c r="AP6" s="750"/>
      <c r="AQ6" s="750"/>
      <c r="AR6" s="750"/>
      <c r="AS6" s="750"/>
    </row>
    <row r="7" spans="1:45" ht="15.95" customHeight="1">
      <c r="A7" s="725" t="s">
        <v>83</v>
      </c>
      <c r="B7" s="725"/>
      <c r="C7" s="725"/>
      <c r="D7" s="725"/>
      <c r="E7" s="725"/>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725" t="s">
        <v>309</v>
      </c>
      <c r="AP7" s="725"/>
      <c r="AQ7" s="725"/>
      <c r="AR7" s="725"/>
      <c r="AS7" s="725"/>
    </row>
    <row r="8" spans="1:45" ht="15.95" customHeight="1" thickBot="1">
      <c r="A8" s="774"/>
      <c r="B8" s="774"/>
      <c r="C8" s="774"/>
      <c r="D8" s="774"/>
      <c r="E8" s="774"/>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749" t="str">
        <f ca="1">PROJSTATUS</f>
        <v>Enter Measures</v>
      </c>
      <c r="AP8" s="749"/>
      <c r="AQ8" s="749"/>
      <c r="AR8" s="749"/>
      <c r="AS8" s="749"/>
    </row>
    <row r="9" spans="1:45" ht="15.95" customHeight="1">
      <c r="A9" s="720" t="str">
        <f>M5S7</f>
        <v>Summary Form</v>
      </c>
      <c r="B9" s="720"/>
      <c r="C9" s="720"/>
      <c r="D9" s="720"/>
      <c r="E9" s="720"/>
      <c r="F9" s="720"/>
      <c r="G9" s="720"/>
      <c r="H9" s="720"/>
      <c r="I9" s="720"/>
      <c r="J9" s="720"/>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720"/>
      <c r="AO9" s="720"/>
      <c r="AP9" s="720"/>
      <c r="AQ9" s="720"/>
      <c r="AR9" s="720"/>
      <c r="AS9" s="720"/>
    </row>
    <row r="10" spans="1:45" ht="15.95" customHeight="1">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ht="15.95" customHeight="1" thickBot="1">
      <c r="B11" s="37"/>
      <c r="C11" s="1474" t="s">
        <v>2908</v>
      </c>
      <c r="D11" s="1474"/>
      <c r="E11" s="1474"/>
      <c r="F11" s="1474"/>
      <c r="G11" s="1474"/>
      <c r="H11" s="1474"/>
      <c r="I11" s="1474"/>
      <c r="J11" s="1474"/>
      <c r="K11" s="1474"/>
      <c r="L11" s="1474"/>
      <c r="M11" s="1474"/>
      <c r="N11" s="1474"/>
      <c r="O11" s="1474"/>
      <c r="P11" s="1474"/>
      <c r="Q11" s="1474"/>
      <c r="R11" s="1474"/>
      <c r="S11" s="1474"/>
      <c r="T11" s="1474"/>
      <c r="U11" s="1474"/>
      <c r="V11" s="37"/>
      <c r="W11" s="37"/>
      <c r="X11" s="37"/>
      <c r="Y11" s="37"/>
      <c r="Z11" s="37"/>
      <c r="AA11" s="37"/>
      <c r="AB11" s="37"/>
      <c r="AC11" s="37"/>
      <c r="AD11" s="37"/>
      <c r="AE11" s="37"/>
      <c r="AF11" s="37"/>
      <c r="AG11" s="37"/>
      <c r="AH11" s="37"/>
      <c r="AI11" s="37"/>
      <c r="AJ11" s="37"/>
      <c r="AK11" s="37"/>
      <c r="AL11" s="37"/>
      <c r="AM11" s="37"/>
      <c r="AN11" s="37"/>
      <c r="AO11" s="37"/>
      <c r="AP11" s="37"/>
      <c r="AQ11" s="37"/>
      <c r="AR11" s="37"/>
    </row>
    <row r="12" spans="1:45" ht="15.95" customHeight="1" thickBot="1">
      <c r="B12" s="1472" t="s">
        <v>2886</v>
      </c>
      <c r="C12" s="1454" t="str">
        <f>IF(M02S04F19="Other", "Building Type is Other - Verify and update on Building Information tab.","")&amp;IF(OVERRIDETOTAL&gt;0," Incentive has been overridden.","")</f>
        <v/>
      </c>
      <c r="D12" s="1455"/>
      <c r="E12" s="1455"/>
      <c r="F12" s="1455"/>
      <c r="G12" s="1455"/>
      <c r="H12" s="1455"/>
      <c r="I12" s="1455"/>
      <c r="J12" s="1455"/>
      <c r="K12" s="1455"/>
      <c r="L12" s="1455"/>
      <c r="M12" s="1455"/>
      <c r="N12" s="1455"/>
      <c r="O12" s="1455"/>
      <c r="P12" s="1455"/>
      <c r="Q12" s="1455"/>
      <c r="R12" s="1455"/>
      <c r="S12" s="1455"/>
      <c r="T12" s="1455"/>
      <c r="U12" s="1456"/>
      <c r="W12" s="1442" t="s">
        <v>2101</v>
      </c>
      <c r="X12" s="1443"/>
      <c r="Y12" s="1443"/>
      <c r="Z12" s="1443"/>
      <c r="AA12" s="1443"/>
      <c r="AB12" s="1443"/>
      <c r="AC12" s="1443"/>
      <c r="AD12" s="1443"/>
      <c r="AE12" s="1443"/>
      <c r="AF12" s="1444"/>
      <c r="AH12" s="1411" t="s">
        <v>321</v>
      </c>
      <c r="AI12" s="1412"/>
      <c r="AJ12" s="1412"/>
      <c r="AK12" s="1412"/>
      <c r="AL12" s="1412"/>
      <c r="AM12" s="1412"/>
      <c r="AN12" s="1412"/>
      <c r="AO12" s="1412"/>
      <c r="AP12" s="1412"/>
      <c r="AQ12" s="1413"/>
      <c r="AR12" s="37"/>
    </row>
    <row r="13" spans="1:45" ht="15.95" customHeight="1" thickBot="1">
      <c r="B13" s="1473"/>
      <c r="C13" s="1457"/>
      <c r="D13" s="1458"/>
      <c r="E13" s="1458"/>
      <c r="F13" s="1458"/>
      <c r="G13" s="1458"/>
      <c r="H13" s="1458"/>
      <c r="I13" s="1458"/>
      <c r="J13" s="1458"/>
      <c r="K13" s="1458"/>
      <c r="L13" s="1458"/>
      <c r="M13" s="1458"/>
      <c r="N13" s="1458"/>
      <c r="O13" s="1458"/>
      <c r="P13" s="1458"/>
      <c r="Q13" s="1458"/>
      <c r="R13" s="1458"/>
      <c r="S13" s="1458"/>
      <c r="T13" s="1458"/>
      <c r="U13" s="1459"/>
      <c r="W13" s="1445"/>
      <c r="X13" s="1446"/>
      <c r="Y13" s="1446"/>
      <c r="Z13" s="1446"/>
      <c r="AA13" s="1446"/>
      <c r="AB13" s="1446"/>
      <c r="AC13" s="1446"/>
      <c r="AD13" s="1446"/>
      <c r="AE13" s="1446"/>
      <c r="AF13" s="1447"/>
      <c r="AH13" s="1433" t="s">
        <v>322</v>
      </c>
      <c r="AI13" s="1434"/>
      <c r="AJ13" s="1434"/>
      <c r="AK13" s="1435"/>
      <c r="AL13" s="1424"/>
      <c r="AM13" s="1425"/>
      <c r="AN13" s="1425"/>
      <c r="AO13" s="1425"/>
      <c r="AP13" s="1425"/>
      <c r="AQ13" s="1426"/>
      <c r="AR13" s="37"/>
    </row>
    <row r="14" spans="1:45" ht="15.95" customHeight="1" thickBot="1">
      <c r="B14" s="37"/>
      <c r="W14" s="1448"/>
      <c r="X14" s="1449"/>
      <c r="Y14" s="1449"/>
      <c r="Z14" s="1449"/>
      <c r="AA14" s="1449"/>
      <c r="AB14" s="1449"/>
      <c r="AC14" s="1449"/>
      <c r="AD14" s="1449"/>
      <c r="AE14" s="1449"/>
      <c r="AF14" s="1450"/>
      <c r="AH14" s="1433" t="s">
        <v>655</v>
      </c>
      <c r="AI14" s="1434"/>
      <c r="AJ14" s="1434"/>
      <c r="AK14" s="1435"/>
      <c r="AL14" s="1421"/>
      <c r="AM14" s="1422"/>
      <c r="AN14" s="1422"/>
      <c r="AO14" s="1422"/>
      <c r="AP14" s="1422"/>
      <c r="AQ14" s="1423"/>
      <c r="AR14" s="37"/>
    </row>
    <row r="15" spans="1:45" ht="15.95" customHeight="1" thickBot="1">
      <c r="B15" s="37"/>
      <c r="C15" s="1442" t="s">
        <v>69</v>
      </c>
      <c r="D15" s="1443"/>
      <c r="E15" s="1443"/>
      <c r="F15" s="1443"/>
      <c r="G15" s="1443"/>
      <c r="H15" s="1443"/>
      <c r="I15" s="1443"/>
      <c r="J15" s="1443"/>
      <c r="K15" s="1443"/>
      <c r="L15" s="1444"/>
      <c r="N15" s="1411" t="s">
        <v>1652</v>
      </c>
      <c r="O15" s="1412"/>
      <c r="P15" s="1412"/>
      <c r="Q15" s="1412"/>
      <c r="R15" s="1412"/>
      <c r="S15" s="1412"/>
      <c r="T15" s="1412"/>
      <c r="U15" s="1413"/>
      <c r="W15" s="1448"/>
      <c r="X15" s="1449"/>
      <c r="Y15" s="1449"/>
      <c r="Z15" s="1449"/>
      <c r="AA15" s="1449"/>
      <c r="AB15" s="1449"/>
      <c r="AC15" s="1449"/>
      <c r="AD15" s="1449"/>
      <c r="AE15" s="1449"/>
      <c r="AF15" s="1450"/>
      <c r="AH15" s="1433" t="s">
        <v>318</v>
      </c>
      <c r="AI15" s="1434"/>
      <c r="AJ15" s="1434"/>
      <c r="AK15" s="1435"/>
      <c r="AL15" s="1421"/>
      <c r="AM15" s="1422"/>
      <c r="AN15" s="1422"/>
      <c r="AO15" s="1422"/>
      <c r="AP15" s="1422"/>
      <c r="AQ15" s="1423"/>
      <c r="AR15" s="37"/>
    </row>
    <row r="16" spans="1:45" ht="15.95" customHeight="1" thickBot="1">
      <c r="B16" s="37"/>
      <c r="C16" s="1362" t="s">
        <v>1675</v>
      </c>
      <c r="D16" s="1362"/>
      <c r="E16" s="1362"/>
      <c r="F16" s="1362"/>
      <c r="G16" s="1487" t="str">
        <f>PROPER(M02S04F07)</f>
        <v/>
      </c>
      <c r="H16" s="1488"/>
      <c r="I16" s="1488"/>
      <c r="J16" s="1488"/>
      <c r="K16" s="1488"/>
      <c r="L16" s="1489"/>
      <c r="N16" s="1466" t="s">
        <v>2099</v>
      </c>
      <c r="O16" s="1467"/>
      <c r="P16" s="1467"/>
      <c r="Q16" s="1468"/>
      <c r="R16" s="1460" t="str">
        <f ca="1">IF(COMPTERMS=1,"Completed",IF(COMPTERMS&gt;0.7,"Almost!","Incomplete"))</f>
        <v>Incomplete</v>
      </c>
      <c r="S16" s="1461"/>
      <c r="T16" s="1461"/>
      <c r="U16" s="1462"/>
      <c r="W16" s="1448"/>
      <c r="X16" s="1449"/>
      <c r="Y16" s="1449"/>
      <c r="Z16" s="1449"/>
      <c r="AA16" s="1449"/>
      <c r="AB16" s="1449"/>
      <c r="AC16" s="1449"/>
      <c r="AD16" s="1449"/>
      <c r="AE16" s="1449"/>
      <c r="AF16" s="1450"/>
      <c r="AH16" s="1433" t="s">
        <v>319</v>
      </c>
      <c r="AI16" s="1434"/>
      <c r="AJ16" s="1434"/>
      <c r="AK16" s="1435"/>
      <c r="AL16" s="1421"/>
      <c r="AM16" s="1422"/>
      <c r="AN16" s="1422"/>
      <c r="AO16" s="1422"/>
      <c r="AP16" s="1422"/>
      <c r="AQ16" s="1423"/>
      <c r="AR16" s="37"/>
    </row>
    <row r="17" spans="2:44" ht="15.95" customHeight="1" thickBot="1">
      <c r="B17" s="37"/>
      <c r="C17" s="1362" t="s">
        <v>1676</v>
      </c>
      <c r="D17" s="1362"/>
      <c r="E17" s="1362"/>
      <c r="F17" s="1372"/>
      <c r="G17" s="1436">
        <f>M02S04F03</f>
        <v>0</v>
      </c>
      <c r="H17" s="1437"/>
      <c r="I17" s="1437"/>
      <c r="J17" s="1437"/>
      <c r="K17" s="1437"/>
      <c r="L17" s="1438"/>
      <c r="N17" s="1466" t="s">
        <v>2098</v>
      </c>
      <c r="O17" s="1467"/>
      <c r="P17" s="1467"/>
      <c r="Q17" s="1468"/>
      <c r="R17" s="1463">
        <f>M02S01F01</f>
        <v>0</v>
      </c>
      <c r="S17" s="1464"/>
      <c r="T17" s="1464"/>
      <c r="U17" s="1465"/>
      <c r="W17" s="1451"/>
      <c r="X17" s="1452"/>
      <c r="Y17" s="1452"/>
      <c r="Z17" s="1452"/>
      <c r="AA17" s="1452"/>
      <c r="AB17" s="1452"/>
      <c r="AC17" s="1452"/>
      <c r="AD17" s="1452"/>
      <c r="AE17" s="1452"/>
      <c r="AF17" s="1453"/>
      <c r="AH17" s="1433" t="s">
        <v>320</v>
      </c>
      <c r="AI17" s="1434"/>
      <c r="AJ17" s="1434"/>
      <c r="AK17" s="1435"/>
      <c r="AL17" s="1427"/>
      <c r="AM17" s="1428"/>
      <c r="AN17" s="1428"/>
      <c r="AO17" s="1428"/>
      <c r="AP17" s="1428"/>
      <c r="AQ17" s="1429"/>
      <c r="AR17" s="37"/>
    </row>
    <row r="18" spans="2:44" ht="15.95" customHeight="1" thickBot="1">
      <c r="B18" s="37"/>
      <c r="C18" s="1362" t="s">
        <v>1676</v>
      </c>
      <c r="D18" s="1362"/>
      <c r="E18" s="1362"/>
      <c r="F18" s="1372"/>
      <c r="G18" s="1436">
        <f>M02S04F04</f>
        <v>0</v>
      </c>
      <c r="H18" s="1437"/>
      <c r="I18" s="1437"/>
      <c r="J18" s="1437"/>
      <c r="K18" s="1437"/>
      <c r="L18" s="1438"/>
      <c r="N18" s="1466" t="s">
        <v>1294</v>
      </c>
      <c r="O18" s="1467"/>
      <c r="P18" s="1467"/>
      <c r="Q18" s="1468"/>
      <c r="R18" s="1475" t="str">
        <f ca="1">IF(COMPTA=1,"Completed",IF(COMPTA&gt;0.7,"Almost!","Incomplete"))</f>
        <v>Incomplete</v>
      </c>
      <c r="S18" s="1476"/>
      <c r="T18" s="1476"/>
      <c r="U18" s="1477"/>
      <c r="W18" s="1442" t="s">
        <v>2102</v>
      </c>
      <c r="X18" s="1443"/>
      <c r="Y18" s="1443"/>
      <c r="Z18" s="1443"/>
      <c r="AA18" s="1443"/>
      <c r="AB18" s="1443"/>
      <c r="AC18" s="1443"/>
      <c r="AD18" s="1443"/>
      <c r="AE18" s="1443"/>
      <c r="AF18" s="1444"/>
      <c r="AH18" s="1433" t="s">
        <v>686</v>
      </c>
      <c r="AI18" s="1434"/>
      <c r="AJ18" s="1434"/>
      <c r="AK18" s="1435"/>
      <c r="AL18" s="1430" t="str">
        <f>IF(ISTEXT(M02S04F24), M02S04F24, " ")</f>
        <v xml:space="preserve"> </v>
      </c>
      <c r="AM18" s="1431"/>
      <c r="AN18" s="1431"/>
      <c r="AO18" s="1431"/>
      <c r="AP18" s="1431"/>
      <c r="AQ18" s="1432"/>
      <c r="AR18" s="37"/>
    </row>
    <row r="19" spans="2:44" ht="15.95" customHeight="1" thickBot="1">
      <c r="B19" s="37"/>
      <c r="C19" s="1362" t="s">
        <v>1429</v>
      </c>
      <c r="D19" s="1362"/>
      <c r="E19" s="1362"/>
      <c r="F19" s="1362"/>
      <c r="G19" s="1490" t="str">
        <f>IF(AND(INCENTOTALPRESE&gt;0,INCENTOTALCUSE&gt;0,ACTIVEBLOCK&lt;&gt;"Yes"),"Standard and Custom",IF(AND(INCENTOTALPRESE&gt;0,INCENTOTALCUSE=0,ACTIVEBLOCK&lt;&gt;"Yes"),"Standard",IF(AND(INCENTOTALPRESE=0,INCENTOTALCUSE&gt;0,ACTIVEBLOCK&lt;&gt;"Yes"),"Custom",IF(AND(INCENTOTALCUSE&gt;0,ACTIVEBLOCK="Yes"),"Block Bidding",""))))</f>
        <v/>
      </c>
      <c r="H19" s="1491"/>
      <c r="I19" s="1491"/>
      <c r="J19" s="1491"/>
      <c r="K19" s="1491"/>
      <c r="L19" s="1492"/>
      <c r="N19" s="1466" t="s">
        <v>1510</v>
      </c>
      <c r="O19" s="1467"/>
      <c r="P19" s="1467"/>
      <c r="Q19" s="1468"/>
      <c r="R19" s="1478" t="str">
        <f ca="1">IF(COMPCUSTOMER=1,"Completed",IF(COMPCUSTOMER&gt;0.7,"Almost!","Incomplete"))</f>
        <v>Incomplete</v>
      </c>
      <c r="S19" s="1479"/>
      <c r="T19" s="1479"/>
      <c r="U19" s="1480"/>
      <c r="W19" s="1445"/>
      <c r="X19" s="1446"/>
      <c r="Y19" s="1446"/>
      <c r="Z19" s="1446"/>
      <c r="AA19" s="1446"/>
      <c r="AB19" s="1446"/>
      <c r="AC19" s="1446"/>
      <c r="AD19" s="1446"/>
      <c r="AE19" s="1446"/>
      <c r="AF19" s="1447"/>
      <c r="AR19" s="37"/>
    </row>
    <row r="20" spans="2:44" ht="15.95" customHeight="1" thickBot="1">
      <c r="B20" s="37"/>
      <c r="C20" s="1362" t="s">
        <v>2008</v>
      </c>
      <c r="D20" s="1362"/>
      <c r="E20" s="1362"/>
      <c r="F20" s="1362"/>
      <c r="G20" s="1493" t="str">
        <f>IF(INCENTOTAL=0,"",IF(OR(INCENTOTALPRESE&gt;10000,INCENTOTALCUSE&gt;0,ACTIVEBLOCK="Yes"),"Pre-Approval","Fast-Track"))</f>
        <v/>
      </c>
      <c r="H20" s="1494"/>
      <c r="I20" s="1494"/>
      <c r="J20" s="1494"/>
      <c r="K20" s="1494"/>
      <c r="L20" s="1495"/>
      <c r="N20" s="1466" t="s">
        <v>1651</v>
      </c>
      <c r="O20" s="1467"/>
      <c r="P20" s="1467"/>
      <c r="Q20" s="1468"/>
      <c r="R20" s="1481" t="str">
        <f ca="1">IF(COMPBUILD=1,"Completed",IF(COMPBUILD&gt;0.7,"Almost!","Incomplete"))</f>
        <v>Incomplete</v>
      </c>
      <c r="S20" s="1482"/>
      <c r="T20" s="1482"/>
      <c r="U20" s="1483"/>
      <c r="W20" s="1448"/>
      <c r="X20" s="1449"/>
      <c r="Y20" s="1449"/>
      <c r="Z20" s="1449"/>
      <c r="AA20" s="1449"/>
      <c r="AB20" s="1449"/>
      <c r="AC20" s="1449"/>
      <c r="AD20" s="1449"/>
      <c r="AE20" s="1449"/>
      <c r="AF20" s="1450"/>
      <c r="AH20" s="1411" t="s">
        <v>1240</v>
      </c>
      <c r="AI20" s="1412"/>
      <c r="AJ20" s="1412"/>
      <c r="AK20" s="1412"/>
      <c r="AL20" s="1412"/>
      <c r="AM20" s="1412"/>
      <c r="AN20" s="1412"/>
      <c r="AO20" s="1412"/>
      <c r="AP20" s="1412"/>
      <c r="AQ20" s="1413"/>
      <c r="AR20" s="37"/>
    </row>
    <row r="21" spans="2:44" ht="15.95" customHeight="1" thickBot="1">
      <c r="B21" s="37"/>
      <c r="C21" s="1362" t="s">
        <v>1677</v>
      </c>
      <c r="D21" s="1362"/>
      <c r="E21" s="1362"/>
      <c r="F21" s="1362"/>
      <c r="G21" s="1493" t="str">
        <f>VERSION</f>
        <v>v2.1.2</v>
      </c>
      <c r="H21" s="1494"/>
      <c r="I21" s="1494"/>
      <c r="J21" s="1494"/>
      <c r="K21" s="1494"/>
      <c r="L21" s="1495"/>
      <c r="N21" s="1466" t="s">
        <v>1251</v>
      </c>
      <c r="O21" s="1467"/>
      <c r="P21" s="1467"/>
      <c r="Q21" s="1468"/>
      <c r="R21" s="1475" t="str">
        <f>IF(COMPMEASURE=1,"Completed",IF(COMPMEASURE&gt;0.7,"Almost!","Incomplete"))</f>
        <v>Incomplete</v>
      </c>
      <c r="S21" s="1476"/>
      <c r="T21" s="1476"/>
      <c r="U21" s="1477"/>
      <c r="W21" s="1448"/>
      <c r="X21" s="1449"/>
      <c r="Y21" s="1449"/>
      <c r="Z21" s="1449"/>
      <c r="AA21" s="1449"/>
      <c r="AB21" s="1449"/>
      <c r="AC21" s="1449"/>
      <c r="AD21" s="1449"/>
      <c r="AE21" s="1449"/>
      <c r="AF21" s="1450"/>
      <c r="AH21" s="1433" t="s">
        <v>1241</v>
      </c>
      <c r="AI21" s="1434"/>
      <c r="AJ21" s="1434"/>
      <c r="AK21" s="1435"/>
      <c r="AL21" s="1439" t="s">
        <v>1292</v>
      </c>
      <c r="AM21" s="1440"/>
      <c r="AN21" s="1440"/>
      <c r="AO21" s="1440"/>
      <c r="AP21" s="1440"/>
      <c r="AQ21" s="1441"/>
      <c r="AR21" s="37"/>
    </row>
    <row r="22" spans="2:44" ht="15.95" customHeight="1" thickBot="1">
      <c r="B22" s="37"/>
      <c r="C22" s="1362" t="s">
        <v>1658</v>
      </c>
      <c r="D22" s="1362"/>
      <c r="E22" s="1362"/>
      <c r="F22" s="1362"/>
      <c r="G22" s="1469">
        <f>M05S02F01</f>
        <v>0</v>
      </c>
      <c r="H22" s="1470"/>
      <c r="I22" s="1470"/>
      <c r="J22" s="1470"/>
      <c r="K22" s="1470"/>
      <c r="L22" s="1471"/>
      <c r="N22" s="1466" t="s">
        <v>1236</v>
      </c>
      <c r="O22" s="1467"/>
      <c r="P22" s="1467"/>
      <c r="Q22" s="1468"/>
      <c r="R22" s="1475" t="str">
        <f ca="1">IF(COMPPAY=1,"Completed",IF(COMPPAY&gt;0.7,"Almost!","Incomplete"))</f>
        <v>Incomplete</v>
      </c>
      <c r="S22" s="1476"/>
      <c r="T22" s="1476"/>
      <c r="U22" s="1477"/>
      <c r="W22" s="1448"/>
      <c r="X22" s="1449"/>
      <c r="Y22" s="1449"/>
      <c r="Z22" s="1449"/>
      <c r="AA22" s="1449"/>
      <c r="AB22" s="1449"/>
      <c r="AC22" s="1449"/>
      <c r="AD22" s="1449"/>
      <c r="AE22" s="1449"/>
      <c r="AF22" s="1450"/>
      <c r="AH22" s="1433" t="s">
        <v>1242</v>
      </c>
      <c r="AI22" s="1434"/>
      <c r="AJ22" s="1434"/>
      <c r="AK22" s="1435"/>
      <c r="AL22" s="1439" t="s">
        <v>1292</v>
      </c>
      <c r="AM22" s="1440"/>
      <c r="AN22" s="1440"/>
      <c r="AO22" s="1440"/>
      <c r="AP22" s="1440"/>
      <c r="AQ22" s="1441"/>
      <c r="AR22" s="37"/>
    </row>
    <row r="23" spans="2:44" ht="15.95" customHeight="1" thickBot="1">
      <c r="C23" s="1362" t="s">
        <v>1659</v>
      </c>
      <c r="D23" s="1362"/>
      <c r="E23" s="1362"/>
      <c r="F23" s="1362"/>
      <c r="G23" s="1469">
        <f>M05S02F02</f>
        <v>0</v>
      </c>
      <c r="H23" s="1470"/>
      <c r="I23" s="1470"/>
      <c r="J23" s="1470"/>
      <c r="K23" s="1470"/>
      <c r="L23" s="1471"/>
      <c r="N23" s="1484" t="s">
        <v>1298</v>
      </c>
      <c r="O23" s="1485"/>
      <c r="P23" s="1485"/>
      <c r="Q23" s="1486"/>
      <c r="R23" s="1475" t="str">
        <f>IF(COMPSUMMARY=1,"Completed",IF(COMPSUMMARY&gt;0.7,"Almost!","Incomplete"))</f>
        <v>Completed</v>
      </c>
      <c r="S23" s="1476"/>
      <c r="T23" s="1476"/>
      <c r="U23" s="1477"/>
      <c r="W23" s="1451"/>
      <c r="X23" s="1452"/>
      <c r="Y23" s="1452"/>
      <c r="Z23" s="1452"/>
      <c r="AA23" s="1452"/>
      <c r="AB23" s="1452"/>
      <c r="AC23" s="1452"/>
      <c r="AD23" s="1452"/>
      <c r="AE23" s="1452"/>
      <c r="AF23" s="1453"/>
      <c r="AH23" s="1433" t="s">
        <v>1714</v>
      </c>
      <c r="AI23" s="1434"/>
      <c r="AJ23" s="1434"/>
      <c r="AK23" s="1435"/>
      <c r="AL23" s="1439"/>
      <c r="AM23" s="1440"/>
      <c r="AN23" s="1440"/>
      <c r="AO23" s="1440"/>
      <c r="AP23" s="1440"/>
      <c r="AQ23" s="1441"/>
    </row>
    <row r="24" spans="2:44" ht="15.95" customHeight="1" thickBot="1">
      <c r="B24" s="37"/>
      <c r="AR24" s="37"/>
    </row>
    <row r="25" spans="2:44" ht="15.95" customHeight="1" thickBot="1">
      <c r="B25" s="37"/>
      <c r="C25" s="1366" t="s">
        <v>1661</v>
      </c>
      <c r="D25" s="1366"/>
      <c r="E25" s="1366"/>
      <c r="F25" s="1366"/>
      <c r="G25" s="1366"/>
      <c r="H25" s="1366"/>
      <c r="I25" s="1366"/>
      <c r="J25" s="1366"/>
      <c r="K25" s="1366"/>
      <c r="L25" s="1366"/>
      <c r="M25" s="1366"/>
      <c r="N25" s="1366"/>
      <c r="O25" s="1366"/>
      <c r="P25" s="291"/>
      <c r="Q25" s="1366" t="s">
        <v>1662</v>
      </c>
      <c r="R25" s="1366"/>
      <c r="S25" s="1366"/>
      <c r="T25" s="1366"/>
      <c r="U25" s="1366"/>
      <c r="V25" s="1366"/>
      <c r="W25" s="1366"/>
      <c r="X25" s="1366"/>
      <c r="Y25" s="1366"/>
      <c r="Z25" s="1366"/>
      <c r="AA25" s="1366"/>
      <c r="AB25" s="1366"/>
      <c r="AC25" s="1366"/>
      <c r="AD25" s="291"/>
      <c r="AE25" s="1366" t="s">
        <v>1663</v>
      </c>
      <c r="AF25" s="1366"/>
      <c r="AG25" s="1366"/>
      <c r="AH25" s="1366"/>
      <c r="AI25" s="1366"/>
      <c r="AJ25" s="1366"/>
      <c r="AK25" s="1366"/>
      <c r="AL25" s="1366"/>
      <c r="AM25" s="1366"/>
      <c r="AN25" s="1366"/>
      <c r="AO25" s="1366"/>
      <c r="AP25" s="1366"/>
      <c r="AQ25" s="1366"/>
      <c r="AR25" s="37"/>
    </row>
    <row r="26" spans="2:44" ht="15.95" customHeight="1" thickBot="1">
      <c r="B26" s="37"/>
      <c r="C26" s="1367" t="s">
        <v>1653</v>
      </c>
      <c r="D26" s="1367"/>
      <c r="E26" s="1367"/>
      <c r="F26" s="1367"/>
      <c r="G26" s="1368" t="str">
        <f>SUBSTITUTE(PROPER(M02S03F01),"'S","'s")</f>
        <v/>
      </c>
      <c r="H26" s="1368"/>
      <c r="I26" s="1368"/>
      <c r="J26" s="1368"/>
      <c r="K26" s="1368"/>
      <c r="L26" s="1368"/>
      <c r="M26" s="1368"/>
      <c r="N26" s="1368"/>
      <c r="O26" s="1368"/>
      <c r="P26" s="291"/>
      <c r="Q26" s="1369" t="s">
        <v>1679</v>
      </c>
      <c r="R26" s="1370"/>
      <c r="S26" s="1370"/>
      <c r="T26" s="1371"/>
      <c r="U26" s="1363" t="str">
        <f>SUBSTITUTE(PROPER(M02S04F07),"'S","'s")</f>
        <v/>
      </c>
      <c r="V26" s="1364"/>
      <c r="W26" s="1364"/>
      <c r="X26" s="1364"/>
      <c r="Y26" s="1364"/>
      <c r="Z26" s="1364"/>
      <c r="AA26" s="1364"/>
      <c r="AB26" s="1364"/>
      <c r="AC26" s="1365"/>
      <c r="AD26" s="291"/>
      <c r="AE26" s="1373" t="s">
        <v>1682</v>
      </c>
      <c r="AF26" s="1373"/>
      <c r="AG26" s="1373"/>
      <c r="AH26" s="1373"/>
      <c r="AI26" s="1401" t="str">
        <f>SUBSTITUTE(PROPER(M02S02F02),"'S","'s")</f>
        <v/>
      </c>
      <c r="AJ26" s="1401"/>
      <c r="AK26" s="1401"/>
      <c r="AL26" s="1401"/>
      <c r="AM26" s="1401"/>
      <c r="AN26" s="1401"/>
      <c r="AO26" s="1401"/>
      <c r="AP26" s="1401"/>
      <c r="AQ26" s="1401"/>
      <c r="AR26" s="37"/>
    </row>
    <row r="27" spans="2:44" ht="15.95" customHeight="1" thickBot="1">
      <c r="B27" s="37"/>
      <c r="C27" s="1367" t="s">
        <v>1654</v>
      </c>
      <c r="D27" s="1367"/>
      <c r="E27" s="1367"/>
      <c r="F27" s="1367"/>
      <c r="G27" s="1368" t="str">
        <f>PROPER(M02S03F06)</f>
        <v/>
      </c>
      <c r="H27" s="1368"/>
      <c r="I27" s="1368"/>
      <c r="J27" s="1368"/>
      <c r="K27" s="1368"/>
      <c r="L27" s="1368" t="str">
        <f>PROPER(M02S03F07)</f>
        <v/>
      </c>
      <c r="M27" s="1368"/>
      <c r="N27" s="1368"/>
      <c r="O27" s="1368"/>
      <c r="P27" s="291"/>
      <c r="Q27" s="1380" t="s">
        <v>1654</v>
      </c>
      <c r="R27" s="1380"/>
      <c r="S27" s="1380"/>
      <c r="T27" s="1380"/>
      <c r="U27" s="1363" t="str">
        <f>PROPER(M02S04F12)</f>
        <v/>
      </c>
      <c r="V27" s="1364"/>
      <c r="W27" s="1364"/>
      <c r="X27" s="1364"/>
      <c r="Y27" s="1365"/>
      <c r="Z27" s="1363" t="str">
        <f>PROPER(M02S04F13)</f>
        <v/>
      </c>
      <c r="AA27" s="1364"/>
      <c r="AB27" s="1364"/>
      <c r="AC27" s="1365"/>
      <c r="AD27" s="291"/>
      <c r="AE27" s="1373" t="s">
        <v>1654</v>
      </c>
      <c r="AF27" s="1373"/>
      <c r="AG27" s="1373"/>
      <c r="AH27" s="1373"/>
      <c r="AI27" s="1401" t="str">
        <f>PROPER(M02S02F07)</f>
        <v/>
      </c>
      <c r="AJ27" s="1401"/>
      <c r="AK27" s="1401"/>
      <c r="AL27" s="1401"/>
      <c r="AM27" s="1401"/>
      <c r="AN27" s="1401" t="str">
        <f>PROPER(M02S02F08)</f>
        <v/>
      </c>
      <c r="AO27" s="1401"/>
      <c r="AP27" s="1401"/>
      <c r="AQ27" s="1401"/>
      <c r="AR27" s="37"/>
    </row>
    <row r="28" spans="2:44" ht="15.95" customHeight="1" thickBot="1">
      <c r="B28" s="37"/>
      <c r="C28" s="1367" t="s">
        <v>1655</v>
      </c>
      <c r="D28" s="1367"/>
      <c r="E28" s="1367"/>
      <c r="F28" s="1367"/>
      <c r="G28" s="1368" t="str">
        <f>PROPER(M02S03F08)</f>
        <v/>
      </c>
      <c r="H28" s="1368"/>
      <c r="I28" s="1368"/>
      <c r="J28" s="1368"/>
      <c r="K28" s="1368"/>
      <c r="L28" s="1368"/>
      <c r="M28" s="1368"/>
      <c r="N28" s="1368"/>
      <c r="O28" s="1368"/>
      <c r="P28" s="291"/>
      <c r="Q28" s="1380" t="s">
        <v>1655</v>
      </c>
      <c r="R28" s="1380"/>
      <c r="S28" s="1380"/>
      <c r="T28" s="1380"/>
      <c r="U28" s="1388" t="str">
        <f>PROPER(M02S04F14)</f>
        <v/>
      </c>
      <c r="V28" s="1388"/>
      <c r="W28" s="1388"/>
      <c r="X28" s="1388"/>
      <c r="Y28" s="1388"/>
      <c r="Z28" s="1388"/>
      <c r="AA28" s="1388"/>
      <c r="AB28" s="1388"/>
      <c r="AC28" s="1388"/>
      <c r="AD28" s="291"/>
      <c r="AE28" s="1373" t="s">
        <v>1655</v>
      </c>
      <c r="AF28" s="1373"/>
      <c r="AG28" s="1373"/>
      <c r="AH28" s="1373"/>
      <c r="AI28" s="1401" t="str">
        <f>PROPER(M02S02F09)</f>
        <v/>
      </c>
      <c r="AJ28" s="1401"/>
      <c r="AK28" s="1401"/>
      <c r="AL28" s="1401"/>
      <c r="AM28" s="1401"/>
      <c r="AN28" s="1401"/>
      <c r="AO28" s="1401"/>
      <c r="AP28" s="1401"/>
      <c r="AQ28" s="1401"/>
      <c r="AR28" s="37"/>
    </row>
    <row r="29" spans="2:44" s="14" customFormat="1" ht="15.95" customHeight="1" thickBot="1">
      <c r="B29" s="37"/>
      <c r="C29" s="1367" t="s">
        <v>296</v>
      </c>
      <c r="D29" s="1367"/>
      <c r="E29" s="1367"/>
      <c r="F29" s="1367"/>
      <c r="G29" s="1385">
        <f>M02S03F09</f>
        <v>0</v>
      </c>
      <c r="H29" s="1386"/>
      <c r="I29" s="1386"/>
      <c r="J29" s="1386"/>
      <c r="K29" s="1386"/>
      <c r="L29" s="1386"/>
      <c r="M29" s="1386"/>
      <c r="N29" s="1386"/>
      <c r="O29" s="1387"/>
      <c r="P29" s="291"/>
      <c r="Q29" s="1380" t="s">
        <v>296</v>
      </c>
      <c r="R29" s="1380"/>
      <c r="S29" s="1380"/>
      <c r="T29" s="1380"/>
      <c r="U29" s="1402" t="str">
        <f>M02S04F15</f>
        <v/>
      </c>
      <c r="V29" s="1403"/>
      <c r="W29" s="1403"/>
      <c r="X29" s="1403"/>
      <c r="Y29" s="1403"/>
      <c r="Z29" s="1403"/>
      <c r="AA29" s="1403"/>
      <c r="AB29" s="1403"/>
      <c r="AC29" s="1404"/>
      <c r="AD29" s="291"/>
      <c r="AE29" s="1373" t="s">
        <v>296</v>
      </c>
      <c r="AF29" s="1373"/>
      <c r="AG29" s="1373"/>
      <c r="AH29" s="1373"/>
      <c r="AI29" s="1417">
        <f>M02S02F10</f>
        <v>0</v>
      </c>
      <c r="AJ29" s="1418"/>
      <c r="AK29" s="1418"/>
      <c r="AL29" s="1418"/>
      <c r="AM29" s="1418"/>
      <c r="AN29" s="1418"/>
      <c r="AO29" s="1418"/>
      <c r="AP29" s="1418"/>
      <c r="AQ29" s="1419"/>
      <c r="AR29" s="37"/>
    </row>
    <row r="30" spans="2:44" s="14" customFormat="1" ht="15.95" customHeight="1" thickBot="1">
      <c r="B30" s="37"/>
      <c r="C30" s="1367" t="s">
        <v>147</v>
      </c>
      <c r="D30" s="1367"/>
      <c r="E30" s="1367"/>
      <c r="F30" s="1367"/>
      <c r="G30" s="1368">
        <f>M02S03F10</f>
        <v>0</v>
      </c>
      <c r="H30" s="1368"/>
      <c r="I30" s="1368"/>
      <c r="J30" s="1368"/>
      <c r="K30" s="1368"/>
      <c r="L30" s="1368"/>
      <c r="M30" s="1368"/>
      <c r="N30" s="1368"/>
      <c r="O30" s="1368"/>
      <c r="P30" s="291"/>
      <c r="Q30" s="1380" t="s">
        <v>147</v>
      </c>
      <c r="R30" s="1380"/>
      <c r="S30" s="1380"/>
      <c r="T30" s="1380"/>
      <c r="U30" s="1388" t="str">
        <f>M02S04F16</f>
        <v/>
      </c>
      <c r="V30" s="1388"/>
      <c r="W30" s="1388"/>
      <c r="X30" s="1388"/>
      <c r="Y30" s="1388"/>
      <c r="Z30" s="1388"/>
      <c r="AA30" s="1388"/>
      <c r="AB30" s="1388"/>
      <c r="AC30" s="1388"/>
      <c r="AD30" s="291"/>
      <c r="AE30" s="1373" t="s">
        <v>147</v>
      </c>
      <c r="AF30" s="1373"/>
      <c r="AG30" s="1373"/>
      <c r="AH30" s="1373"/>
      <c r="AI30" s="1401">
        <f>M02S02F11</f>
        <v>0</v>
      </c>
      <c r="AJ30" s="1401"/>
      <c r="AK30" s="1401"/>
      <c r="AL30" s="1401"/>
      <c r="AM30" s="1401"/>
      <c r="AN30" s="1401"/>
      <c r="AO30" s="1401"/>
      <c r="AP30" s="1401"/>
      <c r="AQ30" s="1401"/>
      <c r="AR30" s="37"/>
    </row>
    <row r="31" spans="2:44" s="14" customFormat="1" ht="15.95" customHeight="1" thickBot="1">
      <c r="B31" s="37"/>
      <c r="C31" s="1367" t="s">
        <v>1656</v>
      </c>
      <c r="D31" s="1367"/>
      <c r="E31" s="1367"/>
      <c r="F31" s="1367"/>
      <c r="G31" s="1368" t="str">
        <f>PROPER(M02S03F02)</f>
        <v/>
      </c>
      <c r="H31" s="1368"/>
      <c r="I31" s="1368"/>
      <c r="J31" s="1368"/>
      <c r="K31" s="1368"/>
      <c r="L31" s="1368"/>
      <c r="M31" s="1368"/>
      <c r="N31" s="1368"/>
      <c r="O31" s="1368"/>
      <c r="P31" s="291"/>
      <c r="Q31" s="1380" t="s">
        <v>1671</v>
      </c>
      <c r="R31" s="1380"/>
      <c r="S31" s="1380"/>
      <c r="T31" s="1380"/>
      <c r="U31" s="1388" t="str">
        <f>PROPER(M02S04F08)</f>
        <v/>
      </c>
      <c r="V31" s="1388"/>
      <c r="W31" s="1388"/>
      <c r="X31" s="1388"/>
      <c r="Y31" s="1388"/>
      <c r="Z31" s="1388"/>
      <c r="AA31" s="1388"/>
      <c r="AB31" s="1388"/>
      <c r="AC31" s="1388"/>
      <c r="AD31" s="291"/>
      <c r="AE31" s="1373" t="s">
        <v>1681</v>
      </c>
      <c r="AF31" s="1373"/>
      <c r="AG31" s="1373"/>
      <c r="AH31" s="1373"/>
      <c r="AI31" s="1401" t="str">
        <f>PROPER(M02S02F03)</f>
        <v/>
      </c>
      <c r="AJ31" s="1401"/>
      <c r="AK31" s="1401"/>
      <c r="AL31" s="1401"/>
      <c r="AM31" s="1401"/>
      <c r="AN31" s="1401"/>
      <c r="AO31" s="1401"/>
      <c r="AP31" s="1401"/>
      <c r="AQ31" s="1401"/>
      <c r="AR31" s="37"/>
    </row>
    <row r="32" spans="2:44" s="14" customFormat="1" ht="15.95" customHeight="1" thickBot="1">
      <c r="B32" s="89"/>
      <c r="C32" s="1367" t="s">
        <v>323</v>
      </c>
      <c r="D32" s="1367"/>
      <c r="E32" s="1367"/>
      <c r="F32" s="1367"/>
      <c r="G32" s="1368" t="str">
        <f>PROPER(M02S03F03)</f>
        <v/>
      </c>
      <c r="H32" s="1368"/>
      <c r="I32" s="1368"/>
      <c r="J32" s="1368"/>
      <c r="K32" s="1368"/>
      <c r="L32" s="1368">
        <f>M02S03F04</f>
        <v>0</v>
      </c>
      <c r="M32" s="1368"/>
      <c r="N32" s="1379">
        <f>M02S03F05</f>
        <v>0</v>
      </c>
      <c r="O32" s="1379"/>
      <c r="P32" s="291"/>
      <c r="Q32" s="1380" t="s">
        <v>323</v>
      </c>
      <c r="R32" s="1380"/>
      <c r="S32" s="1380"/>
      <c r="T32" s="1380"/>
      <c r="U32" s="1363" t="str">
        <f>PROPER(M02S04F09)</f>
        <v/>
      </c>
      <c r="V32" s="1364"/>
      <c r="W32" s="1364"/>
      <c r="X32" s="1364"/>
      <c r="Y32" s="1365"/>
      <c r="Z32" s="1388" t="str">
        <f>M02S04F10</f>
        <v>MO</v>
      </c>
      <c r="AA32" s="1388"/>
      <c r="AB32" s="1389">
        <f>M02S04F11</f>
        <v>0</v>
      </c>
      <c r="AC32" s="1389"/>
      <c r="AD32" s="291"/>
      <c r="AE32" s="1373" t="s">
        <v>323</v>
      </c>
      <c r="AF32" s="1373"/>
      <c r="AG32" s="1373"/>
      <c r="AH32" s="1373"/>
      <c r="AI32" s="1401" t="str">
        <f>PROPER(M02S02F04)</f>
        <v/>
      </c>
      <c r="AJ32" s="1401"/>
      <c r="AK32" s="1401"/>
      <c r="AL32" s="1401"/>
      <c r="AM32" s="1401"/>
      <c r="AN32" s="1401">
        <f>M02S02F05</f>
        <v>0</v>
      </c>
      <c r="AO32" s="1401"/>
      <c r="AP32" s="1420">
        <f>M02S02F06</f>
        <v>0</v>
      </c>
      <c r="AQ32" s="1420"/>
      <c r="AR32" s="37"/>
    </row>
    <row r="33" spans="2:44" ht="15.95" customHeight="1" thickBot="1">
      <c r="B33" s="37"/>
      <c r="AR33" s="37"/>
    </row>
    <row r="34" spans="2:44" ht="15.95" customHeight="1" thickBot="1">
      <c r="B34" s="37"/>
      <c r="C34" s="1366" t="s">
        <v>81</v>
      </c>
      <c r="D34" s="1366"/>
      <c r="E34" s="1366"/>
      <c r="F34" s="1366"/>
      <c r="G34" s="1366"/>
      <c r="H34" s="1366"/>
      <c r="I34" s="1366"/>
      <c r="J34" s="1366"/>
      <c r="K34" s="1366"/>
      <c r="L34" s="1366"/>
      <c r="M34" s="1366"/>
      <c r="N34" s="1366"/>
      <c r="O34" s="1366"/>
      <c r="P34" s="291"/>
      <c r="Q34" s="1366" t="s">
        <v>1664</v>
      </c>
      <c r="R34" s="1366"/>
      <c r="S34" s="1366"/>
      <c r="T34" s="1366"/>
      <c r="U34" s="1366"/>
      <c r="V34" s="1366"/>
      <c r="W34" s="1366"/>
      <c r="X34" s="1366"/>
      <c r="Y34" s="1366"/>
      <c r="Z34" s="1366"/>
      <c r="AA34" s="1366"/>
      <c r="AB34" s="1366"/>
      <c r="AC34" s="1366"/>
      <c r="AE34" s="1366" t="s">
        <v>324</v>
      </c>
      <c r="AF34" s="1366"/>
      <c r="AG34" s="1366"/>
      <c r="AH34" s="1366"/>
      <c r="AI34" s="1366"/>
      <c r="AJ34" s="1366"/>
      <c r="AK34" s="1366"/>
      <c r="AL34" s="1366"/>
      <c r="AM34" s="1366"/>
      <c r="AN34" s="1366"/>
      <c r="AO34" s="1366"/>
      <c r="AP34" s="1366"/>
      <c r="AQ34" s="1366"/>
      <c r="AR34" s="37"/>
    </row>
    <row r="35" spans="2:44" ht="15.95" customHeight="1" thickBot="1">
      <c r="B35" s="37"/>
      <c r="C35" s="1394" t="s">
        <v>1680</v>
      </c>
      <c r="D35" s="1394"/>
      <c r="E35" s="1394"/>
      <c r="F35" s="1394"/>
      <c r="G35" s="1381">
        <f>M02S04F18</f>
        <v>0</v>
      </c>
      <c r="H35" s="1381"/>
      <c r="I35" s="1381"/>
      <c r="J35" s="1381"/>
      <c r="K35" s="1381"/>
      <c r="L35" s="1381"/>
      <c r="M35" s="1381"/>
      <c r="N35" s="1381"/>
      <c r="O35" s="1381"/>
      <c r="P35" s="291"/>
      <c r="Q35" s="1382" t="s">
        <v>1670</v>
      </c>
      <c r="R35" s="1382"/>
      <c r="S35" s="1382"/>
      <c r="T35" s="1382"/>
      <c r="U35" s="1383">
        <f>M05S01F01</f>
        <v>0</v>
      </c>
      <c r="V35" s="1383"/>
      <c r="W35" s="1383"/>
      <c r="X35" s="1383"/>
      <c r="Y35" s="1383"/>
      <c r="Z35" s="1383"/>
      <c r="AA35" s="1383"/>
      <c r="AB35" s="1383"/>
      <c r="AC35" s="1383"/>
      <c r="AE35" s="1384" t="s">
        <v>83</v>
      </c>
      <c r="AF35" s="1384"/>
      <c r="AG35" s="1384"/>
      <c r="AH35" s="1384"/>
      <c r="AI35" s="1398">
        <f ca="1">SUM(EXPORT!R3:R343)</f>
        <v>0</v>
      </c>
      <c r="AJ35" s="1398"/>
      <c r="AK35" s="1398"/>
      <c r="AL35" s="1398"/>
      <c r="AM35" s="1398"/>
      <c r="AN35" s="1398"/>
      <c r="AO35" s="1398"/>
      <c r="AP35" s="1398"/>
      <c r="AQ35" s="1398"/>
      <c r="AR35" s="37"/>
    </row>
    <row r="36" spans="2:44" ht="15.95" customHeight="1" thickBot="1">
      <c r="B36" s="37"/>
      <c r="C36" s="1376" t="s">
        <v>1657</v>
      </c>
      <c r="D36" s="1377"/>
      <c r="E36" s="1377"/>
      <c r="F36" s="1378"/>
      <c r="G36" s="1381">
        <f>M02S04F25</f>
        <v>0</v>
      </c>
      <c r="H36" s="1381"/>
      <c r="I36" s="1381"/>
      <c r="J36" s="1381"/>
      <c r="K36" s="1381"/>
      <c r="L36" s="1381"/>
      <c r="M36" s="1381"/>
      <c r="N36" s="1381"/>
      <c r="O36" s="1381"/>
      <c r="P36" s="291"/>
      <c r="Q36" s="1382" t="s">
        <v>1665</v>
      </c>
      <c r="R36" s="1382"/>
      <c r="S36" s="1382"/>
      <c r="T36" s="1382"/>
      <c r="U36" s="1383" t="str">
        <f>SUBSTITUTE(PROPER(M05S01F02),"S","s")</f>
        <v/>
      </c>
      <c r="V36" s="1383"/>
      <c r="W36" s="1383"/>
      <c r="X36" s="1383"/>
      <c r="Y36" s="1383"/>
      <c r="Z36" s="1383"/>
      <c r="AA36" s="1383"/>
      <c r="AB36" s="1383"/>
      <c r="AC36" s="1383"/>
      <c r="AD36" s="38"/>
      <c r="AE36" s="1384" t="s">
        <v>1187</v>
      </c>
      <c r="AF36" s="1384"/>
      <c r="AG36" s="1384"/>
      <c r="AH36" s="1384"/>
      <c r="AI36" s="1399">
        <f ca="1">SUMIF(EXPORT!AR3:AR343,"=Deemed",EXPORT!N3:N343)+SUMIF(EXPORT!AR3:AR343,"=Calculated",EXPORT!O3:O343)</f>
        <v>0</v>
      </c>
      <c r="AJ36" s="1399"/>
      <c r="AK36" s="1399"/>
      <c r="AL36" s="1399"/>
      <c r="AM36" s="1399"/>
      <c r="AN36" s="1399"/>
      <c r="AO36" s="1399"/>
      <c r="AP36" s="1399"/>
      <c r="AQ36" s="1399"/>
      <c r="AR36" s="37"/>
    </row>
    <row r="37" spans="2:44" ht="15.95" customHeight="1" thickBot="1">
      <c r="B37" s="37"/>
      <c r="C37" s="1394" t="s">
        <v>186</v>
      </c>
      <c r="D37" s="1394"/>
      <c r="E37" s="1394"/>
      <c r="F37" s="1394"/>
      <c r="G37" s="1381">
        <f>M02S04F19</f>
        <v>0</v>
      </c>
      <c r="H37" s="1381"/>
      <c r="I37" s="1381"/>
      <c r="J37" s="1381"/>
      <c r="K37" s="1381"/>
      <c r="L37" s="1381"/>
      <c r="M37" s="1381"/>
      <c r="N37" s="1381"/>
      <c r="O37" s="1381"/>
      <c r="P37" s="291"/>
      <c r="Q37" s="1382" t="s">
        <v>1666</v>
      </c>
      <c r="R37" s="1382"/>
      <c r="S37" s="1382"/>
      <c r="T37" s="1382"/>
      <c r="U37" s="1383" t="str">
        <f>PROPER(M05S01F07)</f>
        <v/>
      </c>
      <c r="V37" s="1383"/>
      <c r="W37" s="1383"/>
      <c r="X37" s="1383"/>
      <c r="Y37" s="1383"/>
      <c r="Z37" s="1383" t="str">
        <f>PROPER(M05S01F08)</f>
        <v/>
      </c>
      <c r="AA37" s="1383"/>
      <c r="AB37" s="1383"/>
      <c r="AC37" s="1383"/>
      <c r="AD37" s="38"/>
      <c r="AE37" s="1384" t="s">
        <v>1582</v>
      </c>
      <c r="AF37" s="1384"/>
      <c r="AG37" s="1384"/>
      <c r="AH37" s="1384"/>
      <c r="AI37" s="1399">
        <f ca="1">SUMIF(EXPORT!AR3:AR343,"=Deemed",EXPORT!P3:P343)+SUMIF(EXPORT!AR3:AR343,"=Calculated",EXPORT!Q3:Q343)</f>
        <v>0</v>
      </c>
      <c r="AJ37" s="1399"/>
      <c r="AK37" s="1399"/>
      <c r="AL37" s="1399"/>
      <c r="AM37" s="1399"/>
      <c r="AN37" s="1399"/>
      <c r="AO37" s="1399"/>
      <c r="AP37" s="1399"/>
      <c r="AQ37" s="1399"/>
      <c r="AR37" s="37"/>
    </row>
    <row r="38" spans="2:44" ht="15.95" customHeight="1" thickBot="1">
      <c r="B38" s="37"/>
      <c r="C38" s="1376" t="s">
        <v>1673</v>
      </c>
      <c r="D38" s="1377"/>
      <c r="E38" s="1377"/>
      <c r="F38" s="1378"/>
      <c r="G38" s="1381">
        <f>M02S04F20</f>
        <v>0</v>
      </c>
      <c r="H38" s="1381"/>
      <c r="I38" s="1381"/>
      <c r="J38" s="1381"/>
      <c r="K38" s="1381"/>
      <c r="L38" s="1381"/>
      <c r="M38" s="1381"/>
      <c r="N38" s="1381"/>
      <c r="O38" s="1381"/>
      <c r="P38" s="291"/>
      <c r="Q38" s="1382" t="s">
        <v>1668</v>
      </c>
      <c r="R38" s="1382"/>
      <c r="S38" s="1382"/>
      <c r="T38" s="1382"/>
      <c r="U38" s="1400" t="str">
        <f>M05S01F09</f>
        <v/>
      </c>
      <c r="V38" s="1400"/>
      <c r="W38" s="1400"/>
      <c r="X38" s="1400"/>
      <c r="Y38" s="1400"/>
      <c r="Z38" s="1400"/>
      <c r="AA38" s="1400"/>
      <c r="AB38" s="1400"/>
      <c r="AC38" s="1400"/>
      <c r="AD38" s="38"/>
      <c r="AE38" s="1384" t="s">
        <v>468</v>
      </c>
      <c r="AF38" s="1384"/>
      <c r="AG38" s="1384"/>
      <c r="AH38" s="1384"/>
      <c r="AI38" s="1405">
        <f ca="1">SUM(EXPORT!M3:M343)</f>
        <v>0</v>
      </c>
      <c r="AJ38" s="1405"/>
      <c r="AK38" s="1405"/>
      <c r="AL38" s="1405"/>
      <c r="AM38" s="1405"/>
      <c r="AN38" s="1405"/>
      <c r="AO38" s="1405"/>
      <c r="AP38" s="1405"/>
      <c r="AQ38" s="1405"/>
      <c r="AR38" s="37"/>
    </row>
    <row r="39" spans="2:44" ht="15.95" customHeight="1" thickBot="1">
      <c r="B39" s="37"/>
      <c r="C39" s="1376" t="s">
        <v>1672</v>
      </c>
      <c r="D39" s="1377"/>
      <c r="E39" s="1377"/>
      <c r="F39" s="1378"/>
      <c r="G39" s="1390">
        <f>M02S04F21</f>
        <v>0</v>
      </c>
      <c r="H39" s="1391"/>
      <c r="I39" s="1391"/>
      <c r="J39" s="1391"/>
      <c r="K39" s="1391"/>
      <c r="L39" s="1391"/>
      <c r="M39" s="1391"/>
      <c r="N39" s="1391"/>
      <c r="O39" s="1392"/>
      <c r="P39" s="291"/>
      <c r="Q39" s="1382" t="s">
        <v>1669</v>
      </c>
      <c r="R39" s="1382"/>
      <c r="S39" s="1382"/>
      <c r="T39" s="1382"/>
      <c r="U39" s="1383" t="str">
        <f>M05S01F10</f>
        <v/>
      </c>
      <c r="V39" s="1383"/>
      <c r="W39" s="1383"/>
      <c r="X39" s="1383"/>
      <c r="Y39" s="1383"/>
      <c r="Z39" s="1383"/>
      <c r="AA39" s="1383"/>
      <c r="AB39" s="1383"/>
      <c r="AC39" s="1383"/>
      <c r="AD39" s="38"/>
      <c r="AE39" s="1384" t="s">
        <v>1674</v>
      </c>
      <c r="AF39" s="1384"/>
      <c r="AG39" s="1384"/>
      <c r="AH39" s="1384"/>
      <c r="AI39" s="1398">
        <f ca="1">SUM(EXPORT!H3:H343)</f>
        <v>0</v>
      </c>
      <c r="AJ39" s="1398"/>
      <c r="AK39" s="1398"/>
      <c r="AL39" s="1398"/>
      <c r="AM39" s="1398"/>
      <c r="AN39" s="1398"/>
      <c r="AO39" s="1398"/>
      <c r="AP39" s="1398"/>
      <c r="AQ39" s="1398"/>
      <c r="AR39" s="37"/>
    </row>
    <row r="40" spans="2:44" ht="15.95" customHeight="1" thickBot="1">
      <c r="B40" s="37"/>
      <c r="C40" s="1376" t="s">
        <v>1683</v>
      </c>
      <c r="D40" s="1377"/>
      <c r="E40" s="1377"/>
      <c r="F40" s="1378"/>
      <c r="G40" s="1381">
        <f>M02S04F22</f>
        <v>0</v>
      </c>
      <c r="H40" s="1381"/>
      <c r="I40" s="1381"/>
      <c r="J40" s="1381"/>
      <c r="K40" s="1381"/>
      <c r="L40" s="1381"/>
      <c r="M40" s="1381"/>
      <c r="N40" s="1381"/>
      <c r="O40" s="1381"/>
      <c r="P40" s="291"/>
      <c r="Q40" s="1382" t="s">
        <v>1667</v>
      </c>
      <c r="R40" s="1382"/>
      <c r="S40" s="1382"/>
      <c r="T40" s="1382"/>
      <c r="U40" s="1383" t="str">
        <f>PROPER(M05S01F03)</f>
        <v/>
      </c>
      <c r="V40" s="1383"/>
      <c r="W40" s="1383"/>
      <c r="X40" s="1383"/>
      <c r="Y40" s="1383"/>
      <c r="Z40" s="1383"/>
      <c r="AA40" s="1383"/>
      <c r="AB40" s="1383"/>
      <c r="AC40" s="1383"/>
      <c r="AD40" s="38"/>
      <c r="AE40" s="1395" t="s">
        <v>650</v>
      </c>
      <c r="AF40" s="1396"/>
      <c r="AG40" s="1396"/>
      <c r="AH40" s="1397"/>
      <c r="AI40" s="1414">
        <f ca="1">SUM(EXPORT!I3:I343)</f>
        <v>0</v>
      </c>
      <c r="AJ40" s="1415"/>
      <c r="AK40" s="1415"/>
      <c r="AL40" s="1415"/>
      <c r="AM40" s="1415"/>
      <c r="AN40" s="1415"/>
      <c r="AO40" s="1415"/>
      <c r="AP40" s="1415"/>
      <c r="AQ40" s="1416"/>
      <c r="AR40" s="37"/>
    </row>
    <row r="41" spans="2:44" ht="15.95" customHeight="1" thickBot="1">
      <c r="B41" s="37"/>
      <c r="C41" s="1376" t="s">
        <v>1678</v>
      </c>
      <c r="D41" s="1377"/>
      <c r="E41" s="1377"/>
      <c r="F41" s="1378"/>
      <c r="G41" s="1381">
        <f>M02S04F05</f>
        <v>0</v>
      </c>
      <c r="H41" s="1381"/>
      <c r="I41" s="1381"/>
      <c r="J41" s="1381"/>
      <c r="K41" s="1381"/>
      <c r="L41" s="1381"/>
      <c r="M41" s="1381"/>
      <c r="N41" s="1381"/>
      <c r="O41" s="1381"/>
      <c r="P41" s="291"/>
      <c r="Q41" s="1382" t="s">
        <v>323</v>
      </c>
      <c r="R41" s="1382"/>
      <c r="S41" s="1382"/>
      <c r="T41" s="1382"/>
      <c r="U41" s="1383" t="str">
        <f>PROPER(M05S01F04)</f>
        <v/>
      </c>
      <c r="V41" s="1383"/>
      <c r="W41" s="1383"/>
      <c r="X41" s="1383"/>
      <c r="Y41" s="1383"/>
      <c r="Z41" s="1383" t="str">
        <f>M05S01F05</f>
        <v/>
      </c>
      <c r="AA41" s="1383"/>
      <c r="AB41" s="1393" t="str">
        <f>M05S01F06</f>
        <v/>
      </c>
      <c r="AC41" s="1393"/>
      <c r="AD41" s="38"/>
      <c r="AE41" s="1395" t="s">
        <v>1425</v>
      </c>
      <c r="AF41" s="1396"/>
      <c r="AG41" s="1396"/>
      <c r="AH41" s="1397"/>
      <c r="AI41" s="1414">
        <f ca="1">SUM(EXPORT!J3:J343)</f>
        <v>0</v>
      </c>
      <c r="AJ41" s="1415"/>
      <c r="AK41" s="1415"/>
      <c r="AL41" s="1415"/>
      <c r="AM41" s="1415"/>
      <c r="AN41" s="1415"/>
      <c r="AO41" s="1415"/>
      <c r="AP41" s="1415"/>
      <c r="AQ41" s="1416"/>
      <c r="AR41" s="37"/>
    </row>
    <row r="42" spans="2:44" ht="15.95" customHeight="1" thickBot="1">
      <c r="B42" s="37"/>
      <c r="C42" s="1376" t="s">
        <v>1660</v>
      </c>
      <c r="D42" s="1377"/>
      <c r="E42" s="1377"/>
      <c r="F42" s="1378"/>
      <c r="G42" s="1381" t="str">
        <f>M02S04F06</f>
        <v/>
      </c>
      <c r="H42" s="1381"/>
      <c r="I42" s="1381"/>
      <c r="J42" s="1381"/>
      <c r="K42" s="1381"/>
      <c r="L42" s="1381"/>
      <c r="M42" s="1381"/>
      <c r="N42" s="1381"/>
      <c r="O42" s="1381"/>
      <c r="P42" s="291"/>
      <c r="Q42" s="1382" t="s">
        <v>2100</v>
      </c>
      <c r="R42" s="1382"/>
      <c r="S42" s="1382"/>
      <c r="T42" s="1382"/>
      <c r="U42" s="1406">
        <f>M05S01F11</f>
        <v>0</v>
      </c>
      <c r="V42" s="1407"/>
      <c r="W42" s="1407"/>
      <c r="X42" s="1407"/>
      <c r="Y42" s="1408"/>
      <c r="Z42" s="1406" t="str">
        <f>CONCATENATE(M05S01F12,"-",M05S01F13)</f>
        <v>-</v>
      </c>
      <c r="AA42" s="1407"/>
      <c r="AB42" s="1407"/>
      <c r="AC42" s="1408"/>
      <c r="AD42" s="38"/>
      <c r="AE42" s="1395"/>
      <c r="AF42" s="1396"/>
      <c r="AG42" s="1396"/>
      <c r="AH42" s="1397"/>
      <c r="AI42" s="1414"/>
      <c r="AJ42" s="1415"/>
      <c r="AK42" s="1415"/>
      <c r="AL42" s="1415"/>
      <c r="AM42" s="1415"/>
      <c r="AN42" s="1415"/>
      <c r="AO42" s="1415"/>
      <c r="AP42" s="1415"/>
      <c r="AQ42" s="1416"/>
      <c r="AR42" s="37"/>
    </row>
    <row r="43" spans="2:44" ht="15.95" customHeight="1" thickBot="1">
      <c r="B43" s="37"/>
      <c r="C43" s="1376"/>
      <c r="D43" s="1377"/>
      <c r="E43" s="1377"/>
      <c r="F43" s="1378"/>
      <c r="G43" s="1381"/>
      <c r="H43" s="1381"/>
      <c r="I43" s="1381"/>
      <c r="J43" s="1381"/>
      <c r="K43" s="1381"/>
      <c r="L43" s="1381"/>
      <c r="M43" s="1381"/>
      <c r="N43" s="1381"/>
      <c r="O43" s="1381"/>
      <c r="P43" s="291"/>
      <c r="Q43" s="1382" t="s">
        <v>2090</v>
      </c>
      <c r="R43" s="1382"/>
      <c r="S43" s="1382"/>
      <c r="T43" s="1382"/>
      <c r="U43" s="1383" t="str">
        <f>M05S01F14</f>
        <v/>
      </c>
      <c r="V43" s="1383"/>
      <c r="W43" s="1383"/>
      <c r="X43" s="1383"/>
      <c r="Y43" s="1383"/>
      <c r="Z43" s="1383"/>
      <c r="AA43" s="1383"/>
      <c r="AB43" s="1383"/>
      <c r="AC43" s="1383"/>
      <c r="AD43" s="37"/>
      <c r="AE43" s="1395" t="s">
        <v>2003</v>
      </c>
      <c r="AF43" s="1396"/>
      <c r="AG43" s="1396"/>
      <c r="AH43" s="1397"/>
      <c r="AI43" s="1399">
        <f ca="1">SUMIF(EXPORT!AR3:AR343,"=Deemed",EXPORT!Y3:Y343)+SUMIF(EXPORT!AR3:AR343,"=Calculated",EXPORT!Z3:Z343)</f>
        <v>0</v>
      </c>
      <c r="AJ43" s="1399"/>
      <c r="AK43" s="1399"/>
      <c r="AL43" s="1399"/>
      <c r="AM43" s="1399"/>
      <c r="AN43" s="1399"/>
      <c r="AO43" s="1399"/>
      <c r="AP43" s="1399"/>
      <c r="AQ43" s="1399"/>
      <c r="AR43" s="37"/>
    </row>
    <row r="44" spans="2:44" ht="15.95" customHeight="1" thickBot="1">
      <c r="B44" s="36"/>
      <c r="AE44" s="1395" t="s">
        <v>2004</v>
      </c>
      <c r="AF44" s="1396"/>
      <c r="AG44" s="1396"/>
      <c r="AH44" s="1397"/>
      <c r="AI44" s="1399">
        <f ca="1">SUMIF(EXPORT!AR3:AR343,"=Deemed",EXPORT!AA3:AA343)+SUMIF(EXPORT!AR3:AR343,"=Calculated",EXPORT!AB3:AB343)</f>
        <v>0</v>
      </c>
      <c r="AJ44" s="1399"/>
      <c r="AK44" s="1399"/>
      <c r="AL44" s="1399"/>
      <c r="AM44" s="1399"/>
      <c r="AN44" s="1399"/>
      <c r="AO44" s="1399"/>
      <c r="AP44" s="1399"/>
      <c r="AQ44" s="1399"/>
      <c r="AR44" s="36"/>
    </row>
    <row r="45" spans="2:44" ht="15.95" customHeight="1" thickBot="1">
      <c r="B45" s="36"/>
      <c r="C45" s="1374" t="s">
        <v>324</v>
      </c>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E45" s="1395" t="s">
        <v>2005</v>
      </c>
      <c r="AF45" s="1396"/>
      <c r="AG45" s="1396"/>
      <c r="AH45" s="1397"/>
      <c r="AI45" s="1405">
        <f ca="1">SUM(EXPORT!X3:X343)</f>
        <v>0</v>
      </c>
      <c r="AJ45" s="1405"/>
      <c r="AK45" s="1405"/>
      <c r="AL45" s="1405"/>
      <c r="AM45" s="1405"/>
      <c r="AN45" s="1405"/>
      <c r="AO45" s="1405"/>
      <c r="AP45" s="1405"/>
      <c r="AQ45" s="1405"/>
      <c r="AR45" s="36"/>
    </row>
    <row r="46" spans="2:44" ht="15.95" customHeight="1" thickBot="1">
      <c r="B46" s="36"/>
      <c r="C46" s="1409">
        <f>M02S04F23</f>
        <v>0</v>
      </c>
      <c r="D46" s="1409"/>
      <c r="E46" s="1409"/>
      <c r="F46" s="1409"/>
      <c r="G46" s="1409"/>
      <c r="H46" s="1409"/>
      <c r="I46" s="1409"/>
      <c r="J46" s="1409"/>
      <c r="K46" s="1409"/>
      <c r="L46" s="1409"/>
      <c r="M46" s="1409"/>
      <c r="N46" s="1409"/>
      <c r="O46" s="1409"/>
      <c r="P46" s="1409"/>
      <c r="Q46" s="1409"/>
      <c r="R46" s="1409"/>
      <c r="S46" s="1409"/>
      <c r="T46" s="1409"/>
      <c r="U46" s="1409"/>
      <c r="V46" s="1409"/>
      <c r="W46" s="1409"/>
      <c r="X46" s="1409"/>
      <c r="Y46" s="1409"/>
      <c r="Z46" s="1409"/>
      <c r="AA46" s="1409"/>
      <c r="AB46" s="1409"/>
      <c r="AC46" s="1409"/>
      <c r="AE46" s="1395" t="s">
        <v>2006</v>
      </c>
      <c r="AF46" s="1396"/>
      <c r="AG46" s="1396"/>
      <c r="AH46" s="1397"/>
      <c r="AI46" s="1398">
        <f ca="1">SUM(EXPORT!S3:S343)</f>
        <v>0</v>
      </c>
      <c r="AJ46" s="1398"/>
      <c r="AK46" s="1398"/>
      <c r="AL46" s="1398"/>
      <c r="AM46" s="1398"/>
      <c r="AN46" s="1398"/>
      <c r="AO46" s="1398"/>
      <c r="AP46" s="1398"/>
      <c r="AQ46" s="1398"/>
      <c r="AR46" s="36"/>
    </row>
    <row r="47" spans="2:44" ht="15.95" customHeight="1" thickBot="1">
      <c r="B47" s="36"/>
      <c r="C47" s="1410"/>
      <c r="D47" s="1410"/>
      <c r="E47" s="1410"/>
      <c r="F47" s="1410"/>
      <c r="G47" s="1410"/>
      <c r="H47" s="1410"/>
      <c r="I47" s="1410"/>
      <c r="J47" s="1410"/>
      <c r="K47" s="1410"/>
      <c r="L47" s="1410"/>
      <c r="M47" s="1410"/>
      <c r="N47" s="1410"/>
      <c r="O47" s="1410"/>
      <c r="P47" s="1410"/>
      <c r="Q47" s="1410"/>
      <c r="R47" s="1410"/>
      <c r="S47" s="1410"/>
      <c r="T47" s="1410"/>
      <c r="U47" s="1410"/>
      <c r="V47" s="1410"/>
      <c r="W47" s="1410"/>
      <c r="X47" s="1410"/>
      <c r="Y47" s="1410"/>
      <c r="Z47" s="1410"/>
      <c r="AA47" s="1410"/>
      <c r="AB47" s="1410"/>
      <c r="AC47" s="1410"/>
      <c r="AE47" s="1395" t="s">
        <v>2007</v>
      </c>
      <c r="AF47" s="1396"/>
      <c r="AG47" s="1396"/>
      <c r="AH47" s="1397"/>
      <c r="AI47" s="1414">
        <f ca="1">SUM(EXPORT!T3:T343)</f>
        <v>0</v>
      </c>
      <c r="AJ47" s="1415"/>
      <c r="AK47" s="1415"/>
      <c r="AL47" s="1415"/>
      <c r="AM47" s="1415"/>
      <c r="AN47" s="1415"/>
      <c r="AO47" s="1415"/>
      <c r="AP47" s="1415"/>
      <c r="AQ47" s="1416"/>
      <c r="AR47" s="36"/>
    </row>
    <row r="48" spans="2:44" ht="15.95" customHeight="1" thickBot="1">
      <c r="B48" s="36"/>
      <c r="C48" s="1410"/>
      <c r="D48" s="1410"/>
      <c r="E48" s="1410"/>
      <c r="F48" s="1410"/>
      <c r="G48" s="1410"/>
      <c r="H48" s="1410"/>
      <c r="I48" s="1410"/>
      <c r="J48" s="1410"/>
      <c r="K48" s="1410"/>
      <c r="L48" s="1410"/>
      <c r="M48" s="1410"/>
      <c r="N48" s="1410"/>
      <c r="O48" s="1410"/>
      <c r="P48" s="1410"/>
      <c r="Q48" s="1410"/>
      <c r="R48" s="1410"/>
      <c r="S48" s="1410"/>
      <c r="T48" s="1410"/>
      <c r="U48" s="1410"/>
      <c r="V48" s="1410"/>
      <c r="W48" s="1410"/>
      <c r="X48" s="1410"/>
      <c r="Y48" s="1410"/>
      <c r="Z48" s="1410"/>
      <c r="AA48" s="1410"/>
      <c r="AB48" s="1410"/>
      <c r="AC48" s="1410"/>
      <c r="AE48" s="1395" t="s">
        <v>1624</v>
      </c>
      <c r="AF48" s="1396"/>
      <c r="AG48" s="1396"/>
      <c r="AH48" s="1397"/>
      <c r="AI48" s="1414">
        <f ca="1">SUM(EXPORT!U3:U343)</f>
        <v>0</v>
      </c>
      <c r="AJ48" s="1415"/>
      <c r="AK48" s="1415"/>
      <c r="AL48" s="1415"/>
      <c r="AM48" s="1415"/>
      <c r="AN48" s="1415"/>
      <c r="AO48" s="1415"/>
      <c r="AP48" s="1415"/>
      <c r="AQ48" s="1416"/>
      <c r="AR48" s="36"/>
    </row>
    <row r="49" spans="2:44" ht="15.95" customHeight="1" thickBot="1">
      <c r="B49" s="36"/>
      <c r="C49" s="1410"/>
      <c r="D49" s="1410"/>
      <c r="E49" s="1410"/>
      <c r="F49" s="1410"/>
      <c r="G49" s="1410"/>
      <c r="H49" s="1410"/>
      <c r="I49" s="1410"/>
      <c r="J49" s="1410"/>
      <c r="K49" s="1410"/>
      <c r="L49" s="1410"/>
      <c r="M49" s="1410"/>
      <c r="N49" s="1410"/>
      <c r="O49" s="1410"/>
      <c r="P49" s="1410"/>
      <c r="Q49" s="1410"/>
      <c r="R49" s="1410"/>
      <c r="S49" s="1410"/>
      <c r="T49" s="1410"/>
      <c r="U49" s="1410"/>
      <c r="V49" s="1410"/>
      <c r="W49" s="1410"/>
      <c r="X49" s="1410"/>
      <c r="Y49" s="1410"/>
      <c r="Z49" s="1410"/>
      <c r="AA49" s="1410"/>
      <c r="AB49" s="1410"/>
      <c r="AC49" s="1410"/>
      <c r="AE49" s="1395"/>
      <c r="AF49" s="1396"/>
      <c r="AG49" s="1396"/>
      <c r="AH49" s="1397"/>
      <c r="AI49" s="1414"/>
      <c r="AJ49" s="1415"/>
      <c r="AK49" s="1415"/>
      <c r="AL49" s="1415"/>
      <c r="AM49" s="1415"/>
      <c r="AN49" s="1415"/>
      <c r="AO49" s="1415"/>
      <c r="AP49" s="1415"/>
      <c r="AQ49" s="1416"/>
      <c r="AR49" s="36"/>
    </row>
    <row r="50" spans="2:44" ht="15.95" customHeight="1" thickBot="1">
      <c r="B50" s="36"/>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E50" s="1395" t="s">
        <v>2050</v>
      </c>
      <c r="AF50" s="1396"/>
      <c r="AG50" s="1396"/>
      <c r="AH50" s="1397"/>
      <c r="AI50" s="1399">
        <f>SUM(EXPORT!AD3:AD343)</f>
        <v>0</v>
      </c>
      <c r="AJ50" s="1399"/>
      <c r="AK50" s="1399"/>
      <c r="AL50" s="1399"/>
      <c r="AM50" s="1399"/>
      <c r="AN50" s="1399"/>
      <c r="AO50" s="1399"/>
      <c r="AP50" s="1399"/>
      <c r="AQ50" s="1399"/>
      <c r="AR50" s="36"/>
    </row>
    <row r="51" spans="2:44" ht="15.95" customHeight="1" thickBot="1">
      <c r="B51" s="36"/>
      <c r="C51" s="1410"/>
      <c r="D51" s="1410"/>
      <c r="E51" s="1410"/>
      <c r="F51" s="1410"/>
      <c r="G51" s="1410"/>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E51" s="1395" t="s">
        <v>2051</v>
      </c>
      <c r="AF51" s="1396"/>
      <c r="AG51" s="1396"/>
      <c r="AH51" s="1397"/>
      <c r="AI51" s="1399">
        <f>SUM(EXPORT!AE3:AE343)</f>
        <v>0</v>
      </c>
      <c r="AJ51" s="1399"/>
      <c r="AK51" s="1399"/>
      <c r="AL51" s="1399"/>
      <c r="AM51" s="1399"/>
      <c r="AN51" s="1399"/>
      <c r="AO51" s="1399"/>
      <c r="AP51" s="1399"/>
      <c r="AQ51" s="1399"/>
      <c r="AR51" s="36"/>
    </row>
    <row r="52" spans="2:44" ht="15.95" customHeight="1">
      <c r="B52" s="36"/>
      <c r="AR52" s="36"/>
    </row>
    <row r="53" spans="2:44" s="14" customFormat="1" ht="15.95" hidden="1" customHeight="1">
      <c r="B53" s="36"/>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s="36"/>
    </row>
    <row r="54" spans="2:44" s="180" customFormat="1" ht="15.95" hidden="1" customHeight="1">
      <c r="B54" s="36"/>
      <c r="AR54" s="36"/>
    </row>
    <row r="55" spans="2:44" s="14" customFormat="1" ht="15.95" hidden="1" customHeight="1">
      <c r="B55" s="36"/>
      <c r="AD55"/>
      <c r="AE55"/>
      <c r="AF55"/>
      <c r="AG55"/>
      <c r="AH55"/>
      <c r="AI55"/>
      <c r="AJ55"/>
      <c r="AK55"/>
      <c r="AL55"/>
      <c r="AM55"/>
      <c r="AN55"/>
      <c r="AO55"/>
      <c r="AP55"/>
      <c r="AQ55"/>
      <c r="AR55" s="36"/>
    </row>
    <row r="56" spans="2:44" ht="15.95" hidden="1" customHeight="1">
      <c r="B56" s="36"/>
      <c r="AR56" s="36"/>
    </row>
    <row r="57" spans="2:44" ht="15.95" hidden="1" customHeight="1">
      <c r="B57" s="36"/>
      <c r="AR57" s="36"/>
    </row>
    <row r="58" spans="2:44" ht="15.95" hidden="1" customHeight="1">
      <c r="B58" s="36"/>
      <c r="AR58" s="36"/>
    </row>
    <row r="59" spans="2:44" ht="15.95" hidden="1" customHeight="1">
      <c r="B59" s="36"/>
      <c r="AR59" s="36"/>
    </row>
    <row r="60" spans="2:44" ht="15.95" hidden="1" customHeight="1">
      <c r="B60" s="36"/>
      <c r="AR60" s="36"/>
    </row>
    <row r="61" spans="2:44" ht="15.95" hidden="1" customHeight="1"/>
    <row r="62" spans="2:44" ht="15.95" hidden="1" customHeight="1"/>
    <row r="63" spans="2:44" ht="15.95" hidden="1" customHeight="1"/>
    <row r="64" spans="2:4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s="14" customFormat="1" ht="15.95" hidden="1" customHeight="1"/>
    <row r="190" s="180" customFormat="1" ht="15.95" hidden="1" customHeight="1"/>
    <row r="191" s="180" customFormat="1" ht="15.95" hidden="1" customHeight="1"/>
    <row r="192" s="180" customFormat="1" ht="15.95" hidden="1" customHeight="1"/>
    <row r="193" spans="1:45" s="180" customFormat="1" ht="15.95" hidden="1" customHeight="1"/>
    <row r="194" spans="1:45" s="180" customFormat="1" ht="15.95" hidden="1" customHeight="1"/>
    <row r="195" spans="1:45" s="14" customFormat="1" ht="15.95" hidden="1" customHeight="1"/>
    <row r="196" spans="1:45" s="14" customFormat="1" ht="15.95" hidden="1" customHeight="1"/>
    <row r="197" spans="1:45" s="14" customFormat="1" ht="15.95" hidden="1" customHeight="1"/>
    <row r="198" spans="1:45" ht="15.95" hidden="1" customHeight="1"/>
    <row r="199" spans="1:45" ht="15.75" hidden="1" customHeight="1"/>
    <row r="200" spans="1:45" s="180" customFormat="1" ht="15.95" customHeight="1">
      <c r="A200" s="443"/>
      <c r="B200" s="444" t="str">
        <f>FOOT1</f>
        <v>Evergy Business Energy Savings Program</v>
      </c>
      <c r="C200" s="444"/>
      <c r="D200" s="444"/>
      <c r="E200" s="444"/>
      <c r="F200" s="444"/>
      <c r="G200" s="444"/>
      <c r="H200" s="444"/>
      <c r="I200" s="444"/>
      <c r="J200" s="444"/>
      <c r="K200" s="444"/>
      <c r="L200" s="444"/>
      <c r="M200" s="703" t="str">
        <f>FOOTDISCLAIM</f>
        <v/>
      </c>
      <c r="N200" s="703"/>
      <c r="O200" s="703"/>
      <c r="P200" s="703"/>
      <c r="Q200" s="703"/>
      <c r="R200" s="703"/>
      <c r="S200" s="703"/>
      <c r="T200" s="703"/>
      <c r="U200" s="703"/>
      <c r="V200" s="703"/>
      <c r="W200" s="703"/>
      <c r="X200" s="703"/>
      <c r="Y200" s="703"/>
      <c r="Z200" s="703"/>
      <c r="AA200" s="703"/>
      <c r="AB200" s="703"/>
      <c r="AC200" s="703"/>
      <c r="AD200" s="703"/>
      <c r="AE200" s="703"/>
      <c r="AF200" s="703"/>
      <c r="AG200" s="703"/>
      <c r="AH200" s="444"/>
      <c r="AI200" s="444"/>
      <c r="AJ200" s="444"/>
      <c r="AK200" s="444"/>
      <c r="AL200" s="444"/>
      <c r="AM200" s="444"/>
      <c r="AN200" s="444"/>
      <c r="AO200" s="444"/>
      <c r="AP200" s="444"/>
      <c r="AQ200" s="444"/>
      <c r="AR200" s="445" t="str">
        <f>FOOT4</f>
        <v/>
      </c>
      <c r="AS200" s="443"/>
    </row>
    <row r="201" spans="1:45" s="180" customFormat="1" ht="15.95" customHeight="1">
      <c r="A201" s="443"/>
      <c r="B201" s="444" t="str">
        <f>FOOT2</f>
        <v>(866) 847-5228</v>
      </c>
      <c r="C201" s="444"/>
      <c r="D201" s="444"/>
      <c r="E201" s="444"/>
      <c r="F201" s="444"/>
      <c r="G201" s="444"/>
      <c r="H201" s="444"/>
      <c r="I201" s="444"/>
      <c r="J201" s="444"/>
      <c r="K201" s="444"/>
      <c r="L201" s="444"/>
      <c r="M201" s="703"/>
      <c r="N201" s="703"/>
      <c r="O201" s="703"/>
      <c r="P201" s="703"/>
      <c r="Q201" s="703"/>
      <c r="R201" s="703"/>
      <c r="S201" s="703"/>
      <c r="T201" s="703"/>
      <c r="U201" s="703"/>
      <c r="V201" s="703"/>
      <c r="W201" s="703"/>
      <c r="X201" s="703"/>
      <c r="Y201" s="703"/>
      <c r="Z201" s="703"/>
      <c r="AA201" s="703"/>
      <c r="AB201" s="703"/>
      <c r="AC201" s="703"/>
      <c r="AD201" s="703"/>
      <c r="AE201" s="703"/>
      <c r="AF201" s="703"/>
      <c r="AG201" s="703"/>
      <c r="AH201" s="444"/>
      <c r="AI201" s="444"/>
      <c r="AJ201" s="444"/>
      <c r="AK201" s="444"/>
      <c r="AL201" s="444"/>
      <c r="AM201" s="444"/>
      <c r="AN201" s="444"/>
      <c r="AO201" s="444"/>
      <c r="AP201" s="444"/>
      <c r="AQ201" s="444"/>
      <c r="AR201" s="445" t="str">
        <f>FOOT5</f>
        <v/>
      </c>
      <c r="AS201" s="443"/>
    </row>
    <row r="202" spans="1:45" s="180" customFormat="1" ht="15.95" customHeight="1">
      <c r="A202" s="443"/>
      <c r="B202" s="444" t="s">
        <v>2068</v>
      </c>
      <c r="C202" s="444"/>
      <c r="D202" s="444"/>
      <c r="E202" s="444"/>
      <c r="F202" s="444"/>
      <c r="G202" s="444"/>
      <c r="H202" s="444"/>
      <c r="I202" s="444"/>
      <c r="J202" s="444"/>
      <c r="K202" s="444"/>
      <c r="L202" s="444"/>
      <c r="M202" s="446"/>
      <c r="N202" s="444"/>
      <c r="O202" s="444"/>
      <c r="P202" s="446"/>
      <c r="Q202" s="446"/>
      <c r="R202" s="446"/>
      <c r="S202" s="446"/>
      <c r="T202" s="446"/>
      <c r="U202" s="446"/>
      <c r="V202" s="446"/>
      <c r="W202" s="447" t="str">
        <f>VERSION</f>
        <v>v2.1.2</v>
      </c>
      <c r="X202" s="446"/>
      <c r="Y202" s="446"/>
      <c r="Z202" s="446"/>
      <c r="AA202" s="446"/>
      <c r="AB202" s="446"/>
      <c r="AC202" s="446"/>
      <c r="AD202" s="446"/>
      <c r="AE202" s="444"/>
      <c r="AF202" s="444"/>
      <c r="AG202" s="444"/>
      <c r="AH202" s="444"/>
      <c r="AI202" s="444"/>
      <c r="AJ202" s="444"/>
      <c r="AK202" s="444"/>
      <c r="AL202" s="444"/>
      <c r="AM202" s="444"/>
      <c r="AN202" s="444"/>
      <c r="AO202" s="444"/>
      <c r="AP202" s="444"/>
      <c r="AQ202" s="444"/>
      <c r="AR202" s="448" t="str">
        <f>FOOT6</f>
        <v>This is a TRC tool</v>
      </c>
      <c r="AS202" s="443"/>
    </row>
    <row r="203" spans="1:45" ht="15" hidden="1" customHeight="1"/>
    <row r="204" spans="1:45" ht="15" hidden="1" customHeight="1"/>
    <row r="205" spans="1:45" ht="15" hidden="1" customHeight="1"/>
    <row r="206" spans="1:45" ht="15" hidden="1" customHeight="1"/>
    <row r="207" spans="1:45" ht="15" hidden="1" customHeight="1"/>
    <row r="208" spans="1:45"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sheetData>
  <sheetProtection algorithmName="SHA-512" hashValue="jlEpTg/HLVNi4ILdrRyjji+f/0d7pI/edSiuEsmxTcVqE6tpKW3H3DEu0ro54f3fxJWjPDqzJxTUxhkouNZR6g==" saltValue="M98A3gr2N1TR8jCLnCPFuA==" spinCount="100000" sheet="1" objects="1" scenarios="1"/>
  <mergeCells count="207">
    <mergeCell ref="B12:B13"/>
    <mergeCell ref="C11:U11"/>
    <mergeCell ref="R18:U18"/>
    <mergeCell ref="R19:U19"/>
    <mergeCell ref="R20:U20"/>
    <mergeCell ref="R21:U21"/>
    <mergeCell ref="R22:U22"/>
    <mergeCell ref="R23:U23"/>
    <mergeCell ref="N15:U15"/>
    <mergeCell ref="C15:L15"/>
    <mergeCell ref="N16:Q16"/>
    <mergeCell ref="N17:Q17"/>
    <mergeCell ref="N19:Q19"/>
    <mergeCell ref="N20:Q20"/>
    <mergeCell ref="N21:Q21"/>
    <mergeCell ref="N22:Q22"/>
    <mergeCell ref="N23:Q23"/>
    <mergeCell ref="G16:L16"/>
    <mergeCell ref="C18:F18"/>
    <mergeCell ref="G19:L19"/>
    <mergeCell ref="G20:L20"/>
    <mergeCell ref="G21:L21"/>
    <mergeCell ref="G22:L22"/>
    <mergeCell ref="C16:F16"/>
    <mergeCell ref="G18:L18"/>
    <mergeCell ref="AH12:AQ12"/>
    <mergeCell ref="AL21:AQ21"/>
    <mergeCell ref="AL22:AQ22"/>
    <mergeCell ref="AL23:AQ23"/>
    <mergeCell ref="AH21:AK21"/>
    <mergeCell ref="AH22:AK22"/>
    <mergeCell ref="AH23:AK23"/>
    <mergeCell ref="W12:AF12"/>
    <mergeCell ref="W19:AF23"/>
    <mergeCell ref="W13:AF17"/>
    <mergeCell ref="W18:AF18"/>
    <mergeCell ref="C12:U13"/>
    <mergeCell ref="R16:U16"/>
    <mergeCell ref="R17:U17"/>
    <mergeCell ref="G17:L17"/>
    <mergeCell ref="N18:Q18"/>
    <mergeCell ref="G23:L23"/>
    <mergeCell ref="AE50:AH50"/>
    <mergeCell ref="AI50:AQ50"/>
    <mergeCell ref="AE51:AH51"/>
    <mergeCell ref="AI51:AQ51"/>
    <mergeCell ref="AL15:AQ15"/>
    <mergeCell ref="AL13:AQ13"/>
    <mergeCell ref="AL14:AQ14"/>
    <mergeCell ref="AL16:AQ16"/>
    <mergeCell ref="AL17:AQ17"/>
    <mergeCell ref="AL18:AQ18"/>
    <mergeCell ref="AH13:AK13"/>
    <mergeCell ref="AH14:AK14"/>
    <mergeCell ref="AH15:AK15"/>
    <mergeCell ref="AH16:AK16"/>
    <mergeCell ref="AH17:AK17"/>
    <mergeCell ref="AH18:AK18"/>
    <mergeCell ref="AI48:AQ48"/>
    <mergeCell ref="AE38:AH38"/>
    <mergeCell ref="AI31:AQ31"/>
    <mergeCell ref="AI26:AQ26"/>
    <mergeCell ref="AI40:AQ40"/>
    <mergeCell ref="AI41:AQ41"/>
    <mergeCell ref="AE43:AH43"/>
    <mergeCell ref="AI43:AQ43"/>
    <mergeCell ref="AE42:AH42"/>
    <mergeCell ref="AE39:AH39"/>
    <mergeCell ref="AE49:AH49"/>
    <mergeCell ref="AI49:AQ49"/>
    <mergeCell ref="AI28:AQ28"/>
    <mergeCell ref="AI42:AQ42"/>
    <mergeCell ref="AE47:AH47"/>
    <mergeCell ref="AI47:AQ47"/>
    <mergeCell ref="AE48:AH48"/>
    <mergeCell ref="AE44:AH44"/>
    <mergeCell ref="AI44:AQ44"/>
    <mergeCell ref="AE45:AH45"/>
    <mergeCell ref="AI45:AQ45"/>
    <mergeCell ref="AE46:AH46"/>
    <mergeCell ref="AI46:AQ46"/>
    <mergeCell ref="AI30:AQ30"/>
    <mergeCell ref="AI29:AQ29"/>
    <mergeCell ref="AI32:AM32"/>
    <mergeCell ref="AN32:AO32"/>
    <mergeCell ref="AP32:AQ32"/>
    <mergeCell ref="AE35:AH35"/>
    <mergeCell ref="AE31:AH31"/>
    <mergeCell ref="AE29:AH29"/>
    <mergeCell ref="AI39:AQ39"/>
    <mergeCell ref="U42:Y42"/>
    <mergeCell ref="Z42:AC42"/>
    <mergeCell ref="U41:Y41"/>
    <mergeCell ref="C46:AC51"/>
    <mergeCell ref="AH20:AQ20"/>
    <mergeCell ref="C43:F43"/>
    <mergeCell ref="C27:F27"/>
    <mergeCell ref="G27:K27"/>
    <mergeCell ref="L27:O27"/>
    <mergeCell ref="Q27:T27"/>
    <mergeCell ref="U28:AC28"/>
    <mergeCell ref="U27:Y27"/>
    <mergeCell ref="Z27:AC27"/>
    <mergeCell ref="C38:F38"/>
    <mergeCell ref="G38:O38"/>
    <mergeCell ref="G37:O37"/>
    <mergeCell ref="C37:F37"/>
    <mergeCell ref="C36:F36"/>
    <mergeCell ref="G36:O36"/>
    <mergeCell ref="Q36:T36"/>
    <mergeCell ref="G43:O43"/>
    <mergeCell ref="Q43:T43"/>
    <mergeCell ref="U43:AC43"/>
    <mergeCell ref="C20:F20"/>
    <mergeCell ref="AE41:AH41"/>
    <mergeCell ref="Q34:AC34"/>
    <mergeCell ref="AE34:AQ34"/>
    <mergeCell ref="AI35:AQ35"/>
    <mergeCell ref="AI36:AQ36"/>
    <mergeCell ref="AI37:AQ37"/>
    <mergeCell ref="Q38:T38"/>
    <mergeCell ref="U38:AC38"/>
    <mergeCell ref="AI27:AM27"/>
    <mergeCell ref="AN27:AQ27"/>
    <mergeCell ref="AE30:AH30"/>
    <mergeCell ref="Q37:T37"/>
    <mergeCell ref="Q30:T30"/>
    <mergeCell ref="U30:AC30"/>
    <mergeCell ref="U36:AC36"/>
    <mergeCell ref="Q29:T29"/>
    <mergeCell ref="U29:AC29"/>
    <mergeCell ref="Q31:T31"/>
    <mergeCell ref="U31:AC31"/>
    <mergeCell ref="AI38:AQ38"/>
    <mergeCell ref="AE40:AH40"/>
    <mergeCell ref="C29:F29"/>
    <mergeCell ref="G29:O29"/>
    <mergeCell ref="U32:Y32"/>
    <mergeCell ref="Z32:AA32"/>
    <mergeCell ref="AB32:AC32"/>
    <mergeCell ref="Q42:T42"/>
    <mergeCell ref="C41:F41"/>
    <mergeCell ref="G41:O41"/>
    <mergeCell ref="C39:F39"/>
    <mergeCell ref="G39:O39"/>
    <mergeCell ref="C40:F40"/>
    <mergeCell ref="G40:O40"/>
    <mergeCell ref="Q41:T41"/>
    <mergeCell ref="G35:O35"/>
    <mergeCell ref="U37:Y37"/>
    <mergeCell ref="Z37:AC37"/>
    <mergeCell ref="Q35:T35"/>
    <mergeCell ref="U35:AC35"/>
    <mergeCell ref="Z41:AA41"/>
    <mergeCell ref="AB41:AC41"/>
    <mergeCell ref="Q40:T40"/>
    <mergeCell ref="U40:AC40"/>
    <mergeCell ref="C35:F35"/>
    <mergeCell ref="C34:O34"/>
    <mergeCell ref="M200:AG201"/>
    <mergeCell ref="AE26:AH26"/>
    <mergeCell ref="AE27:AH27"/>
    <mergeCell ref="C45:AC45"/>
    <mergeCell ref="C42:F42"/>
    <mergeCell ref="C32:F32"/>
    <mergeCell ref="G32:K32"/>
    <mergeCell ref="L32:M32"/>
    <mergeCell ref="N32:O32"/>
    <mergeCell ref="Q32:T32"/>
    <mergeCell ref="AE32:AH32"/>
    <mergeCell ref="C28:F28"/>
    <mergeCell ref="G28:O28"/>
    <mergeCell ref="Q28:T28"/>
    <mergeCell ref="AE28:AH28"/>
    <mergeCell ref="G42:O42"/>
    <mergeCell ref="Q39:T39"/>
    <mergeCell ref="U39:AC39"/>
    <mergeCell ref="AE36:AH36"/>
    <mergeCell ref="AE37:AH37"/>
    <mergeCell ref="C31:F31"/>
    <mergeCell ref="G31:O31"/>
    <mergeCell ref="C30:F30"/>
    <mergeCell ref="G30:O30"/>
    <mergeCell ref="O1:AE3"/>
    <mergeCell ref="C22:F22"/>
    <mergeCell ref="U26:AC26"/>
    <mergeCell ref="A9:AS10"/>
    <mergeCell ref="AP1:AS3"/>
    <mergeCell ref="A4:E6"/>
    <mergeCell ref="A7:E8"/>
    <mergeCell ref="F1:I3"/>
    <mergeCell ref="J1:M3"/>
    <mergeCell ref="AH1:AK3"/>
    <mergeCell ref="AL1:AO3"/>
    <mergeCell ref="AO5:AS6"/>
    <mergeCell ref="AO7:AS7"/>
    <mergeCell ref="AO8:AS8"/>
    <mergeCell ref="C23:F23"/>
    <mergeCell ref="C25:O25"/>
    <mergeCell ref="Q25:AC25"/>
    <mergeCell ref="C26:F26"/>
    <mergeCell ref="G26:O26"/>
    <mergeCell ref="Q26:T26"/>
    <mergeCell ref="C19:F19"/>
    <mergeCell ref="C21:F21"/>
    <mergeCell ref="C17:F17"/>
    <mergeCell ref="AE25:AQ25"/>
  </mergeCells>
  <conditionalFormatting sqref="AL13:AL18 AL21:AL23">
    <cfRule type="containsBlanks" dxfId="8" priority="103">
      <formula>LEN(TRIM(AL13))=0</formula>
    </cfRule>
  </conditionalFormatting>
  <conditionalFormatting sqref="AL21">
    <cfRule type="containsBlanks" dxfId="7" priority="15">
      <formula>LEN(TRIM(AL21))=0</formula>
    </cfRule>
  </conditionalFormatting>
  <conditionalFormatting sqref="R16:R23">
    <cfRule type="containsText" dxfId="6" priority="12" operator="containsText" text="Incomplete">
      <formula>NOT(ISERROR(SEARCH("Incomplete",R16)))</formula>
    </cfRule>
    <cfRule type="containsText" dxfId="5" priority="13" operator="containsText" text="Almost">
      <formula>NOT(ISERROR(SEARCH("Almost",R16)))</formula>
    </cfRule>
  </conditionalFormatting>
  <conditionalFormatting sqref="AO8:AS8">
    <cfRule type="expression" dxfId="4" priority="9">
      <formula>IF($AO$8=PROJSTATMEASURE,FALSE,TRUE)</formula>
    </cfRule>
  </conditionalFormatting>
  <conditionalFormatting sqref="W13">
    <cfRule type="containsBlanks" dxfId="3" priority="7">
      <formula>LEN(TRIM(W13))=0</formula>
    </cfRule>
  </conditionalFormatting>
  <conditionalFormatting sqref="W19">
    <cfRule type="containsBlanks" dxfId="2" priority="6">
      <formula>LEN(TRIM(W19))=0</formula>
    </cfRule>
  </conditionalFormatting>
  <conditionalFormatting sqref="B12:B13">
    <cfRule type="expression" dxfId="1" priority="2">
      <formula>IF($C$12="",TRUE,FALSE)</formula>
    </cfRule>
  </conditionalFormatting>
  <conditionalFormatting sqref="C11:U11">
    <cfRule type="expression" dxfId="0" priority="1">
      <formula>IF($C$12="",TRUE,FALSE)</formula>
    </cfRule>
  </conditionalFormatting>
  <dataValidations count="7">
    <dataValidation type="list" allowBlank="1" showInputMessage="1" sqref="AL14" xr:uid="{00000000-0002-0000-1200-000000000000}">
      <formula1>IMPLSPECNAME</formula1>
    </dataValidation>
    <dataValidation type="list" allowBlank="1" showInputMessage="1" sqref="G19" xr:uid="{CC8CFAB9-EC50-43A9-983E-E3B83E8E928F}">
      <formula1>PROJECTTYPELIST</formula1>
    </dataValidation>
    <dataValidation type="list" allowBlank="1" showInputMessage="1" sqref="AL15" xr:uid="{00000000-0002-0000-1200-000001000000}">
      <formula1>ENGNRSNAMES</formula1>
    </dataValidation>
    <dataValidation type="list" allowBlank="1" showInputMessage="1" showErrorMessage="1" sqref="AL16" xr:uid="{00000000-0002-0000-1200-000002000000}">
      <formula1>"SUBMITTED,REVIEWED,FINAL"</formula1>
    </dataValidation>
    <dataValidation type="list" allowBlank="1" showInputMessage="1" sqref="AL18" xr:uid="{00000000-0002-0000-1200-000004000000}">
      <formula1>BUSDEVELNAME</formula1>
    </dataValidation>
    <dataValidation type="list" allowBlank="1" showInputMessage="1" showErrorMessage="1" sqref="AL23" xr:uid="{A81A12AD-D259-4081-932E-94D6A040F40C}">
      <formula1>YESNOLIST</formula1>
    </dataValidation>
    <dataValidation type="list" allowBlank="1" showInputMessage="1" showErrorMessage="1" sqref="AL21 AL22" xr:uid="{7B606C93-B337-41E6-92D8-66E561EE1F67}">
      <formula1>"Yes, No"</formula1>
    </dataValidation>
  </dataValidations>
  <hyperlinks>
    <hyperlink ref="J1:M3" location="'M01-S02'!J1" tooltip="Instructions" display="'M01-S02'!J1" xr:uid="{47A7A211-C096-4F85-A8B3-225959E8F966}"/>
    <hyperlink ref="AL1:AO3" location="'M05-S05'!AL1" tooltip=" " display="'M05-S05'!AL1" xr:uid="{8C37FE02-CC46-4E8D-92DA-FAAC78F7D36A}"/>
    <hyperlink ref="AH1:AK3" location="'M05-S04'!AH1" tooltip=" " display="'M05-S04'!AH1" xr:uid="{A5E0B766-8BC3-421A-99F6-40C711E87272}"/>
    <hyperlink ref="AP1:AS3" location="'M01-S03'!AP1" tooltip="Contact" display="'M01-S03'!AP1" xr:uid="{0A812249-14F3-421B-979F-948C0A86B5F5}"/>
    <hyperlink ref="B202" r:id="rId1" xr:uid="{57437073-5CDF-4ECD-BC4A-4231A757EB75}"/>
  </hyperlinks>
  <printOptions horizontalCentered="1"/>
  <pageMargins left="0.25" right="0.25" top="0.25" bottom="0.25" header="0.25" footer="0.25"/>
  <pageSetup scale="6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sheetPr>
  <dimension ref="A1:AS151"/>
  <sheetViews>
    <sheetView showGridLines="0" zoomScale="66" zoomScaleNormal="85" workbookViewId="0">
      <pane xSplit="4" ySplit="2" topLeftCell="Q3" activePane="bottomRight" state="frozen"/>
      <selection activeCell="H30" sqref="H30"/>
      <selection pane="topRight" activeCell="H30" sqref="H30"/>
      <selection pane="bottomLeft" activeCell="H30" sqref="H30"/>
      <selection pane="bottomRight" activeCell="W17" sqref="W17"/>
    </sheetView>
  </sheetViews>
  <sheetFormatPr defaultColWidth="0" defaultRowHeight="14.25" customHeight="1"/>
  <cols>
    <col min="1" max="1" width="4.7109375" style="13" customWidth="1"/>
    <col min="2" max="2" width="21.28515625" style="13" bestFit="1" customWidth="1"/>
    <col min="3" max="3" width="90.5703125" style="13" bestFit="1" customWidth="1"/>
    <col min="4" max="4" width="16.7109375" style="13" bestFit="1" customWidth="1"/>
    <col min="5" max="5" width="91.28515625" style="13" bestFit="1" customWidth="1"/>
    <col min="6" max="6" width="13.5703125" style="13" bestFit="1" customWidth="1"/>
    <col min="7" max="7" width="23.28515625" style="13" bestFit="1" customWidth="1"/>
    <col min="8" max="8" width="16.5703125" style="13" bestFit="1" customWidth="1"/>
    <col min="9" max="9" width="21.140625" style="13" bestFit="1" customWidth="1"/>
    <col min="10" max="10" width="23.140625" style="492" customWidth="1"/>
    <col min="11" max="11" width="43.5703125" style="13" bestFit="1" customWidth="1"/>
    <col min="12" max="12" width="45" style="13" bestFit="1" customWidth="1"/>
    <col min="13" max="13" width="24.140625" style="13" bestFit="1" customWidth="1"/>
    <col min="14" max="14" width="130.42578125" style="13" bestFit="1" customWidth="1"/>
    <col min="15" max="15" width="28.42578125" style="13" bestFit="1" customWidth="1"/>
    <col min="16" max="16" width="73.7109375" style="13" bestFit="1" customWidth="1"/>
    <col min="17" max="17" width="28.140625" style="13" bestFit="1" customWidth="1"/>
    <col min="18" max="18" width="23.28515625" style="13" bestFit="1" customWidth="1"/>
    <col min="19" max="19" width="11.28515625" style="13" bestFit="1" customWidth="1"/>
    <col min="20" max="20" width="27.140625" style="565" bestFit="1" customWidth="1"/>
    <col min="21" max="22" width="28" style="13" bestFit="1" customWidth="1"/>
    <col min="23" max="23" width="25" style="13" bestFit="1" customWidth="1"/>
    <col min="24" max="24" width="25.42578125" style="13" bestFit="1" customWidth="1"/>
    <col min="25" max="25" width="25.85546875" style="13" bestFit="1" customWidth="1"/>
    <col min="26" max="26" width="20.42578125" style="13" bestFit="1" customWidth="1"/>
    <col min="27" max="27" width="24.28515625" style="13" bestFit="1" customWidth="1"/>
    <col min="28" max="28" width="29.5703125" style="13" bestFit="1" customWidth="1"/>
    <col min="29" max="29" width="4.7109375" style="13" customWidth="1"/>
    <col min="30" max="30" width="33.85546875" style="13" bestFit="1" customWidth="1"/>
    <col min="31" max="45" width="4.7109375" style="13" customWidth="1"/>
    <col min="46" max="16384" width="4.7109375" style="13" hidden="1"/>
  </cols>
  <sheetData>
    <row r="1" spans="2:37" ht="15"/>
    <row r="2" spans="2:37" ht="14.25" customHeight="1">
      <c r="B2" s="509" t="s">
        <v>85</v>
      </c>
      <c r="C2" s="509" t="s">
        <v>1300</v>
      </c>
      <c r="D2" s="509" t="s">
        <v>1301</v>
      </c>
      <c r="E2" s="509" t="s">
        <v>1348</v>
      </c>
      <c r="F2" s="509" t="s">
        <v>0</v>
      </c>
      <c r="G2" s="509" t="s">
        <v>1302</v>
      </c>
      <c r="H2" s="491" t="s">
        <v>1303</v>
      </c>
      <c r="I2" s="510" t="s">
        <v>1304</v>
      </c>
      <c r="J2" s="510" t="s">
        <v>2891</v>
      </c>
      <c r="K2" s="509" t="s">
        <v>1305</v>
      </c>
      <c r="L2" s="509" t="s">
        <v>1306</v>
      </c>
      <c r="M2" s="509" t="s">
        <v>1307</v>
      </c>
      <c r="N2" s="509" t="s">
        <v>1308</v>
      </c>
      <c r="O2" s="509" t="s">
        <v>2152</v>
      </c>
      <c r="P2" s="509" t="s">
        <v>1309</v>
      </c>
      <c r="Q2" s="509" t="s">
        <v>1310</v>
      </c>
      <c r="R2" s="509" t="s">
        <v>1311</v>
      </c>
      <c r="S2" s="509" t="s">
        <v>1312</v>
      </c>
      <c r="T2" s="509" t="s">
        <v>347</v>
      </c>
      <c r="U2" s="509" t="s">
        <v>2715</v>
      </c>
      <c r="V2" s="490" t="s">
        <v>2223</v>
      </c>
      <c r="W2" s="490" t="s">
        <v>2224</v>
      </c>
      <c r="X2" s="490" t="s">
        <v>2232</v>
      </c>
      <c r="Y2" s="490" t="s">
        <v>1906</v>
      </c>
      <c r="Z2" s="490" t="s">
        <v>1907</v>
      </c>
      <c r="AA2" s="490" t="s">
        <v>2318</v>
      </c>
      <c r="AB2" s="490" t="s">
        <v>2319</v>
      </c>
      <c r="AC2" s="563" t="s">
        <v>2401</v>
      </c>
    </row>
    <row r="3" spans="2:37" ht="14.25" customHeight="1">
      <c r="B3" s="512" t="s">
        <v>2576</v>
      </c>
      <c r="C3" s="489" t="s">
        <v>2277</v>
      </c>
      <c r="D3" s="180">
        <v>152.30000000000001</v>
      </c>
      <c r="E3" s="489" t="s">
        <v>2155</v>
      </c>
      <c r="F3" s="489" t="s">
        <v>1443</v>
      </c>
      <c r="G3" s="514" t="s">
        <v>2512</v>
      </c>
      <c r="H3" s="492" t="s">
        <v>91</v>
      </c>
      <c r="I3" s="515">
        <v>35</v>
      </c>
      <c r="J3" s="515">
        <v>35</v>
      </c>
      <c r="K3" s="515">
        <v>299.75</v>
      </c>
      <c r="L3" s="619">
        <v>532.34</v>
      </c>
      <c r="M3" s="489">
        <v>0</v>
      </c>
      <c r="N3" s="489">
        <v>12</v>
      </c>
      <c r="O3" s="489" t="s">
        <v>2514</v>
      </c>
      <c r="P3" s="489">
        <v>27.2</v>
      </c>
      <c r="Q3" s="489" t="s">
        <v>2515</v>
      </c>
      <c r="R3" s="489">
        <v>151</v>
      </c>
      <c r="S3" s="516">
        <v>43831</v>
      </c>
      <c r="T3" s="564">
        <v>1</v>
      </c>
      <c r="U3" s="566" t="s">
        <v>1373</v>
      </c>
      <c r="V3" s="493" t="s">
        <v>2164</v>
      </c>
      <c r="W3" s="517" t="s">
        <v>2320</v>
      </c>
      <c r="X3" s="517" t="s">
        <v>2281</v>
      </c>
      <c r="Y3" s="517">
        <v>1</v>
      </c>
      <c r="Z3" s="517">
        <v>215</v>
      </c>
      <c r="AA3" s="517">
        <v>1</v>
      </c>
      <c r="AB3" s="517">
        <v>9999</v>
      </c>
      <c r="AC3" s="517"/>
      <c r="AE3" s="589" t="s">
        <v>2699</v>
      </c>
    </row>
    <row r="4" spans="2:37" ht="14.25" customHeight="1">
      <c r="B4" s="512" t="s">
        <v>2577</v>
      </c>
      <c r="C4" s="489" t="s">
        <v>2278</v>
      </c>
      <c r="D4" s="180">
        <v>151.30000000000001</v>
      </c>
      <c r="E4" s="489" t="s">
        <v>2157</v>
      </c>
      <c r="F4" s="489" t="s">
        <v>1443</v>
      </c>
      <c r="G4" s="514" t="s">
        <v>2512</v>
      </c>
      <c r="H4" s="492" t="s">
        <v>91</v>
      </c>
      <c r="I4" s="515">
        <v>40</v>
      </c>
      <c r="J4" s="515">
        <v>40</v>
      </c>
      <c r="K4" s="515">
        <v>398.8</v>
      </c>
      <c r="L4" s="619">
        <v>600.28</v>
      </c>
      <c r="M4" s="489">
        <v>0</v>
      </c>
      <c r="N4" s="489">
        <v>12</v>
      </c>
      <c r="O4" s="489" t="s">
        <v>2514</v>
      </c>
      <c r="P4" s="489">
        <v>73.400000000000006</v>
      </c>
      <c r="Q4" s="489" t="s">
        <v>2516</v>
      </c>
      <c r="R4" s="489">
        <v>213</v>
      </c>
      <c r="S4" s="516">
        <v>43831</v>
      </c>
      <c r="T4" s="564">
        <v>2</v>
      </c>
      <c r="U4" s="566" t="s">
        <v>1373</v>
      </c>
      <c r="V4" s="493" t="s">
        <v>2164</v>
      </c>
      <c r="W4" s="517" t="s">
        <v>2320</v>
      </c>
      <c r="X4" s="517" t="s">
        <v>2282</v>
      </c>
      <c r="Y4" s="517">
        <v>176</v>
      </c>
      <c r="Z4" s="517">
        <v>295</v>
      </c>
      <c r="AA4" s="517">
        <v>1</v>
      </c>
      <c r="AB4" s="517">
        <v>9999</v>
      </c>
      <c r="AC4" s="517"/>
      <c r="AE4" s="590" t="s">
        <v>2700</v>
      </c>
    </row>
    <row r="5" spans="2:37" ht="14.25" customHeight="1">
      <c r="B5" s="512" t="s">
        <v>2578</v>
      </c>
      <c r="C5" s="489" t="s">
        <v>2279</v>
      </c>
      <c r="D5" s="180">
        <v>150.30000000000001</v>
      </c>
      <c r="E5" s="489" t="s">
        <v>2158</v>
      </c>
      <c r="F5" s="489" t="s">
        <v>1443</v>
      </c>
      <c r="G5" s="514" t="s">
        <v>2512</v>
      </c>
      <c r="H5" s="492" t="s">
        <v>91</v>
      </c>
      <c r="I5" s="515">
        <v>45</v>
      </c>
      <c r="J5" s="515">
        <v>45</v>
      </c>
      <c r="K5" s="515">
        <v>535</v>
      </c>
      <c r="L5" s="619">
        <v>796.79</v>
      </c>
      <c r="M5" s="489">
        <v>0</v>
      </c>
      <c r="N5" s="489">
        <v>12</v>
      </c>
      <c r="O5" s="489" t="s">
        <v>2514</v>
      </c>
      <c r="P5" s="489">
        <v>139.69999999999999</v>
      </c>
      <c r="Q5" s="489" t="s">
        <v>2517</v>
      </c>
      <c r="R5" s="489">
        <v>325</v>
      </c>
      <c r="S5" s="516">
        <v>43831</v>
      </c>
      <c r="T5" s="564">
        <v>3</v>
      </c>
      <c r="U5" s="566" t="s">
        <v>1373</v>
      </c>
      <c r="V5" s="493" t="s">
        <v>2164</v>
      </c>
      <c r="W5" s="517" t="s">
        <v>2320</v>
      </c>
      <c r="X5" s="517" t="s">
        <v>2283</v>
      </c>
      <c r="Y5" s="517">
        <v>251</v>
      </c>
      <c r="Z5" s="517">
        <v>465</v>
      </c>
      <c r="AA5" s="517">
        <v>1</v>
      </c>
      <c r="AB5" s="517">
        <v>9999</v>
      </c>
      <c r="AC5" s="517"/>
      <c r="AE5" s="597" t="s">
        <v>2701</v>
      </c>
    </row>
    <row r="6" spans="2:37" ht="14.25" customHeight="1">
      <c r="B6" s="512" t="s">
        <v>2579</v>
      </c>
      <c r="C6" s="489" t="s">
        <v>2280</v>
      </c>
      <c r="D6" s="180">
        <v>149.30000000000001</v>
      </c>
      <c r="E6" s="489" t="s">
        <v>2156</v>
      </c>
      <c r="F6" s="489" t="s">
        <v>1443</v>
      </c>
      <c r="G6" s="514" t="s">
        <v>2512</v>
      </c>
      <c r="H6" s="492" t="s">
        <v>91</v>
      </c>
      <c r="I6" s="515">
        <v>100</v>
      </c>
      <c r="J6" s="515">
        <v>100</v>
      </c>
      <c r="K6" s="515">
        <v>1182.5</v>
      </c>
      <c r="L6" s="619">
        <v>3838.61</v>
      </c>
      <c r="M6" s="489">
        <v>0</v>
      </c>
      <c r="N6" s="489">
        <v>12</v>
      </c>
      <c r="O6" s="489" t="s">
        <v>2514</v>
      </c>
      <c r="P6" s="489">
        <v>185.3</v>
      </c>
      <c r="Q6" s="489" t="s">
        <v>2518</v>
      </c>
      <c r="R6" s="489">
        <v>1078</v>
      </c>
      <c r="S6" s="516">
        <v>43831</v>
      </c>
      <c r="T6" s="564">
        <v>4</v>
      </c>
      <c r="U6" s="566" t="s">
        <v>1373</v>
      </c>
      <c r="V6" s="493" t="s">
        <v>2164</v>
      </c>
      <c r="W6" s="543" t="s">
        <v>2481</v>
      </c>
      <c r="X6" s="517" t="s">
        <v>2284</v>
      </c>
      <c r="Y6" s="517">
        <v>400</v>
      </c>
      <c r="Z6" s="517">
        <v>9999</v>
      </c>
      <c r="AA6" s="517">
        <v>1</v>
      </c>
      <c r="AB6" s="517">
        <v>9999</v>
      </c>
      <c r="AC6" s="517"/>
      <c r="AE6" s="632" t="s">
        <v>2869</v>
      </c>
    </row>
    <row r="7" spans="2:37" ht="14.25" customHeight="1">
      <c r="B7" s="589" t="s">
        <v>1731</v>
      </c>
      <c r="C7" s="492" t="s">
        <v>2723</v>
      </c>
      <c r="D7" s="180">
        <v>168.3</v>
      </c>
      <c r="E7" s="492" t="s">
        <v>1316</v>
      </c>
      <c r="F7" s="492" t="s">
        <v>1443</v>
      </c>
      <c r="G7" s="492" t="s">
        <v>1204</v>
      </c>
      <c r="H7" s="492" t="s">
        <v>91</v>
      </c>
      <c r="I7" s="494">
        <v>25</v>
      </c>
      <c r="J7" s="494">
        <v>25</v>
      </c>
      <c r="K7" s="494">
        <v>155</v>
      </c>
      <c r="L7" s="619">
        <v>236.42959999999999</v>
      </c>
      <c r="M7" s="492">
        <v>5.3699999999999998E-2</v>
      </c>
      <c r="N7" s="492">
        <v>12</v>
      </c>
      <c r="O7" s="492" t="s">
        <v>2519</v>
      </c>
      <c r="P7" s="492">
        <v>29.6</v>
      </c>
      <c r="Q7" s="492" t="s">
        <v>2520</v>
      </c>
      <c r="R7" s="492">
        <v>77.328850000000003</v>
      </c>
      <c r="S7" s="516">
        <v>43831</v>
      </c>
      <c r="T7" s="564">
        <v>5</v>
      </c>
      <c r="U7" s="566" t="s">
        <v>1373</v>
      </c>
      <c r="V7" s="13" t="s">
        <v>2309</v>
      </c>
      <c r="W7" s="532" t="s">
        <v>2322</v>
      </c>
      <c r="X7" s="496" t="s">
        <v>2638</v>
      </c>
      <c r="Y7" s="496">
        <v>1</v>
      </c>
      <c r="Z7" s="496">
        <v>9999</v>
      </c>
      <c r="AA7" s="517">
        <v>1</v>
      </c>
      <c r="AB7" s="517">
        <v>9999</v>
      </c>
      <c r="AC7" s="517"/>
    </row>
    <row r="8" spans="2:37" ht="14.25" customHeight="1">
      <c r="B8" s="589" t="s">
        <v>1733</v>
      </c>
      <c r="C8" s="492" t="s">
        <v>2724</v>
      </c>
      <c r="D8" s="180">
        <v>170.3</v>
      </c>
      <c r="E8" s="492" t="s">
        <v>1319</v>
      </c>
      <c r="F8" s="492" t="s">
        <v>1443</v>
      </c>
      <c r="G8" s="492" t="s">
        <v>1204</v>
      </c>
      <c r="H8" s="492" t="s">
        <v>91</v>
      </c>
      <c r="I8" s="494">
        <v>35</v>
      </c>
      <c r="J8" s="494">
        <v>35</v>
      </c>
      <c r="K8" s="494">
        <v>130</v>
      </c>
      <c r="L8" s="619">
        <v>233.45750000000001</v>
      </c>
      <c r="M8" s="492">
        <v>5.2999999999999999E-2</v>
      </c>
      <c r="N8" s="492">
        <v>12</v>
      </c>
      <c r="O8" s="492" t="s">
        <v>2521</v>
      </c>
      <c r="P8" s="492">
        <v>30.2</v>
      </c>
      <c r="Q8" s="492" t="s">
        <v>2522</v>
      </c>
      <c r="R8" s="492">
        <v>77.328850000000003</v>
      </c>
      <c r="S8" s="516">
        <v>43831</v>
      </c>
      <c r="T8" s="564">
        <v>6</v>
      </c>
      <c r="U8" s="566" t="s">
        <v>1373</v>
      </c>
      <c r="V8" s="13" t="s">
        <v>2309</v>
      </c>
      <c r="W8" s="532" t="s">
        <v>2322</v>
      </c>
      <c r="X8" s="496" t="s">
        <v>2639</v>
      </c>
      <c r="Y8" s="496">
        <v>1</v>
      </c>
      <c r="Z8" s="496">
        <v>9999</v>
      </c>
      <c r="AA8" s="517">
        <v>1</v>
      </c>
      <c r="AB8" s="517">
        <v>9999</v>
      </c>
      <c r="AC8" s="517"/>
    </row>
    <row r="9" spans="2:37" ht="14.25" customHeight="1">
      <c r="B9" s="589" t="s">
        <v>1735</v>
      </c>
      <c r="C9" s="492" t="s">
        <v>2725</v>
      </c>
      <c r="D9" s="180">
        <v>169.3</v>
      </c>
      <c r="E9" s="492" t="s">
        <v>1321</v>
      </c>
      <c r="F9" s="492" t="s">
        <v>1443</v>
      </c>
      <c r="G9" s="492" t="s">
        <v>1204</v>
      </c>
      <c r="H9" s="492" t="s">
        <v>91</v>
      </c>
      <c r="I9" s="657">
        <v>50</v>
      </c>
      <c r="J9" s="657">
        <v>45</v>
      </c>
      <c r="K9" s="494">
        <v>145</v>
      </c>
      <c r="L9" s="619">
        <v>300.279</v>
      </c>
      <c r="M9" s="492">
        <v>5.5800000000000002E-2</v>
      </c>
      <c r="N9" s="492">
        <v>12</v>
      </c>
      <c r="O9" s="492" t="s">
        <v>2523</v>
      </c>
      <c r="P9" s="492">
        <v>35.1</v>
      </c>
      <c r="Q9" s="492" t="s">
        <v>2524</v>
      </c>
      <c r="R9" s="492">
        <v>98.057149580000001</v>
      </c>
      <c r="S9" s="516">
        <v>43831</v>
      </c>
      <c r="T9" s="564">
        <v>7</v>
      </c>
      <c r="U9" s="566" t="s">
        <v>1373</v>
      </c>
      <c r="V9" s="13" t="s">
        <v>2309</v>
      </c>
      <c r="W9" s="532" t="s">
        <v>2322</v>
      </c>
      <c r="X9" s="496" t="s">
        <v>2638</v>
      </c>
      <c r="Y9" s="496">
        <v>1</v>
      </c>
      <c r="Z9" s="496">
        <v>9999</v>
      </c>
      <c r="AA9" s="517">
        <v>1</v>
      </c>
      <c r="AB9" s="517">
        <v>9999</v>
      </c>
      <c r="AC9" s="517"/>
    </row>
    <row r="10" spans="2:37" ht="14.25" customHeight="1">
      <c r="B10" s="512" t="s">
        <v>2580</v>
      </c>
      <c r="C10" s="492" t="s">
        <v>2726</v>
      </c>
      <c r="D10" s="180">
        <v>169.3</v>
      </c>
      <c r="E10" s="522" t="s">
        <v>2180</v>
      </c>
      <c r="F10" s="492" t="s">
        <v>1443</v>
      </c>
      <c r="G10" s="492" t="s">
        <v>1204</v>
      </c>
      <c r="H10" s="492" t="s">
        <v>91</v>
      </c>
      <c r="I10" s="494">
        <v>45</v>
      </c>
      <c r="J10" s="494">
        <v>45</v>
      </c>
      <c r="K10" s="494">
        <v>145</v>
      </c>
      <c r="L10" s="619">
        <v>300.279</v>
      </c>
      <c r="M10" s="492">
        <v>5.5800000000000002E-2</v>
      </c>
      <c r="N10" s="492">
        <v>12</v>
      </c>
      <c r="O10" s="492" t="s">
        <v>2523</v>
      </c>
      <c r="P10" s="492">
        <v>35.1</v>
      </c>
      <c r="Q10" s="492" t="s">
        <v>2524</v>
      </c>
      <c r="R10" s="492">
        <v>98.057149580000001</v>
      </c>
      <c r="S10" s="516">
        <v>43831</v>
      </c>
      <c r="T10" s="564">
        <v>8</v>
      </c>
      <c r="U10" s="566" t="s">
        <v>1373</v>
      </c>
      <c r="V10" s="13" t="s">
        <v>2309</v>
      </c>
      <c r="W10" s="532" t="s">
        <v>2321</v>
      </c>
      <c r="X10" s="496" t="s">
        <v>2640</v>
      </c>
      <c r="Y10" s="496">
        <v>1</v>
      </c>
      <c r="Z10" s="496">
        <v>9999</v>
      </c>
      <c r="AA10" s="517">
        <v>1</v>
      </c>
      <c r="AB10" s="517">
        <v>9999</v>
      </c>
      <c r="AC10" s="517"/>
    </row>
    <row r="11" spans="2:37" ht="14.25" customHeight="1">
      <c r="B11" s="589" t="s">
        <v>1732</v>
      </c>
      <c r="C11" s="492" t="s">
        <v>2727</v>
      </c>
      <c r="D11" s="180">
        <v>171.3</v>
      </c>
      <c r="E11" s="492" t="s">
        <v>1317</v>
      </c>
      <c r="F11" s="492" t="s">
        <v>1443</v>
      </c>
      <c r="G11" s="492" t="s">
        <v>1204</v>
      </c>
      <c r="H11" s="492" t="s">
        <v>91</v>
      </c>
      <c r="I11" s="494">
        <v>25</v>
      </c>
      <c r="J11" s="494">
        <v>25</v>
      </c>
      <c r="K11" s="494">
        <v>180</v>
      </c>
      <c r="L11" s="619">
        <v>177.48179999999999</v>
      </c>
      <c r="M11" s="492">
        <v>4.0300000000000002E-2</v>
      </c>
      <c r="N11" s="492">
        <v>12</v>
      </c>
      <c r="O11" s="492" t="s">
        <v>2525</v>
      </c>
      <c r="P11" s="492">
        <v>41.5</v>
      </c>
      <c r="Q11" s="492" t="s">
        <v>2526</v>
      </c>
      <c r="R11" s="492">
        <v>77.328850000000003</v>
      </c>
      <c r="S11" s="516">
        <v>43831</v>
      </c>
      <c r="T11" s="564">
        <v>9</v>
      </c>
      <c r="U11" s="566" t="s">
        <v>1373</v>
      </c>
      <c r="V11" s="13" t="s">
        <v>2309</v>
      </c>
      <c r="W11" s="532" t="s">
        <v>2322</v>
      </c>
      <c r="X11" s="496" t="s">
        <v>2638</v>
      </c>
      <c r="Y11" s="496">
        <v>1</v>
      </c>
      <c r="Z11" s="496">
        <v>9999</v>
      </c>
      <c r="AA11" s="517">
        <v>1</v>
      </c>
      <c r="AB11" s="517">
        <v>9999</v>
      </c>
      <c r="AC11" s="517"/>
      <c r="AJ11" s="492"/>
      <c r="AK11" s="492"/>
    </row>
    <row r="12" spans="2:37" ht="14.25" customHeight="1">
      <c r="B12" s="589" t="s">
        <v>1734</v>
      </c>
      <c r="C12" s="492" t="s">
        <v>2728</v>
      </c>
      <c r="D12" s="180">
        <v>173.3</v>
      </c>
      <c r="E12" s="492" t="s">
        <v>1320</v>
      </c>
      <c r="F12" s="492" t="s">
        <v>1443</v>
      </c>
      <c r="G12" s="492" t="s">
        <v>1204</v>
      </c>
      <c r="H12" s="492" t="s">
        <v>91</v>
      </c>
      <c r="I12" s="494">
        <v>35</v>
      </c>
      <c r="J12" s="494">
        <v>35</v>
      </c>
      <c r="K12" s="494">
        <v>155</v>
      </c>
      <c r="L12" s="619">
        <v>223.0549</v>
      </c>
      <c r="M12" s="492">
        <v>5.0700000000000002E-2</v>
      </c>
      <c r="N12" s="492">
        <v>12</v>
      </c>
      <c r="O12" s="492" t="s">
        <v>2527</v>
      </c>
      <c r="P12" s="492">
        <v>32.299999999999997</v>
      </c>
      <c r="Q12" s="492" t="s">
        <v>2528</v>
      </c>
      <c r="R12" s="492">
        <v>77.328850000000003</v>
      </c>
      <c r="S12" s="516">
        <v>43831</v>
      </c>
      <c r="T12" s="564">
        <v>10</v>
      </c>
      <c r="U12" s="566" t="s">
        <v>1373</v>
      </c>
      <c r="V12" s="13" t="s">
        <v>2309</v>
      </c>
      <c r="W12" s="532" t="s">
        <v>2322</v>
      </c>
      <c r="X12" s="496" t="s">
        <v>2639</v>
      </c>
      <c r="Y12" s="496">
        <v>1</v>
      </c>
      <c r="Z12" s="496">
        <v>9999</v>
      </c>
      <c r="AA12" s="517">
        <v>1</v>
      </c>
      <c r="AB12" s="517">
        <v>9999</v>
      </c>
      <c r="AC12" s="517"/>
    </row>
    <row r="13" spans="2:37" ht="14.25" customHeight="1">
      <c r="B13" s="589" t="s">
        <v>1736</v>
      </c>
      <c r="C13" s="492" t="s">
        <v>2729</v>
      </c>
      <c r="D13" s="180">
        <v>172.2</v>
      </c>
      <c r="E13" s="492" t="s">
        <v>1322</v>
      </c>
      <c r="F13" s="492" t="s">
        <v>1443</v>
      </c>
      <c r="G13" s="492" t="s">
        <v>1204</v>
      </c>
      <c r="H13" s="492" t="s">
        <v>91</v>
      </c>
      <c r="I13" s="657">
        <v>50</v>
      </c>
      <c r="J13" s="657">
        <v>45</v>
      </c>
      <c r="K13" s="494">
        <v>170</v>
      </c>
      <c r="L13" s="619">
        <v>257.87029999999999</v>
      </c>
      <c r="M13" s="492">
        <v>5.8599999999999999E-2</v>
      </c>
      <c r="N13" s="492">
        <v>12</v>
      </c>
      <c r="O13" s="492" t="s">
        <v>2529</v>
      </c>
      <c r="P13" s="492">
        <v>46</v>
      </c>
      <c r="Q13" s="492" t="s">
        <v>2530</v>
      </c>
      <c r="R13" s="492">
        <v>98.057149580000001</v>
      </c>
      <c r="S13" s="516">
        <v>43831</v>
      </c>
      <c r="T13" s="564">
        <v>11</v>
      </c>
      <c r="U13" s="566" t="s">
        <v>1373</v>
      </c>
      <c r="V13" s="13" t="s">
        <v>2309</v>
      </c>
      <c r="W13" s="532" t="s">
        <v>2322</v>
      </c>
      <c r="X13" s="496" t="s">
        <v>2638</v>
      </c>
      <c r="Y13" s="496">
        <v>1</v>
      </c>
      <c r="Z13" s="496">
        <v>9999</v>
      </c>
      <c r="AA13" s="517">
        <v>1</v>
      </c>
      <c r="AB13" s="517">
        <v>9999</v>
      </c>
      <c r="AC13" s="517"/>
    </row>
    <row r="14" spans="2:37" ht="14.25" customHeight="1">
      <c r="B14" s="512" t="s">
        <v>2581</v>
      </c>
      <c r="C14" s="492" t="s">
        <v>2730</v>
      </c>
      <c r="D14" s="180">
        <v>172.2</v>
      </c>
      <c r="E14" s="522" t="s">
        <v>2180</v>
      </c>
      <c r="F14" s="492" t="s">
        <v>1443</v>
      </c>
      <c r="G14" s="492" t="s">
        <v>1204</v>
      </c>
      <c r="H14" s="492" t="s">
        <v>91</v>
      </c>
      <c r="I14" s="494">
        <v>45</v>
      </c>
      <c r="J14" s="494">
        <v>45</v>
      </c>
      <c r="K14" s="494">
        <v>170</v>
      </c>
      <c r="L14" s="619">
        <v>257.87029999999999</v>
      </c>
      <c r="M14" s="492">
        <v>5.8599999999999999E-2</v>
      </c>
      <c r="N14" s="492">
        <v>12</v>
      </c>
      <c r="O14" s="492" t="s">
        <v>2529</v>
      </c>
      <c r="P14" s="492">
        <v>46</v>
      </c>
      <c r="Q14" s="492" t="s">
        <v>2530</v>
      </c>
      <c r="R14" s="492">
        <v>98.057149580000001</v>
      </c>
      <c r="S14" s="516">
        <v>43831</v>
      </c>
      <c r="T14" s="564">
        <v>12</v>
      </c>
      <c r="U14" s="566" t="s">
        <v>1373</v>
      </c>
      <c r="V14" s="13" t="s">
        <v>2309</v>
      </c>
      <c r="W14" s="532" t="s">
        <v>2322</v>
      </c>
      <c r="X14" s="496" t="s">
        <v>2640</v>
      </c>
      <c r="Y14" s="496">
        <v>1</v>
      </c>
      <c r="Z14" s="496">
        <v>9999</v>
      </c>
      <c r="AA14" s="517">
        <v>1</v>
      </c>
      <c r="AB14" s="517">
        <v>9999</v>
      </c>
      <c r="AC14" s="517"/>
    </row>
    <row r="15" spans="2:37" ht="14.25" customHeight="1">
      <c r="B15" s="589" t="s">
        <v>1727</v>
      </c>
      <c r="C15" s="492" t="s">
        <v>2315</v>
      </c>
      <c r="D15" s="180">
        <v>167.2</v>
      </c>
      <c r="E15" s="492" t="s">
        <v>1360</v>
      </c>
      <c r="F15" s="492" t="s">
        <v>1443</v>
      </c>
      <c r="G15" s="492" t="s">
        <v>1204</v>
      </c>
      <c r="H15" s="492" t="s">
        <v>1314</v>
      </c>
      <c r="I15" s="494">
        <v>2.5</v>
      </c>
      <c r="J15" s="494">
        <v>2.5</v>
      </c>
      <c r="K15" s="494">
        <v>13</v>
      </c>
      <c r="L15" s="619">
        <v>34.675199999999997</v>
      </c>
      <c r="M15" s="492">
        <v>7.9000000000000008E-3</v>
      </c>
      <c r="N15" s="492">
        <v>12</v>
      </c>
      <c r="O15" s="492" t="s">
        <v>2531</v>
      </c>
      <c r="P15" s="492">
        <v>10</v>
      </c>
      <c r="Q15" s="492" t="s">
        <v>2532</v>
      </c>
      <c r="R15" s="492">
        <v>17</v>
      </c>
      <c r="S15" s="516">
        <v>43831</v>
      </c>
      <c r="T15" s="564">
        <v>13</v>
      </c>
      <c r="U15" s="566" t="s">
        <v>1373</v>
      </c>
      <c r="V15" s="492" t="s">
        <v>1356</v>
      </c>
      <c r="W15" s="532" t="s">
        <v>2322</v>
      </c>
      <c r="X15" s="496" t="s">
        <v>2253</v>
      </c>
      <c r="Y15" s="496">
        <v>1</v>
      </c>
      <c r="Z15" s="496">
        <v>9999</v>
      </c>
      <c r="AA15" s="517">
        <v>1</v>
      </c>
      <c r="AB15" s="517">
        <v>9999</v>
      </c>
      <c r="AC15" s="517"/>
    </row>
    <row r="16" spans="2:37" ht="14.25" customHeight="1">
      <c r="B16" s="589" t="s">
        <v>1737</v>
      </c>
      <c r="C16" s="492" t="s">
        <v>2316</v>
      </c>
      <c r="D16" s="180">
        <v>166.3</v>
      </c>
      <c r="E16" s="492" t="s">
        <v>1361</v>
      </c>
      <c r="F16" s="492" t="s">
        <v>1443</v>
      </c>
      <c r="G16" s="492" t="s">
        <v>1204</v>
      </c>
      <c r="H16" s="492" t="s">
        <v>1314</v>
      </c>
      <c r="I16" s="657">
        <v>6</v>
      </c>
      <c r="J16" s="657">
        <v>5</v>
      </c>
      <c r="K16" s="494">
        <v>24</v>
      </c>
      <c r="L16" s="619">
        <v>70.464100000000002</v>
      </c>
      <c r="M16" s="492">
        <v>1.29E-2</v>
      </c>
      <c r="N16" s="492">
        <v>11</v>
      </c>
      <c r="O16" s="492" t="s">
        <v>2533</v>
      </c>
      <c r="P16" s="492">
        <v>14.9</v>
      </c>
      <c r="Q16" s="492" t="s">
        <v>2534</v>
      </c>
      <c r="R16" s="492">
        <v>29</v>
      </c>
      <c r="S16" s="516">
        <v>43831</v>
      </c>
      <c r="T16" s="564">
        <v>14</v>
      </c>
      <c r="U16" s="566" t="s">
        <v>1373</v>
      </c>
      <c r="V16" s="492" t="s">
        <v>1356</v>
      </c>
      <c r="W16" s="532" t="s">
        <v>2912</v>
      </c>
      <c r="X16" s="496" t="s">
        <v>2254</v>
      </c>
      <c r="Y16" s="496">
        <v>1</v>
      </c>
      <c r="Z16" s="496">
        <v>9999</v>
      </c>
      <c r="AA16" s="517">
        <v>1</v>
      </c>
      <c r="AB16" s="517">
        <v>9999</v>
      </c>
      <c r="AC16" s="517"/>
    </row>
    <row r="17" spans="2:29" ht="14.25" customHeight="1">
      <c r="B17" s="589" t="s">
        <v>1730</v>
      </c>
      <c r="C17" s="492" t="s">
        <v>2317</v>
      </c>
      <c r="D17" s="639">
        <v>313.2</v>
      </c>
      <c r="E17" s="640" t="s">
        <v>1362</v>
      </c>
      <c r="F17" s="492" t="s">
        <v>1443</v>
      </c>
      <c r="G17" s="492" t="s">
        <v>1204</v>
      </c>
      <c r="H17" s="640" t="s">
        <v>1314</v>
      </c>
      <c r="I17" s="494">
        <v>10</v>
      </c>
      <c r="J17" s="494">
        <v>10</v>
      </c>
      <c r="K17" s="645">
        <v>28</v>
      </c>
      <c r="L17" s="642">
        <v>95.003699999999995</v>
      </c>
      <c r="M17" s="640">
        <v>2.18E-2</v>
      </c>
      <c r="N17" s="640">
        <v>10</v>
      </c>
      <c r="O17" s="640" t="s">
        <v>2535</v>
      </c>
      <c r="P17" s="640">
        <v>37.4</v>
      </c>
      <c r="Q17" s="640" t="s">
        <v>2536</v>
      </c>
      <c r="R17" s="640">
        <v>59.5</v>
      </c>
      <c r="S17" s="644">
        <v>43952</v>
      </c>
      <c r="T17" s="564">
        <v>15</v>
      </c>
      <c r="U17" s="566" t="s">
        <v>1373</v>
      </c>
      <c r="V17" s="492" t="s">
        <v>1356</v>
      </c>
      <c r="W17" s="532" t="s">
        <v>2321</v>
      </c>
      <c r="X17" s="496" t="s">
        <v>2255</v>
      </c>
      <c r="Y17" s="496">
        <v>1</v>
      </c>
      <c r="Z17" s="496">
        <v>9999</v>
      </c>
      <c r="AA17" s="517">
        <v>1</v>
      </c>
      <c r="AB17" s="517">
        <v>9999</v>
      </c>
      <c r="AC17" s="517"/>
    </row>
    <row r="18" spans="2:29" ht="14.25" customHeight="1">
      <c r="B18" s="512" t="s">
        <v>2582</v>
      </c>
      <c r="C18" s="54" t="s">
        <v>2311</v>
      </c>
      <c r="D18" s="653">
        <v>352.1</v>
      </c>
      <c r="E18" s="639" t="s">
        <v>2159</v>
      </c>
      <c r="F18" s="492" t="s">
        <v>1443</v>
      </c>
      <c r="G18" s="492" t="s">
        <v>1204</v>
      </c>
      <c r="H18" s="640" t="s">
        <v>1314</v>
      </c>
      <c r="I18" s="658">
        <v>4</v>
      </c>
      <c r="J18" s="658">
        <v>3</v>
      </c>
      <c r="K18" s="641">
        <v>8</v>
      </c>
      <c r="L18" s="642">
        <v>121.91419999999999</v>
      </c>
      <c r="M18" s="643">
        <v>2.3300000000000001E-2</v>
      </c>
      <c r="N18" s="643">
        <v>8</v>
      </c>
      <c r="O18" s="643" t="s">
        <v>2537</v>
      </c>
      <c r="P18" s="643">
        <v>8</v>
      </c>
      <c r="Q18" s="643" t="s">
        <v>2538</v>
      </c>
      <c r="R18" s="643">
        <v>36</v>
      </c>
      <c r="S18" s="644">
        <v>43952</v>
      </c>
      <c r="T18" s="564">
        <v>16</v>
      </c>
      <c r="U18" s="566" t="s">
        <v>1373</v>
      </c>
      <c r="V18" s="13" t="s">
        <v>1357</v>
      </c>
      <c r="W18" s="13" t="s">
        <v>2182</v>
      </c>
      <c r="X18" s="496" t="s">
        <v>2182</v>
      </c>
      <c r="Y18" s="54">
        <v>28</v>
      </c>
      <c r="Z18" s="54">
        <v>52</v>
      </c>
      <c r="AA18" s="173">
        <v>1</v>
      </c>
      <c r="AB18" s="173">
        <v>11</v>
      </c>
      <c r="AC18" s="173"/>
    </row>
    <row r="19" spans="2:29" ht="14.25" customHeight="1">
      <c r="B19" s="512" t="s">
        <v>2583</v>
      </c>
      <c r="C19" s="54" t="s">
        <v>2312</v>
      </c>
      <c r="D19" s="58">
        <v>354</v>
      </c>
      <c r="E19" s="180" t="s">
        <v>2161</v>
      </c>
      <c r="F19" s="492" t="s">
        <v>1443</v>
      </c>
      <c r="G19" s="492" t="s">
        <v>1204</v>
      </c>
      <c r="H19" s="492" t="s">
        <v>1314</v>
      </c>
      <c r="I19" s="658">
        <v>9</v>
      </c>
      <c r="J19" s="658">
        <v>8</v>
      </c>
      <c r="K19" s="518">
        <v>20</v>
      </c>
      <c r="L19" s="619">
        <v>187.22540000000001</v>
      </c>
      <c r="M19" s="54">
        <v>3.5700000000000003E-2</v>
      </c>
      <c r="N19" s="54">
        <v>8</v>
      </c>
      <c r="O19" s="54" t="s">
        <v>2537</v>
      </c>
      <c r="P19" s="54">
        <v>12</v>
      </c>
      <c r="Q19" s="54" t="s">
        <v>2538</v>
      </c>
      <c r="R19" s="54">
        <v>55</v>
      </c>
      <c r="S19" s="516">
        <v>43831</v>
      </c>
      <c r="T19" s="564">
        <v>17</v>
      </c>
      <c r="U19" s="566" t="s">
        <v>1373</v>
      </c>
      <c r="V19" s="13" t="s">
        <v>1357</v>
      </c>
      <c r="W19" s="13" t="s">
        <v>2229</v>
      </c>
      <c r="X19" s="496" t="s">
        <v>2229</v>
      </c>
      <c r="Y19" s="54">
        <v>45</v>
      </c>
      <c r="Z19" s="54">
        <v>65</v>
      </c>
      <c r="AA19" s="173">
        <v>1</v>
      </c>
      <c r="AB19" s="173">
        <v>14</v>
      </c>
      <c r="AC19" s="173"/>
    </row>
    <row r="20" spans="2:29" ht="14.25" customHeight="1">
      <c r="B20" s="512" t="s">
        <v>2584</v>
      </c>
      <c r="C20" s="54" t="s">
        <v>2313</v>
      </c>
      <c r="D20" s="58">
        <v>355</v>
      </c>
      <c r="E20" s="180" t="s">
        <v>2160</v>
      </c>
      <c r="F20" s="492" t="s">
        <v>1443</v>
      </c>
      <c r="G20" s="492" t="s">
        <v>1204</v>
      </c>
      <c r="H20" s="492" t="s">
        <v>1314</v>
      </c>
      <c r="I20" s="658">
        <v>8</v>
      </c>
      <c r="J20" s="658">
        <v>7</v>
      </c>
      <c r="K20" s="518">
        <v>15</v>
      </c>
      <c r="L20" s="619">
        <v>165.45500000000001</v>
      </c>
      <c r="M20" s="54">
        <v>3.1600000000000003E-2</v>
      </c>
      <c r="N20" s="54">
        <v>8</v>
      </c>
      <c r="O20" s="54" t="s">
        <v>2537</v>
      </c>
      <c r="P20" s="54">
        <v>12</v>
      </c>
      <c r="Q20" s="54" t="s">
        <v>2538</v>
      </c>
      <c r="R20" s="54">
        <v>50</v>
      </c>
      <c r="S20" s="516">
        <v>43831</v>
      </c>
      <c r="T20" s="564">
        <v>18</v>
      </c>
      <c r="U20" s="566" t="s">
        <v>1373</v>
      </c>
      <c r="V20" s="13" t="s">
        <v>1357</v>
      </c>
      <c r="W20" s="13" t="s">
        <v>2183</v>
      </c>
      <c r="X20" s="492" t="s">
        <v>2183</v>
      </c>
      <c r="Y20" s="54">
        <v>35</v>
      </c>
      <c r="Z20" s="54">
        <v>50</v>
      </c>
      <c r="AA20" s="173">
        <v>1</v>
      </c>
      <c r="AB20" s="173">
        <v>13</v>
      </c>
      <c r="AC20" s="173"/>
    </row>
    <row r="21" spans="2:29" ht="14.25" customHeight="1">
      <c r="B21" s="512" t="s">
        <v>2585</v>
      </c>
      <c r="C21" s="54" t="s">
        <v>2314</v>
      </c>
      <c r="D21" s="58">
        <v>356</v>
      </c>
      <c r="E21" s="180" t="s">
        <v>2162</v>
      </c>
      <c r="F21" s="492" t="s">
        <v>1443</v>
      </c>
      <c r="G21" s="492" t="s">
        <v>1204</v>
      </c>
      <c r="H21" s="492" t="s">
        <v>1314</v>
      </c>
      <c r="I21" s="658">
        <v>10</v>
      </c>
      <c r="J21" s="658">
        <v>9</v>
      </c>
      <c r="K21" s="518">
        <v>20</v>
      </c>
      <c r="L21" s="619">
        <v>239.4744</v>
      </c>
      <c r="M21" s="54">
        <v>4.5699999999999998E-2</v>
      </c>
      <c r="N21" s="54">
        <v>8</v>
      </c>
      <c r="O21" s="54" t="s">
        <v>2537</v>
      </c>
      <c r="P21" s="54">
        <v>15</v>
      </c>
      <c r="Q21" s="54" t="s">
        <v>2538</v>
      </c>
      <c r="R21" s="54">
        <v>70</v>
      </c>
      <c r="S21" s="516">
        <v>43831</v>
      </c>
      <c r="T21" s="564">
        <v>19</v>
      </c>
      <c r="U21" s="566" t="s">
        <v>1373</v>
      </c>
      <c r="V21" s="13" t="s">
        <v>1357</v>
      </c>
      <c r="W21" s="492" t="s">
        <v>2185</v>
      </c>
      <c r="X21" s="492" t="s">
        <v>2185</v>
      </c>
      <c r="Y21" s="54">
        <v>48</v>
      </c>
      <c r="Z21" s="54">
        <v>90</v>
      </c>
      <c r="AA21" s="173">
        <v>1</v>
      </c>
      <c r="AB21" s="173">
        <v>20</v>
      </c>
      <c r="AC21" s="173"/>
    </row>
    <row r="22" spans="2:29" ht="14.25" customHeight="1">
      <c r="B22" s="512" t="s">
        <v>2586</v>
      </c>
      <c r="C22" s="54" t="s">
        <v>2636</v>
      </c>
      <c r="D22" s="639">
        <v>102.4</v>
      </c>
      <c r="E22" s="639" t="s">
        <v>2163</v>
      </c>
      <c r="F22" s="492" t="s">
        <v>1443</v>
      </c>
      <c r="G22" s="492" t="s">
        <v>1204</v>
      </c>
      <c r="H22" s="640" t="s">
        <v>1314</v>
      </c>
      <c r="I22" s="518">
        <v>7.5</v>
      </c>
      <c r="J22" s="518">
        <v>7.5</v>
      </c>
      <c r="K22" s="641">
        <v>30</v>
      </c>
      <c r="L22" s="642">
        <v>42.5398</v>
      </c>
      <c r="M22" s="643">
        <v>6.8999999999999999E-3</v>
      </c>
      <c r="N22" s="643">
        <v>16</v>
      </c>
      <c r="O22" s="643" t="s">
        <v>2539</v>
      </c>
      <c r="P22" s="643">
        <v>3</v>
      </c>
      <c r="Q22" s="643" t="s">
        <v>2540</v>
      </c>
      <c r="R22" s="643">
        <v>10.5</v>
      </c>
      <c r="S22" s="644">
        <v>43952</v>
      </c>
      <c r="T22" s="564">
        <v>20</v>
      </c>
      <c r="U22" s="566" t="s">
        <v>1373</v>
      </c>
      <c r="V22" s="13" t="s">
        <v>1357</v>
      </c>
      <c r="W22" s="538" t="s">
        <v>2228</v>
      </c>
      <c r="X22" s="538" t="s">
        <v>2228</v>
      </c>
      <c r="Y22" s="54">
        <v>1</v>
      </c>
      <c r="Z22" s="54">
        <v>9999</v>
      </c>
      <c r="AA22" s="517">
        <v>1</v>
      </c>
      <c r="AB22" s="517">
        <v>5</v>
      </c>
      <c r="AC22" s="517"/>
    </row>
    <row r="23" spans="2:29" ht="14.25" customHeight="1">
      <c r="B23" s="589" t="s">
        <v>1743</v>
      </c>
      <c r="C23" s="492" t="s">
        <v>2237</v>
      </c>
      <c r="D23" s="180">
        <v>226.2</v>
      </c>
      <c r="E23" s="492" t="s">
        <v>1331</v>
      </c>
      <c r="F23" s="492" t="s">
        <v>1443</v>
      </c>
      <c r="G23" s="492" t="s">
        <v>1204</v>
      </c>
      <c r="H23" s="492" t="s">
        <v>2650</v>
      </c>
      <c r="I23" s="494">
        <v>40</v>
      </c>
      <c r="J23" s="494">
        <v>40</v>
      </c>
      <c r="K23" s="494">
        <v>100</v>
      </c>
      <c r="L23" s="619">
        <v>1073.2470000000001</v>
      </c>
      <c r="M23" s="492">
        <v>0.19389999999999999</v>
      </c>
      <c r="N23" s="492">
        <v>11</v>
      </c>
      <c r="O23" s="492" t="s">
        <v>2541</v>
      </c>
      <c r="P23" s="492">
        <v>50.7</v>
      </c>
      <c r="Q23" s="492" t="s">
        <v>2542</v>
      </c>
      <c r="R23" s="492">
        <v>225</v>
      </c>
      <c r="S23" s="516">
        <v>43831</v>
      </c>
      <c r="T23" s="564">
        <v>21</v>
      </c>
      <c r="U23" s="566" t="s">
        <v>1373</v>
      </c>
      <c r="V23" s="492" t="s">
        <v>2308</v>
      </c>
      <c r="W23" s="517" t="s">
        <v>2225</v>
      </c>
      <c r="X23" s="492" t="s">
        <v>2233</v>
      </c>
      <c r="Y23" s="496">
        <v>150</v>
      </c>
      <c r="Z23" s="496">
        <v>350</v>
      </c>
      <c r="AA23" s="517">
        <v>1</v>
      </c>
      <c r="AB23" s="517">
        <v>9999</v>
      </c>
      <c r="AC23" s="517"/>
    </row>
    <row r="24" spans="2:29" ht="14.25" customHeight="1">
      <c r="B24" s="589" t="s">
        <v>1745</v>
      </c>
      <c r="C24" s="492" t="s">
        <v>2236</v>
      </c>
      <c r="D24" s="180">
        <v>227.2</v>
      </c>
      <c r="E24" s="492" t="s">
        <v>1332</v>
      </c>
      <c r="F24" s="492" t="s">
        <v>1443</v>
      </c>
      <c r="G24" s="492" t="s">
        <v>1204</v>
      </c>
      <c r="H24" s="492" t="s">
        <v>91</v>
      </c>
      <c r="I24" s="494">
        <v>60</v>
      </c>
      <c r="J24" s="494">
        <v>60</v>
      </c>
      <c r="K24" s="494">
        <v>150</v>
      </c>
      <c r="L24" s="619">
        <v>1858.3244</v>
      </c>
      <c r="M24" s="492">
        <v>0.3357</v>
      </c>
      <c r="N24" s="492">
        <v>11</v>
      </c>
      <c r="O24" s="492" t="s">
        <v>2543</v>
      </c>
      <c r="P24" s="492">
        <v>73.2</v>
      </c>
      <c r="Q24" s="492" t="s">
        <v>2542</v>
      </c>
      <c r="R24" s="492">
        <v>375</v>
      </c>
      <c r="S24" s="516">
        <v>43831</v>
      </c>
      <c r="T24" s="564">
        <v>22</v>
      </c>
      <c r="U24" s="566" t="s">
        <v>1373</v>
      </c>
      <c r="V24" s="492" t="s">
        <v>2308</v>
      </c>
      <c r="W24" s="517" t="s">
        <v>2225</v>
      </c>
      <c r="X24" s="496" t="s">
        <v>2234</v>
      </c>
      <c r="Y24" s="496">
        <v>301</v>
      </c>
      <c r="Z24" s="496">
        <v>506</v>
      </c>
      <c r="AA24" s="517">
        <v>1</v>
      </c>
      <c r="AB24" s="517">
        <v>9999</v>
      </c>
      <c r="AC24" s="517"/>
    </row>
    <row r="25" spans="2:29" ht="14.25" customHeight="1">
      <c r="B25" s="589" t="s">
        <v>1741</v>
      </c>
      <c r="C25" s="492" t="s">
        <v>2238</v>
      </c>
      <c r="D25" s="180">
        <v>228.2</v>
      </c>
      <c r="E25" s="492" t="s">
        <v>1330</v>
      </c>
      <c r="F25" s="492" t="s">
        <v>1443</v>
      </c>
      <c r="G25" s="492" t="s">
        <v>1204</v>
      </c>
      <c r="H25" s="492" t="s">
        <v>91</v>
      </c>
      <c r="I25" s="494">
        <v>100</v>
      </c>
      <c r="J25" s="494">
        <v>100</v>
      </c>
      <c r="K25" s="494">
        <v>200</v>
      </c>
      <c r="L25" s="619">
        <v>3109.5223999999998</v>
      </c>
      <c r="M25" s="492">
        <v>0.56169999999999998</v>
      </c>
      <c r="N25" s="492">
        <v>11</v>
      </c>
      <c r="O25" s="492" t="s">
        <v>2544</v>
      </c>
      <c r="P25" s="492">
        <v>95</v>
      </c>
      <c r="Q25" s="492" t="s">
        <v>2542</v>
      </c>
      <c r="R25" s="492">
        <v>600</v>
      </c>
      <c r="S25" s="516">
        <v>43831</v>
      </c>
      <c r="T25" s="564">
        <v>23</v>
      </c>
      <c r="U25" s="566" t="s">
        <v>1373</v>
      </c>
      <c r="V25" s="492" t="s">
        <v>2308</v>
      </c>
      <c r="W25" s="517" t="s">
        <v>2225</v>
      </c>
      <c r="X25" s="496" t="s">
        <v>2235</v>
      </c>
      <c r="Y25" s="496">
        <v>451</v>
      </c>
      <c r="Z25" s="496">
        <v>850</v>
      </c>
      <c r="AA25" s="517">
        <v>1</v>
      </c>
      <c r="AB25" s="517">
        <v>9999</v>
      </c>
      <c r="AC25" s="517"/>
    </row>
    <row r="26" spans="2:29" ht="14.25" customHeight="1">
      <c r="B26" s="589" t="s">
        <v>1740</v>
      </c>
      <c r="C26" s="492" t="s">
        <v>2310</v>
      </c>
      <c r="D26" s="180">
        <v>229.1</v>
      </c>
      <c r="E26" s="492" t="s">
        <v>1329</v>
      </c>
      <c r="F26" s="492" t="s">
        <v>1443</v>
      </c>
      <c r="G26" s="492" t="s">
        <v>1204</v>
      </c>
      <c r="H26" s="492" t="s">
        <v>91</v>
      </c>
      <c r="I26" s="494">
        <v>250</v>
      </c>
      <c r="J26" s="494">
        <v>250</v>
      </c>
      <c r="K26" s="494">
        <v>350</v>
      </c>
      <c r="L26" s="619">
        <v>4482.6382000000003</v>
      </c>
      <c r="M26" s="492">
        <v>0.80969999999999998</v>
      </c>
      <c r="N26" s="492">
        <v>12</v>
      </c>
      <c r="O26" s="492" t="s">
        <v>2544</v>
      </c>
      <c r="P26" s="492">
        <v>350</v>
      </c>
      <c r="Q26" s="492" t="s">
        <v>2542</v>
      </c>
      <c r="R26" s="492">
        <v>1078</v>
      </c>
      <c r="S26" s="516">
        <v>43831</v>
      </c>
      <c r="T26" s="564">
        <v>24</v>
      </c>
      <c r="U26" s="566" t="s">
        <v>1373</v>
      </c>
      <c r="V26" s="492" t="s">
        <v>2308</v>
      </c>
      <c r="W26" s="517" t="s">
        <v>2225</v>
      </c>
      <c r="X26" s="496" t="s">
        <v>2235</v>
      </c>
      <c r="Y26" s="496">
        <v>750</v>
      </c>
      <c r="Z26" s="496">
        <v>9999</v>
      </c>
      <c r="AA26" s="517">
        <v>1</v>
      </c>
      <c r="AB26" s="517">
        <v>9999</v>
      </c>
      <c r="AC26" s="517"/>
    </row>
    <row r="27" spans="2:29" ht="14.25" customHeight="1">
      <c r="B27" s="589" t="s">
        <v>1742</v>
      </c>
      <c r="C27" s="492" t="s">
        <v>1363</v>
      </c>
      <c r="D27" s="180">
        <v>220.3</v>
      </c>
      <c r="E27" s="492" t="s">
        <v>1327</v>
      </c>
      <c r="F27" s="492" t="s">
        <v>1443</v>
      </c>
      <c r="G27" s="492" t="s">
        <v>1204</v>
      </c>
      <c r="H27" s="492" t="s">
        <v>91</v>
      </c>
      <c r="I27" s="494">
        <v>40</v>
      </c>
      <c r="J27" s="494">
        <v>40</v>
      </c>
      <c r="K27" s="494">
        <v>305</v>
      </c>
      <c r="L27" s="619">
        <v>668.08550000000002</v>
      </c>
      <c r="M27" s="492">
        <v>0.1207</v>
      </c>
      <c r="N27" s="492">
        <v>11</v>
      </c>
      <c r="O27" s="492" t="s">
        <v>2541</v>
      </c>
      <c r="P27" s="492">
        <v>116.5</v>
      </c>
      <c r="Q27" s="492" t="s">
        <v>2542</v>
      </c>
      <c r="R27" s="492">
        <v>225</v>
      </c>
      <c r="S27" s="516">
        <v>43831</v>
      </c>
      <c r="T27" s="564">
        <v>25</v>
      </c>
      <c r="U27" s="566" t="s">
        <v>1373</v>
      </c>
      <c r="V27" s="492" t="s">
        <v>2308</v>
      </c>
      <c r="W27" s="517" t="s">
        <v>2225</v>
      </c>
      <c r="X27" s="492" t="s">
        <v>2233</v>
      </c>
      <c r="Y27" s="496">
        <v>150</v>
      </c>
      <c r="Z27" s="496">
        <v>350</v>
      </c>
      <c r="AA27" s="517">
        <v>1</v>
      </c>
      <c r="AB27" s="517">
        <v>9999</v>
      </c>
      <c r="AC27" s="517"/>
    </row>
    <row r="28" spans="2:29" ht="14.25" customHeight="1">
      <c r="B28" s="589" t="s">
        <v>1744</v>
      </c>
      <c r="C28" s="492" t="s">
        <v>1364</v>
      </c>
      <c r="D28" s="180">
        <v>221.4</v>
      </c>
      <c r="E28" s="492" t="s">
        <v>1328</v>
      </c>
      <c r="F28" s="492" t="s">
        <v>1443</v>
      </c>
      <c r="G28" s="492" t="s">
        <v>1204</v>
      </c>
      <c r="H28" s="492" t="s">
        <v>91</v>
      </c>
      <c r="I28" s="494">
        <v>60</v>
      </c>
      <c r="J28" s="494">
        <v>60</v>
      </c>
      <c r="K28" s="494">
        <v>330</v>
      </c>
      <c r="L28" s="619">
        <v>949.02700000000004</v>
      </c>
      <c r="M28" s="492">
        <v>0.16039999999999999</v>
      </c>
      <c r="N28" s="492">
        <v>11</v>
      </c>
      <c r="O28" s="492" t="s">
        <v>2543</v>
      </c>
      <c r="P28" s="492">
        <v>174.5</v>
      </c>
      <c r="Q28" s="492" t="s">
        <v>2542</v>
      </c>
      <c r="R28" s="492">
        <v>375</v>
      </c>
      <c r="S28" s="516">
        <v>43831</v>
      </c>
      <c r="T28" s="564">
        <v>26</v>
      </c>
      <c r="U28" s="566" t="s">
        <v>1373</v>
      </c>
      <c r="V28" s="492" t="s">
        <v>2308</v>
      </c>
      <c r="W28" s="517" t="s">
        <v>2225</v>
      </c>
      <c r="X28" s="496" t="s">
        <v>2234</v>
      </c>
      <c r="Y28" s="496">
        <v>301</v>
      </c>
      <c r="Z28" s="496">
        <v>506</v>
      </c>
      <c r="AA28" s="517">
        <v>1</v>
      </c>
      <c r="AB28" s="517">
        <v>9999</v>
      </c>
      <c r="AC28" s="517"/>
    </row>
    <row r="29" spans="2:29" ht="14.25" customHeight="1">
      <c r="B29" s="589" t="s">
        <v>1739</v>
      </c>
      <c r="C29" s="492" t="s">
        <v>1365</v>
      </c>
      <c r="D29" s="180">
        <v>222.3</v>
      </c>
      <c r="E29" s="492" t="s">
        <v>1326</v>
      </c>
      <c r="F29" s="492" t="s">
        <v>1443</v>
      </c>
      <c r="G29" s="492" t="s">
        <v>1204</v>
      </c>
      <c r="H29" s="492" t="s">
        <v>91</v>
      </c>
      <c r="I29" s="494">
        <v>100</v>
      </c>
      <c r="J29" s="494">
        <v>100</v>
      </c>
      <c r="K29" s="494">
        <v>430</v>
      </c>
      <c r="L29" s="619">
        <v>2567.0491999999999</v>
      </c>
      <c r="M29" s="492">
        <v>0.4637</v>
      </c>
      <c r="N29" s="492">
        <v>11</v>
      </c>
      <c r="O29" s="492" t="s">
        <v>2544</v>
      </c>
      <c r="P29" s="492">
        <v>183.1</v>
      </c>
      <c r="Q29" s="492" t="s">
        <v>2542</v>
      </c>
      <c r="R29" s="492">
        <v>600</v>
      </c>
      <c r="S29" s="516">
        <v>43831</v>
      </c>
      <c r="T29" s="564">
        <v>27</v>
      </c>
      <c r="U29" s="566" t="s">
        <v>1373</v>
      </c>
      <c r="V29" s="492" t="s">
        <v>2308</v>
      </c>
      <c r="W29" s="537" t="s">
        <v>2225</v>
      </c>
      <c r="X29" s="598" t="s">
        <v>2239</v>
      </c>
      <c r="Y29" s="496">
        <v>451</v>
      </c>
      <c r="Z29" s="496">
        <v>850</v>
      </c>
      <c r="AA29" s="517">
        <v>1</v>
      </c>
      <c r="AB29" s="517">
        <v>9999</v>
      </c>
      <c r="AC29" s="517"/>
    </row>
    <row r="30" spans="2:29" ht="14.25" customHeight="1">
      <c r="B30" s="589" t="s">
        <v>1738</v>
      </c>
      <c r="C30" s="492" t="s">
        <v>1366</v>
      </c>
      <c r="D30" s="180">
        <v>223.3</v>
      </c>
      <c r="E30" s="492" t="s">
        <v>1325</v>
      </c>
      <c r="F30" s="492" t="s">
        <v>1443</v>
      </c>
      <c r="G30" s="492" t="s">
        <v>1204</v>
      </c>
      <c r="H30" s="492" t="s">
        <v>91</v>
      </c>
      <c r="I30" s="494">
        <v>250</v>
      </c>
      <c r="J30" s="494">
        <v>250</v>
      </c>
      <c r="K30" s="494">
        <v>725</v>
      </c>
      <c r="L30" s="619">
        <v>5131.6355000000003</v>
      </c>
      <c r="M30" s="492">
        <v>0.92689999999999995</v>
      </c>
      <c r="N30" s="492">
        <v>11</v>
      </c>
      <c r="O30" s="492" t="s">
        <v>2544</v>
      </c>
      <c r="P30" s="492">
        <v>244.6</v>
      </c>
      <c r="Q30" s="492" t="s">
        <v>2542</v>
      </c>
      <c r="R30" s="492">
        <v>1078</v>
      </c>
      <c r="S30" s="516">
        <v>43831</v>
      </c>
      <c r="T30" s="564">
        <v>28</v>
      </c>
      <c r="U30" s="566" t="s">
        <v>1373</v>
      </c>
      <c r="V30" s="492" t="s">
        <v>2308</v>
      </c>
      <c r="W30" s="517" t="s">
        <v>2225</v>
      </c>
      <c r="X30" s="496" t="s">
        <v>2239</v>
      </c>
      <c r="Y30" s="496">
        <v>750</v>
      </c>
      <c r="Z30" s="496">
        <v>9999</v>
      </c>
      <c r="AA30" s="517">
        <v>1</v>
      </c>
      <c r="AB30" s="517">
        <v>9999</v>
      </c>
      <c r="AC30" s="517"/>
    </row>
    <row r="31" spans="2:29" ht="14.25" customHeight="1">
      <c r="B31" s="590" t="s">
        <v>2675</v>
      </c>
      <c r="C31" s="492" t="s">
        <v>2274</v>
      </c>
      <c r="D31" s="180">
        <v>155.19999999999999</v>
      </c>
      <c r="E31" s="492" t="s">
        <v>1313</v>
      </c>
      <c r="F31" s="492" t="s">
        <v>1443</v>
      </c>
      <c r="G31" s="134" t="s">
        <v>2513</v>
      </c>
      <c r="H31" s="492" t="s">
        <v>91</v>
      </c>
      <c r="I31" s="494">
        <v>30</v>
      </c>
      <c r="J31" s="494">
        <v>30</v>
      </c>
      <c r="K31" s="494">
        <v>320</v>
      </c>
      <c r="L31" s="619">
        <v>613.62</v>
      </c>
      <c r="M31" s="492">
        <v>7.0000000000000007E-2</v>
      </c>
      <c r="N31" s="492">
        <v>6</v>
      </c>
      <c r="O31" s="492" t="s">
        <v>2545</v>
      </c>
      <c r="P31" s="492">
        <v>54</v>
      </c>
      <c r="Q31" s="492" t="s">
        <v>2546</v>
      </c>
      <c r="R31" s="492">
        <v>124</v>
      </c>
      <c r="S31" s="516">
        <v>43831</v>
      </c>
      <c r="T31" s="564">
        <v>29</v>
      </c>
      <c r="U31" s="566" t="s">
        <v>1373</v>
      </c>
      <c r="V31" s="13" t="s">
        <v>2154</v>
      </c>
      <c r="W31" s="517" t="s">
        <v>2320</v>
      </c>
      <c r="X31" s="492" t="s">
        <v>2285</v>
      </c>
      <c r="Y31" s="496">
        <v>1</v>
      </c>
      <c r="Z31" s="496">
        <v>138</v>
      </c>
      <c r="AA31" s="517">
        <v>1</v>
      </c>
      <c r="AB31" s="517">
        <v>9999</v>
      </c>
      <c r="AC31" s="517"/>
    </row>
    <row r="32" spans="2:29" ht="14.25" customHeight="1">
      <c r="B32" s="590" t="s">
        <v>2677</v>
      </c>
      <c r="C32" s="492" t="s">
        <v>2276</v>
      </c>
      <c r="D32" s="180">
        <v>154.30000000000001</v>
      </c>
      <c r="E32" s="492" t="s">
        <v>1315</v>
      </c>
      <c r="F32" s="492" t="s">
        <v>1443</v>
      </c>
      <c r="G32" s="134" t="s">
        <v>2513</v>
      </c>
      <c r="H32" s="492" t="s">
        <v>91</v>
      </c>
      <c r="I32" s="494">
        <v>35</v>
      </c>
      <c r="J32" s="494">
        <v>35</v>
      </c>
      <c r="K32" s="494">
        <v>380</v>
      </c>
      <c r="L32" s="619">
        <v>706.53959999999995</v>
      </c>
      <c r="M32" s="492">
        <v>8.0600000000000005E-2</v>
      </c>
      <c r="N32" s="492">
        <v>6</v>
      </c>
      <c r="O32" s="492" t="s">
        <v>2545</v>
      </c>
      <c r="P32" s="492">
        <v>56.4</v>
      </c>
      <c r="Q32" s="492" t="s">
        <v>2547</v>
      </c>
      <c r="R32" s="492">
        <v>137</v>
      </c>
      <c r="S32" s="516">
        <v>43831</v>
      </c>
      <c r="T32" s="564">
        <v>30</v>
      </c>
      <c r="U32" s="566" t="s">
        <v>1373</v>
      </c>
      <c r="V32" s="13" t="s">
        <v>2154</v>
      </c>
      <c r="W32" s="517" t="s">
        <v>2320</v>
      </c>
      <c r="X32" s="492" t="s">
        <v>2287</v>
      </c>
      <c r="Y32" s="496">
        <v>101</v>
      </c>
      <c r="Z32" s="496">
        <v>215</v>
      </c>
      <c r="AA32" s="517">
        <v>1</v>
      </c>
      <c r="AB32" s="517">
        <v>9999</v>
      </c>
      <c r="AC32" s="517"/>
    </row>
    <row r="33" spans="2:29" ht="14.25" customHeight="1">
      <c r="B33" s="590" t="s">
        <v>2676</v>
      </c>
      <c r="C33" s="492" t="s">
        <v>2275</v>
      </c>
      <c r="D33" s="180">
        <v>153.30000000000001</v>
      </c>
      <c r="E33" s="492" t="s">
        <v>1318</v>
      </c>
      <c r="F33" s="492" t="s">
        <v>1443</v>
      </c>
      <c r="G33" s="134" t="s">
        <v>2513</v>
      </c>
      <c r="H33" s="492" t="s">
        <v>91</v>
      </c>
      <c r="I33" s="494">
        <v>45</v>
      </c>
      <c r="J33" s="494">
        <v>45</v>
      </c>
      <c r="K33" s="494">
        <v>520</v>
      </c>
      <c r="L33" s="619">
        <v>1377.1386</v>
      </c>
      <c r="M33" s="492">
        <v>0.15709999999999999</v>
      </c>
      <c r="N33" s="492">
        <v>6</v>
      </c>
      <c r="O33" s="492" t="s">
        <v>2545</v>
      </c>
      <c r="P33" s="492">
        <v>100.9</v>
      </c>
      <c r="Q33" s="492" t="s">
        <v>2548</v>
      </c>
      <c r="R33" s="492">
        <v>258</v>
      </c>
      <c r="S33" s="516">
        <v>43831</v>
      </c>
      <c r="T33" s="564">
        <v>31</v>
      </c>
      <c r="U33" s="566" t="s">
        <v>1373</v>
      </c>
      <c r="V33" s="13" t="s">
        <v>2154</v>
      </c>
      <c r="W33" s="517" t="s">
        <v>2320</v>
      </c>
      <c r="X33" s="492" t="s">
        <v>2286</v>
      </c>
      <c r="Y33" s="496">
        <v>175</v>
      </c>
      <c r="Z33" s="496">
        <v>9999</v>
      </c>
      <c r="AA33" s="517">
        <v>1</v>
      </c>
      <c r="AB33" s="517">
        <v>9999</v>
      </c>
      <c r="AC33" s="517"/>
    </row>
    <row r="34" spans="2:29" ht="14.25" customHeight="1">
      <c r="B34" s="589" t="s">
        <v>1728</v>
      </c>
      <c r="C34" s="492" t="s">
        <v>2226</v>
      </c>
      <c r="D34" s="643">
        <v>109.3</v>
      </c>
      <c r="E34" s="640" t="s">
        <v>1333</v>
      </c>
      <c r="F34" s="492" t="s">
        <v>1443</v>
      </c>
      <c r="G34" s="134" t="s">
        <v>1204</v>
      </c>
      <c r="H34" s="640" t="s">
        <v>1314</v>
      </c>
      <c r="I34" s="494">
        <v>5</v>
      </c>
      <c r="J34" s="494">
        <v>5</v>
      </c>
      <c r="K34" s="645">
        <v>12</v>
      </c>
      <c r="L34" s="642">
        <v>134.10570000000001</v>
      </c>
      <c r="M34" s="640">
        <v>2.7199999999999998E-2</v>
      </c>
      <c r="N34" s="640">
        <v>11</v>
      </c>
      <c r="O34" s="640" t="s">
        <v>2549</v>
      </c>
      <c r="P34" s="640">
        <v>0</v>
      </c>
      <c r="Q34" s="640" t="s">
        <v>2550</v>
      </c>
      <c r="R34" s="640">
        <v>30.8</v>
      </c>
      <c r="S34" s="644">
        <v>43952</v>
      </c>
      <c r="T34" s="564">
        <v>32</v>
      </c>
      <c r="U34" s="566" t="s">
        <v>1373</v>
      </c>
      <c r="V34" s="492" t="s">
        <v>1358</v>
      </c>
      <c r="W34" s="532" t="s">
        <v>2321</v>
      </c>
      <c r="X34" s="496" t="s">
        <v>2254</v>
      </c>
      <c r="Y34" s="496">
        <v>1</v>
      </c>
      <c r="Z34" s="496">
        <v>9999</v>
      </c>
      <c r="AA34" s="496">
        <v>0</v>
      </c>
      <c r="AB34" s="496">
        <v>0</v>
      </c>
      <c r="AC34" s="496"/>
    </row>
    <row r="35" spans="2:29" ht="14.25" customHeight="1">
      <c r="B35" s="589" t="s">
        <v>1729</v>
      </c>
      <c r="C35" s="492" t="s">
        <v>2227</v>
      </c>
      <c r="D35" s="643">
        <v>110.3</v>
      </c>
      <c r="E35" s="640" t="s">
        <v>1334</v>
      </c>
      <c r="F35" s="492" t="s">
        <v>1443</v>
      </c>
      <c r="G35" s="134" t="s">
        <v>1204</v>
      </c>
      <c r="H35" s="640" t="s">
        <v>1314</v>
      </c>
      <c r="I35" s="494">
        <v>10</v>
      </c>
      <c r="J35" s="494">
        <v>10</v>
      </c>
      <c r="K35" s="645">
        <v>16</v>
      </c>
      <c r="L35" s="642">
        <v>243.82849999999999</v>
      </c>
      <c r="M35" s="640">
        <v>4.9500000000000002E-2</v>
      </c>
      <c r="N35" s="640">
        <v>11</v>
      </c>
      <c r="O35" s="640" t="s">
        <v>2549</v>
      </c>
      <c r="P35" s="640">
        <v>0</v>
      </c>
      <c r="Q35" s="640" t="s">
        <v>2551</v>
      </c>
      <c r="R35" s="640">
        <v>56</v>
      </c>
      <c r="S35" s="644">
        <v>43952</v>
      </c>
      <c r="T35" s="564">
        <v>33</v>
      </c>
      <c r="U35" s="566" t="s">
        <v>1373</v>
      </c>
      <c r="V35" s="492" t="s">
        <v>1358</v>
      </c>
      <c r="W35" s="532" t="s">
        <v>2321</v>
      </c>
      <c r="X35" s="496" t="s">
        <v>2255</v>
      </c>
      <c r="Y35" s="496">
        <v>1</v>
      </c>
      <c r="Z35" s="496">
        <v>9999</v>
      </c>
      <c r="AA35" s="496">
        <v>0</v>
      </c>
      <c r="AB35" s="496">
        <v>0</v>
      </c>
      <c r="AC35" s="496"/>
    </row>
    <row r="36" spans="2:29" ht="14.25" customHeight="1">
      <c r="B36" s="492"/>
      <c r="C36" s="492"/>
      <c r="D36" s="54"/>
      <c r="E36" s="492"/>
      <c r="F36" s="492"/>
      <c r="G36" s="134"/>
      <c r="H36" s="492"/>
      <c r="I36" s="492"/>
      <c r="J36" s="494"/>
      <c r="K36" s="494"/>
      <c r="L36" s="492"/>
      <c r="M36" s="492"/>
      <c r="N36" s="492"/>
      <c r="O36" s="492"/>
      <c r="P36" s="492"/>
      <c r="Q36" s="492"/>
      <c r="R36" s="492"/>
      <c r="S36" s="516"/>
      <c r="T36" s="564"/>
      <c r="U36" s="496"/>
      <c r="V36" s="496"/>
    </row>
    <row r="37" spans="2:29" ht="14.25" customHeight="1">
      <c r="B37" s="492"/>
      <c r="C37" s="492"/>
      <c r="D37" s="492"/>
      <c r="E37" s="492"/>
      <c r="F37" s="492"/>
      <c r="G37" s="492"/>
      <c r="I37" s="492"/>
      <c r="J37" s="494"/>
      <c r="K37" s="494"/>
      <c r="L37" s="492"/>
      <c r="M37" s="492"/>
      <c r="N37" s="492"/>
      <c r="O37" s="492"/>
      <c r="P37" s="492"/>
      <c r="Q37" s="492"/>
      <c r="R37" s="492"/>
      <c r="S37" s="495"/>
      <c r="T37" s="564"/>
      <c r="U37" s="496"/>
      <c r="V37" s="496"/>
    </row>
    <row r="38" spans="2:29" ht="14.25" customHeight="1">
      <c r="B38" s="509" t="s">
        <v>85</v>
      </c>
      <c r="C38" s="509" t="s">
        <v>1300</v>
      </c>
      <c r="D38" s="509" t="s">
        <v>1301</v>
      </c>
      <c r="E38" s="509" t="s">
        <v>1348</v>
      </c>
      <c r="F38" s="509" t="s">
        <v>0</v>
      </c>
      <c r="G38" s="509" t="s">
        <v>1302</v>
      </c>
      <c r="H38" s="510" t="s">
        <v>1303</v>
      </c>
      <c r="I38" s="510" t="s">
        <v>1304</v>
      </c>
      <c r="J38" s="510" t="s">
        <v>2891</v>
      </c>
      <c r="K38" s="509" t="s">
        <v>1305</v>
      </c>
      <c r="L38" s="509" t="s">
        <v>1306</v>
      </c>
      <c r="M38" s="509" t="s">
        <v>1307</v>
      </c>
      <c r="N38" s="509" t="s">
        <v>1308</v>
      </c>
      <c r="O38" s="509" t="s">
        <v>2152</v>
      </c>
      <c r="P38" s="509" t="s">
        <v>1309</v>
      </c>
      <c r="Q38" s="509" t="s">
        <v>1310</v>
      </c>
      <c r="R38" s="509" t="s">
        <v>1311</v>
      </c>
      <c r="S38" s="509" t="s">
        <v>1312</v>
      </c>
      <c r="T38" s="509" t="s">
        <v>347</v>
      </c>
      <c r="U38" s="509" t="s">
        <v>2715</v>
      </c>
      <c r="V38" s="534" t="s">
        <v>2218</v>
      </c>
      <c r="W38" s="534" t="s">
        <v>2212</v>
      </c>
      <c r="X38" s="534" t="s">
        <v>2221</v>
      </c>
      <c r="Y38" s="534" t="s">
        <v>2401</v>
      </c>
      <c r="Z38" s="534" t="s">
        <v>2570</v>
      </c>
      <c r="AA38" s="534" t="s">
        <v>2571</v>
      </c>
      <c r="AB38" s="534" t="s">
        <v>2572</v>
      </c>
      <c r="AC38" s="534" t="s">
        <v>2573</v>
      </c>
    </row>
    <row r="39" spans="2:29" ht="14.25" customHeight="1">
      <c r="B39" s="591" t="s">
        <v>2678</v>
      </c>
      <c r="C39" s="482" t="s">
        <v>2637</v>
      </c>
      <c r="D39" s="634">
        <v>114.3</v>
      </c>
      <c r="E39" s="633" t="s">
        <v>2134</v>
      </c>
      <c r="F39" s="482" t="s">
        <v>1443</v>
      </c>
      <c r="G39" s="134" t="s">
        <v>1205</v>
      </c>
      <c r="H39" s="646" t="s">
        <v>2870</v>
      </c>
      <c r="I39" s="511">
        <v>30</v>
      </c>
      <c r="J39" s="511">
        <v>30</v>
      </c>
      <c r="K39" s="650">
        <v>66</v>
      </c>
      <c r="L39" s="635">
        <v>694.91120000000001</v>
      </c>
      <c r="M39" s="635">
        <v>0.14119999999999999</v>
      </c>
      <c r="N39" s="636">
        <v>8</v>
      </c>
      <c r="O39" s="647" t="s">
        <v>2552</v>
      </c>
      <c r="P39" s="648">
        <v>570</v>
      </c>
      <c r="Q39" s="633" t="s">
        <v>2553</v>
      </c>
      <c r="R39" s="487"/>
      <c r="S39" s="638">
        <v>43952</v>
      </c>
      <c r="T39" s="565">
        <v>1</v>
      </c>
      <c r="U39" s="566" t="s">
        <v>1373</v>
      </c>
      <c r="V39" s="13">
        <v>0.28000000000000003</v>
      </c>
      <c r="W39" s="13">
        <v>1.41</v>
      </c>
      <c r="X39" s="13">
        <v>570</v>
      </c>
    </row>
    <row r="40" spans="2:29" ht="14.25" customHeight="1">
      <c r="B40" s="591" t="s">
        <v>2679</v>
      </c>
      <c r="C40" s="482" t="s">
        <v>2132</v>
      </c>
      <c r="D40" s="634">
        <v>115.3</v>
      </c>
      <c r="E40" s="633" t="s">
        <v>2135</v>
      </c>
      <c r="F40" s="482" t="s">
        <v>1443</v>
      </c>
      <c r="G40" s="134" t="s">
        <v>1205</v>
      </c>
      <c r="H40" s="646" t="s">
        <v>2870</v>
      </c>
      <c r="I40" s="511">
        <v>20</v>
      </c>
      <c r="J40" s="511">
        <v>20</v>
      </c>
      <c r="K40" s="650">
        <v>42</v>
      </c>
      <c r="L40" s="635">
        <v>444.11619999999999</v>
      </c>
      <c r="M40" s="635">
        <v>9.0200000000000002E-2</v>
      </c>
      <c r="N40" s="636">
        <v>8</v>
      </c>
      <c r="O40" s="633" t="s">
        <v>2554</v>
      </c>
      <c r="P40" s="648">
        <v>425</v>
      </c>
      <c r="Q40" s="482" t="s">
        <v>2553</v>
      </c>
      <c r="R40" s="487"/>
      <c r="S40" s="638">
        <v>43952</v>
      </c>
      <c r="T40" s="565">
        <v>2</v>
      </c>
      <c r="U40" s="566" t="s">
        <v>1373</v>
      </c>
      <c r="V40" s="13">
        <v>0.24</v>
      </c>
      <c r="W40" s="13">
        <v>1.41</v>
      </c>
      <c r="X40" s="13">
        <v>425</v>
      </c>
    </row>
    <row r="41" spans="2:29" ht="14.25" customHeight="1">
      <c r="B41" s="512" t="s">
        <v>2587</v>
      </c>
      <c r="C41" s="482" t="s">
        <v>2133</v>
      </c>
      <c r="D41" s="483">
        <v>284.10000000000002</v>
      </c>
      <c r="E41" s="482" t="s">
        <v>2133</v>
      </c>
      <c r="F41" s="482" t="s">
        <v>1443</v>
      </c>
      <c r="G41" s="134" t="s">
        <v>1205</v>
      </c>
      <c r="H41" s="498" t="s">
        <v>2220</v>
      </c>
      <c r="I41" s="511">
        <v>0.1</v>
      </c>
      <c r="J41" s="511">
        <v>0.1</v>
      </c>
      <c r="K41" s="485">
        <v>0.33</v>
      </c>
      <c r="L41" s="486">
        <v>1.0693999999999999</v>
      </c>
      <c r="M41" s="486">
        <v>2.0000000000000001E-4</v>
      </c>
      <c r="N41" s="487">
        <v>16</v>
      </c>
      <c r="O41" s="482" t="s">
        <v>2555</v>
      </c>
      <c r="P41" s="499" t="s">
        <v>782</v>
      </c>
      <c r="Q41" s="482" t="s">
        <v>2556</v>
      </c>
      <c r="R41" s="487"/>
      <c r="S41" s="488">
        <v>43831</v>
      </c>
      <c r="T41" s="565">
        <v>3</v>
      </c>
      <c r="U41" s="566" t="s">
        <v>1373</v>
      </c>
    </row>
    <row r="43" spans="2:29" ht="14.25" customHeight="1">
      <c r="B43" s="509" t="s">
        <v>85</v>
      </c>
      <c r="C43" s="509" t="s">
        <v>1300</v>
      </c>
      <c r="D43" s="509" t="s">
        <v>1301</v>
      </c>
      <c r="E43" s="509" t="s">
        <v>1348</v>
      </c>
      <c r="F43" s="509" t="s">
        <v>0</v>
      </c>
      <c r="G43" s="509" t="s">
        <v>1302</v>
      </c>
      <c r="H43" s="510" t="s">
        <v>1303</v>
      </c>
      <c r="I43" s="510" t="s">
        <v>1304</v>
      </c>
      <c r="J43" s="510" t="s">
        <v>2891</v>
      </c>
      <c r="K43" s="509" t="s">
        <v>1305</v>
      </c>
      <c r="L43" s="509" t="s">
        <v>1306</v>
      </c>
      <c r="M43" s="509" t="s">
        <v>1307</v>
      </c>
      <c r="N43" s="509" t="s">
        <v>1308</v>
      </c>
      <c r="O43" s="509" t="s">
        <v>2152</v>
      </c>
      <c r="P43" s="509" t="s">
        <v>1309</v>
      </c>
      <c r="Q43" s="509" t="s">
        <v>1310</v>
      </c>
      <c r="R43" s="509" t="s">
        <v>1311</v>
      </c>
      <c r="S43" s="509" t="s">
        <v>1312</v>
      </c>
      <c r="T43" s="509" t="s">
        <v>347</v>
      </c>
      <c r="U43" s="509" t="s">
        <v>2715</v>
      </c>
      <c r="V43" s="534" t="s">
        <v>2401</v>
      </c>
      <c r="W43" s="534" t="s">
        <v>2570</v>
      </c>
      <c r="X43" s="534" t="s">
        <v>2571</v>
      </c>
      <c r="Y43" s="534" t="s">
        <v>2572</v>
      </c>
      <c r="Z43" s="534" t="s">
        <v>2573</v>
      </c>
      <c r="AA43" s="534" t="s">
        <v>2574</v>
      </c>
      <c r="AB43" s="534" t="s">
        <v>2575</v>
      </c>
      <c r="AC43" s="534" t="s">
        <v>2629</v>
      </c>
    </row>
    <row r="44" spans="2:29" ht="14.25" customHeight="1">
      <c r="B44" s="512" t="s">
        <v>2588</v>
      </c>
      <c r="C44" s="482" t="s">
        <v>2120</v>
      </c>
      <c r="D44" s="508">
        <v>348</v>
      </c>
      <c r="E44" s="482" t="s">
        <v>2120</v>
      </c>
      <c r="F44" s="482" t="s">
        <v>1443</v>
      </c>
      <c r="G44" s="482" t="s">
        <v>2128</v>
      </c>
      <c r="H44" s="484" t="s">
        <v>2129</v>
      </c>
      <c r="I44" s="659">
        <v>740</v>
      </c>
      <c r="J44" s="659">
        <v>670</v>
      </c>
      <c r="K44" s="485">
        <v>2490</v>
      </c>
      <c r="L44" s="486">
        <v>30239.2287</v>
      </c>
      <c r="M44" s="486">
        <v>2.4836999999999998</v>
      </c>
      <c r="N44" s="487">
        <v>12</v>
      </c>
      <c r="O44" s="482" t="s">
        <v>2557</v>
      </c>
      <c r="P44" s="482">
        <v>0</v>
      </c>
      <c r="Q44" s="482" t="s">
        <v>2558</v>
      </c>
      <c r="R44" s="482">
        <v>0.9</v>
      </c>
      <c r="S44" s="488">
        <v>43831</v>
      </c>
      <c r="T44" s="566">
        <v>1</v>
      </c>
      <c r="U44" s="566" t="s">
        <v>1373</v>
      </c>
      <c r="V44" s="489"/>
      <c r="W44" s="489"/>
      <c r="X44" s="489"/>
      <c r="Y44" s="489"/>
      <c r="Z44" s="489"/>
      <c r="AA44" s="489"/>
      <c r="AB44" s="489"/>
      <c r="AC44" s="489"/>
    </row>
    <row r="45" spans="2:29" ht="14.25" customHeight="1">
      <c r="B45" s="512" t="s">
        <v>2589</v>
      </c>
      <c r="C45" s="482" t="s">
        <v>2121</v>
      </c>
      <c r="D45" s="508">
        <v>349</v>
      </c>
      <c r="E45" s="482" t="s">
        <v>2121</v>
      </c>
      <c r="F45" s="482" t="s">
        <v>1443</v>
      </c>
      <c r="G45" s="482" t="s">
        <v>2128</v>
      </c>
      <c r="H45" s="484" t="s">
        <v>2129</v>
      </c>
      <c r="I45" s="659">
        <v>800</v>
      </c>
      <c r="J45" s="659">
        <v>730</v>
      </c>
      <c r="K45" s="485">
        <v>2490</v>
      </c>
      <c r="L45" s="486">
        <v>40864.945399999997</v>
      </c>
      <c r="M45" s="486">
        <v>3.3565</v>
      </c>
      <c r="N45" s="487">
        <v>12</v>
      </c>
      <c r="O45" s="482" t="s">
        <v>2557</v>
      </c>
      <c r="P45" s="482">
        <v>0</v>
      </c>
      <c r="Q45" s="482" t="s">
        <v>2558</v>
      </c>
      <c r="R45" s="482">
        <v>0.9</v>
      </c>
      <c r="S45" s="488">
        <v>43831</v>
      </c>
      <c r="T45" s="566">
        <v>2</v>
      </c>
      <c r="U45" s="566" t="s">
        <v>1373</v>
      </c>
      <c r="V45" s="489"/>
      <c r="W45" s="489"/>
      <c r="X45" s="489"/>
      <c r="Y45" s="489"/>
      <c r="Z45" s="489"/>
      <c r="AA45" s="489"/>
      <c r="AB45" s="489"/>
      <c r="AC45" s="489"/>
    </row>
    <row r="46" spans="2:29" ht="14.25" customHeight="1">
      <c r="B46" s="512" t="s">
        <v>2590</v>
      </c>
      <c r="C46" s="482" t="s">
        <v>2122</v>
      </c>
      <c r="D46" s="508">
        <v>350</v>
      </c>
      <c r="E46" s="482" t="s">
        <v>2122</v>
      </c>
      <c r="F46" s="482" t="s">
        <v>1443</v>
      </c>
      <c r="G46" s="482" t="s">
        <v>2128</v>
      </c>
      <c r="H46" s="484" t="s">
        <v>2129</v>
      </c>
      <c r="I46" s="659">
        <v>870</v>
      </c>
      <c r="J46" s="659">
        <v>790</v>
      </c>
      <c r="K46" s="485">
        <v>2490</v>
      </c>
      <c r="L46" s="486">
        <v>51487.374900000003</v>
      </c>
      <c r="M46" s="486">
        <v>4.2289000000000003</v>
      </c>
      <c r="N46" s="487">
        <v>12</v>
      </c>
      <c r="O46" s="482" t="s">
        <v>2557</v>
      </c>
      <c r="P46" s="482">
        <v>0</v>
      </c>
      <c r="Q46" s="482" t="s">
        <v>2558</v>
      </c>
      <c r="R46" s="482">
        <v>0.9</v>
      </c>
      <c r="S46" s="488">
        <v>43831</v>
      </c>
      <c r="T46" s="566">
        <v>3</v>
      </c>
      <c r="U46" s="566" t="s">
        <v>1373</v>
      </c>
      <c r="V46" s="489"/>
      <c r="W46" s="489"/>
      <c r="X46" s="489"/>
      <c r="Y46" s="489"/>
      <c r="Z46" s="489"/>
      <c r="AA46" s="489"/>
      <c r="AB46" s="489"/>
      <c r="AC46" s="489"/>
    </row>
    <row r="47" spans="2:29" ht="14.25" customHeight="1">
      <c r="B47" s="512" t="s">
        <v>2591</v>
      </c>
      <c r="C47" s="482" t="s">
        <v>2123</v>
      </c>
      <c r="D47" s="508">
        <v>351</v>
      </c>
      <c r="E47" s="482" t="s">
        <v>2123</v>
      </c>
      <c r="F47" s="482" t="s">
        <v>1443</v>
      </c>
      <c r="G47" s="482" t="s">
        <v>2128</v>
      </c>
      <c r="H47" s="484" t="s">
        <v>2129</v>
      </c>
      <c r="I47" s="659">
        <v>1000</v>
      </c>
      <c r="J47" s="659">
        <v>910</v>
      </c>
      <c r="K47" s="485">
        <v>2490</v>
      </c>
      <c r="L47" s="486">
        <v>62113.091699999997</v>
      </c>
      <c r="M47" s="486">
        <v>5.1017000000000001</v>
      </c>
      <c r="N47" s="487">
        <v>12</v>
      </c>
      <c r="O47" s="482" t="s">
        <v>2557</v>
      </c>
      <c r="P47" s="482">
        <v>0</v>
      </c>
      <c r="Q47" s="482" t="s">
        <v>2558</v>
      </c>
      <c r="R47" s="482">
        <v>0.9</v>
      </c>
      <c r="S47" s="488">
        <v>43831</v>
      </c>
      <c r="T47" s="566">
        <v>4</v>
      </c>
      <c r="U47" s="566" t="s">
        <v>1373</v>
      </c>
      <c r="V47" s="489"/>
      <c r="W47" s="489"/>
      <c r="X47" s="489"/>
      <c r="Y47" s="489"/>
      <c r="Z47" s="489"/>
      <c r="AA47" s="489"/>
      <c r="AB47" s="489"/>
      <c r="AC47" s="489"/>
    </row>
    <row r="48" spans="2:29" ht="14.25" customHeight="1">
      <c r="B48" s="512" t="s">
        <v>2592</v>
      </c>
      <c r="C48" s="482" t="s">
        <v>2124</v>
      </c>
      <c r="D48" s="508">
        <v>345</v>
      </c>
      <c r="E48" s="482" t="s">
        <v>2124</v>
      </c>
      <c r="F48" s="482" t="s">
        <v>1443</v>
      </c>
      <c r="G48" s="482" t="s">
        <v>2128</v>
      </c>
      <c r="H48" s="484" t="s">
        <v>2130</v>
      </c>
      <c r="I48" s="511">
        <v>350</v>
      </c>
      <c r="J48" s="511">
        <v>350</v>
      </c>
      <c r="K48" s="485">
        <v>1783</v>
      </c>
      <c r="L48" s="486">
        <v>709.49810000000002</v>
      </c>
      <c r="M48" s="486">
        <v>4.6600000000000003E-2</v>
      </c>
      <c r="N48" s="487">
        <v>12</v>
      </c>
      <c r="O48" s="482" t="s">
        <v>2559</v>
      </c>
      <c r="P48" s="482">
        <v>150.5</v>
      </c>
      <c r="Q48" s="482" t="s">
        <v>2560</v>
      </c>
      <c r="R48" s="482">
        <v>280</v>
      </c>
      <c r="S48" s="488">
        <v>43831</v>
      </c>
      <c r="T48" s="566">
        <v>5</v>
      </c>
      <c r="U48" s="566" t="s">
        <v>1373</v>
      </c>
      <c r="V48" s="489"/>
      <c r="W48" s="489"/>
      <c r="X48" s="489"/>
      <c r="Y48" s="489"/>
      <c r="Z48" s="489"/>
      <c r="AA48" s="489"/>
      <c r="AB48" s="489"/>
      <c r="AC48" s="489"/>
    </row>
    <row r="49" spans="2:29" ht="14.25" customHeight="1">
      <c r="B49" s="512" t="s">
        <v>2593</v>
      </c>
      <c r="C49" s="482" t="s">
        <v>2125</v>
      </c>
      <c r="D49" s="508">
        <v>346</v>
      </c>
      <c r="E49" s="482" t="s">
        <v>2125</v>
      </c>
      <c r="F49" s="482" t="s">
        <v>1443</v>
      </c>
      <c r="G49" s="482" t="s">
        <v>2128</v>
      </c>
      <c r="H49" s="484" t="s">
        <v>2130</v>
      </c>
      <c r="I49" s="511">
        <v>400</v>
      </c>
      <c r="J49" s="511">
        <v>400</v>
      </c>
      <c r="K49" s="485">
        <v>1783</v>
      </c>
      <c r="L49" s="486">
        <v>2772.2474999999999</v>
      </c>
      <c r="M49" s="486">
        <v>0.1822</v>
      </c>
      <c r="N49" s="487">
        <v>12</v>
      </c>
      <c r="O49" s="482" t="s">
        <v>2559</v>
      </c>
      <c r="P49" s="482">
        <v>294</v>
      </c>
      <c r="Q49" s="482" t="s">
        <v>2560</v>
      </c>
      <c r="R49" s="482">
        <v>800</v>
      </c>
      <c r="S49" s="488">
        <v>43831</v>
      </c>
      <c r="T49" s="566">
        <v>6</v>
      </c>
      <c r="U49" s="566" t="s">
        <v>1373</v>
      </c>
      <c r="V49" s="489"/>
      <c r="W49" s="489"/>
      <c r="X49" s="489"/>
      <c r="Y49" s="489"/>
      <c r="Z49" s="489"/>
      <c r="AA49" s="489"/>
      <c r="AB49" s="489"/>
      <c r="AC49" s="489"/>
    </row>
    <row r="50" spans="2:29" ht="14.25" customHeight="1">
      <c r="B50" s="512" t="s">
        <v>2594</v>
      </c>
      <c r="C50" s="482" t="s">
        <v>2126</v>
      </c>
      <c r="D50" s="508">
        <v>347</v>
      </c>
      <c r="E50" s="482" t="s">
        <v>2126</v>
      </c>
      <c r="F50" s="482" t="s">
        <v>1443</v>
      </c>
      <c r="G50" s="482" t="s">
        <v>2128</v>
      </c>
      <c r="H50" s="484" t="s">
        <v>2130</v>
      </c>
      <c r="I50" s="511">
        <v>450</v>
      </c>
      <c r="J50" s="511">
        <v>450</v>
      </c>
      <c r="K50" s="485">
        <v>1783</v>
      </c>
      <c r="L50" s="486">
        <v>4438.3353999999999</v>
      </c>
      <c r="M50" s="486">
        <v>0.29160000000000003</v>
      </c>
      <c r="N50" s="487">
        <v>12</v>
      </c>
      <c r="O50" s="482" t="s">
        <v>2559</v>
      </c>
      <c r="P50" s="482">
        <v>309.89999999999998</v>
      </c>
      <c r="Q50" s="482" t="s">
        <v>2560</v>
      </c>
      <c r="R50" s="482">
        <v>1120</v>
      </c>
      <c r="S50" s="488">
        <v>43831</v>
      </c>
      <c r="T50" s="566">
        <v>7</v>
      </c>
      <c r="U50" s="566" t="s">
        <v>1373</v>
      </c>
      <c r="V50" s="489"/>
      <c r="W50" s="489"/>
      <c r="X50" s="489"/>
      <c r="Y50" s="489"/>
      <c r="Z50" s="489"/>
      <c r="AA50" s="489"/>
      <c r="AB50" s="489"/>
      <c r="AC50" s="489"/>
    </row>
    <row r="51" spans="2:29" ht="14.25" customHeight="1">
      <c r="B51" s="512" t="s">
        <v>2595</v>
      </c>
      <c r="C51" s="482" t="s">
        <v>2127</v>
      </c>
      <c r="D51" s="508">
        <v>371</v>
      </c>
      <c r="E51" s="482" t="s">
        <v>2127</v>
      </c>
      <c r="F51" s="482" t="s">
        <v>1443</v>
      </c>
      <c r="G51" s="482" t="s">
        <v>2128</v>
      </c>
      <c r="H51" s="484" t="s">
        <v>2503</v>
      </c>
      <c r="I51" s="659">
        <v>550</v>
      </c>
      <c r="J51" s="659">
        <v>500</v>
      </c>
      <c r="K51" s="485">
        <v>1988</v>
      </c>
      <c r="L51" s="486">
        <v>4966</v>
      </c>
      <c r="M51" s="486">
        <v>0.68</v>
      </c>
      <c r="N51" s="487">
        <v>15</v>
      </c>
      <c r="O51" s="482"/>
      <c r="P51" s="482"/>
      <c r="Q51" s="482"/>
      <c r="R51" s="482"/>
      <c r="S51" s="488">
        <v>43831</v>
      </c>
      <c r="T51" s="566">
        <v>8</v>
      </c>
      <c r="U51" s="566" t="s">
        <v>1373</v>
      </c>
      <c r="V51" s="489"/>
      <c r="W51" s="489"/>
      <c r="X51" s="489"/>
      <c r="Y51" s="489"/>
      <c r="Z51" s="489"/>
      <c r="AA51" s="489"/>
      <c r="AB51" s="489"/>
      <c r="AC51" s="489"/>
    </row>
    <row r="52" spans="2:29" ht="14.25" customHeight="1">
      <c r="B52" s="489"/>
      <c r="C52" s="492"/>
      <c r="D52" s="503"/>
      <c r="E52" s="507"/>
      <c r="F52" s="507"/>
      <c r="G52" s="489"/>
      <c r="H52" s="482"/>
      <c r="I52" s="507"/>
      <c r="J52" s="507"/>
      <c r="K52" s="489"/>
      <c r="L52" s="489"/>
      <c r="M52" s="489"/>
      <c r="N52" s="489"/>
      <c r="O52" s="489"/>
      <c r="P52" s="489"/>
      <c r="Q52" s="492"/>
      <c r="R52" s="489"/>
      <c r="S52" s="492"/>
      <c r="T52" s="566"/>
      <c r="U52" s="489"/>
    </row>
    <row r="53" spans="2:29" ht="14.25" customHeight="1">
      <c r="B53" s="509" t="s">
        <v>85</v>
      </c>
      <c r="C53" s="509" t="s">
        <v>1300</v>
      </c>
      <c r="D53" s="509" t="s">
        <v>1301</v>
      </c>
      <c r="E53" s="509" t="s">
        <v>1348</v>
      </c>
      <c r="F53" s="509" t="s">
        <v>0</v>
      </c>
      <c r="G53" s="509" t="s">
        <v>1302</v>
      </c>
      <c r="H53" s="510" t="s">
        <v>1303</v>
      </c>
      <c r="I53" s="510" t="s">
        <v>1304</v>
      </c>
      <c r="J53" s="510" t="s">
        <v>2891</v>
      </c>
      <c r="K53" s="509" t="s">
        <v>1305</v>
      </c>
      <c r="L53" s="509" t="s">
        <v>1306</v>
      </c>
      <c r="M53" s="509" t="s">
        <v>1307</v>
      </c>
      <c r="N53" s="509" t="s">
        <v>1308</v>
      </c>
      <c r="O53" s="509" t="s">
        <v>2152</v>
      </c>
      <c r="P53" s="509" t="s">
        <v>1309</v>
      </c>
      <c r="Q53" s="509" t="s">
        <v>1310</v>
      </c>
      <c r="R53" s="509" t="s">
        <v>1311</v>
      </c>
      <c r="S53" s="509" t="s">
        <v>1312</v>
      </c>
      <c r="T53" s="509" t="s">
        <v>347</v>
      </c>
      <c r="U53" s="509" t="s">
        <v>2715</v>
      </c>
      <c r="V53" s="563" t="s">
        <v>2401</v>
      </c>
      <c r="W53" s="563" t="s">
        <v>2570</v>
      </c>
      <c r="X53" s="563" t="s">
        <v>2571</v>
      </c>
      <c r="Y53" s="563" t="s">
        <v>2572</v>
      </c>
      <c r="Z53" s="563" t="s">
        <v>2573</v>
      </c>
      <c r="AA53" s="563" t="s">
        <v>2574</v>
      </c>
      <c r="AB53" s="563" t="s">
        <v>2575</v>
      </c>
      <c r="AC53" s="563" t="s">
        <v>2629</v>
      </c>
    </row>
    <row r="54" spans="2:29" ht="14.25" customHeight="1">
      <c r="B54" s="592" t="s">
        <v>2680</v>
      </c>
      <c r="C54" s="482" t="s">
        <v>2502</v>
      </c>
      <c r="D54" s="483">
        <v>122.1</v>
      </c>
      <c r="E54" s="482" t="s">
        <v>1335</v>
      </c>
      <c r="F54" s="482" t="s">
        <v>1443</v>
      </c>
      <c r="G54" s="482" t="s">
        <v>2138</v>
      </c>
      <c r="H54" s="484" t="s">
        <v>2503</v>
      </c>
      <c r="I54" s="511">
        <v>45</v>
      </c>
      <c r="J54" s="511">
        <v>45</v>
      </c>
      <c r="K54" s="485">
        <v>140.37</v>
      </c>
      <c r="L54" s="486">
        <v>329</v>
      </c>
      <c r="M54" s="486">
        <v>0.15820000000000001</v>
      </c>
      <c r="N54" s="501">
        <v>10</v>
      </c>
      <c r="O54" s="500"/>
      <c r="P54" s="500"/>
      <c r="Q54" s="500"/>
      <c r="R54" s="501"/>
      <c r="S54" s="488">
        <v>43831</v>
      </c>
      <c r="T54" s="501">
        <v>1</v>
      </c>
      <c r="U54" s="566" t="s">
        <v>1373</v>
      </c>
      <c r="V54" s="489"/>
      <c r="W54" s="489"/>
      <c r="X54" s="489"/>
      <c r="Y54" s="489"/>
      <c r="Z54" s="489"/>
      <c r="AA54" s="489"/>
      <c r="AB54" s="489"/>
      <c r="AC54" s="489"/>
    </row>
    <row r="55" spans="2:29" ht="14.25" customHeight="1">
      <c r="B55" s="592" t="s">
        <v>2681</v>
      </c>
      <c r="C55" s="482" t="s">
        <v>2504</v>
      </c>
      <c r="D55" s="483">
        <v>123.1</v>
      </c>
      <c r="E55" s="482" t="s">
        <v>1336</v>
      </c>
      <c r="F55" s="482" t="s">
        <v>1443</v>
      </c>
      <c r="G55" s="482" t="s">
        <v>2138</v>
      </c>
      <c r="H55" s="484" t="s">
        <v>2503</v>
      </c>
      <c r="I55" s="511">
        <v>50</v>
      </c>
      <c r="J55" s="511">
        <v>50</v>
      </c>
      <c r="K55" s="485">
        <v>140.37</v>
      </c>
      <c r="L55" s="486">
        <v>658</v>
      </c>
      <c r="M55" s="486">
        <v>0.15820000000000001</v>
      </c>
      <c r="N55" s="501">
        <v>10</v>
      </c>
      <c r="O55" s="500"/>
      <c r="P55" s="500"/>
      <c r="Q55" s="500"/>
      <c r="R55" s="501"/>
      <c r="S55" s="488">
        <v>43831</v>
      </c>
      <c r="T55" s="501">
        <v>2</v>
      </c>
      <c r="U55" s="566" t="s">
        <v>1373</v>
      </c>
      <c r="V55" s="489"/>
      <c r="W55" s="489"/>
      <c r="X55" s="489"/>
      <c r="Y55" s="489"/>
      <c r="Z55" s="489"/>
      <c r="AA55" s="489"/>
      <c r="AB55" s="489"/>
      <c r="AC55" s="489"/>
    </row>
    <row r="56" spans="2:29" ht="14.25" customHeight="1">
      <c r="B56" s="592" t="s">
        <v>2682</v>
      </c>
      <c r="C56" s="482" t="s">
        <v>2505</v>
      </c>
      <c r="D56" s="483">
        <v>124.1</v>
      </c>
      <c r="E56" s="482" t="s">
        <v>1337</v>
      </c>
      <c r="F56" s="482" t="s">
        <v>1443</v>
      </c>
      <c r="G56" s="482" t="s">
        <v>2138</v>
      </c>
      <c r="H56" s="484" t="s">
        <v>2503</v>
      </c>
      <c r="I56" s="511">
        <v>55</v>
      </c>
      <c r="J56" s="511">
        <v>55</v>
      </c>
      <c r="K56" s="485">
        <v>140.37</v>
      </c>
      <c r="L56" s="486">
        <v>987</v>
      </c>
      <c r="M56" s="486">
        <v>0.15820000000000001</v>
      </c>
      <c r="N56" s="501">
        <v>10</v>
      </c>
      <c r="O56" s="500"/>
      <c r="P56" s="500"/>
      <c r="Q56" s="500"/>
      <c r="R56" s="501"/>
      <c r="S56" s="488">
        <v>43831</v>
      </c>
      <c r="T56" s="501">
        <v>3</v>
      </c>
      <c r="U56" s="566" t="s">
        <v>1373</v>
      </c>
      <c r="V56" s="489"/>
      <c r="W56" s="489"/>
      <c r="X56" s="489"/>
      <c r="Y56" s="489"/>
      <c r="Z56" s="489"/>
      <c r="AA56" s="489"/>
      <c r="AB56" s="489"/>
      <c r="AC56" s="489"/>
    </row>
    <row r="57" spans="2:29" ht="14.25" customHeight="1">
      <c r="B57" s="592" t="s">
        <v>2683</v>
      </c>
      <c r="C57" s="482" t="s">
        <v>2506</v>
      </c>
      <c r="D57" s="483">
        <v>125.1</v>
      </c>
      <c r="E57" s="482" t="s">
        <v>1338</v>
      </c>
      <c r="F57" s="482" t="s">
        <v>1443</v>
      </c>
      <c r="G57" s="482" t="s">
        <v>2138</v>
      </c>
      <c r="H57" s="484" t="s">
        <v>2503</v>
      </c>
      <c r="I57" s="511">
        <v>60</v>
      </c>
      <c r="J57" s="511">
        <v>60</v>
      </c>
      <c r="K57" s="485">
        <v>140.37</v>
      </c>
      <c r="L57" s="486">
        <v>1385.3</v>
      </c>
      <c r="M57" s="486">
        <v>0.15820000000000001</v>
      </c>
      <c r="N57" s="501">
        <v>10</v>
      </c>
      <c r="O57" s="500"/>
      <c r="P57" s="500"/>
      <c r="Q57" s="500"/>
      <c r="R57" s="501"/>
      <c r="S57" s="488">
        <v>43831</v>
      </c>
      <c r="T57" s="501">
        <v>4</v>
      </c>
      <c r="U57" s="566" t="s">
        <v>1373</v>
      </c>
      <c r="V57" s="489"/>
      <c r="W57" s="489"/>
      <c r="X57" s="489"/>
      <c r="Y57" s="489"/>
      <c r="Z57" s="489"/>
      <c r="AA57" s="489"/>
      <c r="AB57" s="489"/>
      <c r="AC57" s="489"/>
    </row>
    <row r="58" spans="2:29" ht="14.25" customHeight="1">
      <c r="B58" s="592" t="s">
        <v>2684</v>
      </c>
      <c r="C58" s="482" t="s">
        <v>1912</v>
      </c>
      <c r="D58" s="483">
        <v>119.1</v>
      </c>
      <c r="E58" s="482" t="s">
        <v>1339</v>
      </c>
      <c r="F58" s="482" t="s">
        <v>1443</v>
      </c>
      <c r="G58" s="482" t="s">
        <v>2138</v>
      </c>
      <c r="H58" s="484" t="s">
        <v>1340</v>
      </c>
      <c r="I58" s="511">
        <v>40</v>
      </c>
      <c r="J58" s="511">
        <v>40</v>
      </c>
      <c r="K58" s="485">
        <v>57</v>
      </c>
      <c r="L58" s="486">
        <v>1086.6379999999999</v>
      </c>
      <c r="M58" s="486">
        <v>0.51100000000000001</v>
      </c>
      <c r="N58" s="501">
        <v>15</v>
      </c>
      <c r="O58" s="500"/>
      <c r="P58" s="500"/>
      <c r="Q58" s="500"/>
      <c r="R58" s="501"/>
      <c r="S58" s="488">
        <v>43831</v>
      </c>
      <c r="T58" s="501">
        <v>5</v>
      </c>
      <c r="U58" s="566" t="s">
        <v>1373</v>
      </c>
      <c r="V58" s="489"/>
      <c r="W58" s="489"/>
      <c r="X58" s="489"/>
      <c r="Y58" s="489"/>
      <c r="Z58" s="489"/>
      <c r="AA58" s="489"/>
      <c r="AB58" s="489"/>
      <c r="AC58" s="489"/>
    </row>
    <row r="59" spans="2:29" ht="14.25" customHeight="1">
      <c r="B59" s="592" t="s">
        <v>2685</v>
      </c>
      <c r="C59" s="482" t="s">
        <v>1913</v>
      </c>
      <c r="D59" s="483">
        <v>120.1</v>
      </c>
      <c r="E59" s="482" t="s">
        <v>1341</v>
      </c>
      <c r="F59" s="482" t="s">
        <v>1443</v>
      </c>
      <c r="G59" s="482" t="s">
        <v>2138</v>
      </c>
      <c r="H59" s="484" t="s">
        <v>1340</v>
      </c>
      <c r="I59" s="511">
        <v>30</v>
      </c>
      <c r="J59" s="511">
        <v>30</v>
      </c>
      <c r="K59" s="485">
        <v>42</v>
      </c>
      <c r="L59" s="486">
        <v>393.43799999999999</v>
      </c>
      <c r="M59" s="486">
        <v>0.16300000000000001</v>
      </c>
      <c r="N59" s="501">
        <v>15</v>
      </c>
      <c r="O59" s="500"/>
      <c r="P59" s="500"/>
      <c r="Q59" s="500"/>
      <c r="R59" s="501"/>
      <c r="S59" s="488">
        <v>43831</v>
      </c>
      <c r="T59" s="501">
        <v>6</v>
      </c>
      <c r="U59" s="566" t="s">
        <v>1373</v>
      </c>
      <c r="V59" s="489"/>
      <c r="W59" s="489"/>
      <c r="X59" s="489"/>
      <c r="Y59" s="489"/>
      <c r="Z59" s="489"/>
      <c r="AA59" s="489"/>
      <c r="AB59" s="489"/>
      <c r="AC59" s="489"/>
    </row>
    <row r="60" spans="2:29" ht="14.25" customHeight="1">
      <c r="B60" s="592" t="s">
        <v>2686</v>
      </c>
      <c r="C60" s="500" t="s">
        <v>1519</v>
      </c>
      <c r="D60" s="634">
        <v>121.3</v>
      </c>
      <c r="E60" s="633" t="s">
        <v>1519</v>
      </c>
      <c r="F60" s="482" t="s">
        <v>1443</v>
      </c>
      <c r="G60" s="482" t="s">
        <v>2138</v>
      </c>
      <c r="H60" s="649" t="s">
        <v>1520</v>
      </c>
      <c r="I60" s="511">
        <v>180</v>
      </c>
      <c r="J60" s="511">
        <v>180</v>
      </c>
      <c r="K60" s="650">
        <v>700</v>
      </c>
      <c r="L60" s="635">
        <v>1969.6559999999999</v>
      </c>
      <c r="M60" s="635">
        <v>0.30499999999999999</v>
      </c>
      <c r="N60" s="651">
        <v>10</v>
      </c>
      <c r="O60" s="500"/>
      <c r="P60" s="500"/>
      <c r="Q60" s="500"/>
      <c r="R60" s="501"/>
      <c r="S60" s="638">
        <v>43952</v>
      </c>
      <c r="T60" s="501">
        <v>7</v>
      </c>
      <c r="U60" s="566" t="s">
        <v>1373</v>
      </c>
      <c r="V60" s="489"/>
      <c r="W60" s="489"/>
      <c r="X60" s="489"/>
      <c r="Y60" s="489"/>
      <c r="Z60" s="489"/>
      <c r="AA60" s="489"/>
      <c r="AB60" s="489"/>
      <c r="AC60" s="489"/>
    </row>
    <row r="61" spans="2:29" ht="14.25" customHeight="1">
      <c r="F61" s="106"/>
    </row>
    <row r="62" spans="2:29" ht="14.25" customHeight="1">
      <c r="B62" s="509" t="s">
        <v>85</v>
      </c>
      <c r="C62" s="509" t="s">
        <v>1300</v>
      </c>
      <c r="D62" s="509" t="s">
        <v>1301</v>
      </c>
      <c r="E62" s="509" t="s">
        <v>1348</v>
      </c>
      <c r="F62" s="509" t="s">
        <v>0</v>
      </c>
      <c r="G62" s="509" t="s">
        <v>1302</v>
      </c>
      <c r="H62" s="510" t="s">
        <v>1303</v>
      </c>
      <c r="I62" s="510" t="s">
        <v>1304</v>
      </c>
      <c r="J62" s="510" t="s">
        <v>2891</v>
      </c>
      <c r="K62" s="509" t="s">
        <v>1305</v>
      </c>
      <c r="L62" s="509" t="s">
        <v>1306</v>
      </c>
      <c r="M62" s="509" t="s">
        <v>1307</v>
      </c>
      <c r="N62" s="509" t="s">
        <v>1308</v>
      </c>
      <c r="O62" s="509" t="s">
        <v>2152</v>
      </c>
      <c r="P62" s="509" t="s">
        <v>1309</v>
      </c>
      <c r="Q62" s="509" t="s">
        <v>1310</v>
      </c>
      <c r="R62" s="509" t="s">
        <v>1311</v>
      </c>
      <c r="S62" s="509" t="s">
        <v>1312</v>
      </c>
      <c r="T62" s="509" t="s">
        <v>347</v>
      </c>
      <c r="U62" s="509" t="s">
        <v>2715</v>
      </c>
      <c r="V62" s="563" t="s">
        <v>2401</v>
      </c>
      <c r="W62" s="563" t="s">
        <v>2570</v>
      </c>
      <c r="X62" s="563" t="s">
        <v>2571</v>
      </c>
      <c r="Y62" s="563" t="s">
        <v>2572</v>
      </c>
      <c r="Z62" s="563" t="s">
        <v>2573</v>
      </c>
      <c r="AA62" s="563" t="s">
        <v>2574</v>
      </c>
      <c r="AB62" s="563" t="s">
        <v>2575</v>
      </c>
      <c r="AC62" s="563" t="s">
        <v>2629</v>
      </c>
    </row>
    <row r="63" spans="2:29" ht="14.25" customHeight="1">
      <c r="B63" s="591" t="s">
        <v>2687</v>
      </c>
      <c r="C63" s="482" t="s">
        <v>1367</v>
      </c>
      <c r="D63" s="634">
        <v>175.4</v>
      </c>
      <c r="E63" s="633" t="s">
        <v>1359</v>
      </c>
      <c r="F63" s="482" t="s">
        <v>1443</v>
      </c>
      <c r="G63" s="482" t="s">
        <v>96</v>
      </c>
      <c r="H63" s="646" t="s">
        <v>1323</v>
      </c>
      <c r="I63" s="511">
        <v>40</v>
      </c>
      <c r="J63" s="511">
        <v>40</v>
      </c>
      <c r="K63" s="650">
        <v>230</v>
      </c>
      <c r="L63" s="635">
        <v>598.43499999999995</v>
      </c>
      <c r="M63" s="635">
        <v>0.1353</v>
      </c>
      <c r="N63" s="652">
        <v>8</v>
      </c>
      <c r="O63" s="633" t="s">
        <v>2561</v>
      </c>
      <c r="P63" s="637">
        <v>21.3</v>
      </c>
      <c r="Q63" s="633" t="s">
        <v>2562</v>
      </c>
      <c r="R63" s="636">
        <v>84.75</v>
      </c>
      <c r="S63" s="638">
        <v>43952</v>
      </c>
      <c r="T63" s="501">
        <v>1</v>
      </c>
      <c r="U63" s="566" t="s">
        <v>1373</v>
      </c>
      <c r="V63" s="482"/>
      <c r="W63" s="482"/>
      <c r="X63" s="482"/>
      <c r="Y63" s="482"/>
      <c r="Z63" s="482"/>
      <c r="AA63" s="482"/>
      <c r="AB63" s="482"/>
      <c r="AC63" s="482"/>
    </row>
    <row r="64" spans="2:29" ht="14.25" customHeight="1">
      <c r="B64" s="591" t="s">
        <v>2688</v>
      </c>
      <c r="C64" s="482" t="s">
        <v>1368</v>
      </c>
      <c r="D64" s="634">
        <v>174.4</v>
      </c>
      <c r="E64" s="633" t="s">
        <v>1324</v>
      </c>
      <c r="F64" s="482" t="s">
        <v>1443</v>
      </c>
      <c r="G64" s="482" t="s">
        <v>96</v>
      </c>
      <c r="H64" s="646" t="s">
        <v>1323</v>
      </c>
      <c r="I64" s="511">
        <v>40</v>
      </c>
      <c r="J64" s="511">
        <v>40</v>
      </c>
      <c r="K64" s="650">
        <v>230</v>
      </c>
      <c r="L64" s="635">
        <v>559.50170000000003</v>
      </c>
      <c r="M64" s="635">
        <v>0.13039999999999999</v>
      </c>
      <c r="N64" s="652">
        <v>8</v>
      </c>
      <c r="O64" s="633" t="s">
        <v>2563</v>
      </c>
      <c r="P64" s="637">
        <v>20.8</v>
      </c>
      <c r="Q64" s="633" t="s">
        <v>2562</v>
      </c>
      <c r="R64" s="636">
        <v>84.75</v>
      </c>
      <c r="S64" s="638">
        <v>43952</v>
      </c>
      <c r="T64" s="501">
        <v>2</v>
      </c>
      <c r="U64" s="566" t="s">
        <v>1373</v>
      </c>
      <c r="V64" s="482"/>
      <c r="W64" s="482"/>
      <c r="X64" s="482"/>
      <c r="Y64" s="482"/>
      <c r="Z64" s="482"/>
      <c r="AA64" s="482"/>
      <c r="AB64" s="482"/>
      <c r="AC64" s="482"/>
    </row>
    <row r="65" spans="2:30" ht="14.25" customHeight="1">
      <c r="B65" s="596" t="s">
        <v>1747</v>
      </c>
      <c r="C65" s="482" t="s">
        <v>1915</v>
      </c>
      <c r="D65" s="483">
        <v>258.10000000000002</v>
      </c>
      <c r="E65" s="482" t="s">
        <v>1345</v>
      </c>
      <c r="F65" s="482" t="s">
        <v>1443</v>
      </c>
      <c r="G65" s="482" t="s">
        <v>96</v>
      </c>
      <c r="H65" s="498" t="s">
        <v>2911</v>
      </c>
      <c r="I65" s="659">
        <v>110</v>
      </c>
      <c r="J65" s="659">
        <v>100</v>
      </c>
      <c r="K65" s="485">
        <v>164</v>
      </c>
      <c r="L65" s="486">
        <v>286.72129999999999</v>
      </c>
      <c r="M65" s="486">
        <v>3.0599999999999999E-2</v>
      </c>
      <c r="N65" s="487">
        <v>12</v>
      </c>
      <c r="O65" s="482" t="s">
        <v>2564</v>
      </c>
      <c r="P65" s="562">
        <v>2.7549999999999999</v>
      </c>
      <c r="Q65" s="482" t="s">
        <v>2565</v>
      </c>
      <c r="R65" s="487">
        <v>3.54</v>
      </c>
      <c r="S65" s="488">
        <v>43831</v>
      </c>
      <c r="T65" s="501">
        <v>3</v>
      </c>
      <c r="U65" s="566" t="s">
        <v>1373</v>
      </c>
      <c r="V65" s="482"/>
      <c r="W65" s="482"/>
      <c r="X65" s="482"/>
      <c r="Y65" s="482"/>
      <c r="Z65" s="482"/>
      <c r="AA65" s="482"/>
      <c r="AB65" s="482"/>
      <c r="AC65" s="482"/>
    </row>
    <row r="66" spans="2:30" ht="14.25" customHeight="1">
      <c r="B66" s="596" t="s">
        <v>1748</v>
      </c>
      <c r="C66" s="482" t="s">
        <v>1346</v>
      </c>
      <c r="D66" s="483">
        <v>261.10000000000002</v>
      </c>
      <c r="E66" s="482" t="s">
        <v>1346</v>
      </c>
      <c r="F66" s="482" t="s">
        <v>1443</v>
      </c>
      <c r="G66" s="482" t="s">
        <v>96</v>
      </c>
      <c r="H66" s="498" t="s">
        <v>2097</v>
      </c>
      <c r="I66" s="511">
        <v>60</v>
      </c>
      <c r="J66" s="511">
        <v>60</v>
      </c>
      <c r="K66" s="485">
        <v>286.16000000000003</v>
      </c>
      <c r="L66" s="486">
        <v>422</v>
      </c>
      <c r="M66" s="486">
        <v>0.05</v>
      </c>
      <c r="N66" s="487">
        <v>6</v>
      </c>
      <c r="O66" s="482" t="s">
        <v>2566</v>
      </c>
      <c r="P66" s="562"/>
      <c r="Q66" s="482" t="s">
        <v>2567</v>
      </c>
      <c r="R66" s="487"/>
      <c r="S66" s="488">
        <v>43831</v>
      </c>
      <c r="T66" s="501">
        <v>5</v>
      </c>
      <c r="U66" s="566" t="s">
        <v>1373</v>
      </c>
      <c r="V66" s="482"/>
      <c r="W66" s="482"/>
      <c r="X66" s="482"/>
      <c r="Y66" s="482"/>
      <c r="Z66" s="482"/>
      <c r="AA66" s="482"/>
      <c r="AB66" s="482"/>
      <c r="AC66" s="482"/>
    </row>
    <row r="67" spans="2:30" ht="14.25" customHeight="1">
      <c r="B67" s="596" t="s">
        <v>1746</v>
      </c>
      <c r="C67" s="482" t="s">
        <v>1914</v>
      </c>
      <c r="D67" s="634">
        <v>259.2</v>
      </c>
      <c r="E67" s="633" t="s">
        <v>1344</v>
      </c>
      <c r="F67" s="482" t="s">
        <v>1443</v>
      </c>
      <c r="G67" s="482" t="s">
        <v>96</v>
      </c>
      <c r="H67" s="498" t="s">
        <v>2911</v>
      </c>
      <c r="I67" s="511">
        <v>150</v>
      </c>
      <c r="J67" s="511">
        <v>150</v>
      </c>
      <c r="K67" s="650">
        <v>166</v>
      </c>
      <c r="L67" s="635">
        <v>382.05149999999998</v>
      </c>
      <c r="M67" s="635">
        <v>4.0800000000000003E-2</v>
      </c>
      <c r="N67" s="636">
        <v>12</v>
      </c>
      <c r="O67" s="633" t="s">
        <v>2564</v>
      </c>
      <c r="P67" s="637">
        <v>4.944</v>
      </c>
      <c r="Q67" s="633" t="s">
        <v>2565</v>
      </c>
      <c r="R67" s="636">
        <v>5.99</v>
      </c>
      <c r="S67" s="638">
        <v>43952</v>
      </c>
      <c r="T67" s="501">
        <v>4</v>
      </c>
      <c r="U67" s="566" t="s">
        <v>1373</v>
      </c>
      <c r="V67" s="482"/>
      <c r="W67" s="482"/>
      <c r="X67" s="482"/>
      <c r="Y67" s="482"/>
      <c r="Z67" s="482"/>
      <c r="AA67" s="482"/>
      <c r="AB67" s="482"/>
      <c r="AC67" s="482"/>
    </row>
    <row r="68" spans="2:30" ht="14.25" customHeight="1">
      <c r="B68" s="591" t="s">
        <v>2689</v>
      </c>
      <c r="C68" s="482" t="s">
        <v>1347</v>
      </c>
      <c r="D68" s="483">
        <v>260.10000000000002</v>
      </c>
      <c r="E68" s="482" t="s">
        <v>1347</v>
      </c>
      <c r="F68" s="482" t="s">
        <v>1443</v>
      </c>
      <c r="G68" s="482" t="s">
        <v>96</v>
      </c>
      <c r="H68" s="498" t="s">
        <v>2097</v>
      </c>
      <c r="I68" s="511">
        <v>60</v>
      </c>
      <c r="J68" s="511">
        <v>60</v>
      </c>
      <c r="K68" s="485">
        <v>286.16000000000003</v>
      </c>
      <c r="L68" s="486">
        <v>2974</v>
      </c>
      <c r="M68" s="486">
        <v>0.34</v>
      </c>
      <c r="N68" s="487">
        <v>6</v>
      </c>
      <c r="O68" s="482" t="s">
        <v>2566</v>
      </c>
      <c r="P68" s="562"/>
      <c r="Q68" s="482" t="s">
        <v>2567</v>
      </c>
      <c r="R68" s="487"/>
      <c r="S68" s="488">
        <v>43831</v>
      </c>
      <c r="T68" s="501">
        <v>6</v>
      </c>
      <c r="U68" s="566" t="s">
        <v>1373</v>
      </c>
      <c r="V68" s="482"/>
      <c r="W68" s="482"/>
      <c r="X68" s="482"/>
      <c r="Y68" s="482"/>
      <c r="Z68" s="482"/>
      <c r="AA68" s="482"/>
      <c r="AB68" s="482"/>
      <c r="AC68" s="482"/>
    </row>
    <row r="69" spans="2:30" ht="14.25" customHeight="1">
      <c r="B69" s="591" t="s">
        <v>2690</v>
      </c>
      <c r="C69" s="482" t="s">
        <v>2508</v>
      </c>
      <c r="D69" s="483">
        <v>85.1</v>
      </c>
      <c r="E69" s="482" t="s">
        <v>1342</v>
      </c>
      <c r="F69" s="482" t="s">
        <v>1443</v>
      </c>
      <c r="G69" s="482" t="s">
        <v>96</v>
      </c>
      <c r="H69" s="498" t="s">
        <v>1343</v>
      </c>
      <c r="I69" s="511">
        <v>30</v>
      </c>
      <c r="J69" s="511">
        <v>30</v>
      </c>
      <c r="K69" s="485">
        <v>50</v>
      </c>
      <c r="L69" s="486">
        <v>401</v>
      </c>
      <c r="M69" s="486">
        <v>4.2000000000000003E-2</v>
      </c>
      <c r="N69" s="487">
        <v>15</v>
      </c>
      <c r="O69" s="482" t="s">
        <v>2568</v>
      </c>
      <c r="P69" s="562"/>
      <c r="Q69" s="482" t="s">
        <v>2569</v>
      </c>
      <c r="R69" s="487"/>
      <c r="S69" s="488">
        <v>43831</v>
      </c>
      <c r="T69" s="501">
        <v>7</v>
      </c>
      <c r="U69" s="566" t="s">
        <v>1373</v>
      </c>
      <c r="V69" s="482"/>
      <c r="W69" s="482"/>
      <c r="X69" s="482"/>
      <c r="Y69" s="482"/>
      <c r="Z69" s="482"/>
      <c r="AA69" s="482"/>
      <c r="AB69" s="482"/>
      <c r="AC69" s="482"/>
    </row>
    <row r="71" spans="2:30" ht="14.25" customHeight="1">
      <c r="B71" s="509" t="s">
        <v>85</v>
      </c>
      <c r="C71" s="509" t="s">
        <v>1300</v>
      </c>
      <c r="D71" s="509" t="s">
        <v>1301</v>
      </c>
      <c r="E71" s="509" t="s">
        <v>1348</v>
      </c>
      <c r="F71" s="509" t="s">
        <v>0</v>
      </c>
      <c r="G71" s="509" t="s">
        <v>1302</v>
      </c>
      <c r="H71" s="510" t="s">
        <v>1303</v>
      </c>
      <c r="I71" s="510" t="s">
        <v>1304</v>
      </c>
      <c r="J71" s="510" t="s">
        <v>2891</v>
      </c>
      <c r="K71" s="509" t="s">
        <v>1305</v>
      </c>
      <c r="L71" s="509" t="s">
        <v>1306</v>
      </c>
      <c r="M71" s="509" t="s">
        <v>1307</v>
      </c>
      <c r="N71" s="509" t="s">
        <v>1308</v>
      </c>
      <c r="O71" s="509" t="s">
        <v>2152</v>
      </c>
      <c r="P71" s="509" t="s">
        <v>1309</v>
      </c>
      <c r="Q71" s="509" t="s">
        <v>1310</v>
      </c>
      <c r="R71" s="509" t="s">
        <v>1311</v>
      </c>
      <c r="S71" s="509" t="s">
        <v>1312</v>
      </c>
      <c r="T71" s="509" t="s">
        <v>347</v>
      </c>
      <c r="U71" s="509" t="s">
        <v>2715</v>
      </c>
      <c r="V71" s="509" t="s">
        <v>2017</v>
      </c>
      <c r="W71" s="509" t="s">
        <v>2628</v>
      </c>
      <c r="X71" s="509" t="s">
        <v>2018</v>
      </c>
      <c r="Y71" s="509" t="s">
        <v>2019</v>
      </c>
      <c r="Z71" s="563" t="s">
        <v>2621</v>
      </c>
      <c r="AA71" s="563" t="s">
        <v>2622</v>
      </c>
      <c r="AB71" s="563" t="s">
        <v>2625</v>
      </c>
      <c r="AC71" s="509" t="s">
        <v>2627</v>
      </c>
    </row>
    <row r="72" spans="2:30" ht="14.25" customHeight="1">
      <c r="B72" s="512" t="s">
        <v>2596</v>
      </c>
      <c r="C72" s="502" t="s">
        <v>2854</v>
      </c>
      <c r="D72" s="513">
        <v>364</v>
      </c>
      <c r="E72" s="482" t="s">
        <v>2143</v>
      </c>
      <c r="F72" s="482" t="s">
        <v>1443</v>
      </c>
      <c r="G72" s="482" t="s">
        <v>2150</v>
      </c>
      <c r="H72" s="504" t="s">
        <v>2023</v>
      </c>
      <c r="I72" s="511">
        <v>30</v>
      </c>
      <c r="J72" s="511">
        <v>30</v>
      </c>
      <c r="K72" s="485">
        <v>127</v>
      </c>
      <c r="L72" s="486">
        <v>84.791200000000003</v>
      </c>
      <c r="M72" s="486">
        <v>4.6600000000000003E-2</v>
      </c>
      <c r="N72" s="487">
        <v>15</v>
      </c>
      <c r="O72" s="482" t="s">
        <v>2619</v>
      </c>
      <c r="P72" s="487"/>
      <c r="Q72" s="487" t="s">
        <v>2619</v>
      </c>
      <c r="R72" s="505">
        <v>13</v>
      </c>
      <c r="S72" s="488">
        <v>43831</v>
      </c>
      <c r="T72" s="501">
        <v>1</v>
      </c>
      <c r="U72" s="566" t="s">
        <v>1373</v>
      </c>
      <c r="V72" s="482">
        <v>13</v>
      </c>
      <c r="W72" s="569">
        <f>STDHVAC[[#This Row],[Baseline Efficiency Value 2]]</f>
        <v>11.180000000000003</v>
      </c>
      <c r="X72" s="506">
        <v>0</v>
      </c>
      <c r="Y72" s="506">
        <f>65/12</f>
        <v>5.416666666666667</v>
      </c>
      <c r="Z72" s="482">
        <v>1286</v>
      </c>
      <c r="AA72" s="482"/>
      <c r="AB72" s="503" t="s">
        <v>2618</v>
      </c>
      <c r="AC72" s="482">
        <f>1.12*STDHVAC[[#This Row],[Baseline Efficiency Value]]-0.02*STDHVAC[[#This Row],[Baseline Efficiency Value]]^2</f>
        <v>11.180000000000003</v>
      </c>
    </row>
    <row r="73" spans="2:30" ht="14.25" customHeight="1">
      <c r="B73" s="512" t="s">
        <v>2597</v>
      </c>
      <c r="C73" s="482" t="s">
        <v>2853</v>
      </c>
      <c r="D73" s="513">
        <v>362</v>
      </c>
      <c r="E73" s="482" t="s">
        <v>2147</v>
      </c>
      <c r="F73" s="482" t="s">
        <v>1443</v>
      </c>
      <c r="G73" s="482" t="s">
        <v>2150</v>
      </c>
      <c r="H73" s="504" t="s">
        <v>2151</v>
      </c>
      <c r="I73" s="511">
        <v>35</v>
      </c>
      <c r="J73" s="511">
        <v>35</v>
      </c>
      <c r="K73" s="485">
        <v>127</v>
      </c>
      <c r="L73" s="486">
        <v>102.48520000000001</v>
      </c>
      <c r="M73" s="486">
        <v>0.1532</v>
      </c>
      <c r="N73" s="487">
        <v>15</v>
      </c>
      <c r="O73" s="482" t="s">
        <v>2147</v>
      </c>
      <c r="P73" s="487"/>
      <c r="Q73" s="568" t="s">
        <v>2620</v>
      </c>
      <c r="R73" s="570">
        <v>11.2</v>
      </c>
      <c r="S73" s="488">
        <v>43831</v>
      </c>
      <c r="T73" s="501">
        <v>2</v>
      </c>
      <c r="U73" s="566" t="s">
        <v>1373</v>
      </c>
      <c r="V73" s="482">
        <v>11.2</v>
      </c>
      <c r="W73" s="569">
        <f>STDHVAC[[#This Row],[Baseline Efficiency Value 2]]</f>
        <v>11</v>
      </c>
      <c r="X73" s="506">
        <f>65/12</f>
        <v>5.416666666666667</v>
      </c>
      <c r="Y73" s="506">
        <f>135/12</f>
        <v>11.25</v>
      </c>
      <c r="Z73" s="482">
        <v>1286</v>
      </c>
      <c r="AA73" s="482"/>
      <c r="AB73" s="503" t="s">
        <v>2618</v>
      </c>
      <c r="AC73" s="569">
        <v>11</v>
      </c>
      <c r="AD73" s="487"/>
    </row>
    <row r="74" spans="2:30" ht="14.25" customHeight="1">
      <c r="B74" s="512" t="s">
        <v>2598</v>
      </c>
      <c r="C74" s="482" t="s">
        <v>2852</v>
      </c>
      <c r="D74" s="513">
        <v>360</v>
      </c>
      <c r="E74" s="482" t="s">
        <v>2145</v>
      </c>
      <c r="F74" s="482" t="s">
        <v>1443</v>
      </c>
      <c r="G74" s="482" t="s">
        <v>2150</v>
      </c>
      <c r="H74" s="504" t="s">
        <v>2151</v>
      </c>
      <c r="I74" s="511">
        <v>40</v>
      </c>
      <c r="J74" s="511">
        <v>40</v>
      </c>
      <c r="K74" s="485">
        <v>127</v>
      </c>
      <c r="L74" s="486">
        <v>148.2749</v>
      </c>
      <c r="M74" s="486">
        <v>0.1585</v>
      </c>
      <c r="N74" s="487">
        <v>15</v>
      </c>
      <c r="O74" s="482" t="s">
        <v>2145</v>
      </c>
      <c r="P74" s="487"/>
      <c r="Q74" s="567" t="s">
        <v>2620</v>
      </c>
      <c r="R74" s="571">
        <v>11</v>
      </c>
      <c r="S74" s="488">
        <v>43831</v>
      </c>
      <c r="T74" s="501">
        <v>3</v>
      </c>
      <c r="U74" s="566" t="s">
        <v>1373</v>
      </c>
      <c r="V74" s="482">
        <v>11</v>
      </c>
      <c r="W74" s="569">
        <f>STDHVAC[[#This Row],[Baseline Efficiency Value 2]]</f>
        <v>10.8</v>
      </c>
      <c r="X74" s="506">
        <f>135/12</f>
        <v>11.25</v>
      </c>
      <c r="Y74" s="506">
        <f>240/12</f>
        <v>20</v>
      </c>
      <c r="Z74" s="482">
        <v>1286</v>
      </c>
      <c r="AA74" s="482"/>
      <c r="AB74" s="503" t="s">
        <v>2618</v>
      </c>
      <c r="AC74" s="569">
        <v>10.8</v>
      </c>
      <c r="AD74" s="487"/>
    </row>
    <row r="75" spans="2:30" ht="14.25" customHeight="1">
      <c r="B75" s="512" t="s">
        <v>2599</v>
      </c>
      <c r="C75" s="482" t="s">
        <v>2860</v>
      </c>
      <c r="D75" s="513">
        <v>361</v>
      </c>
      <c r="E75" s="482" t="s">
        <v>2146</v>
      </c>
      <c r="F75" s="482" t="s">
        <v>1443</v>
      </c>
      <c r="G75" s="482" t="s">
        <v>2150</v>
      </c>
      <c r="H75" s="504" t="s">
        <v>2151</v>
      </c>
      <c r="I75" s="511">
        <v>45</v>
      </c>
      <c r="J75" s="511">
        <v>45</v>
      </c>
      <c r="K75" s="485">
        <v>38</v>
      </c>
      <c r="L75" s="486">
        <v>74.941699999999997</v>
      </c>
      <c r="M75" s="486">
        <v>0.1895</v>
      </c>
      <c r="N75" s="487">
        <v>15</v>
      </c>
      <c r="O75" s="482" t="s">
        <v>2146</v>
      </c>
      <c r="P75" s="487"/>
      <c r="Q75" s="568" t="s">
        <v>2620</v>
      </c>
      <c r="R75" s="570">
        <v>9.9</v>
      </c>
      <c r="S75" s="488">
        <v>43831</v>
      </c>
      <c r="T75" s="501">
        <v>4</v>
      </c>
      <c r="U75" s="566" t="s">
        <v>1373</v>
      </c>
      <c r="V75" s="482">
        <v>9.9</v>
      </c>
      <c r="W75" s="569">
        <f>STDHVAC[[#This Row],[Baseline Efficiency Value 2]]</f>
        <v>9.8000000000000007</v>
      </c>
      <c r="X75" s="506">
        <f>240/12</f>
        <v>20</v>
      </c>
      <c r="Y75" s="506">
        <f>760/12</f>
        <v>63.333333333333336</v>
      </c>
      <c r="Z75" s="482">
        <v>1286</v>
      </c>
      <c r="AA75" s="482"/>
      <c r="AB75" s="503" t="s">
        <v>2618</v>
      </c>
      <c r="AC75" s="569">
        <v>9.8000000000000007</v>
      </c>
      <c r="AD75" s="487"/>
    </row>
    <row r="76" spans="2:30" ht="14.25" customHeight="1">
      <c r="B76" s="512" t="s">
        <v>2600</v>
      </c>
      <c r="C76" s="482" t="s">
        <v>2856</v>
      </c>
      <c r="D76" s="513">
        <v>363</v>
      </c>
      <c r="E76" s="482" t="s">
        <v>2144</v>
      </c>
      <c r="F76" s="482" t="s">
        <v>1443</v>
      </c>
      <c r="G76" s="482" t="s">
        <v>2150</v>
      </c>
      <c r="H76" s="504" t="s">
        <v>2151</v>
      </c>
      <c r="I76" s="511">
        <v>50</v>
      </c>
      <c r="J76" s="511">
        <v>50</v>
      </c>
      <c r="K76" s="485">
        <v>38</v>
      </c>
      <c r="L76" s="486">
        <v>79.5792</v>
      </c>
      <c r="M76" s="486">
        <v>0.2006</v>
      </c>
      <c r="N76" s="487">
        <v>15</v>
      </c>
      <c r="O76" s="482" t="s">
        <v>2144</v>
      </c>
      <c r="P76" s="487"/>
      <c r="Q76" s="567" t="s">
        <v>2620</v>
      </c>
      <c r="R76" s="571">
        <v>9.6</v>
      </c>
      <c r="S76" s="488">
        <v>43831</v>
      </c>
      <c r="T76" s="501">
        <v>5</v>
      </c>
      <c r="U76" s="566" t="s">
        <v>1373</v>
      </c>
      <c r="V76" s="482">
        <v>9.6</v>
      </c>
      <c r="W76" s="569">
        <f>STDHVAC[[#This Row],[Baseline Efficiency Value 2]]</f>
        <v>9.5</v>
      </c>
      <c r="X76" s="506">
        <f>760/12</f>
        <v>63.333333333333336</v>
      </c>
      <c r="Y76" s="506">
        <v>9999</v>
      </c>
      <c r="Z76" s="482">
        <v>1286</v>
      </c>
      <c r="AA76" s="482"/>
      <c r="AB76" s="503" t="s">
        <v>2618</v>
      </c>
      <c r="AC76" s="569">
        <v>9.5</v>
      </c>
      <c r="AD76" s="487"/>
    </row>
    <row r="77" spans="2:30" ht="14.25" customHeight="1">
      <c r="B77" s="512" t="s">
        <v>2601</v>
      </c>
      <c r="C77" s="482" t="s">
        <v>2871</v>
      </c>
      <c r="D77" s="513">
        <v>370</v>
      </c>
      <c r="E77" s="482" t="s">
        <v>2139</v>
      </c>
      <c r="F77" s="482" t="s">
        <v>1443</v>
      </c>
      <c r="G77" s="482" t="s">
        <v>2150</v>
      </c>
      <c r="H77" s="504" t="s">
        <v>2023</v>
      </c>
      <c r="I77" s="511">
        <v>25</v>
      </c>
      <c r="J77" s="511">
        <v>25</v>
      </c>
      <c r="K77" s="485">
        <v>100</v>
      </c>
      <c r="L77" s="486">
        <v>134.7587</v>
      </c>
      <c r="M77" s="486">
        <v>4.8300000000000003E-2</v>
      </c>
      <c r="N77" s="487">
        <v>15</v>
      </c>
      <c r="O77" s="482" t="s">
        <v>2139</v>
      </c>
      <c r="P77" s="487"/>
      <c r="Q77" s="487" t="s">
        <v>2619</v>
      </c>
      <c r="R77" s="505">
        <v>13</v>
      </c>
      <c r="S77" s="488">
        <v>43831</v>
      </c>
      <c r="T77" s="501">
        <v>6</v>
      </c>
      <c r="U77" s="566" t="s">
        <v>1373</v>
      </c>
      <c r="V77" s="482">
        <v>13</v>
      </c>
      <c r="W77" s="569">
        <f>STDHVAC[[#This Row],[Baseline Efficiency Value 2]]</f>
        <v>7.7</v>
      </c>
      <c r="X77" s="506">
        <v>0</v>
      </c>
      <c r="Y77" s="506">
        <f>65/12</f>
        <v>5.416666666666667</v>
      </c>
      <c r="Z77" s="482">
        <v>1286</v>
      </c>
      <c r="AA77" s="482">
        <v>855</v>
      </c>
      <c r="AB77" s="503" t="s">
        <v>2630</v>
      </c>
      <c r="AC77" s="482">
        <v>7.7</v>
      </c>
    </row>
    <row r="78" spans="2:30" ht="14.25" customHeight="1">
      <c r="B78" s="512" t="s">
        <v>2602</v>
      </c>
      <c r="C78" s="482" t="s">
        <v>2855</v>
      </c>
      <c r="D78" s="513">
        <v>367</v>
      </c>
      <c r="E78" s="482" t="s">
        <v>2142</v>
      </c>
      <c r="F78" s="482" t="s">
        <v>1443</v>
      </c>
      <c r="G78" s="482" t="s">
        <v>2150</v>
      </c>
      <c r="H78" s="504" t="s">
        <v>2024</v>
      </c>
      <c r="I78" s="511">
        <v>30</v>
      </c>
      <c r="J78" s="511">
        <v>30</v>
      </c>
      <c r="K78" s="485">
        <v>100</v>
      </c>
      <c r="L78" s="486">
        <v>194.95869999999999</v>
      </c>
      <c r="M78" s="486">
        <v>0.1014</v>
      </c>
      <c r="N78" s="487">
        <v>15</v>
      </c>
      <c r="O78" s="482" t="s">
        <v>2142</v>
      </c>
      <c r="P78" s="487"/>
      <c r="Q78" s="487" t="s">
        <v>2618</v>
      </c>
      <c r="R78" s="505">
        <v>11</v>
      </c>
      <c r="S78" s="488">
        <v>43831</v>
      </c>
      <c r="T78" s="501">
        <v>7</v>
      </c>
      <c r="U78" s="566" t="s">
        <v>1373</v>
      </c>
      <c r="V78" s="482">
        <v>11</v>
      </c>
      <c r="W78" s="569">
        <f>STDHVAC[[#This Row],[Baseline Efficiency Value 2]]</f>
        <v>3.3</v>
      </c>
      <c r="X78" s="506">
        <f>65/12</f>
        <v>5.416666666666667</v>
      </c>
      <c r="Y78" s="506">
        <f>135/12</f>
        <v>11.25</v>
      </c>
      <c r="Z78" s="482">
        <v>1286</v>
      </c>
      <c r="AA78" s="482">
        <v>855</v>
      </c>
      <c r="AB78" s="503" t="s">
        <v>2626</v>
      </c>
      <c r="AC78" s="482">
        <v>3.3</v>
      </c>
    </row>
    <row r="79" spans="2:30" ht="14.25" customHeight="1">
      <c r="B79" s="512" t="s">
        <v>2603</v>
      </c>
      <c r="C79" s="482" t="s">
        <v>2857</v>
      </c>
      <c r="D79" s="513">
        <v>368</v>
      </c>
      <c r="E79" s="482" t="s">
        <v>2141</v>
      </c>
      <c r="F79" s="482" t="s">
        <v>1443</v>
      </c>
      <c r="G79" s="482" t="s">
        <v>2150</v>
      </c>
      <c r="H79" s="504" t="s">
        <v>2024</v>
      </c>
      <c r="I79" s="511">
        <v>35</v>
      </c>
      <c r="J79" s="511">
        <v>35</v>
      </c>
      <c r="K79" s="485">
        <v>100</v>
      </c>
      <c r="L79" s="486">
        <v>229.31049999999999</v>
      </c>
      <c r="M79" s="486">
        <v>5.7500000000000002E-2</v>
      </c>
      <c r="N79" s="487">
        <v>15</v>
      </c>
      <c r="O79" s="482" t="s">
        <v>2141</v>
      </c>
      <c r="P79" s="487"/>
      <c r="Q79" s="487" t="s">
        <v>2618</v>
      </c>
      <c r="R79" s="505">
        <v>10.6</v>
      </c>
      <c r="S79" s="488">
        <v>43831</v>
      </c>
      <c r="T79" s="501">
        <v>8</v>
      </c>
      <c r="U79" s="566" t="s">
        <v>1373</v>
      </c>
      <c r="V79" s="482">
        <v>10.6</v>
      </c>
      <c r="W79" s="569">
        <f>STDHVAC[[#This Row],[Baseline Efficiency Value 2]]</f>
        <v>3.2</v>
      </c>
      <c r="X79" s="506">
        <f>135/12</f>
        <v>11.25</v>
      </c>
      <c r="Y79" s="506">
        <f>240/12</f>
        <v>20</v>
      </c>
      <c r="Z79" s="482">
        <v>1286</v>
      </c>
      <c r="AA79" s="482">
        <v>855</v>
      </c>
      <c r="AB79" s="503" t="s">
        <v>2626</v>
      </c>
      <c r="AC79" s="482">
        <v>3.2</v>
      </c>
    </row>
    <row r="80" spans="2:30" ht="14.25" customHeight="1">
      <c r="B80" s="512" t="s">
        <v>2604</v>
      </c>
      <c r="C80" s="482" t="s">
        <v>2877</v>
      </c>
      <c r="D80" s="513">
        <v>369</v>
      </c>
      <c r="E80" s="482" t="s">
        <v>2140</v>
      </c>
      <c r="F80" s="482" t="s">
        <v>1443</v>
      </c>
      <c r="G80" s="482" t="s">
        <v>2150</v>
      </c>
      <c r="H80" s="504" t="s">
        <v>2024</v>
      </c>
      <c r="I80" s="511">
        <v>40</v>
      </c>
      <c r="J80" s="511">
        <v>40</v>
      </c>
      <c r="K80" s="485">
        <v>100</v>
      </c>
      <c r="L80" s="486">
        <v>307.91669999999999</v>
      </c>
      <c r="M80" s="486">
        <v>0.14449999999999999</v>
      </c>
      <c r="N80" s="487">
        <v>15</v>
      </c>
      <c r="O80" s="482" t="s">
        <v>2140</v>
      </c>
      <c r="P80" s="487"/>
      <c r="Q80" s="487" t="s">
        <v>2618</v>
      </c>
      <c r="R80" s="505">
        <v>9.5</v>
      </c>
      <c r="S80" s="488">
        <v>43831</v>
      </c>
      <c r="T80" s="501">
        <v>9</v>
      </c>
      <c r="U80" s="566" t="s">
        <v>1373</v>
      </c>
      <c r="V80" s="482">
        <v>9.5</v>
      </c>
      <c r="W80" s="569">
        <f>STDHVAC[[#This Row],[Baseline Efficiency Value 2]]</f>
        <v>3.2</v>
      </c>
      <c r="X80" s="506">
        <f>240/12</f>
        <v>20</v>
      </c>
      <c r="Y80" s="506">
        <v>9999</v>
      </c>
      <c r="Z80" s="482">
        <v>1286</v>
      </c>
      <c r="AA80" s="482">
        <v>855</v>
      </c>
      <c r="AB80" s="503" t="s">
        <v>2626</v>
      </c>
      <c r="AC80" s="482">
        <v>3.2</v>
      </c>
    </row>
    <row r="81" spans="2:29" ht="14.25" customHeight="1">
      <c r="B81" s="512" t="s">
        <v>2605</v>
      </c>
      <c r="C81" s="502" t="s">
        <v>2623</v>
      </c>
      <c r="D81" s="508">
        <v>381</v>
      </c>
      <c r="E81" s="482" t="s">
        <v>2148</v>
      </c>
      <c r="F81" s="482" t="s">
        <v>1443</v>
      </c>
      <c r="G81" s="482" t="s">
        <v>2150</v>
      </c>
      <c r="H81" s="498" t="s">
        <v>2020</v>
      </c>
      <c r="I81" s="511">
        <v>250</v>
      </c>
      <c r="J81" s="511">
        <v>250</v>
      </c>
      <c r="K81" s="485">
        <v>1047</v>
      </c>
      <c r="L81" s="486">
        <v>502.27609999999999</v>
      </c>
      <c r="M81" s="486">
        <v>0.35659999999999997</v>
      </c>
      <c r="N81" s="487">
        <v>5</v>
      </c>
      <c r="O81" s="482" t="s">
        <v>2618</v>
      </c>
      <c r="P81" s="487">
        <v>11</v>
      </c>
      <c r="Q81" s="487" t="s">
        <v>2618</v>
      </c>
      <c r="R81" s="505">
        <v>8.3000000000000007</v>
      </c>
      <c r="S81" s="488">
        <v>43831</v>
      </c>
      <c r="T81" s="501">
        <v>10</v>
      </c>
      <c r="U81" s="566" t="s">
        <v>1373</v>
      </c>
      <c r="V81" s="482">
        <v>11</v>
      </c>
      <c r="W81" s="569">
        <f>STDHVAC[[#This Row],[Baseline Efficiency Value 2]]</f>
        <v>1</v>
      </c>
      <c r="X81" s="506">
        <v>0</v>
      </c>
      <c r="Y81" s="506">
        <v>50</v>
      </c>
      <c r="Z81" s="482">
        <v>1286</v>
      </c>
      <c r="AA81" s="482">
        <v>855</v>
      </c>
      <c r="AB81" s="503" t="s">
        <v>2626</v>
      </c>
      <c r="AC81" s="482">
        <v>1</v>
      </c>
    </row>
    <row r="82" spans="2:29" ht="14.25" customHeight="1">
      <c r="B82" s="512" t="s">
        <v>2606</v>
      </c>
      <c r="C82" s="502" t="s">
        <v>2624</v>
      </c>
      <c r="D82" s="508">
        <v>383</v>
      </c>
      <c r="E82" s="482" t="s">
        <v>2149</v>
      </c>
      <c r="F82" s="482" t="s">
        <v>1443</v>
      </c>
      <c r="G82" s="482" t="s">
        <v>2150</v>
      </c>
      <c r="H82" s="498" t="s">
        <v>2020</v>
      </c>
      <c r="I82" s="511">
        <v>250</v>
      </c>
      <c r="J82" s="511">
        <v>250</v>
      </c>
      <c r="K82" s="485">
        <v>1047</v>
      </c>
      <c r="L82" s="486">
        <v>747.60519999999997</v>
      </c>
      <c r="M82" s="486">
        <v>0.35659999999999997</v>
      </c>
      <c r="N82" s="487">
        <v>5</v>
      </c>
      <c r="O82" s="482" t="s">
        <v>2618</v>
      </c>
      <c r="P82" s="487">
        <v>11</v>
      </c>
      <c r="Q82" s="487" t="s">
        <v>2618</v>
      </c>
      <c r="R82" s="505">
        <v>8.3000000000000007</v>
      </c>
      <c r="S82" s="488">
        <v>43831</v>
      </c>
      <c r="T82" s="501">
        <v>11</v>
      </c>
      <c r="U82" s="566" t="s">
        <v>1373</v>
      </c>
      <c r="V82" s="482">
        <v>11</v>
      </c>
      <c r="W82" s="569">
        <f>STDHVAC[[#This Row],[Baseline Efficiency Value 2]]</f>
        <v>2.5880000000000001</v>
      </c>
      <c r="X82" s="506">
        <v>0</v>
      </c>
      <c r="Y82" s="506">
        <v>50</v>
      </c>
      <c r="Z82" s="482">
        <v>1286</v>
      </c>
      <c r="AA82" s="482">
        <v>855</v>
      </c>
      <c r="AB82" s="503" t="s">
        <v>2626</v>
      </c>
      <c r="AC82" s="506">
        <f>2.9-(0.026*12000/1000)</f>
        <v>2.5880000000000001</v>
      </c>
    </row>
    <row r="84" spans="2:29" ht="14.25" customHeight="1">
      <c r="B84" s="509" t="s">
        <v>85</v>
      </c>
      <c r="C84" s="509" t="s">
        <v>1300</v>
      </c>
      <c r="D84" s="509" t="s">
        <v>1301</v>
      </c>
      <c r="E84" s="509" t="s">
        <v>1348</v>
      </c>
      <c r="F84" s="509" t="s">
        <v>0</v>
      </c>
      <c r="G84" s="509" t="s">
        <v>1302</v>
      </c>
      <c r="H84" s="510" t="s">
        <v>1303</v>
      </c>
      <c r="I84" s="510" t="s">
        <v>1304</v>
      </c>
      <c r="J84" s="510" t="s">
        <v>2891</v>
      </c>
      <c r="K84" s="509" t="s">
        <v>1305</v>
      </c>
      <c r="L84" s="509" t="s">
        <v>1306</v>
      </c>
      <c r="M84" s="509" t="s">
        <v>1307</v>
      </c>
      <c r="N84" s="509" t="s">
        <v>1308</v>
      </c>
      <c r="O84" s="509" t="s">
        <v>2152</v>
      </c>
      <c r="P84" s="509" t="s">
        <v>1309</v>
      </c>
      <c r="Q84" s="509" t="s">
        <v>1310</v>
      </c>
      <c r="R84" s="509" t="s">
        <v>1311</v>
      </c>
      <c r="S84" s="509" t="s">
        <v>1312</v>
      </c>
      <c r="T84" s="509" t="s">
        <v>347</v>
      </c>
      <c r="U84" s="509" t="s">
        <v>2715</v>
      </c>
      <c r="V84" s="563" t="s">
        <v>2401</v>
      </c>
      <c r="W84" s="563" t="s">
        <v>2570</v>
      </c>
      <c r="X84" s="563" t="s">
        <v>2571</v>
      </c>
      <c r="Y84" s="563" t="s">
        <v>2572</v>
      </c>
      <c r="Z84" s="563" t="s">
        <v>2573</v>
      </c>
      <c r="AA84" s="563" t="s">
        <v>2574</v>
      </c>
      <c r="AB84" s="563" t="s">
        <v>2575</v>
      </c>
      <c r="AC84" s="563" t="s">
        <v>2629</v>
      </c>
    </row>
    <row r="85" spans="2:29" ht="14.25" customHeight="1">
      <c r="B85" s="591" t="s">
        <v>2691</v>
      </c>
      <c r="C85" s="482" t="s">
        <v>1911</v>
      </c>
      <c r="D85" s="483">
        <v>78.099999999999994</v>
      </c>
      <c r="E85" s="482" t="s">
        <v>1517</v>
      </c>
      <c r="F85" s="482" t="s">
        <v>1443</v>
      </c>
      <c r="G85" s="134" t="s">
        <v>1229</v>
      </c>
      <c r="H85" s="498" t="s">
        <v>1521</v>
      </c>
      <c r="I85" s="511">
        <v>120</v>
      </c>
      <c r="J85" s="511">
        <v>120</v>
      </c>
      <c r="K85" s="485">
        <v>273.31999999999994</v>
      </c>
      <c r="L85" s="486">
        <v>1301.2478000000001</v>
      </c>
      <c r="M85" s="486">
        <v>0.14849999999999999</v>
      </c>
      <c r="N85" s="487">
        <v>10</v>
      </c>
      <c r="O85" s="482" t="s">
        <v>1522</v>
      </c>
      <c r="P85" s="487"/>
      <c r="Q85" s="482" t="s">
        <v>1523</v>
      </c>
      <c r="R85" s="487"/>
      <c r="S85" s="488">
        <v>43831</v>
      </c>
      <c r="T85" s="501">
        <v>1</v>
      </c>
      <c r="U85" s="566" t="s">
        <v>1373</v>
      </c>
      <c r="V85" s="482"/>
      <c r="W85" s="482"/>
      <c r="X85" s="482"/>
      <c r="Y85" s="482"/>
      <c r="Z85" s="482"/>
      <c r="AA85" s="482"/>
      <c r="AB85" s="482"/>
      <c r="AC85" s="482"/>
    </row>
    <row r="86" spans="2:29" ht="14.25" customHeight="1">
      <c r="B86" s="591" t="s">
        <v>2692</v>
      </c>
      <c r="C86" s="482" t="s">
        <v>1916</v>
      </c>
      <c r="D86" s="503">
        <v>79.099999999999994</v>
      </c>
      <c r="E86" s="482" t="s">
        <v>1518</v>
      </c>
      <c r="F86" s="482" t="s">
        <v>1443</v>
      </c>
      <c r="G86" s="134" t="s">
        <v>1229</v>
      </c>
      <c r="H86" s="498" t="s">
        <v>2153</v>
      </c>
      <c r="I86" s="511">
        <v>200</v>
      </c>
      <c r="J86" s="511">
        <v>200</v>
      </c>
      <c r="K86" s="485">
        <v>579</v>
      </c>
      <c r="L86" s="486">
        <v>2461.4481999999998</v>
      </c>
      <c r="M86" s="486">
        <v>0.28100000000000003</v>
      </c>
      <c r="N86" s="487">
        <v>10</v>
      </c>
      <c r="O86" s="482" t="s">
        <v>1524</v>
      </c>
      <c r="P86" s="487"/>
      <c r="Q86" s="482" t="s">
        <v>1523</v>
      </c>
      <c r="R86" s="487"/>
      <c r="S86" s="488">
        <v>43831</v>
      </c>
      <c r="T86" s="501">
        <v>2</v>
      </c>
      <c r="U86" s="566" t="s">
        <v>1373</v>
      </c>
      <c r="V86" s="482"/>
      <c r="W86" s="482"/>
      <c r="X86" s="482"/>
      <c r="Y86" s="482"/>
      <c r="Z86" s="482"/>
      <c r="AA86" s="482"/>
      <c r="AB86" s="482"/>
      <c r="AC86" s="482"/>
    </row>
    <row r="90" spans="2:29" ht="14.25" customHeight="1">
      <c r="S90"/>
      <c r="T90" s="535"/>
      <c r="U90"/>
    </row>
    <row r="91" spans="2:29" ht="14.25" customHeight="1">
      <c r="S91"/>
      <c r="T91" s="535"/>
      <c r="U91"/>
    </row>
    <row r="92" spans="2:29" ht="14.25" customHeight="1">
      <c r="L92" s="492"/>
      <c r="S92"/>
      <c r="T92" s="535"/>
      <c r="U92"/>
    </row>
    <row r="93" spans="2:29" ht="14.25" customHeight="1">
      <c r="L93" s="520"/>
      <c r="S93"/>
      <c r="T93" s="535"/>
      <c r="U93"/>
    </row>
    <row r="94" spans="2:29" ht="14.25" customHeight="1">
      <c r="L94" s="520"/>
      <c r="S94"/>
      <c r="T94" s="535"/>
      <c r="U94"/>
    </row>
    <row r="95" spans="2:29" ht="14.25" customHeight="1">
      <c r="L95" s="520"/>
      <c r="S95"/>
      <c r="T95" s="535"/>
      <c r="U95"/>
    </row>
    <row r="96" spans="2:29" ht="14.25" customHeight="1">
      <c r="L96" s="520"/>
      <c r="S96"/>
      <c r="T96" s="535"/>
      <c r="U96"/>
    </row>
    <row r="97" spans="12:21" ht="14.25" customHeight="1">
      <c r="L97" s="520"/>
      <c r="S97"/>
      <c r="T97" s="535"/>
      <c r="U97"/>
    </row>
    <row r="98" spans="12:21" ht="14.25" customHeight="1">
      <c r="L98" s="520"/>
      <c r="S98"/>
      <c r="T98" s="535"/>
      <c r="U98"/>
    </row>
    <row r="99" spans="12:21" ht="14.25" customHeight="1">
      <c r="L99" s="520"/>
      <c r="S99"/>
      <c r="T99" s="535"/>
      <c r="U99"/>
    </row>
    <row r="100" spans="12:21" ht="14.25" customHeight="1">
      <c r="L100" s="520"/>
      <c r="S100"/>
      <c r="T100" s="535"/>
      <c r="U100"/>
    </row>
    <row r="101" spans="12:21" ht="14.25" customHeight="1">
      <c r="L101" s="520"/>
      <c r="S101"/>
      <c r="T101" s="535"/>
      <c r="U101"/>
    </row>
    <row r="102" spans="12:21" ht="14.25" customHeight="1">
      <c r="L102" s="520"/>
      <c r="S102"/>
      <c r="T102" s="535"/>
      <c r="U102"/>
    </row>
    <row r="103" spans="12:21" ht="14.25" customHeight="1">
      <c r="L103" s="520"/>
      <c r="S103"/>
      <c r="T103" s="535"/>
      <c r="U103"/>
    </row>
    <row r="104" spans="12:21" ht="14.25" customHeight="1">
      <c r="L104" s="520"/>
      <c r="S104"/>
      <c r="T104" s="535"/>
      <c r="U104"/>
    </row>
    <row r="105" spans="12:21" ht="14.25" customHeight="1">
      <c r="L105" s="520"/>
      <c r="S105"/>
      <c r="T105" s="535"/>
      <c r="U105"/>
    </row>
    <row r="106" spans="12:21" ht="14.25" customHeight="1">
      <c r="L106" s="520"/>
      <c r="S106"/>
      <c r="T106" s="535"/>
      <c r="U106"/>
    </row>
    <row r="107" spans="12:21" ht="14.25" customHeight="1">
      <c r="L107" s="520"/>
      <c r="S107"/>
      <c r="T107" s="535"/>
      <c r="U107"/>
    </row>
    <row r="108" spans="12:21" ht="14.25" customHeight="1">
      <c r="L108" s="520"/>
      <c r="S108"/>
      <c r="T108" s="535"/>
      <c r="U108"/>
    </row>
    <row r="109" spans="12:21" ht="14.25" customHeight="1">
      <c r="L109" s="520"/>
    </row>
    <row r="110" spans="12:21" ht="14.25" customHeight="1">
      <c r="L110" s="520"/>
    </row>
    <row r="111" spans="12:21" ht="14.25" customHeight="1">
      <c r="L111" s="520"/>
    </row>
    <row r="112" spans="12:21" ht="14.25" customHeight="1">
      <c r="L112" s="520"/>
    </row>
    <row r="113" spans="12:12" ht="14.25" customHeight="1">
      <c r="L113" s="520"/>
    </row>
    <row r="114" spans="12:12" ht="14.25" customHeight="1">
      <c r="L114" s="520"/>
    </row>
    <row r="115" spans="12:12" ht="14.25" customHeight="1">
      <c r="L115" s="520"/>
    </row>
    <row r="116" spans="12:12" ht="14.25" customHeight="1">
      <c r="L116" s="520"/>
    </row>
    <row r="117" spans="12:12" ht="14.25" customHeight="1">
      <c r="L117" s="520"/>
    </row>
    <row r="118" spans="12:12" ht="14.25" customHeight="1">
      <c r="L118" s="520"/>
    </row>
    <row r="119" spans="12:12" ht="14.25" customHeight="1">
      <c r="L119" s="520"/>
    </row>
    <row r="120" spans="12:12" ht="14.25" customHeight="1">
      <c r="L120" s="520"/>
    </row>
    <row r="121" spans="12:12" ht="14.25" customHeight="1">
      <c r="L121" s="520"/>
    </row>
    <row r="122" spans="12:12" ht="14.25" customHeight="1">
      <c r="L122" s="520"/>
    </row>
    <row r="131" spans="4:6" ht="14.25" customHeight="1">
      <c r="D131" s="520"/>
      <c r="E131" s="520"/>
      <c r="F131" s="520"/>
    </row>
    <row r="132" spans="4:6" ht="14.25" customHeight="1">
      <c r="D132" s="520"/>
      <c r="E132" s="520"/>
      <c r="F132" s="520"/>
    </row>
    <row r="133" spans="4:6" ht="14.25" customHeight="1">
      <c r="D133" s="520"/>
      <c r="E133" s="520"/>
      <c r="F133" s="520"/>
    </row>
    <row r="134" spans="4:6" ht="14.25" customHeight="1">
      <c r="D134" s="520"/>
      <c r="E134" s="520"/>
      <c r="F134" s="520"/>
    </row>
    <row r="135" spans="4:6" ht="14.25" customHeight="1">
      <c r="D135" s="520"/>
      <c r="E135" s="520"/>
      <c r="F135" s="520"/>
    </row>
    <row r="136" spans="4:6" ht="14.25" customHeight="1">
      <c r="D136" s="520"/>
      <c r="E136" s="520"/>
      <c r="F136" s="520"/>
    </row>
    <row r="137" spans="4:6" ht="14.25" customHeight="1">
      <c r="D137" s="520"/>
      <c r="E137" s="520"/>
      <c r="F137" s="520"/>
    </row>
    <row r="138" spans="4:6" ht="14.25" customHeight="1">
      <c r="D138" s="520"/>
      <c r="E138" s="520"/>
      <c r="F138" s="520"/>
    </row>
    <row r="139" spans="4:6" ht="14.25" customHeight="1">
      <c r="D139" s="520"/>
      <c r="E139" s="520"/>
      <c r="F139" s="520"/>
    </row>
    <row r="140" spans="4:6" ht="14.25" customHeight="1">
      <c r="D140" s="520"/>
      <c r="E140" s="520"/>
      <c r="F140" s="520"/>
    </row>
    <row r="141" spans="4:6" ht="14.25" customHeight="1">
      <c r="D141" s="520"/>
      <c r="E141" s="520"/>
      <c r="F141" s="520"/>
    </row>
    <row r="142" spans="4:6" ht="14.25" customHeight="1">
      <c r="D142" s="520"/>
      <c r="E142" s="520"/>
      <c r="F142" s="520"/>
    </row>
    <row r="143" spans="4:6" ht="14.25" customHeight="1">
      <c r="D143" s="520"/>
      <c r="E143" s="520"/>
      <c r="F143" s="520"/>
    </row>
    <row r="144" spans="4:6" ht="14.25" customHeight="1">
      <c r="D144" s="520"/>
      <c r="E144" s="520"/>
      <c r="F144" s="520"/>
    </row>
    <row r="145" spans="4:6" ht="14.25" customHeight="1">
      <c r="D145" s="520"/>
      <c r="E145" s="520"/>
      <c r="F145" s="520"/>
    </row>
    <row r="146" spans="4:6" ht="14.25" customHeight="1">
      <c r="D146" s="520"/>
      <c r="E146" s="520"/>
      <c r="F146" s="520"/>
    </row>
    <row r="147" spans="4:6" ht="14.25" customHeight="1">
      <c r="D147" s="520"/>
      <c r="E147" s="520"/>
      <c r="F147" s="520"/>
    </row>
    <row r="148" spans="4:6" ht="14.25" customHeight="1">
      <c r="D148" s="520"/>
      <c r="E148" s="520"/>
      <c r="F148" s="520"/>
    </row>
    <row r="149" spans="4:6" ht="14.25" customHeight="1">
      <c r="D149" s="520"/>
      <c r="E149" s="520"/>
      <c r="F149" s="520"/>
    </row>
    <row r="150" spans="4:6" ht="14.25" customHeight="1">
      <c r="D150" s="520"/>
      <c r="E150" s="520"/>
      <c r="F150" s="520"/>
    </row>
    <row r="151" spans="4:6" ht="14.25" customHeight="1">
      <c r="D151" s="520"/>
      <c r="E151" s="520"/>
      <c r="F151" s="520"/>
    </row>
  </sheetData>
  <sheetProtection algorithmName="SHA-512" hashValue="ioo0fBncM8SMWFOMhMP2hTSYuqW90od0/DBFw6MmNdiMu87Ysw1ab0l2nIm3/hiQ8DtADHwcP0VhcOswuxilcg==" saltValue="3QEHaLxEnuqmuMR9jDafrg==" spinCount="100000" sheet="1" objects="1" scenarios="1"/>
  <conditionalFormatting sqref="G85:G86 G21:G25 G11:G19">
    <cfRule type="containsBlanks" dxfId="621" priority="6">
      <formula>LEN(TRIM(G11))=0</formula>
    </cfRule>
  </conditionalFormatting>
  <conditionalFormatting sqref="G39:G41">
    <cfRule type="containsBlanks" dxfId="620" priority="7">
      <formula>LEN(TRIM(G39))=0</formula>
    </cfRule>
  </conditionalFormatting>
  <conditionalFormatting sqref="G3:G6">
    <cfRule type="containsBlanks" dxfId="619" priority="2">
      <formula>LEN(TRIM(G3))=0</formula>
    </cfRule>
  </conditionalFormatting>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sheetPr>
  <dimension ref="A1:AS739"/>
  <sheetViews>
    <sheetView showGridLines="0" zoomScale="85" zoomScaleNormal="85" workbookViewId="0">
      <selection activeCell="F30" sqref="F30"/>
    </sheetView>
  </sheetViews>
  <sheetFormatPr defaultColWidth="0" defaultRowHeight="15"/>
  <cols>
    <col min="1" max="1" width="4.7109375" customWidth="1"/>
    <col min="2" max="2" width="28" bestFit="1" customWidth="1"/>
    <col min="3" max="3" width="8.5703125" bestFit="1" customWidth="1"/>
    <col min="4" max="4" width="4.7109375" customWidth="1"/>
    <col min="5" max="5" width="33.42578125" bestFit="1" customWidth="1"/>
    <col min="6" max="6" width="11.5703125" bestFit="1" customWidth="1"/>
    <col min="7" max="7" width="8.5703125" style="180" bestFit="1" customWidth="1"/>
    <col min="8" max="8" width="4.7109375" customWidth="1"/>
    <col min="9" max="10" width="22.85546875" style="180" bestFit="1" customWidth="1"/>
    <col min="11" max="11" width="37.28515625" style="180" bestFit="1" customWidth="1"/>
    <col min="12" max="12" width="20.7109375" style="180" bestFit="1" customWidth="1"/>
    <col min="13" max="13" width="19" style="180" bestFit="1" customWidth="1"/>
    <col min="14" max="14" width="18" style="180" bestFit="1" customWidth="1"/>
    <col min="15" max="15" width="13.28515625" bestFit="1" customWidth="1"/>
    <col min="16" max="16" width="12.2851562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22">
      <c r="E1" t="s">
        <v>2292</v>
      </c>
      <c r="I1" s="180" t="s">
        <v>2293</v>
      </c>
    </row>
    <row r="2" spans="2:22">
      <c r="B2" s="13" t="s">
        <v>2223</v>
      </c>
      <c r="C2" s="13" t="s">
        <v>347</v>
      </c>
      <c r="D2" s="13"/>
      <c r="E2" s="492" t="s">
        <v>2224</v>
      </c>
      <c r="F2" s="520" t="s">
        <v>1293</v>
      </c>
      <c r="G2" s="520" t="s">
        <v>347</v>
      </c>
      <c r="H2" s="13"/>
      <c r="I2" s="520" t="s">
        <v>2256</v>
      </c>
      <c r="J2" s="520" t="s">
        <v>2263</v>
      </c>
      <c r="K2" s="13" t="s">
        <v>2297</v>
      </c>
      <c r="L2" s="13" t="s">
        <v>1293</v>
      </c>
      <c r="M2" s="13" t="s">
        <v>2830</v>
      </c>
      <c r="N2" s="13" t="s">
        <v>2829</v>
      </c>
      <c r="O2" s="13" t="s">
        <v>2291</v>
      </c>
      <c r="P2" s="13" t="s">
        <v>2832</v>
      </c>
      <c r="Q2" s="13"/>
      <c r="R2" t="s">
        <v>2640</v>
      </c>
      <c r="S2" t="s">
        <v>2719</v>
      </c>
      <c r="T2" t="s">
        <v>2720</v>
      </c>
      <c r="U2" t="s">
        <v>2388</v>
      </c>
      <c r="V2">
        <v>246</v>
      </c>
    </row>
    <row r="3" spans="2:22">
      <c r="B3" s="497" t="s">
        <v>1349</v>
      </c>
      <c r="C3" s="497">
        <v>1</v>
      </c>
      <c r="E3" s="552" t="s">
        <v>2182</v>
      </c>
      <c r="F3" s="532" t="s">
        <v>2182</v>
      </c>
      <c r="G3" s="539">
        <v>1</v>
      </c>
      <c r="I3" s="541" t="s">
        <v>2182</v>
      </c>
      <c r="J3" s="541" t="str">
        <f>STDLIGHTINEFCAT2[[#This Row],[Ineff DropDown 2]]&amp;"_"&amp;STDLIGHTINEFCAT2[[#This Row],[Ineff DropDown 2]]</f>
        <v>A-Series_A-Series</v>
      </c>
      <c r="K3" s="548" t="str">
        <f>STDLIGHTINEFCAT2[[#This Row],[Match]]&amp;"_"&amp;STDLIGHTINEFCAT2[[#This Row],[Options]]</f>
        <v>A-Series_A-Series_A-Series</v>
      </c>
      <c r="L3" s="544" t="s">
        <v>2182</v>
      </c>
      <c r="M3" s="544"/>
      <c r="N3" s="536"/>
      <c r="O3" s="54">
        <v>259</v>
      </c>
      <c r="P3" s="581"/>
      <c r="Q3" s="180"/>
    </row>
    <row r="4" spans="2:22">
      <c r="B4" s="492" t="s">
        <v>1356</v>
      </c>
      <c r="C4" s="13">
        <v>2</v>
      </c>
      <c r="E4" s="532" t="s">
        <v>2229</v>
      </c>
      <c r="F4" s="532" t="s">
        <v>2184</v>
      </c>
      <c r="G4" s="539">
        <v>2</v>
      </c>
      <c r="I4" s="541" t="s">
        <v>2229</v>
      </c>
      <c r="J4" s="541" t="str">
        <f>"BR/R"&amp;"_"&amp;STDLIGHTINEFCAT2[[#This Row],[Ineff DropDown 2]]</f>
        <v>BR/R_BR_R</v>
      </c>
      <c r="K4" s="548" t="str">
        <f>STDLIGHTINEFCAT2[[#This Row],[Match]]&amp;"_"&amp;STDLIGHTINEFCAT2[[#This Row],[Options]]</f>
        <v>BR/R_BR_R_BR/R</v>
      </c>
      <c r="L4" s="544" t="s">
        <v>2184</v>
      </c>
      <c r="M4" s="544"/>
      <c r="N4" s="536"/>
      <c r="O4" s="54">
        <v>260</v>
      </c>
      <c r="P4" s="581"/>
      <c r="Q4" s="180"/>
    </row>
    <row r="5" spans="2:22">
      <c r="B5" s="492" t="s">
        <v>2308</v>
      </c>
      <c r="C5" s="497">
        <v>3</v>
      </c>
      <c r="E5" s="543" t="s">
        <v>2225</v>
      </c>
      <c r="F5" s="536" t="s">
        <v>2225</v>
      </c>
      <c r="G5" s="539">
        <v>3</v>
      </c>
      <c r="I5" s="517" t="s">
        <v>2284</v>
      </c>
      <c r="J5" s="517" t="str">
        <f>"HID_"&amp;STDLIGHTINEFCAT2[[#This Row],[Ineff DropDown 2]]</f>
        <v>HID_Ext  &gt;400</v>
      </c>
      <c r="K5" s="536" t="str">
        <f>STDLIGHTINEFCAT2[[#This Row],[Match]]&amp;"_"&amp;STDLIGHTINEFCAT2[[#This Row],[Options]]</f>
        <v>HID_Ext  &gt;400_--Metal Halide--</v>
      </c>
      <c r="L5" s="536" t="s">
        <v>2193</v>
      </c>
      <c r="M5" s="536"/>
      <c r="N5" s="536"/>
      <c r="O5" s="54">
        <v>179</v>
      </c>
      <c r="P5" s="536" t="s">
        <v>2193</v>
      </c>
      <c r="Q5" s="180"/>
    </row>
    <row r="6" spans="2:22">
      <c r="B6" s="13" t="s">
        <v>1357</v>
      </c>
      <c r="C6" s="13">
        <v>4</v>
      </c>
      <c r="E6" s="543" t="s">
        <v>2481</v>
      </c>
      <c r="F6" s="536" t="s">
        <v>2225</v>
      </c>
      <c r="G6" s="539">
        <v>4</v>
      </c>
      <c r="I6" s="517" t="s">
        <v>2284</v>
      </c>
      <c r="J6" s="517" t="str">
        <f>"HID_"&amp;STDLIGHTINEFCAT2[[#This Row],[Ineff DropDown 2]]</f>
        <v>HID_Ext  &gt;400</v>
      </c>
      <c r="K6" s="536" t="str">
        <f>STDLIGHTINEFCAT2[[#This Row],[Match]]&amp;"_"&amp;STDLIGHTINEFCAT2[[#This Row],[Options]]</f>
        <v>HID_Ext  &gt;400_MH 450W</v>
      </c>
      <c r="L6" s="536" t="s">
        <v>2661</v>
      </c>
      <c r="M6" s="536">
        <v>450</v>
      </c>
      <c r="N6" s="536">
        <v>506</v>
      </c>
      <c r="O6" s="54">
        <v>180</v>
      </c>
      <c r="P6" s="536" t="s">
        <v>2271</v>
      </c>
      <c r="Q6" s="180"/>
    </row>
    <row r="7" spans="2:22">
      <c r="B7" s="13" t="s">
        <v>2309</v>
      </c>
      <c r="C7" s="497">
        <v>5</v>
      </c>
      <c r="E7" s="543" t="s">
        <v>2481</v>
      </c>
      <c r="F7" s="532" t="s">
        <v>98</v>
      </c>
      <c r="G7" s="539">
        <v>5</v>
      </c>
      <c r="I7" s="517" t="s">
        <v>2284</v>
      </c>
      <c r="J7" s="517" t="str">
        <f>"HID_"&amp;STDLIGHTINEFCAT2[[#This Row],[Ineff DropDown 2]]</f>
        <v>HID_Ext  &gt;400</v>
      </c>
      <c r="K7" s="536" t="str">
        <f>STDLIGHTINEFCAT2[[#This Row],[Match]]&amp;"_"&amp;STDLIGHTINEFCAT2[[#This Row],[Options]]</f>
        <v>HID_Ext  &gt;400_MH 750W</v>
      </c>
      <c r="L7" s="536" t="s">
        <v>2662</v>
      </c>
      <c r="M7" s="536">
        <v>750</v>
      </c>
      <c r="N7" s="536">
        <v>814</v>
      </c>
      <c r="O7" s="54">
        <v>181</v>
      </c>
      <c r="P7" s="536" t="s">
        <v>2272</v>
      </c>
      <c r="Q7" s="180"/>
    </row>
    <row r="8" spans="2:22">
      <c r="B8" s="492" t="s">
        <v>1358</v>
      </c>
      <c r="C8" s="13">
        <v>6</v>
      </c>
      <c r="E8" s="543" t="s">
        <v>2480</v>
      </c>
      <c r="F8" s="536" t="s">
        <v>2225</v>
      </c>
      <c r="G8" s="539">
        <v>6</v>
      </c>
      <c r="I8" s="517" t="s">
        <v>2284</v>
      </c>
      <c r="J8" s="517" t="str">
        <f>"HID_"&amp;STDLIGHTINEFCAT2[[#This Row],[Ineff DropDown 2]]</f>
        <v>HID_Ext  &gt;400</v>
      </c>
      <c r="K8" s="538" t="str">
        <f>STDLIGHTINEFCAT2[[#This Row],[Match]]&amp;"_"&amp;STDLIGHTINEFCAT2[[#This Row],[Options]]</f>
        <v>HID_Ext  &gt;400_MH 1,000W</v>
      </c>
      <c r="L8" s="536" t="s">
        <v>2663</v>
      </c>
      <c r="M8" s="536">
        <v>1000</v>
      </c>
      <c r="N8" s="538">
        <v>1080</v>
      </c>
      <c r="O8" s="54">
        <v>182</v>
      </c>
      <c r="P8" s="536" t="s">
        <v>2298</v>
      </c>
      <c r="Q8" s="180"/>
    </row>
    <row r="9" spans="2:22">
      <c r="B9" s="497" t="s">
        <v>2498</v>
      </c>
      <c r="C9" s="13">
        <v>8</v>
      </c>
      <c r="E9" s="543" t="s">
        <v>2480</v>
      </c>
      <c r="F9" s="532" t="s">
        <v>98</v>
      </c>
      <c r="G9" s="539">
        <v>7</v>
      </c>
      <c r="I9" s="517" t="s">
        <v>2284</v>
      </c>
      <c r="J9" s="517" t="str">
        <f>"HID_"&amp;STDLIGHTINEFCAT2[[#This Row],[Ineff DropDown 2]]</f>
        <v>HID_Ext  &gt;400</v>
      </c>
      <c r="K9" s="536" t="str">
        <f>STDLIGHTINEFCAT2[[#This Row],[Match]]&amp;"_"&amp;STDLIGHTINEFCAT2[[#This Row],[Options]]</f>
        <v>HID_Ext  &gt;400_--Mercury Vapor--</v>
      </c>
      <c r="L9" s="536" t="s">
        <v>2194</v>
      </c>
      <c r="M9" s="536"/>
      <c r="N9" s="536"/>
      <c r="O9" s="54">
        <v>183</v>
      </c>
      <c r="P9" s="536" t="s">
        <v>2194</v>
      </c>
      <c r="Q9" s="180"/>
    </row>
    <row r="10" spans="2:22">
      <c r="B10" s="13" t="s">
        <v>2154</v>
      </c>
      <c r="C10" s="497">
        <v>9</v>
      </c>
      <c r="E10" s="543" t="s">
        <v>2480</v>
      </c>
      <c r="F10" s="532" t="s">
        <v>92</v>
      </c>
      <c r="G10" s="539">
        <v>8</v>
      </c>
      <c r="I10" s="517" t="s">
        <v>2284</v>
      </c>
      <c r="J10" s="517" t="str">
        <f>"HID_"&amp;STDLIGHTINEFCAT2[[#This Row],[Ineff DropDown 2]]</f>
        <v>HID_Ext  &gt;400</v>
      </c>
      <c r="K10" s="536" t="str">
        <f>STDLIGHTINEFCAT2[[#This Row],[Match]]&amp;"_"&amp;STDLIGHTINEFCAT2[[#This Row],[Options]]</f>
        <v>HID_Ext  &gt;400_MV 700W</v>
      </c>
      <c r="L10" s="536" t="s">
        <v>2664</v>
      </c>
      <c r="M10" s="536">
        <v>700</v>
      </c>
      <c r="N10" s="536">
        <v>780</v>
      </c>
      <c r="O10" s="54">
        <v>184</v>
      </c>
      <c r="P10" s="536" t="s">
        <v>2273</v>
      </c>
      <c r="Q10" s="180"/>
    </row>
    <row r="11" spans="2:22">
      <c r="B11" s="493" t="s">
        <v>2164</v>
      </c>
      <c r="C11" s="497">
        <v>10</v>
      </c>
      <c r="E11" s="537" t="s">
        <v>2320</v>
      </c>
      <c r="F11" s="536" t="s">
        <v>2225</v>
      </c>
      <c r="G11" s="539">
        <v>9</v>
      </c>
      <c r="I11" s="517" t="s">
        <v>2284</v>
      </c>
      <c r="J11" s="517" t="str">
        <f>"HID_"&amp;STDLIGHTINEFCAT2[[#This Row],[Ineff DropDown 2]]</f>
        <v>HID_Ext  &gt;400</v>
      </c>
      <c r="K11" s="536" t="str">
        <f>STDLIGHTINEFCAT2[[#This Row],[Match]]&amp;"_"&amp;STDLIGHTINEFCAT2[[#This Row],[Options]]</f>
        <v>HID_Ext  &gt;400_MV 1,000W</v>
      </c>
      <c r="L11" s="536" t="s">
        <v>2665</v>
      </c>
      <c r="M11" s="536">
        <v>1000</v>
      </c>
      <c r="N11" s="536">
        <v>1075</v>
      </c>
      <c r="O11" s="54">
        <v>185</v>
      </c>
      <c r="P11" s="536" t="s">
        <v>2299</v>
      </c>
      <c r="Q11" s="180"/>
    </row>
    <row r="12" spans="2:22">
      <c r="E12" s="537" t="s">
        <v>2320</v>
      </c>
      <c r="F12" s="532" t="s">
        <v>98</v>
      </c>
      <c r="G12" s="539">
        <v>10</v>
      </c>
      <c r="I12" s="517" t="s">
        <v>2281</v>
      </c>
      <c r="J12" s="517" t="str">
        <f>"HID_"&amp;STDLIGHTINEFCAT2[[#This Row],[Ineff DropDown 2]]</f>
        <v>HID_Ext &lt;175</v>
      </c>
      <c r="K12" s="542" t="str">
        <f>STDLIGHTINEFCAT2[[#This Row],[Match]]&amp;"_"&amp;STDLIGHTINEFCAT2[[#This Row],[Options]]</f>
        <v>HID_Ext &lt;175_--Metal Halide--</v>
      </c>
      <c r="L12" s="542" t="s">
        <v>2193</v>
      </c>
      <c r="M12" s="542"/>
      <c r="N12" s="542"/>
      <c r="O12" s="54">
        <v>1</v>
      </c>
      <c r="P12" s="542" t="s">
        <v>2193</v>
      </c>
      <c r="Q12" s="180"/>
    </row>
    <row r="13" spans="2:22">
      <c r="E13" s="537" t="s">
        <v>2320</v>
      </c>
      <c r="F13" s="532" t="s">
        <v>93</v>
      </c>
      <c r="G13" s="539">
        <v>11</v>
      </c>
      <c r="I13" s="517" t="s">
        <v>2281</v>
      </c>
      <c r="J13" s="517" t="str">
        <f>"HID_"&amp;STDLIGHTINEFCAT2[[#This Row],[Ineff DropDown 2]]</f>
        <v>HID_Ext &lt;175</v>
      </c>
      <c r="K13" s="536" t="str">
        <f>STDLIGHTINEFCAT2[[#This Row],[Match]]&amp;"_"&amp;STDLIGHTINEFCAT2[[#This Row],[Options]]</f>
        <v>HID_Ext &lt;175_MH 50W</v>
      </c>
      <c r="L13" s="536" t="s">
        <v>747</v>
      </c>
      <c r="M13" s="536">
        <v>50</v>
      </c>
      <c r="N13" s="536">
        <v>62</v>
      </c>
      <c r="O13" s="54">
        <v>2</v>
      </c>
      <c r="P13" s="536" t="s">
        <v>2257</v>
      </c>
      <c r="Q13" s="180"/>
    </row>
    <row r="14" spans="2:22">
      <c r="E14" s="537" t="s">
        <v>2320</v>
      </c>
      <c r="F14" s="532" t="s">
        <v>92</v>
      </c>
      <c r="G14" s="539">
        <v>12</v>
      </c>
      <c r="I14" s="517" t="s">
        <v>2281</v>
      </c>
      <c r="J14" s="517" t="str">
        <f>"HID_"&amp;STDLIGHTINEFCAT2[[#This Row],[Ineff DropDown 2]]</f>
        <v>HID_Ext &lt;175</v>
      </c>
      <c r="K14" s="538" t="str">
        <f>STDLIGHTINEFCAT2[[#This Row],[Match]]&amp;"_"&amp;STDLIGHTINEFCAT2[[#This Row],[Options]]</f>
        <v>HID_Ext &lt;175_MH 70W</v>
      </c>
      <c r="L14" s="536" t="s">
        <v>549</v>
      </c>
      <c r="M14" s="536">
        <v>70</v>
      </c>
      <c r="N14" s="538">
        <v>93</v>
      </c>
      <c r="O14" s="54">
        <v>3</v>
      </c>
      <c r="P14" s="536" t="s">
        <v>2258</v>
      </c>
      <c r="Q14" s="180"/>
    </row>
    <row r="15" spans="2:22">
      <c r="E15" s="540" t="s">
        <v>2228</v>
      </c>
      <c r="F15" s="540" t="s">
        <v>2181</v>
      </c>
      <c r="G15" s="539">
        <v>13</v>
      </c>
      <c r="I15" s="517" t="s">
        <v>2281</v>
      </c>
      <c r="J15" s="517" t="str">
        <f>"HID_"&amp;STDLIGHTINEFCAT2[[#This Row],[Ineff DropDown 2]]</f>
        <v>HID_Ext &lt;175</v>
      </c>
      <c r="K15" s="536" t="str">
        <f>STDLIGHTINEFCAT2[[#This Row],[Match]]&amp;"_"&amp;STDLIGHTINEFCAT2[[#This Row],[Options]]</f>
        <v>HID_Ext &lt;175_MH 100W</v>
      </c>
      <c r="L15" s="536" t="s">
        <v>550</v>
      </c>
      <c r="M15" s="536">
        <v>100</v>
      </c>
      <c r="N15" s="536">
        <v>125</v>
      </c>
      <c r="O15" s="54">
        <v>4</v>
      </c>
      <c r="P15" s="536" t="s">
        <v>2259</v>
      </c>
      <c r="Q15" s="180"/>
    </row>
    <row r="16" spans="2:22">
      <c r="E16" s="552" t="s">
        <v>2183</v>
      </c>
      <c r="F16" s="553" t="s">
        <v>2183</v>
      </c>
      <c r="G16" s="539">
        <v>14</v>
      </c>
      <c r="I16" s="517" t="s">
        <v>2281</v>
      </c>
      <c r="J16" s="517" t="str">
        <f>"HID_"&amp;STDLIGHTINEFCAT2[[#This Row],[Ineff DropDown 2]]</f>
        <v>HID_Ext &lt;175</v>
      </c>
      <c r="K16" s="536" t="str">
        <f>STDLIGHTINEFCAT2[[#This Row],[Match]]&amp;"_"&amp;STDLIGHTINEFCAT2[[#This Row],[Options]]</f>
        <v>HID_Ext &lt;175_MH 125W</v>
      </c>
      <c r="L16" s="536" t="s">
        <v>2656</v>
      </c>
      <c r="M16" s="536">
        <v>125</v>
      </c>
      <c r="N16" s="536">
        <v>150</v>
      </c>
      <c r="O16" s="54">
        <v>5</v>
      </c>
      <c r="P16" s="536" t="s">
        <v>2260</v>
      </c>
      <c r="Q16" s="180"/>
    </row>
    <row r="17" spans="2:26" s="180" customFormat="1">
      <c r="B17" s="13"/>
      <c r="C17" s="520"/>
      <c r="D17" s="520"/>
      <c r="E17" s="552" t="s">
        <v>2185</v>
      </c>
      <c r="F17" s="532" t="s">
        <v>2185</v>
      </c>
      <c r="G17" s="539">
        <v>15</v>
      </c>
      <c r="H17" s="13"/>
      <c r="I17" s="517" t="s">
        <v>2281</v>
      </c>
      <c r="J17" s="517" t="str">
        <f>"HID_"&amp;STDLIGHTINEFCAT2[[#This Row],[Ineff DropDown 2]]</f>
        <v>HID_Ext &lt;175</v>
      </c>
      <c r="K17" s="536" t="str">
        <f>STDLIGHTINEFCAT2[[#This Row],[Match]]&amp;"_"&amp;STDLIGHTINEFCAT2[[#This Row],[Options]]</f>
        <v>HID_Ext &lt;175_MH 150W</v>
      </c>
      <c r="L17" s="536" t="s">
        <v>748</v>
      </c>
      <c r="M17" s="536">
        <v>150</v>
      </c>
      <c r="N17" s="536">
        <v>173</v>
      </c>
      <c r="O17" s="54">
        <v>6</v>
      </c>
      <c r="P17" s="536" t="s">
        <v>2261</v>
      </c>
      <c r="Q17" s="13"/>
      <c r="R17"/>
      <c r="S17"/>
      <c r="T17"/>
      <c r="U17"/>
      <c r="V17"/>
      <c r="W17"/>
      <c r="X17"/>
      <c r="Y17"/>
      <c r="Z17"/>
    </row>
    <row r="18" spans="2:26" s="180" customFormat="1">
      <c r="D18" s="520"/>
      <c r="E18" s="532" t="s">
        <v>2321</v>
      </c>
      <c r="F18" s="536" t="s">
        <v>98</v>
      </c>
      <c r="G18" s="539">
        <v>16</v>
      </c>
      <c r="H18" s="13"/>
      <c r="I18" s="517" t="s">
        <v>2281</v>
      </c>
      <c r="J18" s="517" t="str">
        <f>"HID_"&amp;STDLIGHTINEFCAT2[[#This Row],[Ineff DropDown 2]]</f>
        <v>HID_Ext &lt;175</v>
      </c>
      <c r="K18" s="536" t="str">
        <f>STDLIGHTINEFCAT2[[#This Row],[Match]]&amp;"_"&amp;STDLIGHTINEFCAT2[[#This Row],[Options]]</f>
        <v>HID_Ext &lt;175_MH 175W</v>
      </c>
      <c r="L18" s="536" t="s">
        <v>551</v>
      </c>
      <c r="M18" s="536">
        <v>175</v>
      </c>
      <c r="N18" s="544">
        <v>210</v>
      </c>
      <c r="O18" s="54">
        <v>7</v>
      </c>
      <c r="P18" s="536" t="s">
        <v>2264</v>
      </c>
      <c r="Q18" s="13"/>
      <c r="R18"/>
      <c r="S18"/>
      <c r="T18"/>
      <c r="U18"/>
      <c r="V18"/>
      <c r="W18"/>
      <c r="X18"/>
      <c r="Y18"/>
      <c r="Z18"/>
    </row>
    <row r="19" spans="2:26" s="180" customFormat="1">
      <c r="D19" s="520"/>
      <c r="E19" s="532" t="s">
        <v>2321</v>
      </c>
      <c r="F19" s="536" t="s">
        <v>93</v>
      </c>
      <c r="G19" s="539">
        <v>17</v>
      </c>
      <c r="H19" s="13"/>
      <c r="I19" s="517" t="s">
        <v>2281</v>
      </c>
      <c r="J19" s="517" t="str">
        <f>"HID_"&amp;STDLIGHTINEFCAT2[[#This Row],[Ineff DropDown 2]]</f>
        <v>HID_Ext &lt;175</v>
      </c>
      <c r="K19" s="542" t="str">
        <f>STDLIGHTINEFCAT2[[#This Row],[Match]]&amp;"_"&amp;STDLIGHTINEFCAT2[[#This Row],[Options]]</f>
        <v>HID_Ext &lt;175_--Mercury Vapor--</v>
      </c>
      <c r="L19" s="542" t="s">
        <v>2194</v>
      </c>
      <c r="M19" s="542"/>
      <c r="N19" s="536"/>
      <c r="O19" s="54">
        <v>8</v>
      </c>
      <c r="P19" s="542" t="s">
        <v>2194</v>
      </c>
      <c r="Q19" s="13"/>
      <c r="R19"/>
      <c r="S19"/>
      <c r="T19"/>
      <c r="U19"/>
      <c r="V19"/>
      <c r="W19"/>
      <c r="X19"/>
      <c r="Y19"/>
      <c r="Z19"/>
    </row>
    <row r="20" spans="2:26" s="180" customFormat="1">
      <c r="D20" s="520"/>
      <c r="E20" s="532" t="s">
        <v>2322</v>
      </c>
      <c r="F20" s="532" t="s">
        <v>98</v>
      </c>
      <c r="G20" s="539">
        <v>18</v>
      </c>
      <c r="H20" s="13"/>
      <c r="I20" s="517" t="s">
        <v>2281</v>
      </c>
      <c r="J20" s="517" t="str">
        <f>"HID_"&amp;STDLIGHTINEFCAT2[[#This Row],[Ineff DropDown 2]]</f>
        <v>HID_Ext &lt;175</v>
      </c>
      <c r="K20" s="538" t="str">
        <f>STDLIGHTINEFCAT2[[#This Row],[Match]]&amp;"_"&amp;STDLIGHTINEFCAT2[[#This Row],[Options]]</f>
        <v>HID_Ext &lt;175_MV 50W</v>
      </c>
      <c r="L20" s="536" t="s">
        <v>534</v>
      </c>
      <c r="M20" s="538">
        <v>50</v>
      </c>
      <c r="N20" s="538">
        <v>75</v>
      </c>
      <c r="O20" s="54">
        <v>9</v>
      </c>
      <c r="P20" s="538" t="s">
        <v>2257</v>
      </c>
      <c r="Q20" s="13"/>
      <c r="R20"/>
      <c r="S20"/>
      <c r="T20"/>
      <c r="U20"/>
      <c r="V20"/>
      <c r="W20"/>
      <c r="X20"/>
      <c r="Y20"/>
      <c r="Z20"/>
    </row>
    <row r="21" spans="2:26" s="180" customFormat="1">
      <c r="D21" s="520"/>
      <c r="E21" s="532" t="s">
        <v>2322</v>
      </c>
      <c r="F21" s="532" t="s">
        <v>93</v>
      </c>
      <c r="G21" s="539">
        <v>19</v>
      </c>
      <c r="H21" s="13"/>
      <c r="I21" s="517" t="s">
        <v>2281</v>
      </c>
      <c r="J21" s="517" t="str">
        <f>"HID_"&amp;STDLIGHTINEFCAT2[[#This Row],[Ineff DropDown 2]]</f>
        <v>HID_Ext &lt;175</v>
      </c>
      <c r="K21" s="538" t="str">
        <f>STDLIGHTINEFCAT2[[#This Row],[Match]]&amp;"_"&amp;STDLIGHTINEFCAT2[[#This Row],[Options]]</f>
        <v>HID_Ext &lt;175_MV 75W</v>
      </c>
      <c r="L21" s="536" t="s">
        <v>535</v>
      </c>
      <c r="M21" s="538">
        <v>75</v>
      </c>
      <c r="N21" s="538">
        <v>95</v>
      </c>
      <c r="O21" s="54">
        <v>10</v>
      </c>
      <c r="P21" s="538" t="s">
        <v>2262</v>
      </c>
      <c r="Q21" s="13"/>
      <c r="R21"/>
      <c r="S21"/>
      <c r="T21"/>
      <c r="U21"/>
      <c r="V21"/>
      <c r="W21"/>
      <c r="X21"/>
      <c r="Y21"/>
      <c r="Z21"/>
    </row>
    <row r="22" spans="2:26" s="180" customFormat="1">
      <c r="D22" s="520"/>
      <c r="E22" s="532" t="s">
        <v>2322</v>
      </c>
      <c r="F22" s="532" t="s">
        <v>92</v>
      </c>
      <c r="G22" s="539">
        <v>20</v>
      </c>
      <c r="H22" s="13"/>
      <c r="I22" s="517" t="s">
        <v>2281</v>
      </c>
      <c r="J22" s="517" t="str">
        <f>"HID_"&amp;STDLIGHTINEFCAT2[[#This Row],[Ineff DropDown 2]]</f>
        <v>HID_Ext &lt;175</v>
      </c>
      <c r="K22" s="538" t="str">
        <f>STDLIGHTINEFCAT2[[#This Row],[Match]]&amp;"_"&amp;STDLIGHTINEFCAT2[[#This Row],[Options]]</f>
        <v>HID_Ext &lt;175_MV 100W</v>
      </c>
      <c r="L22" s="536" t="s">
        <v>536</v>
      </c>
      <c r="M22" s="538">
        <v>100</v>
      </c>
      <c r="N22" s="538">
        <v>120</v>
      </c>
      <c r="O22" s="54">
        <v>11</v>
      </c>
      <c r="P22" s="538" t="s">
        <v>2259</v>
      </c>
      <c r="Q22" s="13"/>
      <c r="R22"/>
      <c r="S22"/>
      <c r="T22"/>
      <c r="U22"/>
      <c r="V22"/>
      <c r="W22"/>
      <c r="X22"/>
      <c r="Y22"/>
      <c r="Z22"/>
    </row>
    <row r="23" spans="2:26" s="180" customFormat="1">
      <c r="D23" s="520"/>
      <c r="E23" s="532" t="s">
        <v>2912</v>
      </c>
      <c r="F23" s="532" t="s">
        <v>98</v>
      </c>
      <c r="G23" s="539">
        <v>21</v>
      </c>
      <c r="H23" s="13"/>
      <c r="I23" s="517" t="s">
        <v>2281</v>
      </c>
      <c r="J23" s="541" t="str">
        <f>"HID_"&amp;STDLIGHTINEFCAT2[[#This Row],[Ineff DropDown 2]]</f>
        <v>HID_Ext &lt;175</v>
      </c>
      <c r="K23" s="538" t="str">
        <f>STDLIGHTINEFCAT2[[#This Row],[Match]]&amp;"_"&amp;STDLIGHTINEFCAT2[[#This Row],[Options]]</f>
        <v>HID_Ext &lt;175_MV 175W</v>
      </c>
      <c r="L23" s="536" t="s">
        <v>537</v>
      </c>
      <c r="M23" s="538">
        <v>175</v>
      </c>
      <c r="N23" s="520">
        <v>205</v>
      </c>
      <c r="O23" s="54">
        <v>12</v>
      </c>
      <c r="P23" s="538" t="s">
        <v>2264</v>
      </c>
      <c r="Q23" s="13"/>
      <c r="R23"/>
      <c r="S23"/>
      <c r="T23"/>
      <c r="U23"/>
      <c r="V23"/>
      <c r="W23"/>
      <c r="X23"/>
      <c r="Y23"/>
      <c r="Z23"/>
    </row>
    <row r="24" spans="2:26" s="180" customFormat="1">
      <c r="B24" s="520"/>
      <c r="D24" s="520"/>
      <c r="E24" s="532" t="s">
        <v>2912</v>
      </c>
      <c r="F24" s="532" t="s">
        <v>93</v>
      </c>
      <c r="G24" s="539">
        <v>22</v>
      </c>
      <c r="H24" s="13"/>
      <c r="I24" s="517" t="s">
        <v>2281</v>
      </c>
      <c r="J24" s="517" t="str">
        <f>"HID_"&amp;STDLIGHTINEFCAT2[[#This Row],[Ineff DropDown 2]]</f>
        <v>HID_Ext &lt;175</v>
      </c>
      <c r="K24" s="545" t="str">
        <f>STDLIGHTINEFCAT2[[#This Row],[Match]]&amp;"_"&amp;STDLIGHTINEFCAT2[[#This Row],[Options]]</f>
        <v>HID_Ext &lt;175_--High Pres. Sodium--</v>
      </c>
      <c r="L24" s="542" t="s">
        <v>2195</v>
      </c>
      <c r="M24" s="545"/>
      <c r="N24" s="538"/>
      <c r="O24" s="54">
        <v>13</v>
      </c>
      <c r="P24" s="545" t="s">
        <v>2195</v>
      </c>
      <c r="Q24" s="13"/>
      <c r="R24"/>
      <c r="S24"/>
      <c r="T24"/>
      <c r="U24"/>
      <c r="V24"/>
      <c r="W24"/>
      <c r="X24"/>
      <c r="Y24"/>
      <c r="Z24"/>
    </row>
    <row r="25" spans="2:26" s="180" customFormat="1">
      <c r="D25" s="520"/>
      <c r="E25" s="532" t="s">
        <v>2912</v>
      </c>
      <c r="F25" s="532" t="s">
        <v>92</v>
      </c>
      <c r="G25" s="539">
        <v>23</v>
      </c>
      <c r="H25" s="13"/>
      <c r="I25" s="517" t="s">
        <v>2281</v>
      </c>
      <c r="J25" s="517" t="str">
        <f>"HID_"&amp;STDLIGHTINEFCAT2[[#This Row],[Ineff DropDown 2]]</f>
        <v>HID_Ext &lt;175</v>
      </c>
      <c r="K25" s="538" t="str">
        <f>STDLIGHTINEFCAT2[[#This Row],[Match]]&amp;"_"&amp;STDLIGHTINEFCAT2[[#This Row],[Options]]</f>
        <v>HID_Ext &lt;175_HPS 50W</v>
      </c>
      <c r="L25" s="536" t="s">
        <v>541</v>
      </c>
      <c r="M25" s="538">
        <v>50</v>
      </c>
      <c r="N25" s="545">
        <v>64</v>
      </c>
      <c r="O25" s="54">
        <v>14</v>
      </c>
      <c r="P25" s="538" t="s">
        <v>2257</v>
      </c>
      <c r="Q25" s="13"/>
      <c r="R25"/>
      <c r="S25"/>
      <c r="T25"/>
      <c r="U25"/>
      <c r="V25"/>
      <c r="W25"/>
      <c r="X25"/>
      <c r="Y25"/>
      <c r="Z25"/>
    </row>
    <row r="26" spans="2:26" s="180" customFormat="1">
      <c r="D26" s="520"/>
      <c r="E26" s="532" t="s">
        <v>2912</v>
      </c>
      <c r="F26" s="684" t="s">
        <v>2910</v>
      </c>
      <c r="G26" s="539">
        <v>24</v>
      </c>
      <c r="H26" s="13"/>
      <c r="I26" s="517" t="s">
        <v>2281</v>
      </c>
      <c r="J26" s="517" t="str">
        <f>"HID_"&amp;STDLIGHTINEFCAT2[[#This Row],[Ineff DropDown 2]]</f>
        <v>HID_Ext &lt;175</v>
      </c>
      <c r="K26" s="538" t="str">
        <f>STDLIGHTINEFCAT2[[#This Row],[Match]]&amp;"_"&amp;STDLIGHTINEFCAT2[[#This Row],[Options]]</f>
        <v>HID_Ext &lt;175_HPS 70W</v>
      </c>
      <c r="L26" s="536" t="s">
        <v>542</v>
      </c>
      <c r="M26" s="538">
        <v>70</v>
      </c>
      <c r="N26" s="545">
        <v>86</v>
      </c>
      <c r="O26" s="54">
        <v>15</v>
      </c>
      <c r="P26" s="538" t="s">
        <v>2258</v>
      </c>
      <c r="Q26" s="13"/>
      <c r="R26"/>
      <c r="S26"/>
      <c r="T26"/>
      <c r="U26"/>
      <c r="V26"/>
      <c r="W26"/>
      <c r="X26"/>
      <c r="Y26"/>
      <c r="Z26"/>
    </row>
    <row r="27" spans="2:26" s="180" customFormat="1">
      <c r="D27" s="520"/>
      <c r="E27"/>
      <c r="F27"/>
      <c r="G27"/>
      <c r="H27" s="13"/>
      <c r="I27" s="517" t="s">
        <v>2281</v>
      </c>
      <c r="J27" s="517" t="str">
        <f>"HID_"&amp;STDLIGHTINEFCAT2[[#This Row],[Ineff DropDown 2]]</f>
        <v>HID_Ext &lt;175</v>
      </c>
      <c r="K27" s="538" t="str">
        <f>STDLIGHTINEFCAT2[[#This Row],[Match]]&amp;"_"&amp;STDLIGHTINEFCAT2[[#This Row],[Options]]</f>
        <v>HID_Ext &lt;175_HPS 100W</v>
      </c>
      <c r="L27" s="536" t="s">
        <v>543</v>
      </c>
      <c r="M27" s="538">
        <v>100</v>
      </c>
      <c r="N27" s="538">
        <v>126</v>
      </c>
      <c r="O27" s="54">
        <v>16</v>
      </c>
      <c r="P27" s="538" t="s">
        <v>2259</v>
      </c>
      <c r="Q27" s="13"/>
      <c r="R27"/>
      <c r="S27"/>
      <c r="T27"/>
      <c r="U27"/>
      <c r="V27"/>
      <c r="W27"/>
      <c r="X27"/>
      <c r="Y27"/>
      <c r="Z27"/>
    </row>
    <row r="28" spans="2:26" s="180" customFormat="1">
      <c r="D28" s="520"/>
      <c r="E28"/>
      <c r="F28"/>
      <c r="H28" s="13"/>
      <c r="I28" s="517" t="s">
        <v>2281</v>
      </c>
      <c r="J28" s="517" t="str">
        <f>"HID_"&amp;STDLIGHTINEFCAT2[[#This Row],[Ineff DropDown 2]]</f>
        <v>HID_Ext &lt;175</v>
      </c>
      <c r="K28" s="538" t="str">
        <f>STDLIGHTINEFCAT2[[#This Row],[Match]]&amp;"_"&amp;STDLIGHTINEFCAT2[[#This Row],[Options]]</f>
        <v>HID_Ext &lt;175_HPS 150W</v>
      </c>
      <c r="L28" s="536" t="s">
        <v>544</v>
      </c>
      <c r="M28" s="538">
        <v>150</v>
      </c>
      <c r="N28" s="538">
        <v>188</v>
      </c>
      <c r="O28" s="54">
        <v>17</v>
      </c>
      <c r="P28" s="538" t="s">
        <v>2261</v>
      </c>
      <c r="Q28" s="13"/>
      <c r="U28"/>
      <c r="V28"/>
      <c r="W28"/>
      <c r="X28"/>
      <c r="Y28"/>
      <c r="Z28"/>
    </row>
    <row r="29" spans="2:26" s="180" customFormat="1">
      <c r="D29" s="520"/>
      <c r="E29"/>
      <c r="F29"/>
      <c r="H29" s="13"/>
      <c r="I29" s="517" t="s">
        <v>2282</v>
      </c>
      <c r="J29" s="517" t="str">
        <f>"HID_"&amp;STDLIGHTINEFCAT2[[#This Row],[Ineff DropDown 2]]</f>
        <v>HID_Ext 175-250</v>
      </c>
      <c r="K29" s="545" t="str">
        <f>STDLIGHTINEFCAT2[[#This Row],[Match]]&amp;"_"&amp;STDLIGHTINEFCAT2[[#This Row],[Options]]</f>
        <v>HID_Ext 175-250_--Metal Halide--</v>
      </c>
      <c r="L29" s="542" t="s">
        <v>2193</v>
      </c>
      <c r="M29" s="545"/>
      <c r="N29" s="521"/>
      <c r="O29" s="54">
        <v>131</v>
      </c>
      <c r="P29" s="545" t="s">
        <v>2193</v>
      </c>
      <c r="Q29" s="13"/>
      <c r="U29"/>
      <c r="V29"/>
      <c r="W29"/>
      <c r="X29"/>
      <c r="Y29"/>
      <c r="Z29"/>
    </row>
    <row r="30" spans="2:26">
      <c r="D30" s="520"/>
      <c r="H30" s="13"/>
      <c r="I30" s="517" t="s">
        <v>2282</v>
      </c>
      <c r="J30" s="517" t="str">
        <f>"HID_"&amp;STDLIGHTINEFCAT2[[#This Row],[Ineff DropDown 2]]</f>
        <v>HID_Ext 175-250</v>
      </c>
      <c r="K30" s="538" t="str">
        <f>STDLIGHTINEFCAT2[[#This Row],[Match]]&amp;"_"&amp;STDLIGHTINEFCAT2[[#This Row],[Options]]</f>
        <v>HID_Ext 175-250_MH 200W</v>
      </c>
      <c r="L30" s="536" t="s">
        <v>2657</v>
      </c>
      <c r="M30" s="538">
        <v>200</v>
      </c>
      <c r="N30" s="520">
        <v>232</v>
      </c>
      <c r="O30" s="54">
        <v>132</v>
      </c>
      <c r="P30" s="538" t="s">
        <v>2265</v>
      </c>
      <c r="Q30" s="13"/>
    </row>
    <row r="31" spans="2:26">
      <c r="I31" s="517" t="s">
        <v>2282</v>
      </c>
      <c r="J31" s="517" t="str">
        <f>"HID_"&amp;STDLIGHTINEFCAT2[[#This Row],[Ineff DropDown 2]]</f>
        <v>HID_Ext 175-250</v>
      </c>
      <c r="K31" s="538" t="str">
        <f>STDLIGHTINEFCAT2[[#This Row],[Match]]&amp;"_"&amp;STDLIGHTINEFCAT2[[#This Row],[Options]]</f>
        <v>HID_Ext 175-250_MH 250W</v>
      </c>
      <c r="L31" s="536" t="s">
        <v>552</v>
      </c>
      <c r="M31" s="538">
        <v>250</v>
      </c>
      <c r="N31" s="520">
        <v>295</v>
      </c>
      <c r="O31" s="54">
        <v>133</v>
      </c>
      <c r="P31" s="538" t="s">
        <v>2266</v>
      </c>
      <c r="Q31" s="180"/>
    </row>
    <row r="32" spans="2:26">
      <c r="I32" s="517" t="s">
        <v>2282</v>
      </c>
      <c r="J32" s="541" t="str">
        <f>"HID_"&amp;STDLIGHTINEFCAT2[[#This Row],[Ineff DropDown 2]]</f>
        <v>HID_Ext 175-250</v>
      </c>
      <c r="K32" s="545" t="str">
        <f>STDLIGHTINEFCAT2[[#This Row],[Match]]&amp;"_"&amp;STDLIGHTINEFCAT2[[#This Row],[Options]]</f>
        <v>HID_Ext 175-250_--Mercury Vapor--</v>
      </c>
      <c r="L32" s="542" t="s">
        <v>2194</v>
      </c>
      <c r="M32" s="545"/>
      <c r="N32" s="520"/>
      <c r="O32" s="54">
        <v>134</v>
      </c>
      <c r="P32" s="545" t="s">
        <v>2194</v>
      </c>
      <c r="Q32" s="180"/>
    </row>
    <row r="33" spans="9:17">
      <c r="I33" s="517" t="s">
        <v>2282</v>
      </c>
      <c r="J33" s="541" t="str">
        <f>"HID_"&amp;STDLIGHTINEFCAT2[[#This Row],[Ineff DropDown 2]]</f>
        <v>HID_Ext 175-250</v>
      </c>
      <c r="K33" s="538" t="str">
        <f>STDLIGHTINEFCAT2[[#This Row],[Match]]&amp;"_"&amp;STDLIGHTINEFCAT2[[#This Row],[Options]]</f>
        <v>HID_Ext 175-250_MV 250W</v>
      </c>
      <c r="L33" s="536" t="s">
        <v>538</v>
      </c>
      <c r="M33" s="538">
        <v>250</v>
      </c>
      <c r="N33" s="520">
        <v>285</v>
      </c>
      <c r="O33" s="54">
        <v>135</v>
      </c>
      <c r="P33" s="538" t="s">
        <v>2266</v>
      </c>
      <c r="Q33" s="180"/>
    </row>
    <row r="34" spans="9:17">
      <c r="I34" s="517" t="s">
        <v>2282</v>
      </c>
      <c r="J34" s="541" t="str">
        <f>"HID_"&amp;STDLIGHTINEFCAT2[[#This Row],[Ineff DropDown 2]]</f>
        <v>HID_Ext 175-250</v>
      </c>
      <c r="K34" s="545" t="str">
        <f>STDLIGHTINEFCAT2[[#This Row],[Match]]&amp;"_"&amp;STDLIGHTINEFCAT2[[#This Row],[Options]]</f>
        <v>HID_Ext 175-250_--High Pres. Sodium--</v>
      </c>
      <c r="L34" s="542" t="s">
        <v>2195</v>
      </c>
      <c r="M34" s="545"/>
      <c r="N34" s="520"/>
      <c r="O34" s="54">
        <v>136</v>
      </c>
      <c r="P34" s="545" t="s">
        <v>2195</v>
      </c>
      <c r="Q34" s="180"/>
    </row>
    <row r="35" spans="9:17">
      <c r="I35" s="517" t="s">
        <v>2282</v>
      </c>
      <c r="J35" s="541" t="str">
        <f>"HID_"&amp;STDLIGHTINEFCAT2[[#This Row],[Ineff DropDown 2]]</f>
        <v>HID_Ext 175-250</v>
      </c>
      <c r="K35" s="538" t="str">
        <f>STDLIGHTINEFCAT2[[#This Row],[Match]]&amp;"_"&amp;STDLIGHTINEFCAT2[[#This Row],[Options]]</f>
        <v>HID_Ext 175-250_HPS 200W</v>
      </c>
      <c r="L35" s="536" t="s">
        <v>545</v>
      </c>
      <c r="M35" s="538">
        <v>200</v>
      </c>
      <c r="N35" s="520">
        <v>240</v>
      </c>
      <c r="O35" s="54">
        <v>137</v>
      </c>
      <c r="P35" s="538" t="s">
        <v>2265</v>
      </c>
      <c r="Q35" s="180"/>
    </row>
    <row r="36" spans="9:17">
      <c r="I36" s="517" t="s">
        <v>2282</v>
      </c>
      <c r="J36" s="541" t="str">
        <f>"HID_"&amp;STDLIGHTINEFCAT2[[#This Row],[Ineff DropDown 2]]</f>
        <v>HID_Ext 175-250</v>
      </c>
      <c r="K36" s="538" t="str">
        <f>STDLIGHTINEFCAT2[[#This Row],[Match]]&amp;"_"&amp;STDLIGHTINEFCAT2[[#This Row],[Options]]</f>
        <v>HID_Ext 175-250_HPS 250W</v>
      </c>
      <c r="L36" s="536" t="s">
        <v>546</v>
      </c>
      <c r="M36" s="538">
        <v>250</v>
      </c>
      <c r="N36" s="520">
        <v>295</v>
      </c>
      <c r="O36" s="54">
        <v>138</v>
      </c>
      <c r="P36" s="538" t="s">
        <v>2266</v>
      </c>
      <c r="Q36" s="180"/>
    </row>
    <row r="37" spans="9:17">
      <c r="I37" s="517" t="s">
        <v>2283</v>
      </c>
      <c r="J37" s="517" t="str">
        <f>"HID_"&amp;STDLIGHTINEFCAT2[[#This Row],[Ineff DropDown 2]]</f>
        <v>HID_Ext 251-400</v>
      </c>
      <c r="K37" s="538" t="str">
        <f>STDLIGHTINEFCAT2[[#This Row],[Match]]&amp;"_"&amp;STDLIGHTINEFCAT2[[#This Row],[Options]]</f>
        <v>HID_Ext 251-400_--Metal Halide--</v>
      </c>
      <c r="L37" s="536" t="s">
        <v>2193</v>
      </c>
      <c r="M37" s="538"/>
      <c r="N37" s="538"/>
      <c r="O37" s="54">
        <v>157</v>
      </c>
      <c r="P37" s="538" t="s">
        <v>2193</v>
      </c>
      <c r="Q37" s="180"/>
    </row>
    <row r="38" spans="9:17">
      <c r="I38" s="517" t="s">
        <v>2283</v>
      </c>
      <c r="J38" s="517" t="str">
        <f>"HID_"&amp;STDLIGHTINEFCAT2[[#This Row],[Ineff DropDown 2]]</f>
        <v>HID_Ext 251-400</v>
      </c>
      <c r="K38" s="538" t="str">
        <f>STDLIGHTINEFCAT2[[#This Row],[Match]]&amp;"_"&amp;STDLIGHTINEFCAT2[[#This Row],[Options]]</f>
        <v>HID_Ext 251-400_MH 320W</v>
      </c>
      <c r="L38" s="536" t="s">
        <v>2658</v>
      </c>
      <c r="M38" s="538">
        <v>320</v>
      </c>
      <c r="N38" s="538">
        <v>370</v>
      </c>
      <c r="O38" s="54">
        <v>158</v>
      </c>
      <c r="P38" s="538" t="s">
        <v>2267</v>
      </c>
      <c r="Q38" s="180"/>
    </row>
    <row r="39" spans="9:17">
      <c r="I39" s="517" t="s">
        <v>2283</v>
      </c>
      <c r="J39" s="517" t="str">
        <f>"HID_"&amp;STDLIGHTINEFCAT2[[#This Row],[Ineff DropDown 2]]</f>
        <v>HID_Ext 251-400</v>
      </c>
      <c r="K39" s="538" t="str">
        <f>STDLIGHTINEFCAT2[[#This Row],[Match]]&amp;"_"&amp;STDLIGHTINEFCAT2[[#This Row],[Options]]</f>
        <v>HID_Ext 251-400_MH 350W</v>
      </c>
      <c r="L39" s="536" t="s">
        <v>2659</v>
      </c>
      <c r="M39" s="538">
        <v>350</v>
      </c>
      <c r="N39" s="538">
        <v>410</v>
      </c>
      <c r="O39" s="54">
        <v>159</v>
      </c>
      <c r="P39" s="538" t="s">
        <v>2268</v>
      </c>
      <c r="Q39" s="180"/>
    </row>
    <row r="40" spans="9:17" s="180" customFormat="1">
      <c r="I40" s="517" t="s">
        <v>2283</v>
      </c>
      <c r="J40" s="517" t="str">
        <f>"HID_"&amp;STDLIGHTINEFCAT2[[#This Row],[Ineff DropDown 2]]</f>
        <v>HID_Ext 251-400</v>
      </c>
      <c r="K40" s="538" t="str">
        <f>STDLIGHTINEFCAT2[[#This Row],[Match]]&amp;"_"&amp;STDLIGHTINEFCAT2[[#This Row],[Options]]</f>
        <v>HID_Ext 251-400_MH 400W</v>
      </c>
      <c r="L40" s="536" t="s">
        <v>553</v>
      </c>
      <c r="M40" s="538">
        <v>400</v>
      </c>
      <c r="N40" s="538">
        <v>454</v>
      </c>
      <c r="O40" s="54">
        <v>160</v>
      </c>
      <c r="P40" s="538" t="s">
        <v>2269</v>
      </c>
    </row>
    <row r="41" spans="9:17">
      <c r="I41" s="517" t="s">
        <v>2283</v>
      </c>
      <c r="J41" s="517" t="str">
        <f>"HID_"&amp;STDLIGHTINEFCAT2[[#This Row],[Ineff DropDown 2]]</f>
        <v>HID_Ext 251-400</v>
      </c>
      <c r="K41" s="538" t="str">
        <f>STDLIGHTINEFCAT2[[#This Row],[Match]]&amp;"_"&amp;STDLIGHTINEFCAT2[[#This Row],[Options]]</f>
        <v>HID_Ext 251-400_--Mercury Vapor--</v>
      </c>
      <c r="L41" s="536" t="s">
        <v>2194</v>
      </c>
      <c r="M41" s="538"/>
      <c r="N41" s="538"/>
      <c r="O41" s="54">
        <v>161</v>
      </c>
      <c r="P41" s="538" t="s">
        <v>2194</v>
      </c>
      <c r="Q41" s="180"/>
    </row>
    <row r="42" spans="9:17">
      <c r="I42" s="517" t="s">
        <v>2283</v>
      </c>
      <c r="J42" s="517" t="str">
        <f>"HID_"&amp;STDLIGHTINEFCAT2[[#This Row],[Ineff DropDown 2]]</f>
        <v>HID_Ext 251-400</v>
      </c>
      <c r="K42" s="538" t="str">
        <f>STDLIGHTINEFCAT2[[#This Row],[Match]]&amp;"_"&amp;STDLIGHTINEFCAT2[[#This Row],[Options]]</f>
        <v>HID_Ext 251-400_MV 400W</v>
      </c>
      <c r="L42" s="536" t="s">
        <v>539</v>
      </c>
      <c r="M42" s="538">
        <v>400</v>
      </c>
      <c r="N42" s="538">
        <v>454</v>
      </c>
      <c r="O42" s="54">
        <v>162</v>
      </c>
      <c r="P42" s="538" t="s">
        <v>2269</v>
      </c>
      <c r="Q42" s="180"/>
    </row>
    <row r="43" spans="9:17">
      <c r="I43" s="517" t="s">
        <v>2283</v>
      </c>
      <c r="J43" s="517" t="str">
        <f>"HID_"&amp;STDLIGHTINEFCAT2[[#This Row],[Ineff DropDown 2]]</f>
        <v>HID_Ext 251-400</v>
      </c>
      <c r="K43" s="538" t="str">
        <f>STDLIGHTINEFCAT2[[#This Row],[Match]]&amp;"_"&amp;STDLIGHTINEFCAT2[[#This Row],[Options]]</f>
        <v>HID_Ext 251-400_--High Pres. Sodium--</v>
      </c>
      <c r="L43" s="536" t="s">
        <v>2195</v>
      </c>
      <c r="M43" s="538"/>
      <c r="N43" s="538"/>
      <c r="O43" s="54">
        <v>163</v>
      </c>
      <c r="P43" s="538" t="s">
        <v>2195</v>
      </c>
      <c r="Q43" s="180"/>
    </row>
    <row r="44" spans="9:17">
      <c r="I44" s="517" t="s">
        <v>2283</v>
      </c>
      <c r="J44" s="517" t="str">
        <f>"HID_"&amp;STDLIGHTINEFCAT2[[#This Row],[Ineff DropDown 2]]</f>
        <v>HID_Ext 251-400</v>
      </c>
      <c r="K44" s="538" t="str">
        <f>STDLIGHTINEFCAT2[[#This Row],[Match]]&amp;"_"&amp;STDLIGHTINEFCAT2[[#This Row],[Options]]</f>
        <v>HID_Ext 251-400_HPS 310W</v>
      </c>
      <c r="L44" s="536" t="s">
        <v>2660</v>
      </c>
      <c r="M44" s="538">
        <v>310</v>
      </c>
      <c r="N44" s="538">
        <v>365</v>
      </c>
      <c r="O44" s="54">
        <v>164</v>
      </c>
      <c r="P44" s="538" t="s">
        <v>2270</v>
      </c>
      <c r="Q44" s="180"/>
    </row>
    <row r="45" spans="9:17">
      <c r="I45" s="517" t="s">
        <v>2283</v>
      </c>
      <c r="J45" s="517" t="str">
        <f>"HID_"&amp;STDLIGHTINEFCAT2[[#This Row],[Ineff DropDown 2]]</f>
        <v>HID_Ext 251-400</v>
      </c>
      <c r="K45" s="538" t="str">
        <f>STDLIGHTINEFCAT2[[#This Row],[Match]]&amp;"_"&amp;STDLIGHTINEFCAT2[[#This Row],[Options]]</f>
        <v>HID_Ext 251-400_HPS 400W</v>
      </c>
      <c r="L45" s="536" t="s">
        <v>547</v>
      </c>
      <c r="M45" s="538">
        <v>400</v>
      </c>
      <c r="N45" s="538">
        <v>457</v>
      </c>
      <c r="O45" s="54">
        <v>165</v>
      </c>
      <c r="P45" s="538" t="s">
        <v>2269</v>
      </c>
      <c r="Q45" s="180"/>
    </row>
    <row r="46" spans="9:17">
      <c r="I46" s="517" t="s">
        <v>2239</v>
      </c>
      <c r="J46" s="541" t="str">
        <f>"HID_"&amp;STDLIGHTINEFCAT2[[#This Row],[Ineff DropDown 2]]</f>
        <v>HID_HID &gt;750</v>
      </c>
      <c r="K46" s="538" t="str">
        <f>STDLIGHTINEFCAT2[[#This Row],[Match]]&amp;"_"&amp;STDLIGHTINEFCAT2[[#This Row],[Options]]</f>
        <v>HID_HID &gt;750_--Metal Halide--</v>
      </c>
      <c r="L46" s="547" t="s">
        <v>2193</v>
      </c>
      <c r="M46" s="521"/>
      <c r="N46" s="521"/>
      <c r="O46" s="54">
        <v>252</v>
      </c>
      <c r="P46" s="54"/>
      <c r="Q46" s="180"/>
    </row>
    <row r="47" spans="9:17">
      <c r="I47" s="517" t="s">
        <v>2239</v>
      </c>
      <c r="J47" s="541" t="str">
        <f>"HID_"&amp;STDLIGHTINEFCAT2[[#This Row],[Ineff DropDown 2]]</f>
        <v>HID_HID &gt;750</v>
      </c>
      <c r="K47" s="555" t="str">
        <f>STDLIGHTINEFCAT2[[#This Row],[Match]]&amp;"_"&amp;STDLIGHTINEFCAT2[[#This Row],[Options]]</f>
        <v>HID_HID &gt;750_1,000W Mogul Base</v>
      </c>
      <c r="L47" s="544" t="s">
        <v>2306</v>
      </c>
      <c r="M47" s="520">
        <v>1000</v>
      </c>
      <c r="N47" s="520">
        <v>1080</v>
      </c>
      <c r="O47" s="54">
        <v>253</v>
      </c>
      <c r="P47" s="492"/>
      <c r="Q47" s="180"/>
    </row>
    <row r="48" spans="9:17">
      <c r="I48" s="517" t="s">
        <v>2239</v>
      </c>
      <c r="J48" s="541" t="str">
        <f>"HID_"&amp;STDLIGHTINEFCAT2[[#This Row],[Ineff DropDown 2]]</f>
        <v>HID_HID &gt;750</v>
      </c>
      <c r="K48" s="555" t="str">
        <f>STDLIGHTINEFCAT2[[#This Row],[Match]]&amp;"_"&amp;STDLIGHTINEFCAT2[[#This Row],[Options]]</f>
        <v>HID_HID &gt;750_1,500W Mogul Base</v>
      </c>
      <c r="L48" s="544" t="s">
        <v>2307</v>
      </c>
      <c r="M48" s="520">
        <v>1500</v>
      </c>
      <c r="N48" s="520">
        <v>1610</v>
      </c>
      <c r="O48" s="54">
        <v>254</v>
      </c>
      <c r="P48" s="492"/>
      <c r="Q48" s="180"/>
    </row>
    <row r="49" spans="9:17">
      <c r="I49" s="517" t="s">
        <v>2239</v>
      </c>
      <c r="J49" s="541" t="str">
        <f>"HID_"&amp;STDLIGHTINEFCAT2[[#This Row],[Ineff DropDown 2]]</f>
        <v>HID_HID &gt;750</v>
      </c>
      <c r="K49" s="555" t="str">
        <f>STDLIGHTINEFCAT2[[#This Row],[Match]]&amp;"_"&amp;STDLIGHTINEFCAT2[[#This Row],[Options]]</f>
        <v>HID_HID &gt;750_--Mercury Vapor--</v>
      </c>
      <c r="L49" s="547" t="s">
        <v>2194</v>
      </c>
      <c r="M49" s="521"/>
      <c r="N49" s="521"/>
      <c r="O49" s="54">
        <v>255</v>
      </c>
      <c r="P49" s="54"/>
      <c r="Q49" s="180"/>
    </row>
    <row r="50" spans="9:17">
      <c r="I50" s="517" t="s">
        <v>2239</v>
      </c>
      <c r="J50" s="541" t="str">
        <f>"HID_"&amp;STDLIGHTINEFCAT2[[#This Row],[Ineff DropDown 2]]</f>
        <v>HID_HID &gt;750</v>
      </c>
      <c r="K50" s="555" t="str">
        <f>STDLIGHTINEFCAT2[[#This Row],[Match]]&amp;"_"&amp;STDLIGHTINEFCAT2[[#This Row],[Options]]</f>
        <v>HID_HID &gt;750_1,000W Mogul Base</v>
      </c>
      <c r="L50" s="544" t="s">
        <v>2306</v>
      </c>
      <c r="M50" s="520">
        <v>1000</v>
      </c>
      <c r="N50" s="520">
        <v>1080</v>
      </c>
      <c r="O50" s="54">
        <v>256</v>
      </c>
      <c r="P50" s="492"/>
      <c r="Q50" s="180"/>
    </row>
    <row r="51" spans="9:17">
      <c r="I51" s="517" t="s">
        <v>2239</v>
      </c>
      <c r="J51" s="541" t="str">
        <f>"HID_"&amp;STDLIGHTINEFCAT2[[#This Row],[Ineff DropDown 2]]</f>
        <v>HID_HID &gt;750</v>
      </c>
      <c r="K51" s="555" t="str">
        <f>STDLIGHTINEFCAT2[[#This Row],[Match]]&amp;"_"&amp;STDLIGHTINEFCAT2[[#This Row],[Options]]</f>
        <v>HID_HID &gt;750_--High Pres. Sodium--</v>
      </c>
      <c r="L51" s="547" t="s">
        <v>2195</v>
      </c>
      <c r="M51" s="521"/>
      <c r="N51" s="521"/>
      <c r="O51" s="54">
        <v>257</v>
      </c>
      <c r="P51" s="54"/>
      <c r="Q51" s="180"/>
    </row>
    <row r="52" spans="9:17">
      <c r="I52" s="517" t="s">
        <v>2239</v>
      </c>
      <c r="J52" s="541" t="str">
        <f>"HID_"&amp;STDLIGHTINEFCAT2[[#This Row],[Ineff DropDown 2]]</f>
        <v>HID_HID &gt;750</v>
      </c>
      <c r="K52" s="555" t="str">
        <f>STDLIGHTINEFCAT2[[#This Row],[Match]]&amp;"_"&amp;STDLIGHTINEFCAT2[[#This Row],[Options]]</f>
        <v>HID_HID &gt;750_1,000W Mogul Base</v>
      </c>
      <c r="L52" s="544" t="s">
        <v>2306</v>
      </c>
      <c r="M52" s="520">
        <v>1000</v>
      </c>
      <c r="N52" s="520">
        <v>1100</v>
      </c>
      <c r="O52" s="54">
        <v>258</v>
      </c>
      <c r="P52" s="492"/>
      <c r="Q52" s="180"/>
    </row>
    <row r="53" spans="9:17">
      <c r="I53" s="492" t="s">
        <v>2233</v>
      </c>
      <c r="J53" s="541" t="str">
        <f>"HID_"&amp;STDLIGHTINEFCAT2[[#This Row],[Ineff DropDown 2]]</f>
        <v>HID_HID 150-300</v>
      </c>
      <c r="K53" s="538" t="str">
        <f>STDLIGHTINEFCAT2[[#This Row],[Match]]&amp;"_"&amp;STDLIGHTINEFCAT2[[#This Row],[Options]]</f>
        <v>HID_HID 150-300_--Metal Halide--</v>
      </c>
      <c r="L53" s="536" t="s">
        <v>2193</v>
      </c>
      <c r="M53" s="538"/>
      <c r="N53" s="538"/>
      <c r="O53" s="54">
        <v>221</v>
      </c>
      <c r="P53" s="54"/>
      <c r="Q53" s="180"/>
    </row>
    <row r="54" spans="9:17">
      <c r="I54" s="492" t="s">
        <v>2233</v>
      </c>
      <c r="J54" s="541" t="str">
        <f>"HID_"&amp;STDLIGHTINEFCAT2[[#This Row],[Ineff DropDown 2]]</f>
        <v>HID_HID 150-300</v>
      </c>
      <c r="K54" s="538" t="str">
        <f>STDLIGHTINEFCAT2[[#This Row],[Match]]&amp;"_"&amp;STDLIGHTINEFCAT2[[#This Row],[Options]]</f>
        <v>HID_HID 150-300_150W Med. Base</v>
      </c>
      <c r="L54" s="536" t="s">
        <v>2189</v>
      </c>
      <c r="M54" s="538">
        <v>150</v>
      </c>
      <c r="N54" s="538">
        <v>173</v>
      </c>
      <c r="O54" s="54">
        <v>222</v>
      </c>
      <c r="P54" s="54"/>
      <c r="Q54" s="180"/>
    </row>
    <row r="55" spans="9:17">
      <c r="I55" s="492" t="s">
        <v>2233</v>
      </c>
      <c r="J55" s="541" t="str">
        <f>"HID_"&amp;STDLIGHTINEFCAT2[[#This Row],[Ineff DropDown 2]]</f>
        <v>HID_HID 150-300</v>
      </c>
      <c r="K55" s="538" t="str">
        <f>STDLIGHTINEFCAT2[[#This Row],[Match]]&amp;"_"&amp;STDLIGHTINEFCAT2[[#This Row],[Options]]</f>
        <v>HID_HID 150-300_150W Double Ended</v>
      </c>
      <c r="L55" s="536" t="s">
        <v>2190</v>
      </c>
      <c r="M55" s="538">
        <v>150</v>
      </c>
      <c r="N55" s="538">
        <v>185</v>
      </c>
      <c r="O55" s="54">
        <v>223</v>
      </c>
      <c r="P55" s="492"/>
      <c r="Q55" s="180"/>
    </row>
    <row r="56" spans="9:17">
      <c r="I56" s="492" t="s">
        <v>2233</v>
      </c>
      <c r="J56" s="541" t="str">
        <f>"HID_"&amp;STDLIGHTINEFCAT2[[#This Row],[Ineff DropDown 2]]</f>
        <v>HID_HID 150-300</v>
      </c>
      <c r="K56" s="538" t="str">
        <f>STDLIGHTINEFCAT2[[#This Row],[Match]]&amp;"_"&amp;STDLIGHTINEFCAT2[[#This Row],[Options]]</f>
        <v>HID_HID 150-300_175W Mogul Base</v>
      </c>
      <c r="L56" s="536" t="s">
        <v>2187</v>
      </c>
      <c r="M56" s="520">
        <v>175</v>
      </c>
      <c r="N56" s="538">
        <v>210</v>
      </c>
      <c r="O56" s="54">
        <v>224</v>
      </c>
      <c r="P56" s="54"/>
      <c r="Q56" s="180"/>
    </row>
    <row r="57" spans="9:17">
      <c r="I57" s="492" t="s">
        <v>2233</v>
      </c>
      <c r="J57" s="541" t="str">
        <f>"HID_"&amp;STDLIGHTINEFCAT2[[#This Row],[Ineff DropDown 2]]</f>
        <v>HID_HID 150-300</v>
      </c>
      <c r="K57" s="538" t="str">
        <f>STDLIGHTINEFCAT2[[#This Row],[Match]]&amp;"_"&amp;STDLIGHTINEFCAT2[[#This Row],[Options]]</f>
        <v>HID_HID 150-300_250W Mogul Base</v>
      </c>
      <c r="L57" s="536" t="s">
        <v>2188</v>
      </c>
      <c r="M57" s="538">
        <v>250</v>
      </c>
      <c r="N57" s="538">
        <v>295</v>
      </c>
      <c r="O57" s="54">
        <v>225</v>
      </c>
      <c r="P57" s="54"/>
      <c r="Q57" s="180"/>
    </row>
    <row r="58" spans="9:17">
      <c r="I58" s="492" t="s">
        <v>2233</v>
      </c>
      <c r="J58" s="541" t="str">
        <f>"HID_"&amp;STDLIGHTINEFCAT2[[#This Row],[Ineff DropDown 2]]</f>
        <v>HID_HID 150-300</v>
      </c>
      <c r="K58" s="538" t="str">
        <f>STDLIGHTINEFCAT2[[#This Row],[Match]]&amp;"_"&amp;STDLIGHTINEFCAT2[[#This Row],[Options]]</f>
        <v>HID_HID 150-300_300W Mogul Base</v>
      </c>
      <c r="L58" s="536" t="s">
        <v>2302</v>
      </c>
      <c r="M58" s="538">
        <v>300</v>
      </c>
      <c r="N58" s="538">
        <v>342</v>
      </c>
      <c r="O58" s="54">
        <v>226</v>
      </c>
      <c r="P58" s="54"/>
      <c r="Q58" s="180"/>
    </row>
    <row r="59" spans="9:17">
      <c r="I59" s="492" t="s">
        <v>2233</v>
      </c>
      <c r="J59" s="541" t="str">
        <f>"HID_"&amp;STDLIGHTINEFCAT2[[#This Row],[Ineff DropDown 2]]</f>
        <v>HID_HID 150-300</v>
      </c>
      <c r="K59" s="538" t="str">
        <f>STDLIGHTINEFCAT2[[#This Row],[Match]]&amp;"_"&amp;STDLIGHTINEFCAT2[[#This Row],[Options]]</f>
        <v>HID_HID 150-300_--Mercury Vapor--</v>
      </c>
      <c r="L59" s="536" t="s">
        <v>2194</v>
      </c>
      <c r="M59" s="538"/>
      <c r="N59" s="538"/>
      <c r="O59" s="54">
        <v>227</v>
      </c>
      <c r="P59" s="54"/>
      <c r="Q59" s="180"/>
    </row>
    <row r="60" spans="9:17">
      <c r="I60" s="492" t="s">
        <v>2233</v>
      </c>
      <c r="J60" s="541" t="str">
        <f>"HID_"&amp;STDLIGHTINEFCAT2[[#This Row],[Ineff DropDown 2]]</f>
        <v>HID_HID 150-300</v>
      </c>
      <c r="K60" s="538" t="str">
        <f>STDLIGHTINEFCAT2[[#This Row],[Match]]&amp;"_"&amp;STDLIGHTINEFCAT2[[#This Row],[Options]]</f>
        <v>HID_HID 150-300_175W Med. Base</v>
      </c>
      <c r="L60" s="536" t="s">
        <v>2186</v>
      </c>
      <c r="M60" s="520">
        <v>175</v>
      </c>
      <c r="N60" s="538">
        <v>205</v>
      </c>
      <c r="O60" s="54">
        <v>228</v>
      </c>
      <c r="P60" s="54"/>
      <c r="Q60" s="180"/>
    </row>
    <row r="61" spans="9:17">
      <c r="I61" s="492" t="s">
        <v>2233</v>
      </c>
      <c r="J61" s="541" t="str">
        <f>"HID_"&amp;STDLIGHTINEFCAT2[[#This Row],[Ineff DropDown 2]]</f>
        <v>HID_HID 150-300</v>
      </c>
      <c r="K61" s="538" t="str">
        <f>STDLIGHTINEFCAT2[[#This Row],[Match]]&amp;"_"&amp;STDLIGHTINEFCAT2[[#This Row],[Options]]</f>
        <v>HID_HID 150-300_175W Mogul Base</v>
      </c>
      <c r="L61" s="536" t="s">
        <v>2187</v>
      </c>
      <c r="M61" s="520">
        <v>175</v>
      </c>
      <c r="N61" s="538">
        <v>205</v>
      </c>
      <c r="O61" s="54">
        <v>229</v>
      </c>
      <c r="P61" s="54"/>
      <c r="Q61" s="180"/>
    </row>
    <row r="62" spans="9:17">
      <c r="I62" s="492" t="s">
        <v>2233</v>
      </c>
      <c r="J62" s="541" t="str">
        <f>"HID_"&amp;STDLIGHTINEFCAT2[[#This Row],[Ineff DropDown 2]]</f>
        <v>HID_HID 150-300</v>
      </c>
      <c r="K62" s="538" t="str">
        <f>STDLIGHTINEFCAT2[[#This Row],[Match]]&amp;"_"&amp;STDLIGHTINEFCAT2[[#This Row],[Options]]</f>
        <v>HID_HID 150-300_250W Mogul Base</v>
      </c>
      <c r="L62" s="536" t="s">
        <v>2188</v>
      </c>
      <c r="M62" s="538">
        <v>250</v>
      </c>
      <c r="N62" s="538">
        <v>285</v>
      </c>
      <c r="O62" s="54">
        <v>230</v>
      </c>
      <c r="P62" s="54"/>
      <c r="Q62" s="180"/>
    </row>
    <row r="63" spans="9:17">
      <c r="I63" s="492" t="s">
        <v>2233</v>
      </c>
      <c r="J63" s="541" t="str">
        <f>"HID_"&amp;STDLIGHTINEFCAT2[[#This Row],[Ineff DropDown 2]]</f>
        <v>HID_HID 150-300</v>
      </c>
      <c r="K63" s="538" t="str">
        <f>STDLIGHTINEFCAT2[[#This Row],[Match]]&amp;"_"&amp;STDLIGHTINEFCAT2[[#This Row],[Options]]</f>
        <v>HID_HID 150-300_--High Pres. Sodium--</v>
      </c>
      <c r="L63" s="536" t="s">
        <v>2195</v>
      </c>
      <c r="M63" s="538"/>
      <c r="N63" s="538"/>
      <c r="O63" s="54">
        <v>231</v>
      </c>
      <c r="P63" s="54"/>
      <c r="Q63" s="180"/>
    </row>
    <row r="64" spans="9:17">
      <c r="I64" s="492" t="s">
        <v>2233</v>
      </c>
      <c r="J64" s="541" t="str">
        <f>"HID_"&amp;STDLIGHTINEFCAT2[[#This Row],[Ineff DropDown 2]]</f>
        <v>HID_HID 150-300</v>
      </c>
      <c r="K64" s="538" t="str">
        <f>STDLIGHTINEFCAT2[[#This Row],[Match]]&amp;"_"&amp;STDLIGHTINEFCAT2[[#This Row],[Options]]</f>
        <v>HID_HID 150-300_150W Med. Base</v>
      </c>
      <c r="L64" s="536" t="s">
        <v>2189</v>
      </c>
      <c r="M64" s="538">
        <v>150</v>
      </c>
      <c r="N64" s="538">
        <v>188</v>
      </c>
      <c r="O64" s="54">
        <v>232</v>
      </c>
      <c r="P64" s="54"/>
      <c r="Q64" s="180"/>
    </row>
    <row r="65" spans="9:17">
      <c r="I65" s="492" t="s">
        <v>2233</v>
      </c>
      <c r="J65" s="541" t="str">
        <f>"HID_"&amp;STDLIGHTINEFCAT2[[#This Row],[Ineff DropDown 2]]</f>
        <v>HID_HID 150-300</v>
      </c>
      <c r="K65" s="538" t="str">
        <f>STDLIGHTINEFCAT2[[#This Row],[Match]]&amp;"_"&amp;STDLIGHTINEFCAT2[[#This Row],[Options]]</f>
        <v>HID_HID 150-300_150W Mogul Base</v>
      </c>
      <c r="L65" s="536" t="s">
        <v>2191</v>
      </c>
      <c r="M65" s="538">
        <v>150</v>
      </c>
      <c r="N65" s="538">
        <v>188</v>
      </c>
      <c r="O65" s="54">
        <v>233</v>
      </c>
      <c r="P65" s="54"/>
      <c r="Q65" s="180"/>
    </row>
    <row r="66" spans="9:17">
      <c r="I66" s="492" t="s">
        <v>2233</v>
      </c>
      <c r="J66" s="541" t="str">
        <f>"HID_"&amp;STDLIGHTINEFCAT2[[#This Row],[Ineff DropDown 2]]</f>
        <v>HID_HID 150-300</v>
      </c>
      <c r="K66" s="538" t="str">
        <f>STDLIGHTINEFCAT2[[#This Row],[Match]]&amp;"_"&amp;STDLIGHTINEFCAT2[[#This Row],[Options]]</f>
        <v>HID_HID 150-300_200W Mogul Base</v>
      </c>
      <c r="L66" s="536" t="s">
        <v>2192</v>
      </c>
      <c r="M66" s="538">
        <v>200</v>
      </c>
      <c r="N66" s="538">
        <v>240</v>
      </c>
      <c r="O66" s="54">
        <v>234</v>
      </c>
      <c r="P66" s="54"/>
      <c r="Q66" s="180"/>
    </row>
    <row r="67" spans="9:17">
      <c r="I67" s="492" t="s">
        <v>2233</v>
      </c>
      <c r="J67" s="541" t="str">
        <f>"HID_"&amp;STDLIGHTINEFCAT2[[#This Row],[Ineff DropDown 2]]</f>
        <v>HID_HID 150-300</v>
      </c>
      <c r="K67" s="538" t="str">
        <f>STDLIGHTINEFCAT2[[#This Row],[Match]]&amp;"_"&amp;STDLIGHTINEFCAT2[[#This Row],[Options]]</f>
        <v>HID_HID 150-300_250W Mogul Base</v>
      </c>
      <c r="L67" s="536" t="s">
        <v>2188</v>
      </c>
      <c r="M67" s="538">
        <v>250</v>
      </c>
      <c r="N67" s="538">
        <v>295</v>
      </c>
      <c r="O67" s="54">
        <v>235</v>
      </c>
      <c r="P67" s="54"/>
      <c r="Q67" s="180"/>
    </row>
    <row r="68" spans="9:17">
      <c r="I68" s="541" t="s">
        <v>2234</v>
      </c>
      <c r="J68" s="541" t="str">
        <f>"HID_"&amp;STDLIGHTINEFCAT2[[#This Row],[Ineff DropDown 2]]</f>
        <v>HID_HID 301-450</v>
      </c>
      <c r="K68" s="538" t="str">
        <f>STDLIGHTINEFCAT2[[#This Row],[Match]]&amp;"_"&amp;STDLIGHTINEFCAT2[[#This Row],[Options]]</f>
        <v>HID_HID 301-450_--Metal Halide--</v>
      </c>
      <c r="L68" s="547" t="s">
        <v>2193</v>
      </c>
      <c r="M68" s="521"/>
      <c r="N68" s="521"/>
      <c r="O68" s="54">
        <v>236</v>
      </c>
      <c r="P68" s="54"/>
      <c r="Q68" s="180"/>
    </row>
    <row r="69" spans="9:17">
      <c r="I69" s="541" t="s">
        <v>2234</v>
      </c>
      <c r="J69" s="541" t="str">
        <f>"HID_"&amp;STDLIGHTINEFCAT2[[#This Row],[Ineff DropDown 2]]</f>
        <v>HID_HID 301-450</v>
      </c>
      <c r="K69" s="538" t="str">
        <f>STDLIGHTINEFCAT2[[#This Row],[Match]]&amp;"_"&amp;STDLIGHTINEFCAT2[[#This Row],[Options]]</f>
        <v>HID_HID 301-450_325W Mogul Base</v>
      </c>
      <c r="L69" s="544" t="s">
        <v>2303</v>
      </c>
      <c r="M69" s="520">
        <v>325</v>
      </c>
      <c r="N69" s="520">
        <v>375</v>
      </c>
      <c r="O69" s="54">
        <v>237</v>
      </c>
      <c r="P69" s="54"/>
      <c r="Q69" s="180"/>
    </row>
    <row r="70" spans="9:17">
      <c r="I70" s="541" t="s">
        <v>2234</v>
      </c>
      <c r="J70" s="541" t="str">
        <f>"HID_"&amp;STDLIGHTINEFCAT2[[#This Row],[Ineff DropDown 2]]</f>
        <v>HID_HID 301-450</v>
      </c>
      <c r="K70" s="538" t="str">
        <f>STDLIGHTINEFCAT2[[#This Row],[Match]]&amp;"_"&amp;STDLIGHTINEFCAT2[[#This Row],[Options]]</f>
        <v>HID_HID 301-450_360W Mogul Base</v>
      </c>
      <c r="L70" s="544" t="s">
        <v>2304</v>
      </c>
      <c r="M70" s="520">
        <v>360</v>
      </c>
      <c r="N70" s="520">
        <v>430</v>
      </c>
      <c r="O70" s="54">
        <v>238</v>
      </c>
      <c r="P70" s="54"/>
      <c r="Q70" s="180"/>
    </row>
    <row r="71" spans="9:17">
      <c r="I71" s="541" t="s">
        <v>2234</v>
      </c>
      <c r="J71" s="541" t="str">
        <f>"HID_"&amp;STDLIGHTINEFCAT2[[#This Row],[Ineff DropDown 2]]</f>
        <v>HID_HID 301-450</v>
      </c>
      <c r="K71" s="538" t="str">
        <f>STDLIGHTINEFCAT2[[#This Row],[Match]]&amp;"_"&amp;STDLIGHTINEFCAT2[[#This Row],[Options]]</f>
        <v>HID_HID 301-450_400W Mogul Base</v>
      </c>
      <c r="L71" s="544" t="s">
        <v>2197</v>
      </c>
      <c r="M71" s="520">
        <v>400</v>
      </c>
      <c r="N71" s="520">
        <v>458</v>
      </c>
      <c r="O71" s="54">
        <v>239</v>
      </c>
      <c r="P71" s="54"/>
      <c r="Q71" s="180"/>
    </row>
    <row r="72" spans="9:17">
      <c r="I72" s="541" t="s">
        <v>2234</v>
      </c>
      <c r="J72" s="541" t="str">
        <f>"HID_"&amp;STDLIGHTINEFCAT2[[#This Row],[Ineff DropDown 2]]</f>
        <v>HID_HID 301-450</v>
      </c>
      <c r="K72" s="536" t="str">
        <f>STDLIGHTINEFCAT2[[#This Row],[Match]]&amp;"_"&amp;STDLIGHTINEFCAT2[[#This Row],[Options]]</f>
        <v>HID_HID 301-450_--Mercury Vapor--</v>
      </c>
      <c r="L72" s="547" t="s">
        <v>2194</v>
      </c>
      <c r="M72" s="521"/>
      <c r="N72" s="547"/>
      <c r="O72" s="54">
        <v>240</v>
      </c>
      <c r="P72" s="54"/>
      <c r="Q72" s="180"/>
    </row>
    <row r="73" spans="9:17">
      <c r="I73" s="541" t="s">
        <v>2234</v>
      </c>
      <c r="J73" s="541" t="str">
        <f>"HID_"&amp;STDLIGHTINEFCAT2[[#This Row],[Ineff DropDown 2]]</f>
        <v>HID_HID 301-450</v>
      </c>
      <c r="K73" s="536" t="str">
        <f>STDLIGHTINEFCAT2[[#This Row],[Match]]&amp;"_"&amp;STDLIGHTINEFCAT2[[#This Row],[Options]]</f>
        <v>HID_HID 301-450_400W Mogul Base</v>
      </c>
      <c r="L73" s="544" t="s">
        <v>2197</v>
      </c>
      <c r="M73" s="544">
        <v>400</v>
      </c>
      <c r="N73" s="544">
        <v>454</v>
      </c>
      <c r="O73" s="54">
        <v>241</v>
      </c>
      <c r="P73" s="54"/>
      <c r="Q73" s="180"/>
    </row>
    <row r="74" spans="9:17">
      <c r="I74" s="541" t="s">
        <v>2234</v>
      </c>
      <c r="J74" s="541" t="str">
        <f>"HID_"&amp;STDLIGHTINEFCAT2[[#This Row],[Ineff DropDown 2]]</f>
        <v>HID_HID 301-450</v>
      </c>
      <c r="K74" s="536" t="str">
        <f>STDLIGHTINEFCAT2[[#This Row],[Match]]&amp;"_"&amp;STDLIGHTINEFCAT2[[#This Row],[Options]]</f>
        <v>HID_HID 301-450_--High Pres. Sodium--</v>
      </c>
      <c r="L74" s="547" t="s">
        <v>2195</v>
      </c>
      <c r="M74" s="547"/>
      <c r="N74" s="547"/>
      <c r="O74" s="54">
        <v>242</v>
      </c>
      <c r="P74" s="54"/>
      <c r="Q74" s="180"/>
    </row>
    <row r="75" spans="9:17">
      <c r="I75" s="541" t="s">
        <v>2234</v>
      </c>
      <c r="J75" s="541" t="str">
        <f>"HID_"&amp;STDLIGHTINEFCAT2[[#This Row],[Ineff DropDown 2]]</f>
        <v>HID_HID 301-450</v>
      </c>
      <c r="K75" s="536" t="str">
        <f>STDLIGHTINEFCAT2[[#This Row],[Match]]&amp;"_"&amp;STDLIGHTINEFCAT2[[#This Row],[Options]]</f>
        <v>HID_HID 301-450_310W Mogul Base</v>
      </c>
      <c r="L75" s="544" t="s">
        <v>2196</v>
      </c>
      <c r="M75" s="544">
        <v>310</v>
      </c>
      <c r="N75" s="544">
        <v>365</v>
      </c>
      <c r="O75" s="54">
        <v>243</v>
      </c>
      <c r="P75" s="54"/>
      <c r="Q75" s="180"/>
    </row>
    <row r="76" spans="9:17" s="180" customFormat="1">
      <c r="I76" s="541" t="s">
        <v>2234</v>
      </c>
      <c r="J76" s="541" t="str">
        <f>"HID_"&amp;STDLIGHTINEFCAT2[[#This Row],[Ineff DropDown 2]]</f>
        <v>HID_HID 301-450</v>
      </c>
      <c r="K76" s="538" t="str">
        <f>STDLIGHTINEFCAT2[[#This Row],[Match]]&amp;"_"&amp;STDLIGHTINEFCAT2[[#This Row],[Options]]</f>
        <v>HID_HID 301-450_400W Mogul Base</v>
      </c>
      <c r="L76" s="623" t="s">
        <v>2197</v>
      </c>
      <c r="M76" s="520">
        <v>400</v>
      </c>
      <c r="N76" s="520">
        <v>457</v>
      </c>
      <c r="O76" s="54">
        <v>244</v>
      </c>
      <c r="P76" s="54"/>
    </row>
    <row r="77" spans="9:17">
      <c r="I77" s="541" t="s">
        <v>2235</v>
      </c>
      <c r="J77" s="541" t="str">
        <f>"HID_"&amp;STDLIGHTINEFCAT2[[#This Row],[Ineff DropDown 2]]</f>
        <v>HID_HID 451-750</v>
      </c>
      <c r="K77" s="536" t="str">
        <f>STDLIGHTINEFCAT2[[#This Row],[Match]]&amp;"_"&amp;STDLIGHTINEFCAT2[[#This Row],[Options]]</f>
        <v>HID_HID 451-750_--Metal Halide--</v>
      </c>
      <c r="L77" s="547" t="s">
        <v>2193</v>
      </c>
      <c r="M77" s="521"/>
      <c r="N77" s="547"/>
      <c r="O77" s="54">
        <v>245</v>
      </c>
      <c r="P77" s="54"/>
      <c r="Q77" s="180"/>
    </row>
    <row r="78" spans="9:17">
      <c r="I78" s="541" t="s">
        <v>2235</v>
      </c>
      <c r="J78" s="541" t="str">
        <f>"HID_"&amp;STDLIGHTINEFCAT2[[#This Row],[Ineff DropDown 2]]</f>
        <v>HID_HID 451-750</v>
      </c>
      <c r="K78" s="536" t="str">
        <f>STDLIGHTINEFCAT2[[#This Row],[Match]]&amp;"_"&amp;STDLIGHTINEFCAT2[[#This Row],[Options]]</f>
        <v>HID_HID 451-750_750W Mogul Base</v>
      </c>
      <c r="L78" s="544" t="s">
        <v>2199</v>
      </c>
      <c r="M78" s="520">
        <v>750</v>
      </c>
      <c r="N78" s="544">
        <v>850</v>
      </c>
      <c r="O78" s="54">
        <v>246</v>
      </c>
      <c r="P78" s="54"/>
      <c r="Q78" s="180"/>
    </row>
    <row r="79" spans="9:17">
      <c r="I79" s="541" t="s">
        <v>2235</v>
      </c>
      <c r="J79" s="541" t="str">
        <f>"HID_"&amp;STDLIGHTINEFCAT2[[#This Row],[Ineff DropDown 2]]</f>
        <v>HID_HID 451-750</v>
      </c>
      <c r="K79" s="536" t="str">
        <f>STDLIGHTINEFCAT2[[#This Row],[Match]]&amp;"_"&amp;STDLIGHTINEFCAT2[[#This Row],[Options]]</f>
        <v>HID_HID 451-750_--Mercury Vapor--</v>
      </c>
      <c r="L79" s="547" t="s">
        <v>2194</v>
      </c>
      <c r="M79" s="547"/>
      <c r="N79" s="547"/>
      <c r="O79" s="54">
        <v>247</v>
      </c>
      <c r="P79" s="54"/>
      <c r="Q79" s="180"/>
    </row>
    <row r="80" spans="9:17">
      <c r="I80" s="541" t="s">
        <v>2235</v>
      </c>
      <c r="J80" s="541" t="str">
        <f>"HID_"&amp;STDLIGHTINEFCAT2[[#This Row],[Ineff DropDown 2]]</f>
        <v>HID_HID 451-750</v>
      </c>
      <c r="K80" s="536" t="str">
        <f>STDLIGHTINEFCAT2[[#This Row],[Match]]&amp;"_"&amp;STDLIGHTINEFCAT2[[#This Row],[Options]]</f>
        <v>HID_HID 451-750_700W Mogul Base</v>
      </c>
      <c r="L80" s="544" t="s">
        <v>2305</v>
      </c>
      <c r="M80" s="544">
        <v>700</v>
      </c>
      <c r="N80" s="544">
        <v>780</v>
      </c>
      <c r="O80" s="54">
        <v>248</v>
      </c>
      <c r="P80" s="54"/>
      <c r="Q80" s="180"/>
    </row>
    <row r="81" spans="9:17">
      <c r="I81" s="541" t="s">
        <v>2235</v>
      </c>
      <c r="J81" s="541" t="str">
        <f>"HID_"&amp;STDLIGHTINEFCAT2[[#This Row],[Ineff DropDown 2]]</f>
        <v>HID_HID 451-750</v>
      </c>
      <c r="K81" s="536" t="str">
        <f>STDLIGHTINEFCAT2[[#This Row],[Match]]&amp;"_"&amp;STDLIGHTINEFCAT2[[#This Row],[Options]]</f>
        <v>HID_HID 451-750_--High Pres. Sodium--</v>
      </c>
      <c r="L81" s="547" t="s">
        <v>2195</v>
      </c>
      <c r="M81" s="547"/>
      <c r="N81" s="547"/>
      <c r="O81" s="54">
        <v>249</v>
      </c>
      <c r="P81" s="54"/>
      <c r="Q81" s="180"/>
    </row>
    <row r="82" spans="9:17">
      <c r="I82" s="541" t="s">
        <v>2235</v>
      </c>
      <c r="J82" s="541" t="str">
        <f>"HID_"&amp;STDLIGHTINEFCAT2[[#This Row],[Ineff DropDown 2]]</f>
        <v>HID_HID 451-750</v>
      </c>
      <c r="K82" s="536" t="str">
        <f>STDLIGHTINEFCAT2[[#This Row],[Match]]&amp;"_"&amp;STDLIGHTINEFCAT2[[#This Row],[Options]]</f>
        <v>HID_HID 451-750_600W Mogul Base</v>
      </c>
      <c r="L82" s="544" t="s">
        <v>2198</v>
      </c>
      <c r="M82" s="544">
        <v>600</v>
      </c>
      <c r="N82" s="544">
        <v>665</v>
      </c>
      <c r="O82" s="54">
        <v>250</v>
      </c>
      <c r="P82" s="54"/>
      <c r="Q82" s="180"/>
    </row>
    <row r="83" spans="9:17">
      <c r="I83" s="541" t="s">
        <v>2235</v>
      </c>
      <c r="J83" s="541" t="str">
        <f>"HID_"&amp;STDLIGHTINEFCAT2[[#This Row],[Ineff DropDown 2]]</f>
        <v>HID_HID 451-750</v>
      </c>
      <c r="K83" s="536" t="str">
        <f>STDLIGHTINEFCAT2[[#This Row],[Match]]&amp;"_"&amp;STDLIGHTINEFCAT2[[#This Row],[Options]]</f>
        <v>HID_HID 451-750_750W Mogul Base</v>
      </c>
      <c r="L83" s="544" t="s">
        <v>2199</v>
      </c>
      <c r="M83" s="544">
        <v>750</v>
      </c>
      <c r="N83" s="544">
        <v>840</v>
      </c>
      <c r="O83" s="54">
        <v>251</v>
      </c>
      <c r="P83" s="54"/>
      <c r="Q83" s="180"/>
    </row>
    <row r="84" spans="9:17">
      <c r="I84" s="492" t="s">
        <v>2285</v>
      </c>
      <c r="J84" s="541" t="str">
        <f>"HID_"&amp;STDLIGHTINEFCAT2[[#This Row],[Ineff DropDown 2]]</f>
        <v>HID_PG &lt;=100</v>
      </c>
      <c r="K84" s="548" t="str">
        <f>STDLIGHTINEFCAT2[[#This Row],[Match]]&amp;"_"&amp;STDLIGHTINEFCAT2[[#This Row],[Options]]</f>
        <v>HID_PG &lt;=100_--Metal Halide--</v>
      </c>
      <c r="L84" s="536" t="s">
        <v>2193</v>
      </c>
      <c r="M84" s="536"/>
      <c r="N84" s="536"/>
      <c r="O84" s="54">
        <v>520</v>
      </c>
      <c r="P84" s="54"/>
      <c r="Q84" s="180"/>
    </row>
    <row r="85" spans="9:17">
      <c r="I85" s="492" t="s">
        <v>2285</v>
      </c>
      <c r="J85" s="541" t="str">
        <f>"HID_"&amp;STDLIGHTINEFCAT2[[#This Row],[Ineff DropDown 2]]</f>
        <v>HID_PG &lt;=100</v>
      </c>
      <c r="K85" s="548" t="str">
        <f>STDLIGHTINEFCAT2[[#This Row],[Match]]&amp;"_"&amp;STDLIGHTINEFCAT2[[#This Row],[Options]]</f>
        <v>HID_PG &lt;=100_32W Med Base</v>
      </c>
      <c r="L85" s="536" t="s">
        <v>2482</v>
      </c>
      <c r="M85" s="536">
        <v>32</v>
      </c>
      <c r="N85" s="536">
        <v>38</v>
      </c>
      <c r="O85" s="54">
        <v>521</v>
      </c>
      <c r="P85" s="54"/>
      <c r="Q85" s="180"/>
    </row>
    <row r="86" spans="9:17">
      <c r="I86" s="492" t="s">
        <v>2285</v>
      </c>
      <c r="J86" s="541" t="str">
        <f>"HID_"&amp;STDLIGHTINEFCAT2[[#This Row],[Ineff DropDown 2]]</f>
        <v>HID_PG &lt;=100</v>
      </c>
      <c r="K86" s="548" t="str">
        <f>STDLIGHTINEFCAT2[[#This Row],[Match]]&amp;"_"&amp;STDLIGHTINEFCAT2[[#This Row],[Options]]</f>
        <v xml:space="preserve">HID_PG &lt;=100_35W/39W Med Base </v>
      </c>
      <c r="L86" s="536" t="s">
        <v>2483</v>
      </c>
      <c r="M86" s="536">
        <v>35</v>
      </c>
      <c r="N86" s="536">
        <v>48</v>
      </c>
      <c r="O86" s="54">
        <v>522</v>
      </c>
      <c r="P86" s="54"/>
      <c r="Q86" s="180"/>
    </row>
    <row r="87" spans="9:17">
      <c r="I87" s="492" t="s">
        <v>2285</v>
      </c>
      <c r="J87" s="541" t="str">
        <f>"HID_"&amp;STDLIGHTINEFCAT2[[#This Row],[Ineff DropDown 2]]</f>
        <v>HID_PG &lt;=100</v>
      </c>
      <c r="K87" s="548" t="str">
        <f>STDLIGHTINEFCAT2[[#This Row],[Match]]&amp;"_"&amp;STDLIGHTINEFCAT2[[#This Row],[Options]]</f>
        <v>HID_PG &lt;=100_50W Med Base</v>
      </c>
      <c r="L87" s="536" t="s">
        <v>2484</v>
      </c>
      <c r="M87" s="536">
        <v>50</v>
      </c>
      <c r="N87" s="536">
        <v>62</v>
      </c>
      <c r="O87" s="54">
        <v>523</v>
      </c>
      <c r="P87" s="54"/>
      <c r="Q87" s="180"/>
    </row>
    <row r="88" spans="9:17">
      <c r="I88" s="492" t="s">
        <v>2285</v>
      </c>
      <c r="J88" s="541" t="str">
        <f>"HID_"&amp;STDLIGHTINEFCAT2[[#This Row],[Ineff DropDown 2]]</f>
        <v>HID_PG &lt;=100</v>
      </c>
      <c r="K88" s="548" t="str">
        <f>STDLIGHTINEFCAT2[[#This Row],[Match]]&amp;"_"&amp;STDLIGHTINEFCAT2[[#This Row],[Options]]</f>
        <v>HID_PG &lt;=100_70W Med Base</v>
      </c>
      <c r="L88" s="536" t="s">
        <v>2485</v>
      </c>
      <c r="M88" s="536">
        <v>70</v>
      </c>
      <c r="N88" s="536">
        <v>93</v>
      </c>
      <c r="O88" s="54">
        <v>524</v>
      </c>
      <c r="P88" s="54"/>
      <c r="Q88" s="180"/>
    </row>
    <row r="89" spans="9:17">
      <c r="I89" s="492" t="s">
        <v>2285</v>
      </c>
      <c r="J89" s="541" t="str">
        <f>"HID_"&amp;STDLIGHTINEFCAT2[[#This Row],[Ineff DropDown 2]]</f>
        <v>HID_PG &lt;=100</v>
      </c>
      <c r="K89" s="548" t="str">
        <f>STDLIGHTINEFCAT2[[#This Row],[Match]]&amp;"_"&amp;STDLIGHTINEFCAT2[[#This Row],[Options]]</f>
        <v xml:space="preserve">HID_PG &lt;=100_70W Double Ended </v>
      </c>
      <c r="L89" s="536" t="s">
        <v>2486</v>
      </c>
      <c r="M89" s="536">
        <v>70</v>
      </c>
      <c r="N89" s="536">
        <v>94</v>
      </c>
      <c r="O89" s="54">
        <v>525</v>
      </c>
      <c r="P89" s="54"/>
      <c r="Q89" s="180"/>
    </row>
    <row r="90" spans="9:17">
      <c r="I90" s="492" t="s">
        <v>2285</v>
      </c>
      <c r="J90" s="541" t="str">
        <f>"HID_"&amp;STDLIGHTINEFCAT2[[#This Row],[Ineff DropDown 2]]</f>
        <v>HID_PG &lt;=100</v>
      </c>
      <c r="K90" s="548" t="str">
        <f>STDLIGHTINEFCAT2[[#This Row],[Match]]&amp;"_"&amp;STDLIGHTINEFCAT2[[#This Row],[Options]]</f>
        <v>HID_PG &lt;=100_100W Med Base</v>
      </c>
      <c r="L90" s="536" t="s">
        <v>2487</v>
      </c>
      <c r="M90" s="536">
        <v>100</v>
      </c>
      <c r="N90" s="536">
        <v>125</v>
      </c>
      <c r="O90" s="54">
        <v>526</v>
      </c>
      <c r="P90" s="492"/>
      <c r="Q90" s="180"/>
    </row>
    <row r="91" spans="9:17">
      <c r="I91" s="492" t="s">
        <v>2285</v>
      </c>
      <c r="J91" s="541" t="str">
        <f>"HID_"&amp;STDLIGHTINEFCAT2[[#This Row],[Ineff DropDown 2]]</f>
        <v>HID_PG &lt;=100</v>
      </c>
      <c r="K91" s="548" t="str">
        <f>STDLIGHTINEFCAT2[[#This Row],[Match]]&amp;"_"&amp;STDLIGHTINEFCAT2[[#This Row],[Options]]</f>
        <v xml:space="preserve">HID_PG &lt;=100_100W Double Ended </v>
      </c>
      <c r="L91" s="536" t="s">
        <v>2488</v>
      </c>
      <c r="M91" s="536">
        <v>100</v>
      </c>
      <c r="N91" s="536">
        <v>130</v>
      </c>
      <c r="O91" s="54">
        <v>527</v>
      </c>
      <c r="P91" s="492"/>
      <c r="Q91" s="180"/>
    </row>
    <row r="92" spans="9:17">
      <c r="I92" s="492" t="s">
        <v>2285</v>
      </c>
      <c r="J92" s="541" t="str">
        <f>"HID_"&amp;STDLIGHTINEFCAT2[[#This Row],[Ineff DropDown 2]]</f>
        <v>HID_PG &lt;=100</v>
      </c>
      <c r="K92" s="548" t="str">
        <f>STDLIGHTINEFCAT2[[#This Row],[Match]]&amp;"_"&amp;STDLIGHTINEFCAT2[[#This Row],[Options]]</f>
        <v>HID_PG &lt;=100_--Mercury Vapor--</v>
      </c>
      <c r="L92" s="536" t="s">
        <v>2194</v>
      </c>
      <c r="M92" s="536"/>
      <c r="N92" s="536"/>
      <c r="O92" s="54">
        <v>528</v>
      </c>
      <c r="P92" s="54"/>
      <c r="Q92" s="180"/>
    </row>
    <row r="93" spans="9:17">
      <c r="I93" s="492" t="s">
        <v>2285</v>
      </c>
      <c r="J93" s="541" t="str">
        <f>"HID_"&amp;STDLIGHTINEFCAT2[[#This Row],[Ineff DropDown 2]]</f>
        <v>HID_PG &lt;=100</v>
      </c>
      <c r="K93" s="548" t="str">
        <f>STDLIGHTINEFCAT2[[#This Row],[Match]]&amp;"_"&amp;STDLIGHTINEFCAT2[[#This Row],[Options]]</f>
        <v>HID_PG &lt;=100_50W Med Base</v>
      </c>
      <c r="L93" s="536" t="s">
        <v>2484</v>
      </c>
      <c r="M93" s="536">
        <v>50</v>
      </c>
      <c r="N93" s="536">
        <v>75</v>
      </c>
      <c r="O93" s="54">
        <v>529</v>
      </c>
      <c r="P93" s="54"/>
      <c r="Q93" s="180"/>
    </row>
    <row r="94" spans="9:17">
      <c r="I94" s="492" t="s">
        <v>2285</v>
      </c>
      <c r="J94" s="541" t="str">
        <f>"HID_"&amp;STDLIGHTINEFCAT2[[#This Row],[Ineff DropDown 2]]</f>
        <v>HID_PG &lt;=100</v>
      </c>
      <c r="K94" s="548" t="str">
        <f>STDLIGHTINEFCAT2[[#This Row],[Match]]&amp;"_"&amp;STDLIGHTINEFCAT2[[#This Row],[Options]]</f>
        <v>HID_PG &lt;=100_75W Med Base</v>
      </c>
      <c r="L94" s="536" t="s">
        <v>2489</v>
      </c>
      <c r="M94" s="536">
        <v>75</v>
      </c>
      <c r="N94" s="536">
        <v>75</v>
      </c>
      <c r="O94" s="54">
        <v>530</v>
      </c>
      <c r="P94" s="54"/>
      <c r="Q94" s="180"/>
    </row>
    <row r="95" spans="9:17">
      <c r="I95" s="492" t="s">
        <v>2285</v>
      </c>
      <c r="J95" s="541" t="str">
        <f>"HID_"&amp;STDLIGHTINEFCAT2[[#This Row],[Ineff DropDown 2]]</f>
        <v>HID_PG &lt;=100</v>
      </c>
      <c r="K95" s="548" t="str">
        <f>STDLIGHTINEFCAT2[[#This Row],[Match]]&amp;"_"&amp;STDLIGHTINEFCAT2[[#This Row],[Options]]</f>
        <v>HID_PG &lt;=100_100W Med Base</v>
      </c>
      <c r="L95" s="536" t="s">
        <v>2487</v>
      </c>
      <c r="M95" s="536">
        <v>100</v>
      </c>
      <c r="N95" s="536">
        <v>122</v>
      </c>
      <c r="O95" s="54">
        <v>531</v>
      </c>
      <c r="P95" s="492"/>
    </row>
    <row r="96" spans="9:17">
      <c r="I96" s="492" t="s">
        <v>2285</v>
      </c>
      <c r="J96" s="541" t="str">
        <f>"HID_"&amp;STDLIGHTINEFCAT2[[#This Row],[Ineff DropDown 2]]</f>
        <v>HID_PG &lt;=100</v>
      </c>
      <c r="K96" s="548" t="str">
        <f>STDLIGHTINEFCAT2[[#This Row],[Match]]&amp;"_"&amp;STDLIGHTINEFCAT2[[#This Row],[Options]]</f>
        <v>HID_PG &lt;=100_--High Pres. Sodium--</v>
      </c>
      <c r="L96" s="536" t="s">
        <v>2195</v>
      </c>
      <c r="M96" s="536"/>
      <c r="N96" s="536"/>
      <c r="O96" s="54">
        <v>532</v>
      </c>
      <c r="P96" s="54"/>
    </row>
    <row r="97" spans="9:16">
      <c r="I97" s="492" t="s">
        <v>2285</v>
      </c>
      <c r="J97" s="541" t="str">
        <f>"HID_"&amp;STDLIGHTINEFCAT2[[#This Row],[Ineff DropDown 2]]</f>
        <v>HID_PG &lt;=100</v>
      </c>
      <c r="K97" s="555" t="str">
        <f>STDLIGHTINEFCAT2[[#This Row],[Match]]&amp;"_"&amp;STDLIGHTINEFCAT2[[#This Row],[Options]]</f>
        <v>HID_PG &lt;=100_35W Med Base</v>
      </c>
      <c r="L97" s="536" t="s">
        <v>2490</v>
      </c>
      <c r="M97" s="536">
        <v>35</v>
      </c>
      <c r="N97" s="536">
        <v>43</v>
      </c>
      <c r="O97" s="54">
        <v>533</v>
      </c>
      <c r="P97" s="54"/>
    </row>
    <row r="98" spans="9:16">
      <c r="I98" s="492" t="s">
        <v>2285</v>
      </c>
      <c r="J98" s="541" t="str">
        <f>"HID_"&amp;STDLIGHTINEFCAT2[[#This Row],[Ineff DropDown 2]]</f>
        <v>HID_PG &lt;=100</v>
      </c>
      <c r="K98" s="555" t="str">
        <f>STDLIGHTINEFCAT2[[#This Row],[Match]]&amp;"_"&amp;STDLIGHTINEFCAT2[[#This Row],[Options]]</f>
        <v>HID_PG &lt;=100_50W Med Base</v>
      </c>
      <c r="L98" s="536" t="s">
        <v>2484</v>
      </c>
      <c r="M98" s="536">
        <v>50</v>
      </c>
      <c r="N98" s="536">
        <v>64</v>
      </c>
      <c r="O98" s="54">
        <v>534</v>
      </c>
      <c r="P98" s="54"/>
    </row>
    <row r="99" spans="9:16">
      <c r="I99" s="492" t="s">
        <v>2285</v>
      </c>
      <c r="J99" s="541" t="str">
        <f>"HID_"&amp;STDLIGHTINEFCAT2[[#This Row],[Ineff DropDown 2]]</f>
        <v>HID_PG &lt;=100</v>
      </c>
      <c r="K99" s="555" t="str">
        <f>STDLIGHTINEFCAT2[[#This Row],[Match]]&amp;"_"&amp;STDLIGHTINEFCAT2[[#This Row],[Options]]</f>
        <v>HID_PG &lt;=100_70W Med Base</v>
      </c>
      <c r="L99" s="536" t="s">
        <v>2485</v>
      </c>
      <c r="M99" s="536">
        <v>70</v>
      </c>
      <c r="N99" s="536">
        <v>86</v>
      </c>
      <c r="O99" s="54">
        <v>535</v>
      </c>
      <c r="P99" s="54"/>
    </row>
    <row r="100" spans="9:16">
      <c r="I100" s="492" t="s">
        <v>2285</v>
      </c>
      <c r="J100" s="541" t="str">
        <f>"HID_"&amp;STDLIGHTINEFCAT2[[#This Row],[Ineff DropDown 2]]</f>
        <v>HID_PG &lt;=100</v>
      </c>
      <c r="K100" s="555" t="str">
        <f>STDLIGHTINEFCAT2[[#This Row],[Match]]&amp;"_"&amp;STDLIGHTINEFCAT2[[#This Row],[Options]]</f>
        <v>HID_PG &lt;=100_100W Med Base</v>
      </c>
      <c r="L100" s="536" t="s">
        <v>2487</v>
      </c>
      <c r="M100" s="536">
        <v>100</v>
      </c>
      <c r="N100" s="536">
        <v>126</v>
      </c>
      <c r="O100" s="54">
        <v>536</v>
      </c>
      <c r="P100" s="492"/>
    </row>
    <row r="101" spans="9:16">
      <c r="I101" s="492" t="s">
        <v>2285</v>
      </c>
      <c r="J101" s="541" t="str">
        <f>"HID_"&amp;STDLIGHTINEFCAT2[[#This Row],[Ineff DropDown 2]]</f>
        <v>HID_PG &lt;=100</v>
      </c>
      <c r="K101" s="555" t="str">
        <f>STDLIGHTINEFCAT2[[#This Row],[Match]]&amp;"_"&amp;STDLIGHTINEFCAT2[[#This Row],[Options]]</f>
        <v>HID_PG &lt;=100_100W Mogul Base</v>
      </c>
      <c r="L101" s="536" t="s">
        <v>2491</v>
      </c>
      <c r="M101" s="536">
        <v>100</v>
      </c>
      <c r="N101" s="536">
        <v>130</v>
      </c>
      <c r="O101" s="54">
        <v>537</v>
      </c>
      <c r="P101" s="492"/>
    </row>
    <row r="102" spans="9:16">
      <c r="I102" s="492" t="s">
        <v>2286</v>
      </c>
      <c r="J102" s="541" t="str">
        <f>"HID_"&amp;STDLIGHTINEFCAT2[[#This Row],[Ineff DropDown 2]]</f>
        <v>HID_PG &gt;175</v>
      </c>
      <c r="K102" s="555" t="str">
        <f>STDLIGHTINEFCAT2[[#This Row],[Match]]&amp;"_"&amp;STDLIGHTINEFCAT2[[#This Row],[Options]]</f>
        <v>HID_PG &gt;175_--Metal Halide--</v>
      </c>
      <c r="L102" s="536" t="s">
        <v>2193</v>
      </c>
      <c r="M102" s="536"/>
      <c r="N102" s="536"/>
      <c r="O102" s="54">
        <v>670</v>
      </c>
      <c r="P102" s="54"/>
    </row>
    <row r="103" spans="9:16">
      <c r="I103" s="492" t="s">
        <v>2286</v>
      </c>
      <c r="J103" s="541" t="str">
        <f>"HID_"&amp;STDLIGHTINEFCAT2[[#This Row],[Ineff DropDown 2]]</f>
        <v>HID_PG &gt;175</v>
      </c>
      <c r="K103" s="555" t="str">
        <f>STDLIGHTINEFCAT2[[#This Row],[Match]]&amp;"_"&amp;STDLIGHTINEFCAT2[[#This Row],[Options]]</f>
        <v>HID_PG &gt;175_250W Mogul Base</v>
      </c>
      <c r="L103" s="536" t="s">
        <v>2188</v>
      </c>
      <c r="M103" s="536">
        <v>250</v>
      </c>
      <c r="N103" s="536">
        <v>295</v>
      </c>
      <c r="O103" s="54">
        <v>671</v>
      </c>
      <c r="P103" s="54"/>
    </row>
    <row r="104" spans="9:16">
      <c r="I104" s="492" t="s">
        <v>2286</v>
      </c>
      <c r="J104" s="541" t="str">
        <f>"HID_"&amp;STDLIGHTINEFCAT2[[#This Row],[Ineff DropDown 2]]</f>
        <v>HID_PG &gt;175</v>
      </c>
      <c r="K104" s="555" t="str">
        <f>STDLIGHTINEFCAT2[[#This Row],[Match]]&amp;"_"&amp;STDLIGHTINEFCAT2[[#This Row],[Options]]</f>
        <v>HID_PG &gt;175_300W Mogul Base</v>
      </c>
      <c r="L104" s="536" t="s">
        <v>2302</v>
      </c>
      <c r="M104" s="536">
        <v>300</v>
      </c>
      <c r="N104" s="536">
        <v>342</v>
      </c>
      <c r="O104" s="54">
        <v>672</v>
      </c>
      <c r="P104" s="54"/>
    </row>
    <row r="105" spans="9:16">
      <c r="I105" s="492" t="s">
        <v>2286</v>
      </c>
      <c r="J105" s="541" t="str">
        <f>"HID_"&amp;STDLIGHTINEFCAT2[[#This Row],[Ineff DropDown 2]]</f>
        <v>HID_PG &gt;175</v>
      </c>
      <c r="K105" s="555" t="str">
        <f>STDLIGHTINEFCAT2[[#This Row],[Match]]&amp;"_"&amp;STDLIGHTINEFCAT2[[#This Row],[Options]]</f>
        <v>HID_PG &gt;175_325W Mogul Base</v>
      </c>
      <c r="L105" s="536" t="s">
        <v>2303</v>
      </c>
      <c r="M105" s="536">
        <v>325</v>
      </c>
      <c r="N105" s="536">
        <v>375</v>
      </c>
      <c r="O105" s="54">
        <v>673</v>
      </c>
      <c r="P105" s="54"/>
    </row>
    <row r="106" spans="9:16">
      <c r="I106" s="492" t="s">
        <v>2286</v>
      </c>
      <c r="J106" s="541" t="str">
        <f>"HID_"&amp;STDLIGHTINEFCAT2[[#This Row],[Ineff DropDown 2]]</f>
        <v>HID_PG &gt;175</v>
      </c>
      <c r="K106" s="555" t="str">
        <f>STDLIGHTINEFCAT2[[#This Row],[Match]]&amp;"_"&amp;STDLIGHTINEFCAT2[[#This Row],[Options]]</f>
        <v>HID_PG &gt;175_360W Mogul Base</v>
      </c>
      <c r="L106" s="536" t="s">
        <v>2304</v>
      </c>
      <c r="M106" s="536">
        <v>360</v>
      </c>
      <c r="N106" s="536">
        <v>430</v>
      </c>
      <c r="O106" s="54">
        <v>674</v>
      </c>
      <c r="P106" s="54"/>
    </row>
    <row r="107" spans="9:16">
      <c r="I107" s="492" t="s">
        <v>2286</v>
      </c>
      <c r="J107" s="541" t="str">
        <f>"HID_"&amp;STDLIGHTINEFCAT2[[#This Row],[Ineff DropDown 2]]</f>
        <v>HID_PG &gt;175</v>
      </c>
      <c r="K107" s="555" t="str">
        <f>STDLIGHTINEFCAT2[[#This Row],[Match]]&amp;"_"&amp;STDLIGHTINEFCAT2[[#This Row],[Options]]</f>
        <v>HID_PG &gt;175_400W Mogul Base</v>
      </c>
      <c r="L107" s="536" t="s">
        <v>2197</v>
      </c>
      <c r="M107" s="536">
        <v>400</v>
      </c>
      <c r="N107" s="536">
        <v>458</v>
      </c>
      <c r="O107" s="54">
        <v>675</v>
      </c>
      <c r="P107" s="54"/>
    </row>
    <row r="108" spans="9:16">
      <c r="I108" s="492" t="s">
        <v>2286</v>
      </c>
      <c r="J108" s="541" t="str">
        <f>"HID_"&amp;STDLIGHTINEFCAT2[[#This Row],[Ineff DropDown 2]]</f>
        <v>HID_PG &gt;175</v>
      </c>
      <c r="K108" s="555" t="str">
        <f>STDLIGHTINEFCAT2[[#This Row],[Match]]&amp;"_"&amp;STDLIGHTINEFCAT2[[#This Row],[Options]]</f>
        <v>HID_PG &gt;175_750W Mogul Base</v>
      </c>
      <c r="L108" s="536" t="s">
        <v>2199</v>
      </c>
      <c r="M108" s="544">
        <v>750</v>
      </c>
      <c r="N108" s="536">
        <v>850</v>
      </c>
      <c r="O108" s="54">
        <v>676</v>
      </c>
      <c r="P108" s="54"/>
    </row>
    <row r="109" spans="9:16">
      <c r="I109" s="492" t="s">
        <v>2286</v>
      </c>
      <c r="J109" s="541" t="str">
        <f>"HID_"&amp;STDLIGHTINEFCAT2[[#This Row],[Ineff DropDown 2]]</f>
        <v>HID_PG &gt;175</v>
      </c>
      <c r="K109" s="555" t="str">
        <f>STDLIGHTINEFCAT2[[#This Row],[Match]]&amp;"_"&amp;STDLIGHTINEFCAT2[[#This Row],[Options]]</f>
        <v>HID_PG &gt;175_1,000W Mogul Base</v>
      </c>
      <c r="L109" s="536" t="s">
        <v>2306</v>
      </c>
      <c r="M109" s="536">
        <v>1000</v>
      </c>
      <c r="N109" s="536">
        <v>1080</v>
      </c>
      <c r="O109" s="54">
        <v>677</v>
      </c>
      <c r="P109" s="492"/>
    </row>
    <row r="110" spans="9:16">
      <c r="I110" s="492" t="s">
        <v>2286</v>
      </c>
      <c r="J110" s="541" t="str">
        <f>"HID_"&amp;STDLIGHTINEFCAT2[[#This Row],[Ineff DropDown 2]]</f>
        <v>HID_PG &gt;175</v>
      </c>
      <c r="K110" s="555" t="str">
        <f>STDLIGHTINEFCAT2[[#This Row],[Match]]&amp;"_"&amp;STDLIGHTINEFCAT2[[#This Row],[Options]]</f>
        <v>HID_PG &gt;175_1,500W Mogul Base</v>
      </c>
      <c r="L110" s="536" t="s">
        <v>2307</v>
      </c>
      <c r="M110" s="536">
        <v>1500</v>
      </c>
      <c r="N110" s="536">
        <v>1610</v>
      </c>
      <c r="O110" s="54">
        <v>678</v>
      </c>
      <c r="P110" s="492"/>
    </row>
    <row r="111" spans="9:16">
      <c r="I111" s="492" t="s">
        <v>2286</v>
      </c>
      <c r="J111" s="541" t="str">
        <f>"HID_"&amp;STDLIGHTINEFCAT2[[#This Row],[Ineff DropDown 2]]</f>
        <v>HID_PG &gt;175</v>
      </c>
      <c r="K111" s="555" t="str">
        <f>STDLIGHTINEFCAT2[[#This Row],[Match]]&amp;"_"&amp;STDLIGHTINEFCAT2[[#This Row],[Options]]</f>
        <v>HID_PG &gt;175_--Mercury Vapor--</v>
      </c>
      <c r="L111" s="536" t="s">
        <v>2194</v>
      </c>
      <c r="M111" s="536"/>
      <c r="N111" s="536"/>
      <c r="O111" s="54">
        <v>679</v>
      </c>
      <c r="P111" s="54"/>
    </row>
    <row r="112" spans="9:16">
      <c r="I112" s="492" t="s">
        <v>2286</v>
      </c>
      <c r="J112" s="541" t="str">
        <f>"HID_"&amp;STDLIGHTINEFCAT2[[#This Row],[Ineff DropDown 2]]</f>
        <v>HID_PG &gt;175</v>
      </c>
      <c r="K112" s="555" t="str">
        <f>STDLIGHTINEFCAT2[[#This Row],[Match]]&amp;"_"&amp;STDLIGHTINEFCAT2[[#This Row],[Options]]</f>
        <v>HID_PG &gt;175_250W Mogul Base</v>
      </c>
      <c r="L112" s="536" t="s">
        <v>2188</v>
      </c>
      <c r="M112" s="536">
        <v>250</v>
      </c>
      <c r="N112" s="536">
        <v>285</v>
      </c>
      <c r="O112" s="54">
        <v>680</v>
      </c>
      <c r="P112" s="54"/>
    </row>
    <row r="113" spans="9:16">
      <c r="I113" s="492" t="s">
        <v>2286</v>
      </c>
      <c r="J113" s="541" t="str">
        <f>"HID_"&amp;STDLIGHTINEFCAT2[[#This Row],[Ineff DropDown 2]]</f>
        <v>HID_PG &gt;175</v>
      </c>
      <c r="K113" s="555" t="str">
        <f>STDLIGHTINEFCAT2[[#This Row],[Match]]&amp;"_"&amp;STDLIGHTINEFCAT2[[#This Row],[Options]]</f>
        <v>HID_PG &gt;175_400W Mogul Base</v>
      </c>
      <c r="L113" s="536" t="s">
        <v>2197</v>
      </c>
      <c r="M113" s="536">
        <v>400</v>
      </c>
      <c r="N113" s="536">
        <v>454</v>
      </c>
      <c r="O113" s="54">
        <v>681</v>
      </c>
      <c r="P113" s="54"/>
    </row>
    <row r="114" spans="9:16">
      <c r="I114" s="492" t="s">
        <v>2286</v>
      </c>
      <c r="J114" s="541" t="str">
        <f>"HID_"&amp;STDLIGHTINEFCAT2[[#This Row],[Ineff DropDown 2]]</f>
        <v>HID_PG &gt;175</v>
      </c>
      <c r="K114" s="555" t="str">
        <f>STDLIGHTINEFCAT2[[#This Row],[Match]]&amp;"_"&amp;STDLIGHTINEFCAT2[[#This Row],[Options]]</f>
        <v>HID_PG &gt;175_700W Mogul Base</v>
      </c>
      <c r="L114" s="540" t="s">
        <v>2305</v>
      </c>
      <c r="M114" s="544">
        <v>700</v>
      </c>
      <c r="N114" s="540">
        <v>780</v>
      </c>
      <c r="O114" s="54">
        <v>682</v>
      </c>
      <c r="P114" s="54"/>
    </row>
    <row r="115" spans="9:16">
      <c r="I115" s="492" t="s">
        <v>2286</v>
      </c>
      <c r="J115" s="541" t="str">
        <f>"HID_"&amp;STDLIGHTINEFCAT2[[#This Row],[Ineff DropDown 2]]</f>
        <v>HID_PG &gt;175</v>
      </c>
      <c r="K115" s="555" t="str">
        <f>STDLIGHTINEFCAT2[[#This Row],[Match]]&amp;"_"&amp;STDLIGHTINEFCAT2[[#This Row],[Options]]</f>
        <v>HID_PG &gt;175_1,000W Mogul Base</v>
      </c>
      <c r="L115" s="536" t="s">
        <v>2306</v>
      </c>
      <c r="M115" s="536">
        <v>1000</v>
      </c>
      <c r="N115" s="540">
        <v>1080</v>
      </c>
      <c r="O115" s="54">
        <v>683</v>
      </c>
      <c r="P115" s="492"/>
    </row>
    <row r="116" spans="9:16">
      <c r="I116" s="492" t="s">
        <v>2286</v>
      </c>
      <c r="J116" s="541" t="str">
        <f>"HID_"&amp;STDLIGHTINEFCAT2[[#This Row],[Ineff DropDown 2]]</f>
        <v>HID_PG &gt;175</v>
      </c>
      <c r="K116" s="548" t="str">
        <f>STDLIGHTINEFCAT2[[#This Row],[Match]]&amp;"_"&amp;STDLIGHTINEFCAT2[[#This Row],[Options]]</f>
        <v>HID_PG &gt;175_--High Pres. Sodium--</v>
      </c>
      <c r="L116" s="523" t="s">
        <v>2195</v>
      </c>
      <c r="M116" s="536"/>
      <c r="N116" s="536"/>
      <c r="O116" s="54">
        <v>684</v>
      </c>
      <c r="P116" s="54"/>
    </row>
    <row r="117" spans="9:16">
      <c r="I117" s="492" t="s">
        <v>2286</v>
      </c>
      <c r="J117" s="541" t="str">
        <f>"HID_"&amp;STDLIGHTINEFCAT2[[#This Row],[Ineff DropDown 2]]</f>
        <v>HID_PG &gt;175</v>
      </c>
      <c r="K117" s="548" t="str">
        <f>STDLIGHTINEFCAT2[[#This Row],[Match]]&amp;"_"&amp;STDLIGHTINEFCAT2[[#This Row],[Options]]</f>
        <v>HID_PG &gt;175_200W Mogul Base</v>
      </c>
      <c r="L117" s="523" t="s">
        <v>2192</v>
      </c>
      <c r="M117" s="536">
        <v>200</v>
      </c>
      <c r="N117" s="536">
        <v>240</v>
      </c>
      <c r="O117" s="54">
        <v>685</v>
      </c>
      <c r="P117" s="54"/>
    </row>
    <row r="118" spans="9:16">
      <c r="I118" s="492" t="s">
        <v>2286</v>
      </c>
      <c r="J118" s="541" t="str">
        <f>"HID_"&amp;STDLIGHTINEFCAT2[[#This Row],[Ineff DropDown 2]]</f>
        <v>HID_PG &gt;175</v>
      </c>
      <c r="K118" s="548" t="str">
        <f>STDLIGHTINEFCAT2[[#This Row],[Match]]&amp;"_"&amp;STDLIGHTINEFCAT2[[#This Row],[Options]]</f>
        <v>HID_PG &gt;175_250W Mogul Base</v>
      </c>
      <c r="L118" s="523" t="s">
        <v>2188</v>
      </c>
      <c r="M118" s="536">
        <v>250</v>
      </c>
      <c r="N118" s="536">
        <v>295</v>
      </c>
      <c r="O118" s="54">
        <v>686</v>
      </c>
      <c r="P118" s="54"/>
    </row>
    <row r="119" spans="9:16">
      <c r="I119" s="492" t="s">
        <v>2286</v>
      </c>
      <c r="J119" s="541" t="str">
        <f>"HID_"&amp;STDLIGHTINEFCAT2[[#This Row],[Ineff DropDown 2]]</f>
        <v>HID_PG &gt;175</v>
      </c>
      <c r="K119" s="548" t="str">
        <f>STDLIGHTINEFCAT2[[#This Row],[Match]]&amp;"_"&amp;STDLIGHTINEFCAT2[[#This Row],[Options]]</f>
        <v>HID_PG &gt;175_310W Mogul Base</v>
      </c>
      <c r="L119" s="523" t="s">
        <v>2196</v>
      </c>
      <c r="M119" s="536">
        <v>310</v>
      </c>
      <c r="N119" s="536">
        <v>365</v>
      </c>
      <c r="O119" s="54">
        <v>687</v>
      </c>
      <c r="P119" s="54"/>
    </row>
    <row r="120" spans="9:16">
      <c r="I120" s="492" t="s">
        <v>2286</v>
      </c>
      <c r="J120" s="541" t="str">
        <f>"HID_"&amp;STDLIGHTINEFCAT2[[#This Row],[Ineff DropDown 2]]</f>
        <v>HID_PG &gt;175</v>
      </c>
      <c r="K120" s="548" t="str">
        <f>STDLIGHTINEFCAT2[[#This Row],[Match]]&amp;"_"&amp;STDLIGHTINEFCAT2[[#This Row],[Options]]</f>
        <v>HID_PG &gt;175_400W Mogul Base</v>
      </c>
      <c r="L120" s="523" t="s">
        <v>2197</v>
      </c>
      <c r="M120" s="536">
        <v>400</v>
      </c>
      <c r="N120" s="536">
        <v>457</v>
      </c>
      <c r="O120" s="54">
        <v>688</v>
      </c>
      <c r="P120" s="54"/>
    </row>
    <row r="121" spans="9:16">
      <c r="I121" s="492" t="s">
        <v>2286</v>
      </c>
      <c r="J121" s="541" t="str">
        <f>"HID_"&amp;STDLIGHTINEFCAT2[[#This Row],[Ineff DropDown 2]]</f>
        <v>HID_PG &gt;175</v>
      </c>
      <c r="K121" s="548" t="str">
        <f>STDLIGHTINEFCAT2[[#This Row],[Match]]&amp;"_"&amp;STDLIGHTINEFCAT2[[#This Row],[Options]]</f>
        <v>HID_PG &gt;175_600W Mogul Base</v>
      </c>
      <c r="L121" s="523" t="s">
        <v>2198</v>
      </c>
      <c r="M121" s="544">
        <v>600</v>
      </c>
      <c r="N121" s="536">
        <v>665</v>
      </c>
      <c r="O121" s="54">
        <v>689</v>
      </c>
      <c r="P121" s="54"/>
    </row>
    <row r="122" spans="9:16">
      <c r="I122" s="492" t="s">
        <v>2286</v>
      </c>
      <c r="J122" s="541" t="str">
        <f>"HID_"&amp;STDLIGHTINEFCAT2[[#This Row],[Ineff DropDown 2]]</f>
        <v>HID_PG &gt;175</v>
      </c>
      <c r="K122" s="548" t="str">
        <f>STDLIGHTINEFCAT2[[#This Row],[Match]]&amp;"_"&amp;STDLIGHTINEFCAT2[[#This Row],[Options]]</f>
        <v>HID_PG &gt;175_750W Mogul Base</v>
      </c>
      <c r="L122" s="536" t="s">
        <v>2199</v>
      </c>
      <c r="M122" s="544">
        <v>750</v>
      </c>
      <c r="N122" s="536">
        <v>840</v>
      </c>
      <c r="O122" s="54">
        <v>690</v>
      </c>
      <c r="P122" s="54"/>
    </row>
    <row r="123" spans="9:16">
      <c r="I123" s="492" t="s">
        <v>2286</v>
      </c>
      <c r="J123" s="541" t="str">
        <f>"HID_"&amp;STDLIGHTINEFCAT2[[#This Row],[Ineff DropDown 2]]</f>
        <v>HID_PG &gt;175</v>
      </c>
      <c r="K123" s="548" t="str">
        <f>STDLIGHTINEFCAT2[[#This Row],[Match]]&amp;"_"&amp;STDLIGHTINEFCAT2[[#This Row],[Options]]</f>
        <v>HID_PG &gt;175_1,000W Mogul Base</v>
      </c>
      <c r="L123" s="523" t="s">
        <v>2306</v>
      </c>
      <c r="M123" s="536">
        <v>1000</v>
      </c>
      <c r="N123" s="536">
        <v>1100</v>
      </c>
      <c r="O123" s="54">
        <v>691</v>
      </c>
      <c r="P123" s="492"/>
    </row>
    <row r="124" spans="9:16">
      <c r="I124" s="541" t="s">
        <v>2287</v>
      </c>
      <c r="J124" s="541" t="str">
        <f>"HID_"&amp;STDLIGHTINEFCAT2[[#This Row],[Ineff DropDown 2]]</f>
        <v>HID_PG 101-175</v>
      </c>
      <c r="K124" s="548" t="str">
        <f>STDLIGHTINEFCAT2[[#This Row],[Match]]&amp;"_"&amp;STDLIGHTINEFCAT2[[#This Row],[Options]]</f>
        <v>HID_PG 101-175_--Metal Halide--</v>
      </c>
      <c r="L124" s="558" t="s">
        <v>2193</v>
      </c>
      <c r="M124" s="547"/>
      <c r="N124" s="544"/>
      <c r="O124" s="54">
        <v>626</v>
      </c>
      <c r="P124" s="54"/>
    </row>
    <row r="125" spans="9:16">
      <c r="I125" s="541" t="s">
        <v>2287</v>
      </c>
      <c r="J125" s="541" t="str">
        <f>"HID_"&amp;STDLIGHTINEFCAT2[[#This Row],[Ineff DropDown 2]]</f>
        <v>HID_PG 101-175</v>
      </c>
      <c r="K125" s="548" t="str">
        <f>STDLIGHTINEFCAT2[[#This Row],[Match]]&amp;"_"&amp;STDLIGHTINEFCAT2[[#This Row],[Options]]</f>
        <v>HID_PG 101-175_150W Med Base</v>
      </c>
      <c r="L125" s="557" t="s">
        <v>2492</v>
      </c>
      <c r="M125" s="544">
        <v>150</v>
      </c>
      <c r="N125" s="544">
        <v>173</v>
      </c>
      <c r="O125" s="54">
        <v>627</v>
      </c>
      <c r="P125" s="492"/>
    </row>
    <row r="126" spans="9:16">
      <c r="I126" s="541" t="s">
        <v>2287</v>
      </c>
      <c r="J126" s="541" t="str">
        <f>"HID_"&amp;STDLIGHTINEFCAT2[[#This Row],[Ineff DropDown 2]]</f>
        <v>HID_PG 101-175</v>
      </c>
      <c r="K126" s="548" t="str">
        <f>STDLIGHTINEFCAT2[[#This Row],[Match]]&amp;"_"&amp;STDLIGHTINEFCAT2[[#This Row],[Options]]</f>
        <v>HID_PG 101-175_150W Double Ended</v>
      </c>
      <c r="L126" s="557" t="s">
        <v>2190</v>
      </c>
      <c r="M126" s="544">
        <v>150</v>
      </c>
      <c r="N126" s="544">
        <v>185</v>
      </c>
      <c r="O126" s="54">
        <v>628</v>
      </c>
      <c r="P126" s="492"/>
    </row>
    <row r="127" spans="9:16">
      <c r="I127" s="541" t="s">
        <v>2287</v>
      </c>
      <c r="J127" s="541" t="str">
        <f>"HID_"&amp;STDLIGHTINEFCAT2[[#This Row],[Ineff DropDown 2]]</f>
        <v>HID_PG 101-175</v>
      </c>
      <c r="K127" s="548" t="str">
        <f>STDLIGHTINEFCAT2[[#This Row],[Match]]&amp;"_"&amp;STDLIGHTINEFCAT2[[#This Row],[Options]]</f>
        <v>HID_PG 101-175_175W Mogul Base</v>
      </c>
      <c r="L127" s="544" t="s">
        <v>2187</v>
      </c>
      <c r="M127" s="544">
        <v>175</v>
      </c>
      <c r="N127" s="544">
        <v>210</v>
      </c>
      <c r="O127" s="54">
        <v>629</v>
      </c>
      <c r="P127" s="54"/>
    </row>
    <row r="128" spans="9:16">
      <c r="I128" s="541" t="s">
        <v>2287</v>
      </c>
      <c r="J128" s="541" t="str">
        <f>"HID_"&amp;STDLIGHTINEFCAT2[[#This Row],[Ineff DropDown 2]]</f>
        <v>HID_PG 101-175</v>
      </c>
      <c r="K128" s="548" t="str">
        <f>STDLIGHTINEFCAT2[[#This Row],[Match]]&amp;"_"&amp;STDLIGHTINEFCAT2[[#This Row],[Options]]</f>
        <v>HID_PG 101-175_--Mercury Vapor--</v>
      </c>
      <c r="L128" s="558" t="s">
        <v>2194</v>
      </c>
      <c r="M128" s="547"/>
      <c r="N128" s="544"/>
      <c r="O128" s="54">
        <v>630</v>
      </c>
      <c r="P128" s="54"/>
    </row>
    <row r="129" spans="9:16">
      <c r="I129" s="541" t="s">
        <v>2287</v>
      </c>
      <c r="J129" s="541" t="str">
        <f>"HID_"&amp;STDLIGHTINEFCAT2[[#This Row],[Ineff DropDown 2]]</f>
        <v>HID_PG 101-175</v>
      </c>
      <c r="K129" s="548" t="str">
        <f>STDLIGHTINEFCAT2[[#This Row],[Match]]&amp;"_"&amp;STDLIGHTINEFCAT2[[#This Row],[Options]]</f>
        <v>HID_PG 101-175_175W Med Base</v>
      </c>
      <c r="L129" s="557" t="s">
        <v>2493</v>
      </c>
      <c r="M129" s="544">
        <v>175</v>
      </c>
      <c r="N129" s="544">
        <v>205</v>
      </c>
      <c r="O129" s="54">
        <v>631</v>
      </c>
      <c r="P129" s="54"/>
    </row>
    <row r="130" spans="9:16">
      <c r="I130" s="541" t="s">
        <v>2287</v>
      </c>
      <c r="J130" s="541" t="str">
        <f>"HID_"&amp;STDLIGHTINEFCAT2[[#This Row],[Ineff DropDown 2]]</f>
        <v>HID_PG 101-175</v>
      </c>
      <c r="K130" s="548" t="str">
        <f>STDLIGHTINEFCAT2[[#This Row],[Match]]&amp;"_"&amp;STDLIGHTINEFCAT2[[#This Row],[Options]]</f>
        <v>HID_PG 101-175_175W Mogul Base</v>
      </c>
      <c r="L130" s="557" t="s">
        <v>2187</v>
      </c>
      <c r="M130" s="544">
        <v>175</v>
      </c>
      <c r="N130" s="544">
        <v>205</v>
      </c>
      <c r="O130" s="54">
        <v>632</v>
      </c>
      <c r="P130" s="492"/>
    </row>
    <row r="131" spans="9:16">
      <c r="I131" s="541" t="s">
        <v>2287</v>
      </c>
      <c r="J131" s="541" t="str">
        <f>"HID_"&amp;STDLIGHTINEFCAT2[[#This Row],[Ineff DropDown 2]]</f>
        <v>HID_PG 101-175</v>
      </c>
      <c r="K131" s="548" t="str">
        <f>STDLIGHTINEFCAT2[[#This Row],[Match]]&amp;"_"&amp;STDLIGHTINEFCAT2[[#This Row],[Options]]</f>
        <v>HID_PG 101-175_--High Pres. Sodium--</v>
      </c>
      <c r="L131" s="558" t="s">
        <v>2195</v>
      </c>
      <c r="M131" s="547"/>
      <c r="N131" s="544"/>
      <c r="O131" s="54">
        <v>633</v>
      </c>
      <c r="P131" s="492"/>
    </row>
    <row r="132" spans="9:16">
      <c r="I132" s="541" t="s">
        <v>2287</v>
      </c>
      <c r="J132" s="541" t="str">
        <f>"HID_"&amp;STDLIGHTINEFCAT2[[#This Row],[Ineff DropDown 2]]</f>
        <v>HID_PG 101-175</v>
      </c>
      <c r="K132" s="548" t="str">
        <f>STDLIGHTINEFCAT2[[#This Row],[Match]]&amp;"_"&amp;STDLIGHTINEFCAT2[[#This Row],[Options]]</f>
        <v>HID_PG 101-175_150W Med Base</v>
      </c>
      <c r="L132" s="557" t="s">
        <v>2492</v>
      </c>
      <c r="M132" s="544">
        <v>150</v>
      </c>
      <c r="N132" s="544">
        <v>188</v>
      </c>
      <c r="O132" s="54">
        <v>634</v>
      </c>
      <c r="P132" s="492"/>
    </row>
    <row r="133" spans="9:16">
      <c r="I133" s="541" t="s">
        <v>2287</v>
      </c>
      <c r="J133" s="541" t="str">
        <f>"HID_"&amp;STDLIGHTINEFCAT2[[#This Row],[Ineff DropDown 2]]</f>
        <v>HID_PG 101-175</v>
      </c>
      <c r="K133" s="548" t="str">
        <f>STDLIGHTINEFCAT2[[#This Row],[Match]]&amp;"_"&amp;STDLIGHTINEFCAT2[[#This Row],[Options]]</f>
        <v>HID_PG 101-175_150W Mogul Base</v>
      </c>
      <c r="L133" s="557" t="s">
        <v>2191</v>
      </c>
      <c r="M133" s="536">
        <v>150</v>
      </c>
      <c r="N133" s="544">
        <v>188</v>
      </c>
      <c r="O133" s="54">
        <v>635</v>
      </c>
      <c r="P133" s="492"/>
    </row>
    <row r="134" spans="9:16">
      <c r="I134" s="541" t="s">
        <v>2228</v>
      </c>
      <c r="J134" s="541" t="str">
        <f>STDLIGHTINEFCAT2[[#This Row],[Ineff DropDown 2]]&amp;"_"&amp;STDLIGHTINEFCAT2[[#This Row],[Ineff DropDown 2]]</f>
        <v>Incand_CFL_Incand_CFL</v>
      </c>
      <c r="K134" s="555" t="str">
        <f>STDLIGHTINEFCAT2[[#This Row],[Match]]&amp;"_"&amp;STDLIGHTINEFCAT2[[#This Row],[Options]]</f>
        <v>Incand_CFL_Incand_CFL_PAR</v>
      </c>
      <c r="L134" s="544" t="s">
        <v>2185</v>
      </c>
      <c r="M134" s="544"/>
      <c r="N134" s="538"/>
      <c r="O134" s="54">
        <v>263</v>
      </c>
      <c r="P134" s="581"/>
    </row>
    <row r="135" spans="9:16">
      <c r="I135" s="541" t="s">
        <v>2183</v>
      </c>
      <c r="J135" s="541" t="str">
        <f>STDLIGHTINEFCAT2[[#This Row],[Ineff DropDown 2]]&amp;"_"&amp;STDLIGHTINEFCAT2[[#This Row],[Ineff DropDown 2]]</f>
        <v>MR-16_MR-16</v>
      </c>
      <c r="K135" s="555" t="str">
        <f>STDLIGHTINEFCAT2[[#This Row],[Match]]&amp;"_"&amp;STDLIGHTINEFCAT2[[#This Row],[Options]]</f>
        <v>MR-16_MR-16_MR-16</v>
      </c>
      <c r="L135" s="537" t="s">
        <v>2183</v>
      </c>
      <c r="M135" s="517"/>
      <c r="N135" s="538"/>
      <c r="O135" s="54">
        <v>261</v>
      </c>
      <c r="P135" s="581"/>
    </row>
    <row r="136" spans="9:16">
      <c r="I136" s="541" t="s">
        <v>2185</v>
      </c>
      <c r="J136" s="541" t="str">
        <f>STDLIGHTINEFCAT2[[#This Row],[Ineff DropDown 2]]&amp;"_"&amp;STDLIGHTINEFCAT2[[#This Row],[Ineff DropDown 2]]</f>
        <v>PAR_PAR</v>
      </c>
      <c r="K136" s="555" t="str">
        <f>STDLIGHTINEFCAT2[[#This Row],[Match]]&amp;"_"&amp;STDLIGHTINEFCAT2[[#This Row],[Options]]</f>
        <v>PAR_PAR_PAR</v>
      </c>
      <c r="L136" s="544" t="s">
        <v>2185</v>
      </c>
      <c r="M136" s="520"/>
      <c r="N136" s="538"/>
      <c r="O136" s="54">
        <v>262</v>
      </c>
      <c r="P136" s="581"/>
    </row>
    <row r="137" spans="9:16">
      <c r="I137" s="496" t="s">
        <v>2253</v>
      </c>
      <c r="J137" s="541" t="s">
        <v>2288</v>
      </c>
      <c r="K137" s="538" t="str">
        <f>STDLIGHTINEFCAT2[[#This Row],[Match]]&amp;"_"&amp;STDLIGHTINEFCAT2[[#This Row],[Options]]</f>
        <v>T12_2ft_Lamp_T12 2' 20W</v>
      </c>
      <c r="L137" s="536" t="s">
        <v>2165</v>
      </c>
      <c r="M137" s="538">
        <v>20</v>
      </c>
      <c r="N137" s="538">
        <v>20</v>
      </c>
      <c r="O137" s="54">
        <v>192</v>
      </c>
      <c r="P137" s="581"/>
    </row>
    <row r="138" spans="9:16">
      <c r="I138" s="517" t="s">
        <v>2253</v>
      </c>
      <c r="J138" s="541" t="s">
        <v>2288</v>
      </c>
      <c r="K138" s="538" t="str">
        <f>STDLIGHTINEFCAT2[[#This Row],[Match]]&amp;"_"&amp;STDLIGHTINEFCAT2[[#This Row],[Options]]</f>
        <v>T12_2ft_Lamp_T12 2' 35W</v>
      </c>
      <c r="L138" s="536" t="s">
        <v>2252</v>
      </c>
      <c r="M138" s="538">
        <v>35</v>
      </c>
      <c r="N138" s="538">
        <v>35</v>
      </c>
      <c r="O138" s="54">
        <v>193</v>
      </c>
      <c r="P138" s="581"/>
    </row>
    <row r="139" spans="9:16">
      <c r="I139" s="496" t="s">
        <v>2254</v>
      </c>
      <c r="J139" s="541" t="s">
        <v>2294</v>
      </c>
      <c r="K139" s="519" t="str">
        <f>STDLIGHTINEFCAT2[[#This Row],[Match]]&amp;"_"&amp;STDLIGHTINEFCAT2[[#This Row],[Options]]</f>
        <v>T12_4ft_Lamp_T12 4' 30W</v>
      </c>
      <c r="L139" s="546" t="s">
        <v>2166</v>
      </c>
      <c r="M139" s="538">
        <v>30</v>
      </c>
      <c r="N139" s="538">
        <v>30</v>
      </c>
      <c r="O139" s="54">
        <v>198</v>
      </c>
      <c r="P139" s="581"/>
    </row>
    <row r="140" spans="9:16">
      <c r="I140" s="496" t="s">
        <v>2254</v>
      </c>
      <c r="J140" s="541" t="s">
        <v>2294</v>
      </c>
      <c r="K140" s="519" t="str">
        <f>STDLIGHTINEFCAT2[[#This Row],[Match]]&amp;"_"&amp;STDLIGHTINEFCAT2[[#This Row],[Options]]</f>
        <v>T12_4ft_Lamp_T12 4' 34W</v>
      </c>
      <c r="L140" s="546" t="s">
        <v>2167</v>
      </c>
      <c r="M140" s="538">
        <v>34</v>
      </c>
      <c r="N140" s="538">
        <v>34</v>
      </c>
      <c r="O140" s="54">
        <v>199</v>
      </c>
      <c r="P140" s="581"/>
    </row>
    <row r="141" spans="9:16">
      <c r="I141" s="496" t="s">
        <v>2254</v>
      </c>
      <c r="J141" s="541" t="s">
        <v>2294</v>
      </c>
      <c r="K141" s="519" t="str">
        <f>STDLIGHTINEFCAT2[[#This Row],[Match]]&amp;"_"&amp;STDLIGHTINEFCAT2[[#This Row],[Options]]</f>
        <v>T12_4ft_Lamp_T12 4' 40W</v>
      </c>
      <c r="L141" s="579" t="s">
        <v>2168</v>
      </c>
      <c r="M141" s="538">
        <v>40</v>
      </c>
      <c r="N141" s="538">
        <v>40</v>
      </c>
      <c r="O141" s="54">
        <v>200</v>
      </c>
      <c r="P141" s="54"/>
    </row>
    <row r="142" spans="9:16">
      <c r="I142" s="496" t="s">
        <v>2254</v>
      </c>
      <c r="J142" s="541" t="s">
        <v>2294</v>
      </c>
      <c r="K142" s="519" t="str">
        <f>STDLIGHTINEFCAT2[[#This Row],[Match]]&amp;"_"&amp;STDLIGHTINEFCAT2[[#This Row],[Options]]</f>
        <v>T12_4ft_Lamp_T12 4' 60W</v>
      </c>
      <c r="L142" s="546" t="s">
        <v>2240</v>
      </c>
      <c r="M142" s="538">
        <v>60</v>
      </c>
      <c r="N142" s="538">
        <v>60</v>
      </c>
      <c r="O142" s="54">
        <v>201</v>
      </c>
      <c r="P142" s="54"/>
    </row>
    <row r="143" spans="9:16">
      <c r="I143" s="496" t="s">
        <v>2254</v>
      </c>
      <c r="J143" s="541" t="s">
        <v>2294</v>
      </c>
      <c r="K143" s="519" t="str">
        <f>STDLIGHTINEFCAT2[[#This Row],[Match]]&amp;"_"&amp;STDLIGHTINEFCAT2[[#This Row],[Options]]</f>
        <v>T12_4ft_Lamp_T12 4' 116W</v>
      </c>
      <c r="L143" s="579" t="s">
        <v>2241</v>
      </c>
      <c r="M143" s="538">
        <v>116</v>
      </c>
      <c r="N143" s="538">
        <v>116</v>
      </c>
      <c r="O143" s="54">
        <v>202</v>
      </c>
      <c r="P143" s="54"/>
    </row>
    <row r="144" spans="9:16">
      <c r="I144" s="496" t="s">
        <v>2255</v>
      </c>
      <c r="J144" s="541" t="s">
        <v>2300</v>
      </c>
      <c r="K144" s="538" t="str">
        <f>STDLIGHTINEFCAT2[[#This Row],[Match]]&amp;"_"&amp;STDLIGHTINEFCAT2[[#This Row],[Options]]</f>
        <v>T12_8ft_Lamp_T12 8' 60W</v>
      </c>
      <c r="L144" s="546" t="s">
        <v>2169</v>
      </c>
      <c r="M144" s="538">
        <v>60</v>
      </c>
      <c r="N144" s="538">
        <v>60</v>
      </c>
      <c r="O144" s="54">
        <v>212</v>
      </c>
      <c r="P144" s="54"/>
    </row>
    <row r="145" spans="9:16">
      <c r="I145" s="496" t="s">
        <v>2255</v>
      </c>
      <c r="J145" s="541" t="s">
        <v>2300</v>
      </c>
      <c r="K145" s="538" t="str">
        <f>STDLIGHTINEFCAT2[[#This Row],[Match]]&amp;"_"&amp;STDLIGHTINEFCAT2[[#This Row],[Options]]</f>
        <v>T12_8ft_Lamp_T12 8' 75W</v>
      </c>
      <c r="L145" s="579" t="s">
        <v>2170</v>
      </c>
      <c r="M145" s="538">
        <v>75</v>
      </c>
      <c r="N145" s="538">
        <v>75</v>
      </c>
      <c r="O145" s="54">
        <v>213</v>
      </c>
      <c r="P145" s="54"/>
    </row>
    <row r="146" spans="9:16">
      <c r="I146" s="496" t="s">
        <v>2255</v>
      </c>
      <c r="J146" s="541" t="s">
        <v>2300</v>
      </c>
      <c r="K146" s="538" t="str">
        <f>STDLIGHTINEFCAT2[[#This Row],[Match]]&amp;"_"&amp;STDLIGHTINEFCAT2[[#This Row],[Options]]</f>
        <v>T12_8ft_Lamp_T12 8' 95W</v>
      </c>
      <c r="L146" s="579" t="s">
        <v>2242</v>
      </c>
      <c r="M146" s="538">
        <v>95</v>
      </c>
      <c r="N146" s="538">
        <v>95</v>
      </c>
      <c r="O146" s="54">
        <v>214</v>
      </c>
      <c r="P146" s="54"/>
    </row>
    <row r="147" spans="9:16">
      <c r="I147" s="496" t="s">
        <v>2255</v>
      </c>
      <c r="J147" s="541" t="s">
        <v>2300</v>
      </c>
      <c r="K147" s="538" t="str">
        <f>STDLIGHTINEFCAT2[[#This Row],[Match]]&amp;"_"&amp;STDLIGHTINEFCAT2[[#This Row],[Options]]</f>
        <v>T12_8ft_Lamp_T12 8' 110W</v>
      </c>
      <c r="L147" s="579" t="s">
        <v>2243</v>
      </c>
      <c r="M147" s="538">
        <v>110</v>
      </c>
      <c r="N147" s="538">
        <v>110</v>
      </c>
      <c r="O147" s="54">
        <v>215</v>
      </c>
      <c r="P147" s="54"/>
    </row>
    <row r="148" spans="9:16">
      <c r="I148" s="496" t="s">
        <v>2255</v>
      </c>
      <c r="J148" s="541" t="s">
        <v>2300</v>
      </c>
      <c r="K148" s="538" t="str">
        <f>STDLIGHTINEFCAT2[[#This Row],[Match]]&amp;"_"&amp;STDLIGHTINEFCAT2[[#This Row],[Options]]</f>
        <v>T12_8ft_Lamp_T12 8' 185W</v>
      </c>
      <c r="L148" s="546" t="s">
        <v>2244</v>
      </c>
      <c r="M148" s="538">
        <v>185</v>
      </c>
      <c r="N148" s="538">
        <v>185</v>
      </c>
      <c r="O148" s="54">
        <v>216</v>
      </c>
      <c r="P148" s="54"/>
    </row>
    <row r="149" spans="9:16">
      <c r="I149" s="496" t="s">
        <v>2255</v>
      </c>
      <c r="J149" s="541" t="s">
        <v>2300</v>
      </c>
      <c r="K149" s="538" t="str">
        <f>STDLIGHTINEFCAT2[[#This Row],[Match]]&amp;"_"&amp;STDLIGHTINEFCAT2[[#This Row],[Options]]</f>
        <v>T12_8ft_Lamp_T12 8' 215W</v>
      </c>
      <c r="L149" s="546" t="s">
        <v>2245</v>
      </c>
      <c r="M149" s="538">
        <v>215</v>
      </c>
      <c r="N149" s="538">
        <v>215</v>
      </c>
      <c r="O149" s="54">
        <v>217</v>
      </c>
      <c r="P149" s="54"/>
    </row>
    <row r="150" spans="9:16">
      <c r="I150" s="517" t="s">
        <v>2284</v>
      </c>
      <c r="J150" s="517" t="str">
        <f>"T12_"&amp;STDLIGHTINEFCAT2[[#This Row],[Ineff DropDown 2]]</f>
        <v>T12_Ext  &gt;400</v>
      </c>
      <c r="K150" s="538" t="str">
        <f>STDLIGHTINEFCAT2[[#This Row],[Match]]&amp;"_"&amp;STDLIGHTINEFCAT2[[#This Row],[Options]]</f>
        <v>T12_Ext  &gt;400_----6 ft Lamps----</v>
      </c>
      <c r="L150" s="550" t="s">
        <v>2406</v>
      </c>
      <c r="M150" s="545"/>
      <c r="N150" s="538"/>
      <c r="O150" s="54">
        <v>186</v>
      </c>
      <c r="P150" s="582"/>
    </row>
    <row r="151" spans="9:16">
      <c r="I151" s="517" t="s">
        <v>2284</v>
      </c>
      <c r="J151" s="517" t="str">
        <f>"T12_"&amp;STDLIGHTINEFCAT2[[#This Row],[Ineff DropDown 2]]</f>
        <v>T12_Ext  &gt;400</v>
      </c>
      <c r="K151" s="538" t="str">
        <f>STDLIGHTINEFCAT2[[#This Row],[Match]]&amp;"_"&amp;STDLIGHTINEFCAT2[[#This Row],[Options]]</f>
        <v>T12_Ext  &gt;400_3L T12 6' 168W</v>
      </c>
      <c r="L151" s="551" t="s">
        <v>2374</v>
      </c>
      <c r="M151" s="621">
        <f>3*168</f>
        <v>504</v>
      </c>
      <c r="N151" s="554">
        <v>424</v>
      </c>
      <c r="O151" s="54">
        <v>187</v>
      </c>
      <c r="P151" s="492"/>
    </row>
    <row r="152" spans="9:16">
      <c r="I152" s="517" t="s">
        <v>2284</v>
      </c>
      <c r="J152" s="517" t="str">
        <f>"T12_"&amp;STDLIGHTINEFCAT2[[#This Row],[Ineff DropDown 2]]</f>
        <v>T12_Ext  &gt;400</v>
      </c>
      <c r="K152" s="538" t="str">
        <f>STDLIGHTINEFCAT2[[#This Row],[Match]]&amp;"_"&amp;STDLIGHTINEFCAT2[[#This Row],[Options]]</f>
        <v>T12_Ext  &gt;400_----8 ft Lamps----</v>
      </c>
      <c r="L152" s="550" t="s">
        <v>2408</v>
      </c>
      <c r="M152" s="545"/>
      <c r="N152" s="538"/>
      <c r="O152" s="54">
        <v>188</v>
      </c>
      <c r="P152" s="492"/>
    </row>
    <row r="153" spans="9:16">
      <c r="I153" s="517" t="s">
        <v>2284</v>
      </c>
      <c r="J153" s="517" t="str">
        <f>"T12_"&amp;STDLIGHTINEFCAT2[[#This Row],[Ineff DropDown 2]]</f>
        <v>T12_Ext  &gt;400</v>
      </c>
      <c r="K153" s="538" t="str">
        <f>STDLIGHTINEFCAT2[[#This Row],[Match]]&amp;"_"&amp;STDLIGHTINEFCAT2[[#This Row],[Options]]</f>
        <v>T12_Ext  &gt;400_2L T12 8' 215W</v>
      </c>
      <c r="L153" s="546" t="s">
        <v>2399</v>
      </c>
      <c r="M153" s="519">
        <f>2*215</f>
        <v>430</v>
      </c>
      <c r="N153" s="622">
        <v>320</v>
      </c>
      <c r="O153" s="54">
        <v>189</v>
      </c>
      <c r="P153" s="581"/>
    </row>
    <row r="154" spans="9:16">
      <c r="I154" s="517" t="s">
        <v>2284</v>
      </c>
      <c r="J154" s="517" t="str">
        <f>"T12_"&amp;STDLIGHTINEFCAT2[[#This Row],[Ineff DropDown 2]]</f>
        <v>T12_Ext  &gt;400</v>
      </c>
      <c r="K154" s="538" t="str">
        <f>STDLIGHTINEFCAT2[[#This Row],[Match]]&amp;"_"&amp;STDLIGHTINEFCAT2[[#This Row],[Options]]</f>
        <v>T12_Ext  &gt;400_3L T12 8' 185W</v>
      </c>
      <c r="L154" s="536" t="s">
        <v>2397</v>
      </c>
      <c r="M154" s="538">
        <f>3*185</f>
        <v>555</v>
      </c>
      <c r="N154" s="538">
        <v>550</v>
      </c>
      <c r="O154" s="54">
        <v>190</v>
      </c>
      <c r="P154" s="492"/>
    </row>
    <row r="155" spans="9:16">
      <c r="I155" s="517" t="s">
        <v>2284</v>
      </c>
      <c r="J155" s="517" t="str">
        <f>"T12_"&amp;STDLIGHTINEFCAT2[[#This Row],[Ineff DropDown 2]]</f>
        <v>T12_Ext  &gt;400</v>
      </c>
      <c r="K155" s="538" t="str">
        <f>STDLIGHTINEFCAT2[[#This Row],[Match]]&amp;"_"&amp;STDLIGHTINEFCAT2[[#This Row],[Options]]</f>
        <v>T12_Ext  &gt;400_3L T12 8' 215W</v>
      </c>
      <c r="L155" s="551" t="s">
        <v>2400</v>
      </c>
      <c r="M155" s="621">
        <f>3*215</f>
        <v>645</v>
      </c>
      <c r="N155" s="620">
        <v>518</v>
      </c>
      <c r="O155" s="54">
        <v>191</v>
      </c>
      <c r="P155" s="492"/>
    </row>
    <row r="156" spans="9:16">
      <c r="I156" s="517" t="s">
        <v>2281</v>
      </c>
      <c r="J156" s="517" t="str">
        <f>"T12_"&amp;STDLIGHTINEFCAT2[[#This Row],[Ineff DropDown 2]]</f>
        <v>T12_Ext &lt;175</v>
      </c>
      <c r="K156" s="538" t="str">
        <f>STDLIGHTINEFCAT2[[#This Row],[Match]]&amp;"_"&amp;STDLIGHTINEFCAT2[[#This Row],[Options]]</f>
        <v>T12_Ext &lt;175_----2 ft Lamps----</v>
      </c>
      <c r="L156" s="542" t="s">
        <v>2402</v>
      </c>
      <c r="M156" s="545"/>
      <c r="N156" s="538"/>
      <c r="O156" s="54">
        <v>18</v>
      </c>
      <c r="P156" s="492"/>
    </row>
    <row r="157" spans="9:16">
      <c r="I157" s="517" t="s">
        <v>2281</v>
      </c>
      <c r="J157" s="517" t="str">
        <f>"T12_"&amp;STDLIGHTINEFCAT2[[#This Row],[Ineff DropDown 2]]</f>
        <v>T12_Ext &lt;175</v>
      </c>
      <c r="K157" s="538" t="str">
        <f>STDLIGHTINEFCAT2[[#This Row],[Match]]&amp;"_"&amp;STDLIGHTINEFCAT2[[#This Row],[Options]]</f>
        <v>T12_Ext &lt;175_1L T12 2' 20W</v>
      </c>
      <c r="L157" s="523" t="s">
        <v>2323</v>
      </c>
      <c r="M157" s="538">
        <v>20</v>
      </c>
      <c r="N157" s="536">
        <v>21</v>
      </c>
      <c r="O157" s="54">
        <v>19</v>
      </c>
      <c r="P157" s="492"/>
    </row>
    <row r="158" spans="9:16">
      <c r="I158" s="517" t="s">
        <v>2281</v>
      </c>
      <c r="J158" s="517" t="str">
        <f>"T12_"&amp;STDLIGHTINEFCAT2[[#This Row],[Ineff DropDown 2]]</f>
        <v>T12_Ext &lt;175</v>
      </c>
      <c r="K158" s="538" t="str">
        <f>STDLIGHTINEFCAT2[[#This Row],[Match]]&amp;"_"&amp;STDLIGHTINEFCAT2[[#This Row],[Options]]</f>
        <v>T12_Ext &lt;175_2L T12 2' 20W</v>
      </c>
      <c r="L158" s="523" t="s">
        <v>2324</v>
      </c>
      <c r="M158" s="538">
        <v>40</v>
      </c>
      <c r="N158" s="536">
        <v>53</v>
      </c>
      <c r="O158" s="54">
        <v>20</v>
      </c>
      <c r="P158" s="54"/>
    </row>
    <row r="159" spans="9:16">
      <c r="I159" s="517" t="s">
        <v>2281</v>
      </c>
      <c r="J159" s="517" t="str">
        <f>"T12_"&amp;STDLIGHTINEFCAT2[[#This Row],[Ineff DropDown 2]]</f>
        <v>T12_Ext &lt;175</v>
      </c>
      <c r="K159" s="538" t="str">
        <f>STDLIGHTINEFCAT2[[#This Row],[Match]]&amp;"_"&amp;STDLIGHTINEFCAT2[[#This Row],[Options]]</f>
        <v>T12_Ext &lt;175_3L T12 2' 20W</v>
      </c>
      <c r="L159" s="540" t="s">
        <v>2325</v>
      </c>
      <c r="M159" s="538">
        <v>60</v>
      </c>
      <c r="N159" s="538">
        <v>64</v>
      </c>
      <c r="O159" s="54">
        <v>21</v>
      </c>
      <c r="P159" s="582"/>
    </row>
    <row r="160" spans="9:16">
      <c r="I160" s="517" t="s">
        <v>2281</v>
      </c>
      <c r="J160" s="517" t="str">
        <f>"T12_"&amp;STDLIGHTINEFCAT2[[#This Row],[Ineff DropDown 2]]</f>
        <v>T12_Ext &lt;175</v>
      </c>
      <c r="K160" s="536" t="str">
        <f>STDLIGHTINEFCAT2[[#This Row],[Match]]&amp;"_"&amp;STDLIGHTINEFCAT2[[#This Row],[Options]]</f>
        <v>T12_Ext &lt;175_4L T12 2' 20W</v>
      </c>
      <c r="L160" s="540" t="s">
        <v>2326</v>
      </c>
      <c r="M160" s="540">
        <v>80</v>
      </c>
      <c r="N160" s="536">
        <v>91</v>
      </c>
      <c r="O160" s="54">
        <v>22</v>
      </c>
      <c r="P160" s="581"/>
    </row>
    <row r="161" spans="9:16">
      <c r="I161" s="517" t="s">
        <v>2281</v>
      </c>
      <c r="J161" s="517" t="str">
        <f>"T12_"&amp;STDLIGHTINEFCAT2[[#This Row],[Ineff DropDown 2]]</f>
        <v>T12_Ext &lt;175</v>
      </c>
      <c r="K161" s="536" t="str">
        <f>STDLIGHTINEFCAT2[[#This Row],[Match]]&amp;"_"&amp;STDLIGHTINEFCAT2[[#This Row],[Options]]</f>
        <v>T12_Ext &lt;175_1L T12 2' 35W</v>
      </c>
      <c r="L161" s="536" t="s">
        <v>2327</v>
      </c>
      <c r="M161" s="540">
        <v>35</v>
      </c>
      <c r="N161" s="536">
        <v>64</v>
      </c>
      <c r="O161" s="54">
        <v>23</v>
      </c>
      <c r="P161" s="492"/>
    </row>
    <row r="162" spans="9:16">
      <c r="I162" s="517" t="s">
        <v>2281</v>
      </c>
      <c r="J162" s="517" t="str">
        <f>"T12_"&amp;STDLIGHTINEFCAT2[[#This Row],[Ineff DropDown 2]]</f>
        <v>T12_Ext &lt;175</v>
      </c>
      <c r="K162" s="536" t="str">
        <f>STDLIGHTINEFCAT2[[#This Row],[Match]]&amp;"_"&amp;STDLIGHTINEFCAT2[[#This Row],[Options]]</f>
        <v>T12_Ext &lt;175_2L T12 2' 35W</v>
      </c>
      <c r="L162" s="540" t="s">
        <v>2328</v>
      </c>
      <c r="M162" s="540">
        <v>70</v>
      </c>
      <c r="N162" s="536">
        <v>95</v>
      </c>
      <c r="O162" s="54">
        <v>24</v>
      </c>
      <c r="P162" s="581"/>
    </row>
    <row r="163" spans="9:16">
      <c r="I163" s="517" t="s">
        <v>2281</v>
      </c>
      <c r="J163" s="517" t="str">
        <f>"T12_"&amp;STDLIGHTINEFCAT2[[#This Row],[Ineff DropDown 2]]</f>
        <v>T12_Ext &lt;175</v>
      </c>
      <c r="K163" s="536" t="str">
        <f>STDLIGHTINEFCAT2[[#This Row],[Match]]&amp;"_"&amp;STDLIGHTINEFCAT2[[#This Row],[Options]]</f>
        <v>T12_Ext &lt;175_3L T12 2' 35W</v>
      </c>
      <c r="L163" s="536" t="s">
        <v>2329</v>
      </c>
      <c r="M163" s="540">
        <v>105</v>
      </c>
      <c r="N163" s="536">
        <v>148</v>
      </c>
      <c r="O163" s="54">
        <v>25</v>
      </c>
      <c r="P163" s="581"/>
    </row>
    <row r="164" spans="9:16">
      <c r="I164" s="517" t="s">
        <v>2281</v>
      </c>
      <c r="J164" s="517" t="str">
        <f>"T12_"&amp;STDLIGHTINEFCAT2[[#This Row],[Ineff DropDown 2]]</f>
        <v>T12_Ext &lt;175</v>
      </c>
      <c r="K164" s="536" t="str">
        <f>STDLIGHTINEFCAT2[[#This Row],[Match]]&amp;"_"&amp;STDLIGHTINEFCAT2[[#This Row],[Options]]</f>
        <v>T12_Ext &lt;175_4L T12 2' 35W</v>
      </c>
      <c r="L164" s="536" t="s">
        <v>2330</v>
      </c>
      <c r="M164" s="536">
        <f>4*35</f>
        <v>140</v>
      </c>
      <c r="N164" s="544">
        <v>183</v>
      </c>
      <c r="O164" s="54">
        <v>26</v>
      </c>
      <c r="P164" s="581"/>
    </row>
    <row r="165" spans="9:16">
      <c r="I165" s="517" t="s">
        <v>2281</v>
      </c>
      <c r="J165" s="517" t="str">
        <f>"T12_"&amp;STDLIGHTINEFCAT2[[#This Row],[Ineff DropDown 2]]</f>
        <v>T12_Ext &lt;175</v>
      </c>
      <c r="K165" s="536" t="str">
        <f>STDLIGHTINEFCAT2[[#This Row],[Match]]&amp;"_"&amp;STDLIGHTINEFCAT2[[#This Row],[Options]]</f>
        <v>T12_Ext &lt;175_----3 ft Lamps----</v>
      </c>
      <c r="L165" s="542" t="s">
        <v>2403</v>
      </c>
      <c r="M165" s="542"/>
      <c r="N165" s="536"/>
      <c r="O165" s="54">
        <v>27</v>
      </c>
      <c r="P165" s="581"/>
    </row>
    <row r="166" spans="9:16">
      <c r="I166" s="517" t="s">
        <v>2281</v>
      </c>
      <c r="J166" s="517" t="str">
        <f>"T12_"&amp;STDLIGHTINEFCAT2[[#This Row],[Ineff DropDown 2]]</f>
        <v>T12_Ext &lt;175</v>
      </c>
      <c r="K166" s="536" t="str">
        <f>STDLIGHTINEFCAT2[[#This Row],[Match]]&amp;"_"&amp;STDLIGHTINEFCAT2[[#This Row],[Options]]</f>
        <v>T12_Ext &lt;175_1L T12 3' 21W</v>
      </c>
      <c r="L166" s="536" t="s">
        <v>2331</v>
      </c>
      <c r="M166" s="536">
        <v>21</v>
      </c>
      <c r="N166" s="536">
        <v>25</v>
      </c>
      <c r="O166" s="54">
        <v>28</v>
      </c>
      <c r="P166" s="581"/>
    </row>
    <row r="167" spans="9:16">
      <c r="I167" s="517" t="s">
        <v>2281</v>
      </c>
      <c r="J167" s="517" t="str">
        <f>"T12_"&amp;STDLIGHTINEFCAT2[[#This Row],[Ineff DropDown 2]]</f>
        <v>T12_Ext &lt;175</v>
      </c>
      <c r="K167" s="536" t="str">
        <f>STDLIGHTINEFCAT2[[#This Row],[Match]]&amp;"_"&amp;STDLIGHTINEFCAT2[[#This Row],[Options]]</f>
        <v>T12_Ext &lt;175_2L T12 3' 21W</v>
      </c>
      <c r="L167" s="536" t="s">
        <v>2332</v>
      </c>
      <c r="M167" s="536">
        <v>42</v>
      </c>
      <c r="N167" s="536">
        <v>49</v>
      </c>
      <c r="O167" s="54">
        <v>29</v>
      </c>
      <c r="P167" s="581"/>
    </row>
    <row r="168" spans="9:16">
      <c r="I168" s="517" t="s">
        <v>2281</v>
      </c>
      <c r="J168" s="517" t="str">
        <f>"T12_"&amp;STDLIGHTINEFCAT2[[#This Row],[Ineff DropDown 2]]</f>
        <v>T12_Ext &lt;175</v>
      </c>
      <c r="K168" s="536" t="str">
        <f>STDLIGHTINEFCAT2[[#This Row],[Match]]&amp;"_"&amp;STDLIGHTINEFCAT2[[#This Row],[Options]]</f>
        <v>T12_Ext &lt;175_1L T12 3' 24W</v>
      </c>
      <c r="L168" s="536" t="s">
        <v>2333</v>
      </c>
      <c r="M168" s="536">
        <v>24</v>
      </c>
      <c r="N168" s="536">
        <v>45</v>
      </c>
      <c r="O168" s="54">
        <v>30</v>
      </c>
      <c r="P168" s="492"/>
    </row>
    <row r="169" spans="9:16">
      <c r="I169" s="517" t="s">
        <v>2281</v>
      </c>
      <c r="J169" s="517" t="str">
        <f>"T12_"&amp;STDLIGHTINEFCAT2[[#This Row],[Ineff DropDown 2]]</f>
        <v>T12_Ext &lt;175</v>
      </c>
      <c r="K169" s="536" t="str">
        <f>STDLIGHTINEFCAT2[[#This Row],[Match]]&amp;"_"&amp;STDLIGHTINEFCAT2[[#This Row],[Options]]</f>
        <v>T12_Ext &lt;175_2L T12 3' 24W</v>
      </c>
      <c r="L169" s="536" t="s">
        <v>2334</v>
      </c>
      <c r="M169" s="536">
        <v>48</v>
      </c>
      <c r="N169" s="536">
        <v>65</v>
      </c>
      <c r="O169" s="54">
        <v>31</v>
      </c>
      <c r="P169" s="492"/>
    </row>
    <row r="170" spans="9:16">
      <c r="I170" s="517" t="s">
        <v>2281</v>
      </c>
      <c r="J170" s="517" t="str">
        <f>"T12_"&amp;STDLIGHTINEFCAT2[[#This Row],[Ineff DropDown 2]]</f>
        <v>T12_Ext &lt;175</v>
      </c>
      <c r="K170" s="536" t="str">
        <f>STDLIGHTINEFCAT2[[#This Row],[Match]]&amp;"_"&amp;STDLIGHTINEFCAT2[[#This Row],[Options]]</f>
        <v>T12_Ext &lt;175_1L T12 3' 25W</v>
      </c>
      <c r="L170" s="536" t="s">
        <v>2335</v>
      </c>
      <c r="M170" s="536">
        <v>25</v>
      </c>
      <c r="N170" s="536">
        <v>35</v>
      </c>
      <c r="O170" s="54">
        <v>32</v>
      </c>
      <c r="P170" s="492"/>
    </row>
    <row r="171" spans="9:16">
      <c r="I171" s="517" t="s">
        <v>2281</v>
      </c>
      <c r="J171" s="517" t="str">
        <f>"T12_"&amp;STDLIGHTINEFCAT2[[#This Row],[Ineff DropDown 2]]</f>
        <v>T12_Ext &lt;175</v>
      </c>
      <c r="K171" s="536" t="str">
        <f>STDLIGHTINEFCAT2[[#This Row],[Match]]&amp;"_"&amp;STDLIGHTINEFCAT2[[#This Row],[Options]]</f>
        <v>T12_Ext &lt;175_2L T12 3' 25W</v>
      </c>
      <c r="L171" s="536" t="s">
        <v>2336</v>
      </c>
      <c r="M171" s="536">
        <v>50</v>
      </c>
      <c r="N171" s="536">
        <v>71</v>
      </c>
      <c r="O171" s="54">
        <v>33</v>
      </c>
      <c r="P171" s="581"/>
    </row>
    <row r="172" spans="9:16">
      <c r="I172" s="517" t="s">
        <v>2281</v>
      </c>
      <c r="J172" s="517" t="str">
        <f>"T12_"&amp;STDLIGHTINEFCAT2[[#This Row],[Ineff DropDown 2]]</f>
        <v>T12_Ext &lt;175</v>
      </c>
      <c r="K172" s="536" t="str">
        <f>STDLIGHTINEFCAT2[[#This Row],[Match]]&amp;"_"&amp;STDLIGHTINEFCAT2[[#This Row],[Options]]</f>
        <v>T12_Ext &lt;175_3L T12 3' 25W</v>
      </c>
      <c r="L172" s="536" t="s">
        <v>2337</v>
      </c>
      <c r="M172" s="536">
        <v>75</v>
      </c>
      <c r="N172" s="536">
        <v>70</v>
      </c>
      <c r="O172" s="54">
        <v>34</v>
      </c>
      <c r="P172" s="54"/>
    </row>
    <row r="173" spans="9:16">
      <c r="I173" s="517" t="s">
        <v>2281</v>
      </c>
      <c r="J173" s="517" t="str">
        <f>"T12_"&amp;STDLIGHTINEFCAT2[[#This Row],[Ineff DropDown 2]]</f>
        <v>T12_Ext &lt;175</v>
      </c>
      <c r="K173" s="536" t="str">
        <f>STDLIGHTINEFCAT2[[#This Row],[Match]]&amp;"_"&amp;STDLIGHTINEFCAT2[[#This Row],[Options]]</f>
        <v>T12_Ext &lt;175_4L T12 3' 25W</v>
      </c>
      <c r="L173" s="536" t="s">
        <v>2338</v>
      </c>
      <c r="M173" s="536">
        <v>100</v>
      </c>
      <c r="N173" s="536">
        <v>88</v>
      </c>
      <c r="O173" s="54">
        <v>35</v>
      </c>
      <c r="P173" s="54"/>
    </row>
    <row r="174" spans="9:16">
      <c r="I174" s="517" t="s">
        <v>2281</v>
      </c>
      <c r="J174" s="517" t="str">
        <f>"T12_"&amp;STDLIGHTINEFCAT2[[#This Row],[Ineff DropDown 2]]</f>
        <v>T12_Ext &lt;175</v>
      </c>
      <c r="K174" s="536" t="str">
        <f>STDLIGHTINEFCAT2[[#This Row],[Match]]&amp;"_"&amp;STDLIGHTINEFCAT2[[#This Row],[Options]]</f>
        <v>T12_Ext &lt;175_1L T12 3' 30W</v>
      </c>
      <c r="L174" s="536" t="s">
        <v>2339</v>
      </c>
      <c r="M174" s="536">
        <v>30</v>
      </c>
      <c r="N174" s="536">
        <v>40</v>
      </c>
      <c r="O174" s="54">
        <v>36</v>
      </c>
      <c r="P174" s="581"/>
    </row>
    <row r="175" spans="9:16">
      <c r="I175" s="517" t="s">
        <v>2281</v>
      </c>
      <c r="J175" s="517" t="str">
        <f>"T12_"&amp;STDLIGHTINEFCAT2[[#This Row],[Ineff DropDown 2]]</f>
        <v>T12_Ext &lt;175</v>
      </c>
      <c r="K175" s="536" t="str">
        <f>STDLIGHTINEFCAT2[[#This Row],[Match]]&amp;"_"&amp;STDLIGHTINEFCAT2[[#This Row],[Options]]</f>
        <v>T12_Ext &lt;175_2L T12 3' 30W</v>
      </c>
      <c r="L175" s="536" t="s">
        <v>2340</v>
      </c>
      <c r="M175" s="536">
        <v>60</v>
      </c>
      <c r="N175" s="536">
        <v>75</v>
      </c>
      <c r="O175" s="54">
        <v>37</v>
      </c>
      <c r="P175" s="492"/>
    </row>
    <row r="176" spans="9:16">
      <c r="I176" s="517" t="s">
        <v>2281</v>
      </c>
      <c r="J176" s="517" t="str">
        <f>"T12_"&amp;STDLIGHTINEFCAT2[[#This Row],[Ineff DropDown 2]]</f>
        <v>T12_Ext &lt;175</v>
      </c>
      <c r="K176" s="536" t="str">
        <f>STDLIGHTINEFCAT2[[#This Row],[Match]]&amp;"_"&amp;STDLIGHTINEFCAT2[[#This Row],[Options]]</f>
        <v>T12_Ext &lt;175_3L T12 3' 30W</v>
      </c>
      <c r="L176" s="536" t="s">
        <v>2341</v>
      </c>
      <c r="M176" s="536">
        <v>90</v>
      </c>
      <c r="N176" s="536">
        <v>113</v>
      </c>
      <c r="O176" s="54">
        <v>38</v>
      </c>
      <c r="P176" s="54"/>
    </row>
    <row r="177" spans="9:16">
      <c r="I177" s="517" t="s">
        <v>2281</v>
      </c>
      <c r="J177" s="517" t="str">
        <f>"T12_"&amp;STDLIGHTINEFCAT2[[#This Row],[Ineff DropDown 2]]</f>
        <v>T12_Ext &lt;175</v>
      </c>
      <c r="K177" s="536" t="str">
        <f>STDLIGHTINEFCAT2[[#This Row],[Match]]&amp;"_"&amp;STDLIGHTINEFCAT2[[#This Row],[Options]]</f>
        <v>T12_Ext &lt;175_4L T12 3' 30W</v>
      </c>
      <c r="L177" s="536" t="s">
        <v>2342</v>
      </c>
      <c r="M177" s="536">
        <v>120</v>
      </c>
      <c r="N177" s="536">
        <v>138</v>
      </c>
      <c r="O177" s="54">
        <v>39</v>
      </c>
      <c r="P177" s="54"/>
    </row>
    <row r="178" spans="9:16">
      <c r="I178" s="517" t="s">
        <v>2281</v>
      </c>
      <c r="J178" s="517" t="str">
        <f>"T12_"&amp;STDLIGHTINEFCAT2[[#This Row],[Ineff DropDown 2]]</f>
        <v>T12_Ext &lt;175</v>
      </c>
      <c r="K178" s="536" t="str">
        <f>STDLIGHTINEFCAT2[[#This Row],[Match]]&amp;"_"&amp;STDLIGHTINEFCAT2[[#This Row],[Options]]</f>
        <v>T12_Ext &lt;175_1L T12 3' 50W</v>
      </c>
      <c r="L178" s="536" t="s">
        <v>2343</v>
      </c>
      <c r="M178" s="536">
        <v>50</v>
      </c>
      <c r="N178" s="536">
        <v>72</v>
      </c>
      <c r="O178" s="54">
        <v>40</v>
      </c>
      <c r="P178" s="54"/>
    </row>
    <row r="179" spans="9:16">
      <c r="I179" s="517" t="s">
        <v>2281</v>
      </c>
      <c r="J179" s="517" t="str">
        <f>"T12_"&amp;STDLIGHTINEFCAT2[[#This Row],[Ineff DropDown 2]]</f>
        <v>T12_Ext &lt;175</v>
      </c>
      <c r="K179" s="536" t="str">
        <f>STDLIGHTINEFCAT2[[#This Row],[Match]]&amp;"_"&amp;STDLIGHTINEFCAT2[[#This Row],[Options]]</f>
        <v>T12_Ext &lt;175_2L T12 3' 50W</v>
      </c>
      <c r="L179" s="536" t="s">
        <v>2344</v>
      </c>
      <c r="M179" s="536">
        <v>100</v>
      </c>
      <c r="N179" s="536">
        <v>110</v>
      </c>
      <c r="O179" s="54">
        <v>41</v>
      </c>
      <c r="P179" s="54"/>
    </row>
    <row r="180" spans="9:16">
      <c r="I180" s="517" t="s">
        <v>2281</v>
      </c>
      <c r="J180" s="517" t="str">
        <f>"T12_"&amp;STDLIGHTINEFCAT2[[#This Row],[Ineff DropDown 2]]</f>
        <v>T12_Ext &lt;175</v>
      </c>
      <c r="K180" s="536" t="str">
        <f>STDLIGHTINEFCAT2[[#This Row],[Match]]&amp;"_"&amp;STDLIGHTINEFCAT2[[#This Row],[Options]]</f>
        <v>T12_Ext &lt;175_3L T12 3' 50W</v>
      </c>
      <c r="L180" s="536" t="s">
        <v>2345</v>
      </c>
      <c r="M180" s="536">
        <v>150</v>
      </c>
      <c r="N180" s="536">
        <v>166</v>
      </c>
      <c r="O180" s="54">
        <v>42</v>
      </c>
      <c r="P180" s="54"/>
    </row>
    <row r="181" spans="9:16">
      <c r="I181" s="517" t="s">
        <v>2281</v>
      </c>
      <c r="J181" s="517" t="str">
        <f>"T12_"&amp;STDLIGHTINEFCAT2[[#This Row],[Ineff DropDown 2]]</f>
        <v>T12_Ext &lt;175</v>
      </c>
      <c r="K181" s="536" t="str">
        <f>STDLIGHTINEFCAT2[[#This Row],[Match]]&amp;"_"&amp;STDLIGHTINEFCAT2[[#This Row],[Options]]</f>
        <v>T12_Ext &lt;175_----4 ft Lamps----</v>
      </c>
      <c r="L181" s="542" t="s">
        <v>2404</v>
      </c>
      <c r="M181" s="542"/>
      <c r="N181" s="536"/>
      <c r="O181" s="54">
        <v>43</v>
      </c>
      <c r="P181" s="492"/>
    </row>
    <row r="182" spans="9:16">
      <c r="I182" s="517" t="s">
        <v>2281</v>
      </c>
      <c r="J182" s="517" t="str">
        <f>"T12_"&amp;STDLIGHTINEFCAT2[[#This Row],[Ineff DropDown 2]]</f>
        <v>T12_Ext &lt;175</v>
      </c>
      <c r="K182" s="536" t="str">
        <f>STDLIGHTINEFCAT2[[#This Row],[Match]]&amp;"_"&amp;STDLIGHTINEFCAT2[[#This Row],[Options]]</f>
        <v>T12_Ext &lt;175_1L T12 4' 30W</v>
      </c>
      <c r="L182" s="536" t="s">
        <v>2347</v>
      </c>
      <c r="M182" s="536">
        <v>30</v>
      </c>
      <c r="N182" s="536">
        <v>49</v>
      </c>
      <c r="O182" s="54">
        <v>44</v>
      </c>
      <c r="P182" s="492"/>
    </row>
    <row r="183" spans="9:16">
      <c r="I183" s="517" t="s">
        <v>2281</v>
      </c>
      <c r="J183" s="517" t="str">
        <f>"T12_"&amp;STDLIGHTINEFCAT2[[#This Row],[Ineff DropDown 2]]</f>
        <v>T12_Ext &lt;175</v>
      </c>
      <c r="K183" s="536" t="str">
        <f>STDLIGHTINEFCAT2[[#This Row],[Match]]&amp;"_"&amp;STDLIGHTINEFCAT2[[#This Row],[Options]]</f>
        <v>T12_Ext &lt;175_2L T12 4' 30W</v>
      </c>
      <c r="L183" s="523" t="s">
        <v>2348</v>
      </c>
      <c r="M183" s="536">
        <v>60</v>
      </c>
      <c r="N183" s="536">
        <v>80</v>
      </c>
      <c r="O183" s="54">
        <v>45</v>
      </c>
      <c r="P183" s="54"/>
    </row>
    <row r="184" spans="9:16">
      <c r="I184" s="517" t="s">
        <v>2281</v>
      </c>
      <c r="J184" s="517" t="str">
        <f>"T12_"&amp;STDLIGHTINEFCAT2[[#This Row],[Ineff DropDown 2]]</f>
        <v>T12_Ext &lt;175</v>
      </c>
      <c r="K184" s="536" t="str">
        <f>STDLIGHTINEFCAT2[[#This Row],[Match]]&amp;"_"&amp;STDLIGHTINEFCAT2[[#This Row],[Options]]</f>
        <v>T12_Ext &lt;175_1L T12 4' 34W</v>
      </c>
      <c r="L184" s="523" t="s">
        <v>2349</v>
      </c>
      <c r="M184" s="536">
        <v>34</v>
      </c>
      <c r="N184" s="536">
        <v>45</v>
      </c>
      <c r="O184" s="54">
        <v>46</v>
      </c>
      <c r="P184" s="492"/>
    </row>
    <row r="185" spans="9:16">
      <c r="I185" s="517" t="s">
        <v>2281</v>
      </c>
      <c r="J185" s="517" t="str">
        <f>"T12_"&amp;STDLIGHTINEFCAT2[[#This Row],[Ineff DropDown 2]]</f>
        <v>T12_Ext &lt;175</v>
      </c>
      <c r="K185" s="536" t="str">
        <f>STDLIGHTINEFCAT2[[#This Row],[Match]]&amp;"_"&amp;STDLIGHTINEFCAT2[[#This Row],[Options]]</f>
        <v>T12_Ext &lt;175_2L T12 4' 34W</v>
      </c>
      <c r="L185" s="536" t="s">
        <v>2350</v>
      </c>
      <c r="M185" s="536">
        <v>68</v>
      </c>
      <c r="N185" s="536">
        <v>84</v>
      </c>
      <c r="O185" s="54">
        <v>47</v>
      </c>
      <c r="P185" s="492"/>
    </row>
    <row r="186" spans="9:16">
      <c r="I186" s="517" t="s">
        <v>2281</v>
      </c>
      <c r="J186" s="517" t="str">
        <f>"T12_"&amp;STDLIGHTINEFCAT2[[#This Row],[Ineff DropDown 2]]</f>
        <v>T12_Ext &lt;175</v>
      </c>
      <c r="K186" s="536" t="str">
        <f>STDLIGHTINEFCAT2[[#This Row],[Match]]&amp;"_"&amp;STDLIGHTINEFCAT2[[#This Row],[Options]]</f>
        <v>T12_Ext &lt;175_3L T12 4' 34W</v>
      </c>
      <c r="L186" s="536" t="s">
        <v>2351</v>
      </c>
      <c r="M186" s="536">
        <v>102</v>
      </c>
      <c r="N186" s="536">
        <v>127</v>
      </c>
      <c r="O186" s="54">
        <v>48</v>
      </c>
      <c r="P186" s="581"/>
    </row>
    <row r="187" spans="9:16">
      <c r="I187" s="517" t="s">
        <v>2281</v>
      </c>
      <c r="J187" s="517" t="str">
        <f>"T12_"&amp;STDLIGHTINEFCAT2[[#This Row],[Ineff DropDown 2]]</f>
        <v>T12_Ext &lt;175</v>
      </c>
      <c r="K187" s="536" t="str">
        <f>STDLIGHTINEFCAT2[[#This Row],[Match]]&amp;"_"&amp;STDLIGHTINEFCAT2[[#This Row],[Options]]</f>
        <v>T12_Ext &lt;175_4L T12 4' 34W</v>
      </c>
      <c r="L187" s="536" t="s">
        <v>2352</v>
      </c>
      <c r="M187" s="536">
        <v>136</v>
      </c>
      <c r="N187" s="536">
        <v>156</v>
      </c>
      <c r="O187" s="54">
        <v>49</v>
      </c>
      <c r="P187" s="581"/>
    </row>
    <row r="188" spans="9:16">
      <c r="I188" s="517" t="s">
        <v>2281</v>
      </c>
      <c r="J188" s="517" t="str">
        <f>"T12_"&amp;STDLIGHTINEFCAT2[[#This Row],[Ineff DropDown 2]]</f>
        <v>T12_Ext &lt;175</v>
      </c>
      <c r="K188" s="536" t="str">
        <f>STDLIGHTINEFCAT2[[#This Row],[Match]]&amp;"_"&amp;STDLIGHTINEFCAT2[[#This Row],[Options]]</f>
        <v>T12_Ext &lt;175_1L T12 4' 40W</v>
      </c>
      <c r="L188" s="536" t="s">
        <v>2353</v>
      </c>
      <c r="M188" s="536">
        <v>40</v>
      </c>
      <c r="N188" s="536">
        <v>51</v>
      </c>
      <c r="O188" s="54">
        <v>50</v>
      </c>
      <c r="P188" s="581"/>
    </row>
    <row r="189" spans="9:16">
      <c r="I189" s="517" t="s">
        <v>2281</v>
      </c>
      <c r="J189" s="517" t="str">
        <f>"T12_"&amp;STDLIGHTINEFCAT2[[#This Row],[Ineff DropDown 2]]</f>
        <v>T12_Ext &lt;175</v>
      </c>
      <c r="K189" s="536" t="str">
        <f>STDLIGHTINEFCAT2[[#This Row],[Match]]&amp;"_"&amp;STDLIGHTINEFCAT2[[#This Row],[Options]]</f>
        <v>T12_Ext &lt;175_2L T12 4' 40W</v>
      </c>
      <c r="L189" s="536" t="s">
        <v>2354</v>
      </c>
      <c r="M189" s="536">
        <v>80</v>
      </c>
      <c r="N189" s="536">
        <v>97</v>
      </c>
      <c r="O189" s="54">
        <v>51</v>
      </c>
      <c r="P189" s="492"/>
    </row>
    <row r="190" spans="9:16">
      <c r="I190" s="517" t="s">
        <v>2281</v>
      </c>
      <c r="J190" s="517" t="str">
        <f>"T12_"&amp;STDLIGHTINEFCAT2[[#This Row],[Ineff DropDown 2]]</f>
        <v>T12_Ext &lt;175</v>
      </c>
      <c r="K190" s="536" t="str">
        <f>STDLIGHTINEFCAT2[[#This Row],[Match]]&amp;"_"&amp;STDLIGHTINEFCAT2[[#This Row],[Options]]</f>
        <v>T12_Ext &lt;175_3L T12 4' 40W</v>
      </c>
      <c r="L190" s="536" t="s">
        <v>2355</v>
      </c>
      <c r="M190" s="536">
        <f>3*40</f>
        <v>120</v>
      </c>
      <c r="N190" s="536">
        <v>135</v>
      </c>
      <c r="O190" s="54">
        <v>52</v>
      </c>
      <c r="P190" s="492"/>
    </row>
    <row r="191" spans="9:16">
      <c r="I191" s="517" t="s">
        <v>2281</v>
      </c>
      <c r="J191" s="517" t="str">
        <f>"T12_"&amp;STDLIGHTINEFCAT2[[#This Row],[Ineff DropDown 2]]</f>
        <v>T12_Ext &lt;175</v>
      </c>
      <c r="K191" s="536" t="str">
        <f>STDLIGHTINEFCAT2[[#This Row],[Match]]&amp;"_"&amp;STDLIGHTINEFCAT2[[#This Row],[Options]]</f>
        <v>T12_Ext &lt;175_4L T12 4' 40W</v>
      </c>
      <c r="L191" s="540" t="s">
        <v>2356</v>
      </c>
      <c r="M191" s="540">
        <f>4*40</f>
        <v>160</v>
      </c>
      <c r="N191" s="540">
        <v>175</v>
      </c>
      <c r="O191" s="54">
        <v>53</v>
      </c>
      <c r="P191" s="54"/>
    </row>
    <row r="192" spans="9:16">
      <c r="I192" s="517" t="s">
        <v>2281</v>
      </c>
      <c r="J192" s="517" t="str">
        <f>"T12_"&amp;STDLIGHTINEFCAT2[[#This Row],[Ineff DropDown 2]]</f>
        <v>T12_Ext &lt;175</v>
      </c>
      <c r="K192" s="536" t="str">
        <f>STDLIGHTINEFCAT2[[#This Row],[Match]]&amp;"_"&amp;STDLIGHTINEFCAT2[[#This Row],[Options]]</f>
        <v>T12_Ext &lt;175_1L T12 4' 60W</v>
      </c>
      <c r="L192" s="536" t="s">
        <v>2357</v>
      </c>
      <c r="M192" s="536">
        <v>60</v>
      </c>
      <c r="N192" s="536">
        <v>82</v>
      </c>
      <c r="O192" s="54">
        <v>54</v>
      </c>
      <c r="P192" s="581"/>
    </row>
    <row r="193" spans="9:16">
      <c r="I193" s="517" t="s">
        <v>2281</v>
      </c>
      <c r="J193" s="517" t="str">
        <f>"T12_"&amp;STDLIGHTINEFCAT2[[#This Row],[Ineff DropDown 2]]</f>
        <v>T12_Ext &lt;175</v>
      </c>
      <c r="K193" s="536" t="str">
        <f>STDLIGHTINEFCAT2[[#This Row],[Match]]&amp;"_"&amp;STDLIGHTINEFCAT2[[#This Row],[Options]]</f>
        <v>T12_Ext &lt;175_2L T12 4' 60W</v>
      </c>
      <c r="L193" s="536" t="s">
        <v>2358</v>
      </c>
      <c r="M193" s="536">
        <v>120</v>
      </c>
      <c r="N193" s="536">
        <v>133</v>
      </c>
      <c r="O193" s="54">
        <v>55</v>
      </c>
      <c r="P193" s="581"/>
    </row>
    <row r="194" spans="9:16">
      <c r="I194" s="517" t="s">
        <v>2281</v>
      </c>
      <c r="J194" s="517" t="str">
        <f>"T12_"&amp;STDLIGHTINEFCAT2[[#This Row],[Ineff DropDown 2]]</f>
        <v>T12_Ext &lt;175</v>
      </c>
      <c r="K194" s="536" t="str">
        <f>STDLIGHTINEFCAT2[[#This Row],[Match]]&amp;"_"&amp;STDLIGHTINEFCAT2[[#This Row],[Options]]</f>
        <v>T12_Ext &lt;175_1L T12 4' 116W</v>
      </c>
      <c r="L194" s="536" t="s">
        <v>2361</v>
      </c>
      <c r="M194" s="536">
        <v>116</v>
      </c>
      <c r="N194" s="536">
        <v>130</v>
      </c>
      <c r="O194" s="54">
        <v>56</v>
      </c>
      <c r="P194" s="54"/>
    </row>
    <row r="195" spans="9:16">
      <c r="I195" s="517" t="s">
        <v>2281</v>
      </c>
      <c r="J195" s="517" t="str">
        <f>"T12_"&amp;STDLIGHTINEFCAT2[[#This Row],[Ineff DropDown 2]]</f>
        <v>T12_Ext &lt;175</v>
      </c>
      <c r="K195" s="536" t="str">
        <f>STDLIGHTINEFCAT2[[#This Row],[Match]]&amp;"_"&amp;STDLIGHTINEFCAT2[[#This Row],[Options]]</f>
        <v>T12_Ext &lt;175_----6 ft Lamps----</v>
      </c>
      <c r="L195" s="542" t="s">
        <v>2406</v>
      </c>
      <c r="M195" s="542"/>
      <c r="N195" s="536"/>
      <c r="O195" s="54">
        <v>57</v>
      </c>
      <c r="P195" s="492"/>
    </row>
    <row r="196" spans="9:16">
      <c r="I196" s="517" t="s">
        <v>2281</v>
      </c>
      <c r="J196" s="517" t="str">
        <f>"T12_"&amp;STDLIGHTINEFCAT2[[#This Row],[Ineff DropDown 2]]</f>
        <v>T12_Ext &lt;175</v>
      </c>
      <c r="K196" s="536" t="str">
        <f>STDLIGHTINEFCAT2[[#This Row],[Match]]&amp;"_"&amp;STDLIGHTINEFCAT2[[#This Row],[Options]]</f>
        <v>T12_Ext &lt;175_1L T12 6' 168W</v>
      </c>
      <c r="L196" s="536" t="s">
        <v>2372</v>
      </c>
      <c r="M196" s="536">
        <v>168</v>
      </c>
      <c r="N196" s="536">
        <v>169</v>
      </c>
      <c r="O196" s="54">
        <v>58</v>
      </c>
      <c r="P196" s="54"/>
    </row>
    <row r="197" spans="9:16">
      <c r="I197" s="517" t="s">
        <v>2281</v>
      </c>
      <c r="J197" s="517" t="str">
        <f>"T12_"&amp;STDLIGHTINEFCAT2[[#This Row],[Ineff DropDown 2]]</f>
        <v>T12_Ext &lt;175</v>
      </c>
      <c r="K197" s="536" t="str">
        <f>STDLIGHTINEFCAT2[[#This Row],[Match]]&amp;"_"&amp;STDLIGHTINEFCAT2[[#This Row],[Options]]</f>
        <v>T12_Ext &lt;175_1L T12 6' 57W</v>
      </c>
      <c r="L197" s="536" t="s">
        <v>2375</v>
      </c>
      <c r="M197" s="536">
        <v>57</v>
      </c>
      <c r="N197" s="536">
        <v>80</v>
      </c>
      <c r="O197" s="54">
        <v>59</v>
      </c>
      <c r="P197" s="54"/>
    </row>
    <row r="198" spans="9:16">
      <c r="I198" s="517" t="s">
        <v>2281</v>
      </c>
      <c r="J198" s="517" t="str">
        <f>"T12_"&amp;STDLIGHTINEFCAT2[[#This Row],[Ineff DropDown 2]]</f>
        <v>T12_Ext &lt;175</v>
      </c>
      <c r="K198" s="536" t="str">
        <f>STDLIGHTINEFCAT2[[#This Row],[Match]]&amp;"_"&amp;STDLIGHTINEFCAT2[[#This Row],[Options]]</f>
        <v>T12_Ext &lt;175_2L T12 6' 57W</v>
      </c>
      <c r="L198" s="536" t="s">
        <v>2376</v>
      </c>
      <c r="M198" s="536">
        <f>57*2</f>
        <v>114</v>
      </c>
      <c r="N198" s="536">
        <v>122</v>
      </c>
      <c r="O198" s="54">
        <v>60</v>
      </c>
      <c r="P198" s="54"/>
    </row>
    <row r="199" spans="9:16">
      <c r="I199" s="517" t="s">
        <v>2281</v>
      </c>
      <c r="J199" s="517" t="str">
        <f>"T12_"&amp;STDLIGHTINEFCAT2[[#This Row],[Ineff DropDown 2]]</f>
        <v>T12_Ext &lt;175</v>
      </c>
      <c r="K199" s="536" t="str">
        <f>STDLIGHTINEFCAT2[[#This Row],[Match]]&amp;"_"&amp;STDLIGHTINEFCAT2[[#This Row],[Options]]</f>
        <v>T12_Ext &lt;175_1L T12 6' 85W</v>
      </c>
      <c r="L199" s="536" t="s">
        <v>2377</v>
      </c>
      <c r="M199" s="536">
        <v>85</v>
      </c>
      <c r="N199" s="536">
        <v>106</v>
      </c>
      <c r="O199" s="54">
        <v>61</v>
      </c>
      <c r="P199" s="54"/>
    </row>
    <row r="200" spans="9:16">
      <c r="I200" s="517" t="s">
        <v>2281</v>
      </c>
      <c r="J200" s="517" t="str">
        <f>"T12_"&amp;STDLIGHTINEFCAT2[[#This Row],[Ineff DropDown 2]]</f>
        <v>T12_Ext &lt;175</v>
      </c>
      <c r="K200" s="536" t="str">
        <f>STDLIGHTINEFCAT2[[#This Row],[Match]]&amp;"_"&amp;STDLIGHTINEFCAT2[[#This Row],[Options]]</f>
        <v>T12_Ext &lt;175_2L T12 6' 85W</v>
      </c>
      <c r="L200" s="536" t="s">
        <v>2378</v>
      </c>
      <c r="M200" s="536">
        <f>2*85</f>
        <v>170</v>
      </c>
      <c r="N200" s="544">
        <v>190</v>
      </c>
      <c r="O200" s="54">
        <v>62</v>
      </c>
      <c r="P200" s="54"/>
    </row>
    <row r="201" spans="9:16">
      <c r="I201" s="517" t="s">
        <v>2281</v>
      </c>
      <c r="J201" s="517" t="str">
        <f>"T12_"&amp;STDLIGHTINEFCAT2[[#This Row],[Ineff DropDown 2]]</f>
        <v>T12_Ext &lt;175</v>
      </c>
      <c r="K201" s="536" t="str">
        <f>STDLIGHTINEFCAT2[[#This Row],[Match]]&amp;"_"&amp;STDLIGHTINEFCAT2[[#This Row],[Options]]</f>
        <v>T12_Ext &lt;175_----8 ft Lamps----</v>
      </c>
      <c r="L201" s="542" t="s">
        <v>2408</v>
      </c>
      <c r="M201" s="542"/>
      <c r="N201" s="536"/>
      <c r="O201" s="54">
        <v>63</v>
      </c>
      <c r="P201" s="492"/>
    </row>
    <row r="202" spans="9:16">
      <c r="I202" s="517" t="s">
        <v>2281</v>
      </c>
      <c r="J202" s="517" t="str">
        <f>"T12_"&amp;STDLIGHTINEFCAT2[[#This Row],[Ineff DropDown 2]]</f>
        <v>T12_Ext &lt;175</v>
      </c>
      <c r="K202" s="536" t="str">
        <f>STDLIGHTINEFCAT2[[#This Row],[Match]]&amp;"_"&amp;STDLIGHTINEFCAT2[[#This Row],[Options]]</f>
        <v>T12_Ext &lt;175_1L T12 8' 60W</v>
      </c>
      <c r="L202" s="536" t="s">
        <v>2386</v>
      </c>
      <c r="M202" s="536">
        <v>60</v>
      </c>
      <c r="N202" s="536">
        <v>74</v>
      </c>
      <c r="O202" s="54">
        <v>64</v>
      </c>
      <c r="P202" s="54"/>
    </row>
    <row r="203" spans="9:16">
      <c r="I203" s="517" t="s">
        <v>2281</v>
      </c>
      <c r="J203" s="517" t="str">
        <f>"T12_"&amp;STDLIGHTINEFCAT2[[#This Row],[Ineff DropDown 2]]</f>
        <v>T12_Ext &lt;175</v>
      </c>
      <c r="K203" s="536" t="str">
        <f>STDLIGHTINEFCAT2[[#This Row],[Match]]&amp;"_"&amp;STDLIGHTINEFCAT2[[#This Row],[Options]]</f>
        <v>T12_Ext &lt;175_2L T12 8' 60W</v>
      </c>
      <c r="L203" s="536" t="s">
        <v>2387</v>
      </c>
      <c r="M203" s="536">
        <v>120</v>
      </c>
      <c r="N203" s="536">
        <v>113</v>
      </c>
      <c r="O203" s="54">
        <v>65</v>
      </c>
      <c r="P203" s="54"/>
    </row>
    <row r="204" spans="9:16">
      <c r="I204" s="517" t="s">
        <v>2281</v>
      </c>
      <c r="J204" s="517" t="str">
        <f>"T12_"&amp;STDLIGHTINEFCAT2[[#This Row],[Ineff DropDown 2]]</f>
        <v>T12_Ext &lt;175</v>
      </c>
      <c r="K204" s="536" t="str">
        <f>STDLIGHTINEFCAT2[[#This Row],[Match]]&amp;"_"&amp;STDLIGHTINEFCAT2[[#This Row],[Options]]</f>
        <v>T12_Ext &lt;175_1L T12 8' 75W</v>
      </c>
      <c r="L204" s="536" t="s">
        <v>2389</v>
      </c>
      <c r="M204" s="536">
        <v>75</v>
      </c>
      <c r="N204" s="536">
        <v>94</v>
      </c>
      <c r="O204" s="54">
        <v>66</v>
      </c>
      <c r="P204" s="54"/>
    </row>
    <row r="205" spans="9:16">
      <c r="I205" s="517" t="s">
        <v>2281</v>
      </c>
      <c r="J205" s="517" t="str">
        <f>"T12_"&amp;STDLIGHTINEFCAT2[[#This Row],[Ineff DropDown 2]]</f>
        <v>T12_Ext &lt;175</v>
      </c>
      <c r="K205" s="538" t="str">
        <f>STDLIGHTINEFCAT2[[#This Row],[Match]]&amp;"_"&amp;STDLIGHTINEFCAT2[[#This Row],[Options]]</f>
        <v>T12_Ext &lt;175_2L T12 8' 75W</v>
      </c>
      <c r="L205" s="538" t="s">
        <v>2390</v>
      </c>
      <c r="M205" s="538">
        <f>2*75</f>
        <v>150</v>
      </c>
      <c r="N205" s="536">
        <v>145</v>
      </c>
      <c r="O205" s="54">
        <v>67</v>
      </c>
      <c r="P205" s="54"/>
    </row>
    <row r="206" spans="9:16">
      <c r="I206" s="517" t="s">
        <v>2281</v>
      </c>
      <c r="J206" s="517" t="str">
        <f>"T12_"&amp;STDLIGHTINEFCAT2[[#This Row],[Ineff DropDown 2]]</f>
        <v>T12_Ext &lt;175</v>
      </c>
      <c r="K206" s="538" t="str">
        <f>STDLIGHTINEFCAT2[[#This Row],[Match]]&amp;"_"&amp;STDLIGHTINEFCAT2[[#This Row],[Options]]</f>
        <v>T12_Ext &lt;175_1L T12 8' 95W</v>
      </c>
      <c r="L206" s="538" t="s">
        <v>2391</v>
      </c>
      <c r="M206" s="538">
        <v>95</v>
      </c>
      <c r="N206" s="536">
        <v>125</v>
      </c>
      <c r="O206" s="54">
        <v>68</v>
      </c>
      <c r="P206" s="54"/>
    </row>
    <row r="207" spans="9:16">
      <c r="I207" s="517" t="s">
        <v>2281</v>
      </c>
      <c r="J207" s="517" t="str">
        <f>"T12_"&amp;STDLIGHTINEFCAT2[[#This Row],[Ineff DropDown 2]]</f>
        <v>T12_Ext &lt;175</v>
      </c>
      <c r="K207" s="538" t="str">
        <f>STDLIGHTINEFCAT2[[#This Row],[Match]]&amp;"_"&amp;STDLIGHTINEFCAT2[[#This Row],[Options]]</f>
        <v>T12_Ext &lt;175_1L T12 8' 110W</v>
      </c>
      <c r="L207" s="538" t="s">
        <v>2393</v>
      </c>
      <c r="M207" s="538">
        <v>110</v>
      </c>
      <c r="N207" s="536">
        <v>140</v>
      </c>
      <c r="O207" s="54">
        <v>69</v>
      </c>
      <c r="P207" s="54"/>
    </row>
    <row r="208" spans="9:16">
      <c r="I208" s="517" t="s">
        <v>2282</v>
      </c>
      <c r="J208" s="517" t="str">
        <f>"T12_"&amp;STDLIGHTINEFCAT2[[#This Row],[Ineff DropDown 2]]</f>
        <v>T12_Ext 175-250</v>
      </c>
      <c r="K208" s="538" t="str">
        <f>STDLIGHTINEFCAT2[[#This Row],[Match]]&amp;"_"&amp;STDLIGHTINEFCAT2[[#This Row],[Options]]</f>
        <v>T12_Ext 175-250_----3 ft Lamps----</v>
      </c>
      <c r="L208" s="545" t="s">
        <v>2403</v>
      </c>
      <c r="M208" s="545"/>
      <c r="N208" s="544"/>
      <c r="O208" s="54">
        <v>139</v>
      </c>
      <c r="P208" s="54"/>
    </row>
    <row r="209" spans="9:16">
      <c r="I209" s="517" t="s">
        <v>2282</v>
      </c>
      <c r="J209" s="517" t="str">
        <f>"T12_"&amp;STDLIGHTINEFCAT2[[#This Row],[Ineff DropDown 2]]</f>
        <v>T12_Ext 175-250</v>
      </c>
      <c r="K209" s="538" t="str">
        <f>STDLIGHTINEFCAT2[[#This Row],[Match]]&amp;"_"&amp;STDLIGHTINEFCAT2[[#This Row],[Options]]</f>
        <v>T12_Ext 175-250_4L T12 3' 50W</v>
      </c>
      <c r="L209" s="538" t="s">
        <v>2346</v>
      </c>
      <c r="M209" s="538">
        <f>4*50</f>
        <v>200</v>
      </c>
      <c r="N209" s="544">
        <v>212</v>
      </c>
      <c r="O209" s="54">
        <v>140</v>
      </c>
      <c r="P209" s="492"/>
    </row>
    <row r="210" spans="9:16">
      <c r="I210" s="517" t="s">
        <v>2282</v>
      </c>
      <c r="J210" s="517" t="str">
        <f>"T12_"&amp;STDLIGHTINEFCAT2[[#This Row],[Ineff DropDown 2]]</f>
        <v>T12_Ext 175-250</v>
      </c>
      <c r="K210" s="538" t="str">
        <f>STDLIGHTINEFCAT2[[#This Row],[Match]]&amp;"_"&amp;STDLIGHTINEFCAT2[[#This Row],[Options]]</f>
        <v>T12_Ext 175-250_----4 ft Lamps----</v>
      </c>
      <c r="L210" s="545" t="s">
        <v>2404</v>
      </c>
      <c r="M210" s="545"/>
      <c r="N210" s="544"/>
      <c r="O210" s="54">
        <v>141</v>
      </c>
      <c r="P210" s="492"/>
    </row>
    <row r="211" spans="9:16">
      <c r="I211" s="517" t="s">
        <v>2282</v>
      </c>
      <c r="J211" s="517" t="str">
        <f>"T12_"&amp;STDLIGHTINEFCAT2[[#This Row],[Ineff DropDown 2]]</f>
        <v>T12_Ext 175-250</v>
      </c>
      <c r="K211" s="538" t="str">
        <f>STDLIGHTINEFCAT2[[#This Row],[Match]]&amp;"_"&amp;STDLIGHTINEFCAT2[[#This Row],[Options]]</f>
        <v>T12_Ext 175-250_3L T12 4' 60W</v>
      </c>
      <c r="L211" s="538" t="s">
        <v>2359</v>
      </c>
      <c r="M211" s="538">
        <f>3*60</f>
        <v>180</v>
      </c>
      <c r="N211" s="544">
        <v>204</v>
      </c>
      <c r="O211" s="54">
        <v>142</v>
      </c>
      <c r="P211" s="492"/>
    </row>
    <row r="212" spans="9:16">
      <c r="I212" s="517" t="s">
        <v>2282</v>
      </c>
      <c r="J212" s="517" t="str">
        <f>"T12_"&amp;STDLIGHTINEFCAT2[[#This Row],[Ineff DropDown 2]]</f>
        <v>T12_Ext 175-250</v>
      </c>
      <c r="K212" s="538" t="str">
        <f>STDLIGHTINEFCAT2[[#This Row],[Match]]&amp;"_"&amp;STDLIGHTINEFCAT2[[#This Row],[Options]]</f>
        <v>T12_Ext 175-250_4L T12 4' 60W</v>
      </c>
      <c r="L212" s="519" t="s">
        <v>2360</v>
      </c>
      <c r="M212" s="519">
        <f>4*60</f>
        <v>240</v>
      </c>
      <c r="N212" s="556">
        <v>263</v>
      </c>
      <c r="O212" s="54">
        <v>143</v>
      </c>
      <c r="P212" s="54"/>
    </row>
    <row r="213" spans="9:16">
      <c r="I213" s="517" t="s">
        <v>2282</v>
      </c>
      <c r="J213" s="517" t="str">
        <f>"T12_"&amp;STDLIGHTINEFCAT2[[#This Row],[Ineff DropDown 2]]</f>
        <v>T12_Ext 175-250</v>
      </c>
      <c r="K213" s="538" t="str">
        <f>STDLIGHTINEFCAT2[[#This Row],[Match]]&amp;"_"&amp;STDLIGHTINEFCAT2[[#This Row],[Options]]</f>
        <v>T12_Ext 175-250_2L T12 4' 116W</v>
      </c>
      <c r="L213" s="538" t="s">
        <v>2362</v>
      </c>
      <c r="M213" s="538">
        <f>2*116</f>
        <v>232</v>
      </c>
      <c r="N213" s="544">
        <v>230</v>
      </c>
      <c r="O213" s="54">
        <v>144</v>
      </c>
      <c r="P213" s="492"/>
    </row>
    <row r="214" spans="9:16">
      <c r="I214" s="517" t="s">
        <v>2282</v>
      </c>
      <c r="J214" s="517" t="str">
        <f>"T12_"&amp;STDLIGHTINEFCAT2[[#This Row],[Ineff DropDown 2]]</f>
        <v>T12_Ext 175-250</v>
      </c>
      <c r="K214" s="538" t="str">
        <f>STDLIGHTINEFCAT2[[#This Row],[Match]]&amp;"_"&amp;STDLIGHTINEFCAT2[[#This Row],[Options]]</f>
        <v>T12_Ext 175-250_----8 ft Lamps----</v>
      </c>
      <c r="L214" s="545" t="s">
        <v>2408</v>
      </c>
      <c r="M214" s="545"/>
      <c r="N214" s="544"/>
      <c r="O214" s="54">
        <v>145</v>
      </c>
      <c r="P214" s="492"/>
    </row>
    <row r="215" spans="9:16">
      <c r="I215" s="517" t="s">
        <v>2282</v>
      </c>
      <c r="J215" s="517" t="str">
        <f>"T12_"&amp;STDLIGHTINEFCAT2[[#This Row],[Ineff DropDown 2]]</f>
        <v>T12_Ext 175-250</v>
      </c>
      <c r="K215" s="538" t="str">
        <f>STDLIGHTINEFCAT2[[#This Row],[Match]]&amp;"_"&amp;STDLIGHTINEFCAT2[[#This Row],[Options]]</f>
        <v>T12_Ext 175-250_4L T12 8' 60W</v>
      </c>
      <c r="L215" s="538" t="s">
        <v>2388</v>
      </c>
      <c r="M215" s="538">
        <f>4*60</f>
        <v>240</v>
      </c>
      <c r="N215" s="544">
        <v>246</v>
      </c>
      <c r="O215" s="54">
        <v>146</v>
      </c>
      <c r="P215" s="492"/>
    </row>
    <row r="216" spans="9:16">
      <c r="I216" s="517" t="s">
        <v>2282</v>
      </c>
      <c r="J216" s="517" t="str">
        <f>"T12_"&amp;STDLIGHTINEFCAT2[[#This Row],[Ineff DropDown 2]]</f>
        <v>T12_Ext 175-250</v>
      </c>
      <c r="K216" s="538" t="str">
        <f>STDLIGHTINEFCAT2[[#This Row],[Match]]&amp;"_"&amp;STDLIGHTINEFCAT2[[#This Row],[Options]]</f>
        <v>T12_Ext 175-250_2L T12 8' 95W</v>
      </c>
      <c r="L216" s="538" t="s">
        <v>2392</v>
      </c>
      <c r="M216" s="538">
        <f>2*95</f>
        <v>190</v>
      </c>
      <c r="N216" s="544">
        <v>216</v>
      </c>
      <c r="O216" s="54">
        <v>147</v>
      </c>
      <c r="P216" s="492"/>
    </row>
    <row r="217" spans="9:16">
      <c r="I217" s="517" t="s">
        <v>2282</v>
      </c>
      <c r="J217" s="517" t="str">
        <f>"T12_"&amp;STDLIGHTINEFCAT2[[#This Row],[Ineff DropDown 2]]</f>
        <v>T12_Ext 175-250</v>
      </c>
      <c r="K217" s="538" t="str">
        <f>STDLIGHTINEFCAT2[[#This Row],[Match]]&amp;"_"&amp;STDLIGHTINEFCAT2[[#This Row],[Options]]</f>
        <v>T12_Ext 175-250_2L T12 8' 110W</v>
      </c>
      <c r="L217" s="519" t="s">
        <v>2394</v>
      </c>
      <c r="M217" s="519">
        <f>2*110</f>
        <v>220</v>
      </c>
      <c r="N217" s="556">
        <v>258</v>
      </c>
      <c r="O217" s="54">
        <v>148</v>
      </c>
      <c r="P217" s="492"/>
    </row>
    <row r="218" spans="9:16">
      <c r="I218" s="517" t="s">
        <v>2282</v>
      </c>
      <c r="J218" s="517" t="str">
        <f>"T12_"&amp;STDLIGHTINEFCAT2[[#This Row],[Ineff DropDown 2]]</f>
        <v>T12_Ext 175-250</v>
      </c>
      <c r="K218" s="536" t="str">
        <f>STDLIGHTINEFCAT2[[#This Row],[Match]]&amp;"_"&amp;STDLIGHTINEFCAT2[[#This Row],[Options]]</f>
        <v>T12_Ext 175-250_1L T12 8' 185W</v>
      </c>
      <c r="L218" s="536" t="s">
        <v>2395</v>
      </c>
      <c r="M218" s="536">
        <v>185</v>
      </c>
      <c r="N218" s="544">
        <v>198</v>
      </c>
      <c r="O218" s="54">
        <v>149</v>
      </c>
      <c r="P218" s="492"/>
    </row>
    <row r="219" spans="9:16">
      <c r="I219" s="517" t="s">
        <v>2282</v>
      </c>
      <c r="J219" s="517" t="str">
        <f>"T12_"&amp;STDLIGHTINEFCAT2[[#This Row],[Ineff DropDown 2]]</f>
        <v>T12_Ext 175-250</v>
      </c>
      <c r="K219" s="536" t="str">
        <f>STDLIGHTINEFCAT2[[#This Row],[Match]]&amp;"_"&amp;STDLIGHTINEFCAT2[[#This Row],[Options]]</f>
        <v>T12_Ext 175-250_1L T12 8' 215W</v>
      </c>
      <c r="L219" s="538" t="s">
        <v>2398</v>
      </c>
      <c r="M219" s="536">
        <v>215</v>
      </c>
      <c r="N219" s="544">
        <v>213</v>
      </c>
      <c r="O219" s="54">
        <v>150</v>
      </c>
      <c r="P219" s="54"/>
    </row>
    <row r="220" spans="9:16">
      <c r="I220" s="517" t="s">
        <v>2283</v>
      </c>
      <c r="J220" s="517" t="str">
        <f>"T12_"&amp;STDLIGHTINEFCAT2[[#This Row],[Ineff DropDown 2]]</f>
        <v>T12_Ext 251-400</v>
      </c>
      <c r="K220" s="536" t="str">
        <f>STDLIGHTINEFCAT2[[#This Row],[Match]]&amp;"_"&amp;STDLIGHTINEFCAT2[[#This Row],[Options]]</f>
        <v>T12_Ext 251-400_----4 ft Lamps----</v>
      </c>
      <c r="L220" s="545" t="s">
        <v>2404</v>
      </c>
      <c r="M220" s="542"/>
      <c r="N220" s="536"/>
      <c r="O220" s="54">
        <v>166</v>
      </c>
      <c r="P220" s="492"/>
    </row>
    <row r="221" spans="9:16">
      <c r="I221" s="517" t="s">
        <v>2283</v>
      </c>
      <c r="J221" s="517" t="str">
        <f>"T12_"&amp;STDLIGHTINEFCAT2[[#This Row],[Ineff DropDown 2]]</f>
        <v>T12_Ext 251-400</v>
      </c>
      <c r="K221" s="536" t="str">
        <f>STDLIGHTINEFCAT2[[#This Row],[Match]]&amp;"_"&amp;STDLIGHTINEFCAT2[[#This Row],[Options]]</f>
        <v>T12_Ext 251-400_3L T12 4' 116W</v>
      </c>
      <c r="L221" s="519" t="s">
        <v>2363</v>
      </c>
      <c r="M221" s="519">
        <f>3*116</f>
        <v>348</v>
      </c>
      <c r="N221" s="556">
        <v>329</v>
      </c>
      <c r="O221" s="54">
        <v>167</v>
      </c>
      <c r="P221" s="54"/>
    </row>
    <row r="222" spans="9:16">
      <c r="I222" s="517" t="s">
        <v>2283</v>
      </c>
      <c r="J222" s="517" t="str">
        <f>"T12_"&amp;STDLIGHTINEFCAT2[[#This Row],[Ineff DropDown 2]]</f>
        <v>T12_Ext 251-400</v>
      </c>
      <c r="K222" s="536" t="str">
        <f>STDLIGHTINEFCAT2[[#This Row],[Match]]&amp;"_"&amp;STDLIGHTINEFCAT2[[#This Row],[Options]]</f>
        <v>T12_Ext 251-400_----6 ft Lamps----</v>
      </c>
      <c r="L222" s="545" t="s">
        <v>2406</v>
      </c>
      <c r="M222" s="545"/>
      <c r="N222" s="556"/>
      <c r="O222" s="54">
        <v>168</v>
      </c>
      <c r="P222" s="492"/>
    </row>
    <row r="223" spans="9:16">
      <c r="I223" s="517" t="s">
        <v>2283</v>
      </c>
      <c r="J223" s="517" t="str">
        <f>"T12_"&amp;STDLIGHTINEFCAT2[[#This Row],[Ineff DropDown 2]]</f>
        <v>T12_Ext 251-400</v>
      </c>
      <c r="K223" s="540" t="str">
        <f>STDLIGHTINEFCAT2[[#This Row],[Match]]&amp;"_"&amp;STDLIGHTINEFCAT2[[#This Row],[Options]]</f>
        <v>T12_Ext 251-400_2L T12 6' 168W</v>
      </c>
      <c r="L223" s="519" t="s">
        <v>2373</v>
      </c>
      <c r="M223" s="519">
        <f>2*168</f>
        <v>336</v>
      </c>
      <c r="N223" s="580">
        <v>314</v>
      </c>
      <c r="O223" s="54">
        <v>169</v>
      </c>
      <c r="P223" s="492"/>
    </row>
    <row r="224" spans="9:16">
      <c r="I224" s="517" t="s">
        <v>2283</v>
      </c>
      <c r="J224" s="517" t="str">
        <f>"T12_"&amp;STDLIGHTINEFCAT2[[#This Row],[Ineff DropDown 2]]</f>
        <v>T12_Ext 251-400</v>
      </c>
      <c r="K224" s="540" t="str">
        <f>STDLIGHTINEFCAT2[[#This Row],[Match]]&amp;"_"&amp;STDLIGHTINEFCAT2[[#This Row],[Options]]</f>
        <v>T12_Ext 251-400_3L T12 6' 85W</v>
      </c>
      <c r="L224" s="519" t="s">
        <v>2379</v>
      </c>
      <c r="M224" s="519">
        <f>3*85</f>
        <v>255</v>
      </c>
      <c r="N224" s="556">
        <v>291</v>
      </c>
      <c r="O224" s="54">
        <v>170</v>
      </c>
      <c r="P224" s="492"/>
    </row>
    <row r="225" spans="9:16">
      <c r="I225" s="517" t="s">
        <v>2283</v>
      </c>
      <c r="J225" s="517" t="str">
        <f>"T12_"&amp;STDLIGHTINEFCAT2[[#This Row],[Ineff DropDown 2]]</f>
        <v>T12_Ext 251-400</v>
      </c>
      <c r="K225" s="540" t="str">
        <f>STDLIGHTINEFCAT2[[#This Row],[Match]]&amp;"_"&amp;STDLIGHTINEFCAT2[[#This Row],[Options]]</f>
        <v>T12_Ext 251-400_4L T12 6' 85W</v>
      </c>
      <c r="L225" s="546" t="s">
        <v>2380</v>
      </c>
      <c r="M225" s="519">
        <f>4*85</f>
        <v>340</v>
      </c>
      <c r="N225" s="556">
        <v>323</v>
      </c>
      <c r="O225" s="54">
        <v>171</v>
      </c>
      <c r="P225" s="492"/>
    </row>
    <row r="226" spans="9:16">
      <c r="I226" s="517" t="s">
        <v>2283</v>
      </c>
      <c r="J226" s="517" t="str">
        <f>"T12_"&amp;STDLIGHTINEFCAT2[[#This Row],[Ineff DropDown 2]]</f>
        <v>T12_Ext 251-400</v>
      </c>
      <c r="K226" s="540" t="str">
        <f>STDLIGHTINEFCAT2[[#This Row],[Match]]&amp;"_"&amp;STDLIGHTINEFCAT2[[#This Row],[Options]]</f>
        <v>T12_Ext 251-400_----8 ft Lamps----</v>
      </c>
      <c r="L226" s="542" t="s">
        <v>2408</v>
      </c>
      <c r="M226" s="545"/>
      <c r="N226" s="556"/>
      <c r="O226" s="54">
        <v>172</v>
      </c>
      <c r="P226" s="492"/>
    </row>
    <row r="227" spans="9:16">
      <c r="I227" s="517" t="s">
        <v>2283</v>
      </c>
      <c r="J227" s="517" t="str">
        <f>"T12_"&amp;STDLIGHTINEFCAT2[[#This Row],[Ineff DropDown 2]]</f>
        <v>T12_Ext 251-400</v>
      </c>
      <c r="K227" s="540" t="str">
        <f>STDLIGHTINEFCAT2[[#This Row],[Match]]&amp;"_"&amp;STDLIGHTINEFCAT2[[#This Row],[Options]]</f>
        <v>T12_Ext 251-400_2L T12 8' 185W</v>
      </c>
      <c r="L227" s="546" t="s">
        <v>2396</v>
      </c>
      <c r="M227" s="546">
        <f>2*185</f>
        <v>370</v>
      </c>
      <c r="N227" s="556">
        <v>398</v>
      </c>
      <c r="O227" s="54">
        <v>173</v>
      </c>
      <c r="P227" s="492"/>
    </row>
    <row r="228" spans="9:16">
      <c r="I228" s="496" t="s">
        <v>91</v>
      </c>
      <c r="J228" s="541" t="str">
        <f>"T12_"&amp;STDLIGHTINEFCAT2[[#This Row],[Ineff DropDown 2]]</f>
        <v>T12_Fixture</v>
      </c>
      <c r="K228" s="549" t="str">
        <f>STDLIGHTINEFCAT2[[#This Row],[Match]]&amp;"_"&amp;STDLIGHTINEFCAT2[[#This Row],[Options]]</f>
        <v>T12_Fixture_----2 ft Lamps----</v>
      </c>
      <c r="L228" s="542" t="s">
        <v>2402</v>
      </c>
      <c r="M228" s="542"/>
      <c r="N228" s="536"/>
      <c r="O228" s="54">
        <v>264</v>
      </c>
      <c r="P228" s="54"/>
    </row>
    <row r="229" spans="9:16">
      <c r="I229" s="496" t="s">
        <v>91</v>
      </c>
      <c r="J229" s="541" t="str">
        <f>"T12_"&amp;STDLIGHTINEFCAT2[[#This Row],[Ineff DropDown 2]]</f>
        <v>T12_Fixture</v>
      </c>
      <c r="K229" s="540" t="str">
        <f>STDLIGHTINEFCAT2[[#This Row],[Match]]&amp;"_"&amp;STDLIGHTINEFCAT2[[#This Row],[Options]]</f>
        <v>T12_Fixture_1L T12 2' 20W</v>
      </c>
      <c r="L229" s="536" t="s">
        <v>2323</v>
      </c>
      <c r="M229" s="536">
        <v>20</v>
      </c>
      <c r="N229" s="536">
        <v>21</v>
      </c>
      <c r="O229" s="54">
        <v>265</v>
      </c>
      <c r="P229" s="54"/>
    </row>
    <row r="230" spans="9:16">
      <c r="I230" s="496" t="s">
        <v>91</v>
      </c>
      <c r="J230" s="541" t="str">
        <f>"T12_"&amp;STDLIGHTINEFCAT2[[#This Row],[Ineff DropDown 2]]</f>
        <v>T12_Fixture</v>
      </c>
      <c r="K230" s="540" t="str">
        <f>STDLIGHTINEFCAT2[[#This Row],[Match]]&amp;"_"&amp;STDLIGHTINEFCAT2[[#This Row],[Options]]</f>
        <v>T12_Fixture_2L T12 2' 20W</v>
      </c>
      <c r="L230" s="536" t="s">
        <v>2324</v>
      </c>
      <c r="M230" s="536">
        <v>40</v>
      </c>
      <c r="N230" s="544">
        <v>53</v>
      </c>
      <c r="O230" s="54">
        <v>266</v>
      </c>
      <c r="P230" s="54"/>
    </row>
    <row r="231" spans="9:16">
      <c r="I231" s="496" t="s">
        <v>91</v>
      </c>
      <c r="J231" s="541" t="str">
        <f>"T12_"&amp;STDLIGHTINEFCAT2[[#This Row],[Ineff DropDown 2]]</f>
        <v>T12_Fixture</v>
      </c>
      <c r="K231" s="540" t="str">
        <f>STDLIGHTINEFCAT2[[#This Row],[Match]]&amp;"_"&amp;STDLIGHTINEFCAT2[[#This Row],[Options]]</f>
        <v>T12_Fixture_3L T12 2' 20W</v>
      </c>
      <c r="L231" s="536" t="s">
        <v>2325</v>
      </c>
      <c r="M231" s="536">
        <v>60</v>
      </c>
      <c r="N231" s="536">
        <v>64</v>
      </c>
      <c r="O231" s="54">
        <v>267</v>
      </c>
      <c r="P231" s="54"/>
    </row>
    <row r="232" spans="9:16">
      <c r="I232" s="496" t="s">
        <v>91</v>
      </c>
      <c r="J232" s="541" t="str">
        <f>"T12_"&amp;STDLIGHTINEFCAT2[[#This Row],[Ineff DropDown 2]]</f>
        <v>T12_Fixture</v>
      </c>
      <c r="K232" s="540" t="str">
        <f>STDLIGHTINEFCAT2[[#This Row],[Match]]&amp;"_"&amp;STDLIGHTINEFCAT2[[#This Row],[Options]]</f>
        <v>T12_Fixture_4L T12 2' 20W</v>
      </c>
      <c r="L232" s="536" t="s">
        <v>2326</v>
      </c>
      <c r="M232" s="536">
        <v>80</v>
      </c>
      <c r="N232" s="536">
        <v>91</v>
      </c>
      <c r="O232" s="54">
        <v>268</v>
      </c>
      <c r="P232" s="54"/>
    </row>
    <row r="233" spans="9:16">
      <c r="I233" s="496" t="s">
        <v>91</v>
      </c>
      <c r="J233" s="541" t="str">
        <f>"T12_"&amp;STDLIGHTINEFCAT2[[#This Row],[Ineff DropDown 2]]</f>
        <v>T12_Fixture</v>
      </c>
      <c r="K233" s="540" t="str">
        <f>STDLIGHTINEFCAT2[[#This Row],[Match]]&amp;"_"&amp;STDLIGHTINEFCAT2[[#This Row],[Options]]</f>
        <v>T12_Fixture_1L T12 2' 35W</v>
      </c>
      <c r="L233" s="536" t="s">
        <v>2327</v>
      </c>
      <c r="M233" s="536">
        <v>35</v>
      </c>
      <c r="N233" s="536">
        <v>64</v>
      </c>
      <c r="O233" s="54">
        <v>269</v>
      </c>
      <c r="P233" s="54"/>
    </row>
    <row r="234" spans="9:16">
      <c r="I234" s="496" t="s">
        <v>91</v>
      </c>
      <c r="J234" s="541" t="str">
        <f>"T12_"&amp;STDLIGHTINEFCAT2[[#This Row],[Ineff DropDown 2]]</f>
        <v>T12_Fixture</v>
      </c>
      <c r="K234" s="540" t="str">
        <f>STDLIGHTINEFCAT2[[#This Row],[Match]]&amp;"_"&amp;STDLIGHTINEFCAT2[[#This Row],[Options]]</f>
        <v>T12_Fixture_2L T12 2' 35W</v>
      </c>
      <c r="L234" s="536" t="s">
        <v>2328</v>
      </c>
      <c r="M234" s="536">
        <v>70</v>
      </c>
      <c r="N234" s="536">
        <v>95</v>
      </c>
      <c r="O234" s="54">
        <v>270</v>
      </c>
      <c r="P234" s="54"/>
    </row>
    <row r="235" spans="9:16">
      <c r="I235" s="496" t="s">
        <v>91</v>
      </c>
      <c r="J235" s="541" t="str">
        <f>"T12_"&amp;STDLIGHTINEFCAT2[[#This Row],[Ineff DropDown 2]]</f>
        <v>T12_Fixture</v>
      </c>
      <c r="K235" s="540" t="str">
        <f>STDLIGHTINEFCAT2[[#This Row],[Match]]&amp;"_"&amp;STDLIGHTINEFCAT2[[#This Row],[Options]]</f>
        <v>T12_Fixture_3L T12 2' 35W</v>
      </c>
      <c r="L235" s="536" t="s">
        <v>2329</v>
      </c>
      <c r="M235" s="536">
        <v>105</v>
      </c>
      <c r="N235" s="536">
        <v>148</v>
      </c>
      <c r="O235" s="54">
        <v>271</v>
      </c>
      <c r="P235" s="54"/>
    </row>
    <row r="236" spans="9:16">
      <c r="I236" s="496" t="s">
        <v>91</v>
      </c>
      <c r="J236" s="541" t="str">
        <f>"T12_"&amp;STDLIGHTINEFCAT2[[#This Row],[Ineff DropDown 2]]</f>
        <v>T12_Fixture</v>
      </c>
      <c r="K236" s="540" t="str">
        <f>STDLIGHTINEFCAT2[[#This Row],[Match]]&amp;"_"&amp;STDLIGHTINEFCAT2[[#This Row],[Options]]</f>
        <v>T12_Fixture_4L T12 2' 35W</v>
      </c>
      <c r="L236" s="540" t="s">
        <v>2330</v>
      </c>
      <c r="M236" s="536">
        <f>4*35</f>
        <v>140</v>
      </c>
      <c r="N236" s="540">
        <v>183</v>
      </c>
      <c r="O236" s="54">
        <v>272</v>
      </c>
      <c r="P236" s="54"/>
    </row>
    <row r="237" spans="9:16">
      <c r="I237" s="496" t="s">
        <v>91</v>
      </c>
      <c r="J237" s="541" t="str">
        <f>"T12_"&amp;STDLIGHTINEFCAT2[[#This Row],[Ineff DropDown 2]]</f>
        <v>T12_Fixture</v>
      </c>
      <c r="K237" s="540" t="str">
        <f>STDLIGHTINEFCAT2[[#This Row],[Match]]&amp;"_"&amp;STDLIGHTINEFCAT2[[#This Row],[Options]]</f>
        <v>T12_Fixture_----3 ft Lamps----</v>
      </c>
      <c r="L237" s="542" t="s">
        <v>2403</v>
      </c>
      <c r="M237" s="542"/>
      <c r="N237" s="536"/>
      <c r="O237" s="54">
        <v>273</v>
      </c>
      <c r="P237" s="54"/>
    </row>
    <row r="238" spans="9:16">
      <c r="I238" s="496" t="s">
        <v>91</v>
      </c>
      <c r="J238" s="541" t="str">
        <f>"T12_"&amp;STDLIGHTINEFCAT2[[#This Row],[Ineff DropDown 2]]</f>
        <v>T12_Fixture</v>
      </c>
      <c r="K238" s="540" t="str">
        <f>STDLIGHTINEFCAT2[[#This Row],[Match]]&amp;"_"&amp;STDLIGHTINEFCAT2[[#This Row],[Options]]</f>
        <v>T12_Fixture_1L T12 3' 21W</v>
      </c>
      <c r="L238" s="536" t="s">
        <v>2331</v>
      </c>
      <c r="M238" s="536">
        <v>21</v>
      </c>
      <c r="N238" s="536">
        <v>25</v>
      </c>
      <c r="O238" s="54">
        <v>274</v>
      </c>
      <c r="P238" s="54"/>
    </row>
    <row r="239" spans="9:16">
      <c r="I239" s="496" t="s">
        <v>91</v>
      </c>
      <c r="J239" s="541" t="str">
        <f>"T12_"&amp;STDLIGHTINEFCAT2[[#This Row],[Ineff DropDown 2]]</f>
        <v>T12_Fixture</v>
      </c>
      <c r="K239" s="540" t="str">
        <f>STDLIGHTINEFCAT2[[#This Row],[Match]]&amp;"_"&amp;STDLIGHTINEFCAT2[[#This Row],[Options]]</f>
        <v>T12_Fixture_2L T12 3' 21W</v>
      </c>
      <c r="L239" s="536" t="s">
        <v>2332</v>
      </c>
      <c r="M239" s="536">
        <v>42</v>
      </c>
      <c r="N239" s="536">
        <v>49</v>
      </c>
      <c r="O239" s="54">
        <v>275</v>
      </c>
      <c r="P239" s="54"/>
    </row>
    <row r="240" spans="9:16">
      <c r="I240" s="496" t="s">
        <v>91</v>
      </c>
      <c r="J240" s="541" t="str">
        <f>"T12_"&amp;STDLIGHTINEFCAT2[[#This Row],[Ineff DropDown 2]]</f>
        <v>T12_Fixture</v>
      </c>
      <c r="K240" s="549" t="str">
        <f>STDLIGHTINEFCAT2[[#This Row],[Match]]&amp;"_"&amp;STDLIGHTINEFCAT2[[#This Row],[Options]]</f>
        <v>T12_Fixture_1L T12 3' 24W</v>
      </c>
      <c r="L240" s="536" t="s">
        <v>2333</v>
      </c>
      <c r="M240" s="536">
        <v>24</v>
      </c>
      <c r="N240" s="536">
        <v>45</v>
      </c>
      <c r="O240" s="54">
        <v>276</v>
      </c>
      <c r="P240" s="54"/>
    </row>
    <row r="241" spans="9:16">
      <c r="I241" s="496" t="s">
        <v>91</v>
      </c>
      <c r="J241" s="541" t="str">
        <f>"T12_"&amp;STDLIGHTINEFCAT2[[#This Row],[Ineff DropDown 2]]</f>
        <v>T12_Fixture</v>
      </c>
      <c r="K241" s="549" t="str">
        <f>STDLIGHTINEFCAT2[[#This Row],[Match]]&amp;"_"&amp;STDLIGHTINEFCAT2[[#This Row],[Options]]</f>
        <v>T12_Fixture_2L T12 3' 24W</v>
      </c>
      <c r="L241" s="536" t="s">
        <v>2334</v>
      </c>
      <c r="M241" s="536">
        <v>48</v>
      </c>
      <c r="N241" s="536">
        <v>65</v>
      </c>
      <c r="O241" s="54">
        <v>277</v>
      </c>
      <c r="P241" s="54"/>
    </row>
    <row r="242" spans="9:16">
      <c r="I242" s="496" t="s">
        <v>91</v>
      </c>
      <c r="J242" s="541" t="str">
        <f>"T12_"&amp;STDLIGHTINEFCAT2[[#This Row],[Ineff DropDown 2]]</f>
        <v>T12_Fixture</v>
      </c>
      <c r="K242" s="549" t="str">
        <f>STDLIGHTINEFCAT2[[#This Row],[Match]]&amp;"_"&amp;STDLIGHTINEFCAT2[[#This Row],[Options]]</f>
        <v>T12_Fixture_1L T12 3' 25W</v>
      </c>
      <c r="L242" s="536" t="s">
        <v>2335</v>
      </c>
      <c r="M242" s="536">
        <v>25</v>
      </c>
      <c r="N242" s="536">
        <v>35</v>
      </c>
      <c r="O242" s="54">
        <v>278</v>
      </c>
      <c r="P242" s="54"/>
    </row>
    <row r="243" spans="9:16">
      <c r="I243" s="496" t="s">
        <v>91</v>
      </c>
      <c r="J243" s="541" t="str">
        <f>"T12_"&amp;STDLIGHTINEFCAT2[[#This Row],[Ineff DropDown 2]]</f>
        <v>T12_Fixture</v>
      </c>
      <c r="K243" s="549" t="str">
        <f>STDLIGHTINEFCAT2[[#This Row],[Match]]&amp;"_"&amp;STDLIGHTINEFCAT2[[#This Row],[Options]]</f>
        <v>T12_Fixture_2L T12 3' 25W</v>
      </c>
      <c r="L243" s="536" t="s">
        <v>2336</v>
      </c>
      <c r="M243" s="536">
        <v>50</v>
      </c>
      <c r="N243" s="536">
        <v>71</v>
      </c>
      <c r="O243" s="54">
        <v>279</v>
      </c>
      <c r="P243" s="54"/>
    </row>
    <row r="244" spans="9:16">
      <c r="I244" s="496" t="s">
        <v>91</v>
      </c>
      <c r="J244" s="541" t="str">
        <f>"T12_"&amp;STDLIGHTINEFCAT2[[#This Row],[Ineff DropDown 2]]</f>
        <v>T12_Fixture</v>
      </c>
      <c r="K244" s="549" t="str">
        <f>STDLIGHTINEFCAT2[[#This Row],[Match]]&amp;"_"&amp;STDLIGHTINEFCAT2[[#This Row],[Options]]</f>
        <v>T12_Fixture_3L T12 3' 25W</v>
      </c>
      <c r="L244" s="536" t="s">
        <v>2337</v>
      </c>
      <c r="M244" s="536">
        <v>75</v>
      </c>
      <c r="N244" s="536">
        <v>70</v>
      </c>
      <c r="O244" s="54">
        <v>280</v>
      </c>
      <c r="P244" s="54"/>
    </row>
    <row r="245" spans="9:16">
      <c r="I245" s="496" t="s">
        <v>91</v>
      </c>
      <c r="J245" s="541" t="str">
        <f>"T12_"&amp;STDLIGHTINEFCAT2[[#This Row],[Ineff DropDown 2]]</f>
        <v>T12_Fixture</v>
      </c>
      <c r="K245" s="549" t="str">
        <f>STDLIGHTINEFCAT2[[#This Row],[Match]]&amp;"_"&amp;STDLIGHTINEFCAT2[[#This Row],[Options]]</f>
        <v>T12_Fixture_4L T12 3' 25W</v>
      </c>
      <c r="L245" s="538" t="s">
        <v>2338</v>
      </c>
      <c r="M245" s="536">
        <v>100</v>
      </c>
      <c r="N245" s="538">
        <v>88</v>
      </c>
      <c r="O245" s="54">
        <v>281</v>
      </c>
      <c r="P245" s="54"/>
    </row>
    <row r="246" spans="9:16">
      <c r="I246" s="496" t="s">
        <v>91</v>
      </c>
      <c r="J246" s="541" t="str">
        <f>"T12_"&amp;STDLIGHTINEFCAT2[[#This Row],[Ineff DropDown 2]]</f>
        <v>T12_Fixture</v>
      </c>
      <c r="K246" s="549" t="str">
        <f>STDLIGHTINEFCAT2[[#This Row],[Match]]&amp;"_"&amp;STDLIGHTINEFCAT2[[#This Row],[Options]]</f>
        <v>T12_Fixture_1L T12 3' 30W</v>
      </c>
      <c r="L246" s="538" t="s">
        <v>2339</v>
      </c>
      <c r="M246" s="538">
        <v>30</v>
      </c>
      <c r="N246" s="538">
        <v>40</v>
      </c>
      <c r="O246" s="54">
        <v>282</v>
      </c>
      <c r="P246" s="54"/>
    </row>
    <row r="247" spans="9:16">
      <c r="I247" s="496" t="s">
        <v>91</v>
      </c>
      <c r="J247" s="541" t="str">
        <f>"T12_"&amp;STDLIGHTINEFCAT2[[#This Row],[Ineff DropDown 2]]</f>
        <v>T12_Fixture</v>
      </c>
      <c r="K247" s="549" t="str">
        <f>STDLIGHTINEFCAT2[[#This Row],[Match]]&amp;"_"&amp;STDLIGHTINEFCAT2[[#This Row],[Options]]</f>
        <v>T12_Fixture_2L T12 3' 30W</v>
      </c>
      <c r="L247" s="538" t="s">
        <v>2340</v>
      </c>
      <c r="M247" s="538">
        <v>60</v>
      </c>
      <c r="N247" s="538">
        <v>75</v>
      </c>
      <c r="O247" s="54">
        <v>283</v>
      </c>
      <c r="P247" s="54"/>
    </row>
    <row r="248" spans="9:16">
      <c r="I248" s="496" t="s">
        <v>91</v>
      </c>
      <c r="J248" s="541" t="str">
        <f>"T12_"&amp;STDLIGHTINEFCAT2[[#This Row],[Ineff DropDown 2]]</f>
        <v>T12_Fixture</v>
      </c>
      <c r="K248" s="549" t="str">
        <f>STDLIGHTINEFCAT2[[#This Row],[Match]]&amp;"_"&amp;STDLIGHTINEFCAT2[[#This Row],[Options]]</f>
        <v>T12_Fixture_3L T12 3' 30W</v>
      </c>
      <c r="L248" s="538" t="s">
        <v>2341</v>
      </c>
      <c r="M248" s="538">
        <v>90</v>
      </c>
      <c r="N248" s="538">
        <v>113</v>
      </c>
      <c r="O248" s="54">
        <v>284</v>
      </c>
      <c r="P248" s="54"/>
    </row>
    <row r="249" spans="9:16">
      <c r="I249" s="496" t="s">
        <v>91</v>
      </c>
      <c r="J249" s="541" t="str">
        <f>"T12_"&amp;STDLIGHTINEFCAT2[[#This Row],[Ineff DropDown 2]]</f>
        <v>T12_Fixture</v>
      </c>
      <c r="K249" s="549" t="str">
        <f>STDLIGHTINEFCAT2[[#This Row],[Match]]&amp;"_"&amp;STDLIGHTINEFCAT2[[#This Row],[Options]]</f>
        <v>T12_Fixture_4L T12 3' 30W</v>
      </c>
      <c r="L249" s="538" t="s">
        <v>2342</v>
      </c>
      <c r="M249" s="538">
        <v>120</v>
      </c>
      <c r="N249" s="538">
        <v>138</v>
      </c>
      <c r="O249" s="54">
        <v>285</v>
      </c>
      <c r="P249" s="54"/>
    </row>
    <row r="250" spans="9:16">
      <c r="I250" s="496" t="s">
        <v>91</v>
      </c>
      <c r="J250" s="541" t="str">
        <f>"T12_"&amp;STDLIGHTINEFCAT2[[#This Row],[Ineff DropDown 2]]</f>
        <v>T12_Fixture</v>
      </c>
      <c r="K250" s="549" t="str">
        <f>STDLIGHTINEFCAT2[[#This Row],[Match]]&amp;"_"&amp;STDLIGHTINEFCAT2[[#This Row],[Options]]</f>
        <v>T12_Fixture_1L T12 3' 50W</v>
      </c>
      <c r="L250" s="538" t="s">
        <v>2343</v>
      </c>
      <c r="M250" s="538">
        <v>50</v>
      </c>
      <c r="N250" s="538">
        <v>72</v>
      </c>
      <c r="O250" s="54">
        <v>286</v>
      </c>
      <c r="P250" s="54"/>
    </row>
    <row r="251" spans="9:16">
      <c r="I251" s="496" t="s">
        <v>91</v>
      </c>
      <c r="J251" s="541" t="str">
        <f>"T12_"&amp;STDLIGHTINEFCAT2[[#This Row],[Ineff DropDown 2]]</f>
        <v>T12_Fixture</v>
      </c>
      <c r="K251" s="549" t="str">
        <f>STDLIGHTINEFCAT2[[#This Row],[Match]]&amp;"_"&amp;STDLIGHTINEFCAT2[[#This Row],[Options]]</f>
        <v>T12_Fixture_2L T12 3' 50W</v>
      </c>
      <c r="L251" s="538" t="s">
        <v>2344</v>
      </c>
      <c r="M251" s="538">
        <v>100</v>
      </c>
      <c r="N251" s="538">
        <v>110</v>
      </c>
      <c r="O251" s="54">
        <v>287</v>
      </c>
      <c r="P251" s="54"/>
    </row>
    <row r="252" spans="9:16">
      <c r="I252" s="496" t="s">
        <v>91</v>
      </c>
      <c r="J252" s="541" t="str">
        <f>"T12_"&amp;STDLIGHTINEFCAT2[[#This Row],[Ineff DropDown 2]]</f>
        <v>T12_Fixture</v>
      </c>
      <c r="K252" s="549" t="str">
        <f>STDLIGHTINEFCAT2[[#This Row],[Match]]&amp;"_"&amp;STDLIGHTINEFCAT2[[#This Row],[Options]]</f>
        <v>T12_Fixture_3L T12 3' 50W</v>
      </c>
      <c r="L252" s="538" t="s">
        <v>2345</v>
      </c>
      <c r="M252" s="538">
        <v>150</v>
      </c>
      <c r="N252" s="538">
        <v>166</v>
      </c>
      <c r="O252" s="54">
        <v>288</v>
      </c>
      <c r="P252" s="54"/>
    </row>
    <row r="253" spans="9:16">
      <c r="I253" s="496" t="s">
        <v>91</v>
      </c>
      <c r="J253" s="541" t="str">
        <f>"T12_"&amp;STDLIGHTINEFCAT2[[#This Row],[Ineff DropDown 2]]</f>
        <v>T12_Fixture</v>
      </c>
      <c r="K253" s="549" t="str">
        <f>STDLIGHTINEFCAT2[[#This Row],[Match]]&amp;"_"&amp;STDLIGHTINEFCAT2[[#This Row],[Options]]</f>
        <v>T12_Fixture_4L T12 3' 50W</v>
      </c>
      <c r="L253" s="538" t="s">
        <v>2346</v>
      </c>
      <c r="M253" s="538">
        <f>4*50</f>
        <v>200</v>
      </c>
      <c r="N253" s="538">
        <v>212</v>
      </c>
      <c r="O253" s="54">
        <v>289</v>
      </c>
      <c r="P253" s="54"/>
    </row>
    <row r="254" spans="9:16">
      <c r="I254" s="496" t="s">
        <v>91</v>
      </c>
      <c r="J254" s="541" t="str">
        <f>"T12_"&amp;STDLIGHTINEFCAT2[[#This Row],[Ineff DropDown 2]]</f>
        <v>T12_Fixture</v>
      </c>
      <c r="K254" s="549" t="str">
        <f>STDLIGHTINEFCAT2[[#This Row],[Match]]&amp;"_"&amp;STDLIGHTINEFCAT2[[#This Row],[Options]]</f>
        <v>T12_Fixture_----4 ft Lamps----</v>
      </c>
      <c r="L254" s="542" t="s">
        <v>2404</v>
      </c>
      <c r="M254" s="545"/>
      <c r="N254" s="536"/>
      <c r="O254" s="54">
        <v>290</v>
      </c>
      <c r="P254" s="54"/>
    </row>
    <row r="255" spans="9:16">
      <c r="I255" s="496" t="s">
        <v>91</v>
      </c>
      <c r="J255" s="541" t="str">
        <f>"T12_"&amp;STDLIGHTINEFCAT2[[#This Row],[Ineff DropDown 2]]</f>
        <v>T12_Fixture</v>
      </c>
      <c r="K255" s="549" t="str">
        <f>STDLIGHTINEFCAT2[[#This Row],[Match]]&amp;"_"&amp;STDLIGHTINEFCAT2[[#This Row],[Options]]</f>
        <v>T12_Fixture_1L T12 4' 30W</v>
      </c>
      <c r="L255" s="538" t="s">
        <v>2347</v>
      </c>
      <c r="M255" s="538">
        <v>30</v>
      </c>
      <c r="N255" s="538">
        <v>49</v>
      </c>
      <c r="O255" s="54">
        <v>291</v>
      </c>
      <c r="P255" s="54"/>
    </row>
    <row r="256" spans="9:16">
      <c r="I256" s="496" t="s">
        <v>91</v>
      </c>
      <c r="J256" s="541" t="str">
        <f>"T12_"&amp;STDLIGHTINEFCAT2[[#This Row],[Ineff DropDown 2]]</f>
        <v>T12_Fixture</v>
      </c>
      <c r="K256" s="549" t="str">
        <f>STDLIGHTINEFCAT2[[#This Row],[Match]]&amp;"_"&amp;STDLIGHTINEFCAT2[[#This Row],[Options]]</f>
        <v>T12_Fixture_2L T12 4' 30W</v>
      </c>
      <c r="L256" s="538" t="s">
        <v>2348</v>
      </c>
      <c r="M256" s="538">
        <v>60</v>
      </c>
      <c r="N256" s="538">
        <v>80</v>
      </c>
      <c r="O256" s="54">
        <v>292</v>
      </c>
      <c r="P256" s="54"/>
    </row>
    <row r="257" spans="9:16">
      <c r="I257" s="496" t="s">
        <v>91</v>
      </c>
      <c r="J257" s="541" t="str">
        <f>"T12_"&amp;STDLIGHTINEFCAT2[[#This Row],[Ineff DropDown 2]]</f>
        <v>T12_Fixture</v>
      </c>
      <c r="K257" s="549" t="str">
        <f>STDLIGHTINEFCAT2[[#This Row],[Match]]&amp;"_"&amp;STDLIGHTINEFCAT2[[#This Row],[Options]]</f>
        <v>T12_Fixture_1L T12 4' 34W</v>
      </c>
      <c r="L257" s="538" t="s">
        <v>2349</v>
      </c>
      <c r="M257" s="538">
        <v>34</v>
      </c>
      <c r="N257" s="538">
        <v>45</v>
      </c>
      <c r="O257" s="54">
        <v>293</v>
      </c>
      <c r="P257" s="54"/>
    </row>
    <row r="258" spans="9:16">
      <c r="I258" s="496" t="s">
        <v>91</v>
      </c>
      <c r="J258" s="541" t="str">
        <f>"T12_"&amp;STDLIGHTINEFCAT2[[#This Row],[Ineff DropDown 2]]</f>
        <v>T12_Fixture</v>
      </c>
      <c r="K258" s="549" t="str">
        <f>STDLIGHTINEFCAT2[[#This Row],[Match]]&amp;"_"&amp;STDLIGHTINEFCAT2[[#This Row],[Options]]</f>
        <v>T12_Fixture_2L T12 4' 34W</v>
      </c>
      <c r="L258" s="538" t="s">
        <v>2350</v>
      </c>
      <c r="M258" s="538">
        <v>68</v>
      </c>
      <c r="N258" s="538">
        <v>84</v>
      </c>
      <c r="O258" s="54">
        <v>294</v>
      </c>
      <c r="P258" s="54"/>
    </row>
    <row r="259" spans="9:16">
      <c r="I259" s="496" t="s">
        <v>91</v>
      </c>
      <c r="J259" s="541" t="str">
        <f>"T12_"&amp;STDLIGHTINEFCAT2[[#This Row],[Ineff DropDown 2]]</f>
        <v>T12_Fixture</v>
      </c>
      <c r="K259" s="549" t="str">
        <f>STDLIGHTINEFCAT2[[#This Row],[Match]]&amp;"_"&amp;STDLIGHTINEFCAT2[[#This Row],[Options]]</f>
        <v>T12_Fixture_3L T12 4' 34W</v>
      </c>
      <c r="L259" s="538" t="s">
        <v>2351</v>
      </c>
      <c r="M259" s="538">
        <v>102</v>
      </c>
      <c r="N259" s="538">
        <v>127</v>
      </c>
      <c r="O259" s="54">
        <v>295</v>
      </c>
      <c r="P259" s="54"/>
    </row>
    <row r="260" spans="9:16">
      <c r="I260" s="496" t="s">
        <v>91</v>
      </c>
      <c r="J260" s="541" t="str">
        <f>"T12_"&amp;STDLIGHTINEFCAT2[[#This Row],[Ineff DropDown 2]]</f>
        <v>T12_Fixture</v>
      </c>
      <c r="K260" s="549" t="str">
        <f>STDLIGHTINEFCAT2[[#This Row],[Match]]&amp;"_"&amp;STDLIGHTINEFCAT2[[#This Row],[Options]]</f>
        <v>T12_Fixture_4L T12 4' 34W</v>
      </c>
      <c r="L260" s="538" t="s">
        <v>2352</v>
      </c>
      <c r="M260" s="538">
        <v>136</v>
      </c>
      <c r="N260" s="538">
        <v>156</v>
      </c>
      <c r="O260" s="54">
        <v>296</v>
      </c>
      <c r="P260" s="54"/>
    </row>
    <row r="261" spans="9:16">
      <c r="I261" s="496" t="s">
        <v>91</v>
      </c>
      <c r="J261" s="541" t="str">
        <f>"T12_"&amp;STDLIGHTINEFCAT2[[#This Row],[Ineff DropDown 2]]</f>
        <v>T12_Fixture</v>
      </c>
      <c r="K261" s="549" t="str">
        <f>STDLIGHTINEFCAT2[[#This Row],[Match]]&amp;"_"&amp;STDLIGHTINEFCAT2[[#This Row],[Options]]</f>
        <v>T12_Fixture_1L T12 4' 40W</v>
      </c>
      <c r="L261" s="538" t="s">
        <v>2353</v>
      </c>
      <c r="M261" s="538">
        <v>40</v>
      </c>
      <c r="N261" s="538">
        <v>51</v>
      </c>
      <c r="O261" s="54">
        <v>297</v>
      </c>
      <c r="P261" s="54"/>
    </row>
    <row r="262" spans="9:16">
      <c r="I262" s="496" t="s">
        <v>91</v>
      </c>
      <c r="J262" s="541" t="str">
        <f>"T12_"&amp;STDLIGHTINEFCAT2[[#This Row],[Ineff DropDown 2]]</f>
        <v>T12_Fixture</v>
      </c>
      <c r="K262" s="549" t="str">
        <f>STDLIGHTINEFCAT2[[#This Row],[Match]]&amp;"_"&amp;STDLIGHTINEFCAT2[[#This Row],[Options]]</f>
        <v>T12_Fixture_2L T12 4' 40W</v>
      </c>
      <c r="L262" s="536" t="s">
        <v>2354</v>
      </c>
      <c r="M262" s="536">
        <v>80</v>
      </c>
      <c r="N262" s="536">
        <v>97</v>
      </c>
      <c r="O262" s="54">
        <v>298</v>
      </c>
      <c r="P262" s="54"/>
    </row>
    <row r="263" spans="9:16">
      <c r="I263" s="496" t="s">
        <v>91</v>
      </c>
      <c r="J263" s="541" t="str">
        <f>"T12_"&amp;STDLIGHTINEFCAT2[[#This Row],[Ineff DropDown 2]]</f>
        <v>T12_Fixture</v>
      </c>
      <c r="K263" s="549" t="str">
        <f>STDLIGHTINEFCAT2[[#This Row],[Match]]&amp;"_"&amp;STDLIGHTINEFCAT2[[#This Row],[Options]]</f>
        <v>T12_Fixture_3L T12 4' 40W</v>
      </c>
      <c r="L263" s="538" t="s">
        <v>2355</v>
      </c>
      <c r="M263" s="538">
        <f>3*40</f>
        <v>120</v>
      </c>
      <c r="N263" s="538">
        <v>135</v>
      </c>
      <c r="O263" s="54">
        <v>299</v>
      </c>
      <c r="P263" s="54"/>
    </row>
    <row r="264" spans="9:16">
      <c r="I264" s="496" t="s">
        <v>91</v>
      </c>
      <c r="J264" s="541" t="str">
        <f>"T12_"&amp;STDLIGHTINEFCAT2[[#This Row],[Ineff DropDown 2]]</f>
        <v>T12_Fixture</v>
      </c>
      <c r="K264" s="548" t="str">
        <f>STDLIGHTINEFCAT2[[#This Row],[Match]]&amp;"_"&amp;STDLIGHTINEFCAT2[[#This Row],[Options]]</f>
        <v>T12_Fixture_4L T12 4' 40W</v>
      </c>
      <c r="L264" s="538" t="s">
        <v>2356</v>
      </c>
      <c r="M264" s="538">
        <f>4*40</f>
        <v>160</v>
      </c>
      <c r="N264" s="538">
        <v>175</v>
      </c>
      <c r="O264" s="54">
        <v>300</v>
      </c>
      <c r="P264" s="54"/>
    </row>
    <row r="265" spans="9:16">
      <c r="I265" s="496" t="s">
        <v>91</v>
      </c>
      <c r="J265" s="541" t="str">
        <f>"T12_"&amp;STDLIGHTINEFCAT2[[#This Row],[Ineff DropDown 2]]</f>
        <v>T12_Fixture</v>
      </c>
      <c r="K265" s="548" t="str">
        <f>STDLIGHTINEFCAT2[[#This Row],[Match]]&amp;"_"&amp;STDLIGHTINEFCAT2[[#This Row],[Options]]</f>
        <v>T12_Fixture_1L T12 4' 60W</v>
      </c>
      <c r="L265" s="536" t="s">
        <v>2357</v>
      </c>
      <c r="M265" s="538">
        <v>60</v>
      </c>
      <c r="N265" s="538">
        <v>82</v>
      </c>
      <c r="O265" s="54">
        <v>301</v>
      </c>
      <c r="P265" s="54"/>
    </row>
    <row r="266" spans="9:16">
      <c r="I266" s="496" t="s">
        <v>91</v>
      </c>
      <c r="J266" s="541" t="str">
        <f>"T12_"&amp;STDLIGHTINEFCAT2[[#This Row],[Ineff DropDown 2]]</f>
        <v>T12_Fixture</v>
      </c>
      <c r="K266" s="548" t="str">
        <f>STDLIGHTINEFCAT2[[#This Row],[Match]]&amp;"_"&amp;STDLIGHTINEFCAT2[[#This Row],[Options]]</f>
        <v>T12_Fixture_2L T12 4' 60W</v>
      </c>
      <c r="L266" s="538" t="s">
        <v>2358</v>
      </c>
      <c r="M266" s="538">
        <v>120</v>
      </c>
      <c r="N266" s="538">
        <v>133</v>
      </c>
      <c r="O266" s="54">
        <v>302</v>
      </c>
      <c r="P266" s="54"/>
    </row>
    <row r="267" spans="9:16">
      <c r="I267" s="496" t="s">
        <v>91</v>
      </c>
      <c r="J267" s="541" t="str">
        <f>"T12_"&amp;STDLIGHTINEFCAT2[[#This Row],[Ineff DropDown 2]]</f>
        <v>T12_Fixture</v>
      </c>
      <c r="K267" s="548" t="str">
        <f>STDLIGHTINEFCAT2[[#This Row],[Match]]&amp;"_"&amp;STDLIGHTINEFCAT2[[#This Row],[Options]]</f>
        <v>T12_Fixture_3L T12 4' 60W</v>
      </c>
      <c r="L267" s="538" t="s">
        <v>2359</v>
      </c>
      <c r="M267" s="538">
        <f>3*60</f>
        <v>180</v>
      </c>
      <c r="N267" s="538">
        <v>204</v>
      </c>
      <c r="O267" s="54">
        <v>303</v>
      </c>
      <c r="P267" s="54"/>
    </row>
    <row r="268" spans="9:16">
      <c r="I268" s="496" t="s">
        <v>91</v>
      </c>
      <c r="J268" s="541" t="str">
        <f>"T12_"&amp;STDLIGHTINEFCAT2[[#This Row],[Ineff DropDown 2]]</f>
        <v>T12_Fixture</v>
      </c>
      <c r="K268" s="548" t="str">
        <f>STDLIGHTINEFCAT2[[#This Row],[Match]]&amp;"_"&amp;STDLIGHTINEFCAT2[[#This Row],[Options]]</f>
        <v>T12_Fixture_4L T12 4' 60W</v>
      </c>
      <c r="L268" s="538" t="s">
        <v>2360</v>
      </c>
      <c r="M268" s="519">
        <f>4*60</f>
        <v>240</v>
      </c>
      <c r="N268" s="538">
        <v>263</v>
      </c>
      <c r="O268" s="54">
        <v>304</v>
      </c>
      <c r="P268" s="54"/>
    </row>
    <row r="269" spans="9:16">
      <c r="I269" s="496" t="s">
        <v>91</v>
      </c>
      <c r="J269" s="541" t="str">
        <f>"T12_"&amp;STDLIGHTINEFCAT2[[#This Row],[Ineff DropDown 2]]</f>
        <v>T12_Fixture</v>
      </c>
      <c r="K269" s="548" t="str">
        <f>STDLIGHTINEFCAT2[[#This Row],[Match]]&amp;"_"&amp;STDLIGHTINEFCAT2[[#This Row],[Options]]</f>
        <v>T12_Fixture_1L T12 4' 116W</v>
      </c>
      <c r="L269" s="538" t="s">
        <v>2361</v>
      </c>
      <c r="M269" s="538">
        <v>116</v>
      </c>
      <c r="N269" s="538">
        <v>130</v>
      </c>
      <c r="O269" s="54">
        <v>305</v>
      </c>
      <c r="P269" s="54"/>
    </row>
    <row r="270" spans="9:16">
      <c r="I270" s="496" t="s">
        <v>91</v>
      </c>
      <c r="J270" s="541" t="str">
        <f>"T12_"&amp;STDLIGHTINEFCAT2[[#This Row],[Ineff DropDown 2]]</f>
        <v>T12_Fixture</v>
      </c>
      <c r="K270" s="548" t="str">
        <f>STDLIGHTINEFCAT2[[#This Row],[Match]]&amp;"_"&amp;STDLIGHTINEFCAT2[[#This Row],[Options]]</f>
        <v>T12_Fixture_2L T12 4' 116W</v>
      </c>
      <c r="L270" s="538" t="s">
        <v>2362</v>
      </c>
      <c r="M270" s="538">
        <f>2*116</f>
        <v>232</v>
      </c>
      <c r="N270" s="538">
        <v>230</v>
      </c>
      <c r="O270" s="54">
        <v>306</v>
      </c>
      <c r="P270" s="54"/>
    </row>
    <row r="271" spans="9:16">
      <c r="I271" s="496" t="s">
        <v>91</v>
      </c>
      <c r="J271" s="541" t="str">
        <f>"T12_"&amp;STDLIGHTINEFCAT2[[#This Row],[Ineff DropDown 2]]</f>
        <v>T12_Fixture</v>
      </c>
      <c r="K271" s="548" t="str">
        <f>STDLIGHTINEFCAT2[[#This Row],[Match]]&amp;"_"&amp;STDLIGHTINEFCAT2[[#This Row],[Options]]</f>
        <v>T12_Fixture_3L T12 4' 116W</v>
      </c>
      <c r="L271" s="536" t="s">
        <v>2363</v>
      </c>
      <c r="M271" s="519">
        <f>3*116</f>
        <v>348</v>
      </c>
      <c r="N271" s="536">
        <v>329</v>
      </c>
      <c r="O271" s="54">
        <v>307</v>
      </c>
      <c r="P271" s="54"/>
    </row>
    <row r="272" spans="9:16">
      <c r="I272" s="496" t="s">
        <v>91</v>
      </c>
      <c r="J272" s="541" t="str">
        <f>"T12_"&amp;STDLIGHTINEFCAT2[[#This Row],[Ineff DropDown 2]]</f>
        <v>T12_Fixture</v>
      </c>
      <c r="K272" s="548" t="str">
        <f>STDLIGHTINEFCAT2[[#This Row],[Match]]&amp;"_"&amp;STDLIGHTINEFCAT2[[#This Row],[Options]]</f>
        <v>T12_Fixture_----5 ft Lamps----</v>
      </c>
      <c r="L272" s="545" t="s">
        <v>2405</v>
      </c>
      <c r="M272" s="545"/>
      <c r="N272" s="536"/>
      <c r="O272" s="54">
        <v>308</v>
      </c>
      <c r="P272" s="54"/>
    </row>
    <row r="273" spans="9:16">
      <c r="I273" s="496" t="s">
        <v>91</v>
      </c>
      <c r="J273" s="541" t="str">
        <f>"T12_"&amp;STDLIGHTINEFCAT2[[#This Row],[Ineff DropDown 2]]</f>
        <v>T12_Fixture</v>
      </c>
      <c r="K273" s="548" t="str">
        <f>STDLIGHTINEFCAT2[[#This Row],[Match]]&amp;"_"&amp;STDLIGHTINEFCAT2[[#This Row],[Options]]</f>
        <v>T12_Fixture_1L T12 5' 138W</v>
      </c>
      <c r="L273" s="538" t="s">
        <v>2364</v>
      </c>
      <c r="M273" s="538">
        <v>138</v>
      </c>
      <c r="N273" s="536">
        <v>140</v>
      </c>
      <c r="O273" s="54">
        <v>309</v>
      </c>
      <c r="P273" s="54"/>
    </row>
    <row r="274" spans="9:16">
      <c r="I274" s="496" t="s">
        <v>91</v>
      </c>
      <c r="J274" s="541" t="str">
        <f>"T12_"&amp;STDLIGHTINEFCAT2[[#This Row],[Ineff DropDown 2]]</f>
        <v>T12_Fixture</v>
      </c>
      <c r="K274" s="548" t="str">
        <f>STDLIGHTINEFCAT2[[#This Row],[Match]]&amp;"_"&amp;STDLIGHTINEFCAT2[[#This Row],[Options]]</f>
        <v>T12_Fixture_2L T12 5' 138W</v>
      </c>
      <c r="L274" s="536" t="s">
        <v>2365</v>
      </c>
      <c r="M274" s="538">
        <v>138</v>
      </c>
      <c r="N274" s="536">
        <v>241</v>
      </c>
      <c r="O274" s="54">
        <v>310</v>
      </c>
      <c r="P274" s="54"/>
    </row>
    <row r="275" spans="9:16">
      <c r="I275" s="496" t="s">
        <v>91</v>
      </c>
      <c r="J275" s="541" t="str">
        <f>"T12_"&amp;STDLIGHTINEFCAT2[[#This Row],[Ineff DropDown 2]]</f>
        <v>T12_Fixture</v>
      </c>
      <c r="K275" s="548" t="str">
        <f>STDLIGHTINEFCAT2[[#This Row],[Match]]&amp;"_"&amp;STDLIGHTINEFCAT2[[#This Row],[Options]]</f>
        <v>T12_Fixture_1L T12 5' 50W</v>
      </c>
      <c r="L275" s="538" t="s">
        <v>2366</v>
      </c>
      <c r="M275" s="538">
        <v>50</v>
      </c>
      <c r="N275" s="536">
        <v>72</v>
      </c>
      <c r="O275" s="54">
        <v>311</v>
      </c>
      <c r="P275" s="54"/>
    </row>
    <row r="276" spans="9:16">
      <c r="I276" s="496" t="s">
        <v>91</v>
      </c>
      <c r="J276" s="541" t="str">
        <f>"T12_"&amp;STDLIGHTINEFCAT2[[#This Row],[Ineff DropDown 2]]</f>
        <v>T12_Fixture</v>
      </c>
      <c r="K276" s="548" t="str">
        <f>STDLIGHTINEFCAT2[[#This Row],[Match]]&amp;"_"&amp;STDLIGHTINEFCAT2[[#This Row],[Options]]</f>
        <v>T12_Fixture_2L T12 5' 50W</v>
      </c>
      <c r="L276" s="538" t="s">
        <v>2367</v>
      </c>
      <c r="M276" s="538">
        <v>100</v>
      </c>
      <c r="N276" s="536">
        <v>111</v>
      </c>
      <c r="O276" s="54">
        <v>312</v>
      </c>
      <c r="P276" s="54"/>
    </row>
    <row r="277" spans="9:16">
      <c r="I277" s="496" t="s">
        <v>91</v>
      </c>
      <c r="J277" s="541" t="str">
        <f>"T12_"&amp;STDLIGHTINEFCAT2[[#This Row],[Ineff DropDown 2]]</f>
        <v>T12_Fixture</v>
      </c>
      <c r="K277" s="548" t="str">
        <f>STDLIGHTINEFCAT2[[#This Row],[Match]]&amp;"_"&amp;STDLIGHTINEFCAT2[[#This Row],[Options]]</f>
        <v>T12_Fixture_1L T12 5' 75W</v>
      </c>
      <c r="L277" s="538" t="s">
        <v>2368</v>
      </c>
      <c r="M277" s="538">
        <v>75</v>
      </c>
      <c r="N277" s="536">
        <v>98</v>
      </c>
      <c r="O277" s="54">
        <v>313</v>
      </c>
      <c r="P277" s="54"/>
    </row>
    <row r="278" spans="9:16">
      <c r="I278" s="496" t="s">
        <v>91</v>
      </c>
      <c r="J278" s="541" t="str">
        <f>"T12_"&amp;STDLIGHTINEFCAT2[[#This Row],[Ineff DropDown 2]]</f>
        <v>T12_Fixture</v>
      </c>
      <c r="K278" s="548" t="str">
        <f>STDLIGHTINEFCAT2[[#This Row],[Match]]&amp;"_"&amp;STDLIGHTINEFCAT2[[#This Row],[Options]]</f>
        <v>T12_Fixture_2L T12 5' 75W</v>
      </c>
      <c r="L278" s="536" t="s">
        <v>2369</v>
      </c>
      <c r="M278" s="538">
        <f>75*2</f>
        <v>150</v>
      </c>
      <c r="N278" s="536">
        <v>163</v>
      </c>
      <c r="O278" s="54">
        <v>314</v>
      </c>
      <c r="P278" s="54"/>
    </row>
    <row r="279" spans="9:16">
      <c r="I279" s="496" t="s">
        <v>91</v>
      </c>
      <c r="J279" s="541" t="str">
        <f>"T12_"&amp;STDLIGHTINEFCAT2[[#This Row],[Ineff DropDown 2]]</f>
        <v>T12_Fixture</v>
      </c>
      <c r="K279" s="549" t="str">
        <f>STDLIGHTINEFCAT2[[#This Row],[Match]]&amp;"_"&amp;STDLIGHTINEFCAT2[[#This Row],[Options]]</f>
        <v>T12_Fixture_3L T12 5' 75W</v>
      </c>
      <c r="L279" s="540" t="s">
        <v>2370</v>
      </c>
      <c r="M279" s="538">
        <f>3*75</f>
        <v>225</v>
      </c>
      <c r="N279" s="540">
        <v>223</v>
      </c>
      <c r="O279" s="54">
        <v>315</v>
      </c>
      <c r="P279" s="54"/>
    </row>
    <row r="280" spans="9:16">
      <c r="I280" s="496" t="s">
        <v>91</v>
      </c>
      <c r="J280" s="541" t="str">
        <f>"T12_"&amp;STDLIGHTINEFCAT2[[#This Row],[Ineff DropDown 2]]</f>
        <v>T12_Fixture</v>
      </c>
      <c r="K280" s="548" t="str">
        <f>STDLIGHTINEFCAT2[[#This Row],[Match]]&amp;"_"&amp;STDLIGHTINEFCAT2[[#This Row],[Options]]</f>
        <v>T12_Fixture_4L T12 5' 75W</v>
      </c>
      <c r="L280" s="536" t="s">
        <v>2371</v>
      </c>
      <c r="M280" s="536">
        <f>4*75</f>
        <v>300</v>
      </c>
      <c r="N280" s="536">
        <v>278</v>
      </c>
      <c r="O280" s="54">
        <v>316</v>
      </c>
      <c r="P280" s="54"/>
    </row>
    <row r="281" spans="9:16">
      <c r="I281" s="496" t="s">
        <v>91</v>
      </c>
      <c r="J281" s="541" t="str">
        <f>"T12_"&amp;STDLIGHTINEFCAT2[[#This Row],[Ineff DropDown 2]]</f>
        <v>T12_Fixture</v>
      </c>
      <c r="K281" s="548" t="str">
        <f>STDLIGHTINEFCAT2[[#This Row],[Match]]&amp;"_"&amp;STDLIGHTINEFCAT2[[#This Row],[Options]]</f>
        <v>T12_Fixture_----6 ft Lamps----</v>
      </c>
      <c r="L281" s="542" t="s">
        <v>2406</v>
      </c>
      <c r="M281" s="542"/>
      <c r="N281" s="536"/>
      <c r="O281" s="54">
        <v>317</v>
      </c>
      <c r="P281" s="54"/>
    </row>
    <row r="282" spans="9:16">
      <c r="I282" s="496" t="s">
        <v>91</v>
      </c>
      <c r="J282" s="541" t="str">
        <f>"T12_"&amp;STDLIGHTINEFCAT2[[#This Row],[Ineff DropDown 2]]</f>
        <v>T12_Fixture</v>
      </c>
      <c r="K282" s="548" t="str">
        <f>STDLIGHTINEFCAT2[[#This Row],[Match]]&amp;"_"&amp;STDLIGHTINEFCAT2[[#This Row],[Options]]</f>
        <v>T12_Fixture_1L T12 6' 168W</v>
      </c>
      <c r="L282" s="536" t="s">
        <v>2372</v>
      </c>
      <c r="M282" s="536">
        <v>168</v>
      </c>
      <c r="N282" s="536">
        <v>169</v>
      </c>
      <c r="O282" s="54">
        <v>318</v>
      </c>
      <c r="P282" s="54"/>
    </row>
    <row r="283" spans="9:16">
      <c r="I283" s="496" t="s">
        <v>91</v>
      </c>
      <c r="J283" s="541" t="str">
        <f>"T12_"&amp;STDLIGHTINEFCAT2[[#This Row],[Ineff DropDown 2]]</f>
        <v>T12_Fixture</v>
      </c>
      <c r="K283" s="548" t="str">
        <f>STDLIGHTINEFCAT2[[#This Row],[Match]]&amp;"_"&amp;STDLIGHTINEFCAT2[[#This Row],[Options]]</f>
        <v>T12_Fixture_2L T12 6' 168W</v>
      </c>
      <c r="L283" s="536" t="s">
        <v>2373</v>
      </c>
      <c r="M283" s="546">
        <f>2*168</f>
        <v>336</v>
      </c>
      <c r="N283" s="536">
        <v>314</v>
      </c>
      <c r="O283" s="54">
        <v>319</v>
      </c>
      <c r="P283" s="54"/>
    </row>
    <row r="284" spans="9:16">
      <c r="I284" s="496" t="s">
        <v>91</v>
      </c>
      <c r="J284" s="541" t="str">
        <f>"T12_"&amp;STDLIGHTINEFCAT2[[#This Row],[Ineff DropDown 2]]</f>
        <v>T12_Fixture</v>
      </c>
      <c r="K284" s="548" t="str">
        <f>STDLIGHTINEFCAT2[[#This Row],[Match]]&amp;"_"&amp;STDLIGHTINEFCAT2[[#This Row],[Options]]</f>
        <v>T12_Fixture_3L T12 6' 168W</v>
      </c>
      <c r="L284" s="536" t="s">
        <v>2374</v>
      </c>
      <c r="M284" s="551">
        <f>3*168</f>
        <v>504</v>
      </c>
      <c r="N284" s="536">
        <v>424</v>
      </c>
      <c r="O284" s="54">
        <v>320</v>
      </c>
      <c r="P284" s="54"/>
    </row>
    <row r="285" spans="9:16">
      <c r="I285" s="496" t="s">
        <v>91</v>
      </c>
      <c r="J285" s="541" t="str">
        <f>"T12_"&amp;STDLIGHTINEFCAT2[[#This Row],[Ineff DropDown 2]]</f>
        <v>T12_Fixture</v>
      </c>
      <c r="K285" s="548" t="str">
        <f>STDLIGHTINEFCAT2[[#This Row],[Match]]&amp;"_"&amp;STDLIGHTINEFCAT2[[#This Row],[Options]]</f>
        <v>T12_Fixture_1L T12 6' 57W</v>
      </c>
      <c r="L285" s="536" t="s">
        <v>2375</v>
      </c>
      <c r="M285" s="536">
        <v>57</v>
      </c>
      <c r="N285" s="536">
        <v>80</v>
      </c>
      <c r="O285" s="54">
        <v>321</v>
      </c>
      <c r="P285" s="54"/>
    </row>
    <row r="286" spans="9:16">
      <c r="I286" s="496" t="s">
        <v>91</v>
      </c>
      <c r="J286" s="541" t="str">
        <f>"T12_"&amp;STDLIGHTINEFCAT2[[#This Row],[Ineff DropDown 2]]</f>
        <v>T12_Fixture</v>
      </c>
      <c r="K286" s="548" t="str">
        <f>STDLIGHTINEFCAT2[[#This Row],[Match]]&amp;"_"&amp;STDLIGHTINEFCAT2[[#This Row],[Options]]</f>
        <v>T12_Fixture_2L T12 6' 57W</v>
      </c>
      <c r="L286" s="536" t="s">
        <v>2376</v>
      </c>
      <c r="M286" s="536">
        <f>57*2</f>
        <v>114</v>
      </c>
      <c r="N286" s="536">
        <v>122</v>
      </c>
      <c r="O286" s="54">
        <v>322</v>
      </c>
      <c r="P286" s="54"/>
    </row>
    <row r="287" spans="9:16">
      <c r="I287" s="496" t="s">
        <v>91</v>
      </c>
      <c r="J287" s="541" t="str">
        <f>"T12_"&amp;STDLIGHTINEFCAT2[[#This Row],[Ineff DropDown 2]]</f>
        <v>T12_Fixture</v>
      </c>
      <c r="K287" s="548" t="str">
        <f>STDLIGHTINEFCAT2[[#This Row],[Match]]&amp;"_"&amp;STDLIGHTINEFCAT2[[#This Row],[Options]]</f>
        <v>T12_Fixture_1L T12 6' 85W</v>
      </c>
      <c r="L287" s="536" t="s">
        <v>2377</v>
      </c>
      <c r="M287" s="536">
        <v>85</v>
      </c>
      <c r="N287" s="536">
        <v>106</v>
      </c>
      <c r="O287" s="54">
        <v>323</v>
      </c>
      <c r="P287" s="54"/>
    </row>
    <row r="288" spans="9:16">
      <c r="I288" s="496" t="s">
        <v>91</v>
      </c>
      <c r="J288" s="541" t="str">
        <f>"T12_"&amp;STDLIGHTINEFCAT2[[#This Row],[Ineff DropDown 2]]</f>
        <v>T12_Fixture</v>
      </c>
      <c r="K288" s="548" t="str">
        <f>STDLIGHTINEFCAT2[[#This Row],[Match]]&amp;"_"&amp;STDLIGHTINEFCAT2[[#This Row],[Options]]</f>
        <v>T12_Fixture_2L T12 6' 85W</v>
      </c>
      <c r="L288" s="536" t="s">
        <v>2378</v>
      </c>
      <c r="M288" s="536">
        <f>2*85</f>
        <v>170</v>
      </c>
      <c r="N288" s="536">
        <v>190</v>
      </c>
      <c r="O288" s="54">
        <v>324</v>
      </c>
      <c r="P288" s="54"/>
    </row>
    <row r="289" spans="9:16">
      <c r="I289" s="496" t="s">
        <v>91</v>
      </c>
      <c r="J289" s="541" t="str">
        <f>"T12_"&amp;STDLIGHTINEFCAT2[[#This Row],[Ineff DropDown 2]]</f>
        <v>T12_Fixture</v>
      </c>
      <c r="K289" s="548" t="str">
        <f>STDLIGHTINEFCAT2[[#This Row],[Match]]&amp;"_"&amp;STDLIGHTINEFCAT2[[#This Row],[Options]]</f>
        <v>T12_Fixture_3L T12 6' 85W</v>
      </c>
      <c r="L289" s="536" t="s">
        <v>2379</v>
      </c>
      <c r="M289" s="546">
        <f>3*85</f>
        <v>255</v>
      </c>
      <c r="N289" s="536">
        <v>291</v>
      </c>
      <c r="O289" s="54">
        <v>325</v>
      </c>
      <c r="P289" s="54"/>
    </row>
    <row r="290" spans="9:16">
      <c r="I290" s="496" t="s">
        <v>91</v>
      </c>
      <c r="J290" s="541" t="str">
        <f>"T12_"&amp;STDLIGHTINEFCAT2[[#This Row],[Ineff DropDown 2]]</f>
        <v>T12_Fixture</v>
      </c>
      <c r="K290" s="548" t="str">
        <f>STDLIGHTINEFCAT2[[#This Row],[Match]]&amp;"_"&amp;STDLIGHTINEFCAT2[[#This Row],[Options]]</f>
        <v>T12_Fixture_4L T12 6' 85W</v>
      </c>
      <c r="L290" s="536" t="s">
        <v>2380</v>
      </c>
      <c r="M290" s="546">
        <f>4*85</f>
        <v>340</v>
      </c>
      <c r="N290" s="536">
        <v>323</v>
      </c>
      <c r="O290" s="54">
        <v>326</v>
      </c>
      <c r="P290" s="54"/>
    </row>
    <row r="291" spans="9:16">
      <c r="I291" s="496" t="s">
        <v>91</v>
      </c>
      <c r="J291" s="541" t="str">
        <f>"T12_"&amp;STDLIGHTINEFCAT2[[#This Row],[Ineff DropDown 2]]</f>
        <v>T12_Fixture</v>
      </c>
      <c r="K291" s="548" t="str">
        <f>STDLIGHTINEFCAT2[[#This Row],[Match]]&amp;"_"&amp;STDLIGHTINEFCAT2[[#This Row],[Options]]</f>
        <v>T12_Fixture_----7 ft Lamps----</v>
      </c>
      <c r="L291" s="542" t="s">
        <v>2407</v>
      </c>
      <c r="M291" s="542"/>
      <c r="N291" s="536"/>
      <c r="O291" s="54">
        <v>327</v>
      </c>
      <c r="P291" s="54"/>
    </row>
    <row r="292" spans="9:16">
      <c r="I292" s="496" t="s">
        <v>91</v>
      </c>
      <c r="J292" s="541" t="str">
        <f>"T12_"&amp;STDLIGHTINEFCAT2[[#This Row],[Ineff DropDown 2]]</f>
        <v>T12_Fixture</v>
      </c>
      <c r="K292" s="548" t="str">
        <f>STDLIGHTINEFCAT2[[#This Row],[Match]]&amp;"_"&amp;STDLIGHTINEFCAT2[[#This Row],[Options]]</f>
        <v>T12_Fixture_1L T12 7' 65W</v>
      </c>
      <c r="L292" s="536" t="s">
        <v>2381</v>
      </c>
      <c r="M292" s="536">
        <v>65</v>
      </c>
      <c r="N292" s="536">
        <v>89</v>
      </c>
      <c r="O292" s="54">
        <v>328</v>
      </c>
      <c r="P292" s="54"/>
    </row>
    <row r="293" spans="9:16">
      <c r="I293" s="496" t="s">
        <v>91</v>
      </c>
      <c r="J293" s="541" t="str">
        <f>"T12_"&amp;STDLIGHTINEFCAT2[[#This Row],[Ineff DropDown 2]]</f>
        <v>T12_Fixture</v>
      </c>
      <c r="K293" s="548" t="str">
        <f>STDLIGHTINEFCAT2[[#This Row],[Match]]&amp;"_"&amp;STDLIGHTINEFCAT2[[#This Row],[Options]]</f>
        <v>T12_Fixture_2L T12 7' 65W</v>
      </c>
      <c r="L293" s="536" t="s">
        <v>2382</v>
      </c>
      <c r="M293" s="536">
        <f>65*2</f>
        <v>130</v>
      </c>
      <c r="N293" s="536">
        <v>143</v>
      </c>
      <c r="O293" s="54">
        <v>329</v>
      </c>
      <c r="P293" s="54"/>
    </row>
    <row r="294" spans="9:16">
      <c r="I294" s="496" t="s">
        <v>91</v>
      </c>
      <c r="J294" s="541" t="str">
        <f>"T12_"&amp;STDLIGHTINEFCAT2[[#This Row],[Ineff DropDown 2]]</f>
        <v>T12_Fixture</v>
      </c>
      <c r="K294" s="549" t="str">
        <f>STDLIGHTINEFCAT2[[#This Row],[Match]]&amp;"_"&amp;STDLIGHTINEFCAT2[[#This Row],[Options]]</f>
        <v>T12_Fixture_1L T12 7' 100W</v>
      </c>
      <c r="L294" s="540" t="s">
        <v>2383</v>
      </c>
      <c r="M294" s="540">
        <v>100</v>
      </c>
      <c r="N294" s="540">
        <v>113</v>
      </c>
      <c r="O294" s="54">
        <v>330</v>
      </c>
      <c r="P294" s="54"/>
    </row>
    <row r="295" spans="9:16">
      <c r="I295" s="496" t="s">
        <v>91</v>
      </c>
      <c r="J295" s="541" t="str">
        <f>"T12_"&amp;STDLIGHTINEFCAT2[[#This Row],[Ineff DropDown 2]]</f>
        <v>T12_Fixture</v>
      </c>
      <c r="K295" s="548" t="str">
        <f>STDLIGHTINEFCAT2[[#This Row],[Match]]&amp;"_"&amp;STDLIGHTINEFCAT2[[#This Row],[Options]]</f>
        <v>T12_Fixture_2L T12 7' 100W</v>
      </c>
      <c r="L295" s="536" t="s">
        <v>2384</v>
      </c>
      <c r="M295" s="540">
        <v>200</v>
      </c>
      <c r="N295" s="536">
        <v>209</v>
      </c>
      <c r="O295" s="54">
        <v>331</v>
      </c>
      <c r="P295" s="54"/>
    </row>
    <row r="296" spans="9:16">
      <c r="I296" s="496" t="s">
        <v>91</v>
      </c>
      <c r="J296" s="541" t="str">
        <f>"T12_"&amp;STDLIGHTINEFCAT2[[#This Row],[Ineff DropDown 2]]</f>
        <v>T12_Fixture</v>
      </c>
      <c r="K296" s="548" t="str">
        <f>STDLIGHTINEFCAT2[[#This Row],[Match]]&amp;"_"&amp;STDLIGHTINEFCAT2[[#This Row],[Options]]</f>
        <v>T12_Fixture_3L T12 7' 100W</v>
      </c>
      <c r="L296" s="536" t="s">
        <v>2385</v>
      </c>
      <c r="M296" s="540">
        <v>300</v>
      </c>
      <c r="N296" s="536">
        <v>278</v>
      </c>
      <c r="O296" s="54">
        <v>332</v>
      </c>
      <c r="P296" s="54"/>
    </row>
    <row r="297" spans="9:16">
      <c r="I297" s="496" t="s">
        <v>91</v>
      </c>
      <c r="J297" s="541" t="str">
        <f>"T12_"&amp;STDLIGHTINEFCAT2[[#This Row],[Ineff DropDown 2]]</f>
        <v>T12_Fixture</v>
      </c>
      <c r="K297" s="548" t="str">
        <f>STDLIGHTINEFCAT2[[#This Row],[Match]]&amp;"_"&amp;STDLIGHTINEFCAT2[[#This Row],[Options]]</f>
        <v>T12_Fixture_----8 ft Lamps----</v>
      </c>
      <c r="L297" s="542" t="s">
        <v>2408</v>
      </c>
      <c r="M297" s="550"/>
      <c r="N297" s="536"/>
      <c r="O297" s="54">
        <v>333</v>
      </c>
      <c r="P297" s="54"/>
    </row>
    <row r="298" spans="9:16">
      <c r="I298" s="496" t="s">
        <v>91</v>
      </c>
      <c r="J298" s="541" t="str">
        <f>"T12_"&amp;STDLIGHTINEFCAT2[[#This Row],[Ineff DropDown 2]]</f>
        <v>T12_Fixture</v>
      </c>
      <c r="K298" s="548" t="str">
        <f>STDLIGHTINEFCAT2[[#This Row],[Match]]&amp;"_"&amp;STDLIGHTINEFCAT2[[#This Row],[Options]]</f>
        <v>T12_Fixture_1L T12 8' 60W</v>
      </c>
      <c r="L298" s="536" t="s">
        <v>2386</v>
      </c>
      <c r="M298" s="536">
        <v>60</v>
      </c>
      <c r="N298" s="536">
        <v>74</v>
      </c>
      <c r="O298" s="54">
        <v>334</v>
      </c>
      <c r="P298" s="54"/>
    </row>
    <row r="299" spans="9:16">
      <c r="I299" s="496" t="s">
        <v>91</v>
      </c>
      <c r="J299" s="541" t="str">
        <f>"T12_"&amp;STDLIGHTINEFCAT2[[#This Row],[Ineff DropDown 2]]</f>
        <v>T12_Fixture</v>
      </c>
      <c r="K299" s="548" t="str">
        <f>STDLIGHTINEFCAT2[[#This Row],[Match]]&amp;"_"&amp;STDLIGHTINEFCAT2[[#This Row],[Options]]</f>
        <v>T12_Fixture_2L T12 8' 60W</v>
      </c>
      <c r="L299" s="536" t="s">
        <v>2387</v>
      </c>
      <c r="M299" s="536">
        <v>120</v>
      </c>
      <c r="N299" s="536">
        <v>113</v>
      </c>
      <c r="O299" s="54">
        <v>335</v>
      </c>
      <c r="P299" s="54"/>
    </row>
    <row r="300" spans="9:16">
      <c r="I300" s="496" t="s">
        <v>91</v>
      </c>
      <c r="J300" s="541" t="str">
        <f>"T12_"&amp;STDLIGHTINEFCAT2[[#This Row],[Ineff DropDown 2]]</f>
        <v>T12_Fixture</v>
      </c>
      <c r="K300" s="548" t="str">
        <f>STDLIGHTINEFCAT2[[#This Row],[Match]]&amp;"_"&amp;STDLIGHTINEFCAT2[[#This Row],[Options]]</f>
        <v>T12_Fixture_4L T12 8' 60W</v>
      </c>
      <c r="L300" s="536" t="s">
        <v>2388</v>
      </c>
      <c r="M300" s="536">
        <f>4*60</f>
        <v>240</v>
      </c>
      <c r="N300" s="536">
        <v>246</v>
      </c>
      <c r="O300" s="54">
        <v>336</v>
      </c>
      <c r="P300" s="54"/>
    </row>
    <row r="301" spans="9:16">
      <c r="I301" s="496" t="s">
        <v>91</v>
      </c>
      <c r="J301" s="541" t="str">
        <f>"T12_"&amp;STDLIGHTINEFCAT2[[#This Row],[Ineff DropDown 2]]</f>
        <v>T12_Fixture</v>
      </c>
      <c r="K301" s="548" t="str">
        <f>STDLIGHTINEFCAT2[[#This Row],[Match]]&amp;"_"&amp;STDLIGHTINEFCAT2[[#This Row],[Options]]</f>
        <v>T12_Fixture_1L T12 8' 75W</v>
      </c>
      <c r="L301" s="536" t="s">
        <v>2389</v>
      </c>
      <c r="M301" s="536">
        <v>75</v>
      </c>
      <c r="N301" s="536">
        <v>94</v>
      </c>
      <c r="O301" s="54">
        <v>337</v>
      </c>
      <c r="P301" s="54"/>
    </row>
    <row r="302" spans="9:16">
      <c r="I302" s="496" t="s">
        <v>91</v>
      </c>
      <c r="J302" s="541" t="str">
        <f>"T12_"&amp;STDLIGHTINEFCAT2[[#This Row],[Ineff DropDown 2]]</f>
        <v>T12_Fixture</v>
      </c>
      <c r="K302" s="548" t="str">
        <f>STDLIGHTINEFCAT2[[#This Row],[Match]]&amp;"_"&amp;STDLIGHTINEFCAT2[[#This Row],[Options]]</f>
        <v>T12_Fixture_2L T12 8' 75W</v>
      </c>
      <c r="L302" s="536" t="s">
        <v>2390</v>
      </c>
      <c r="M302" s="536">
        <f>2*75</f>
        <v>150</v>
      </c>
      <c r="N302" s="536">
        <v>145</v>
      </c>
      <c r="O302" s="54">
        <v>338</v>
      </c>
      <c r="P302" s="54"/>
    </row>
    <row r="303" spans="9:16">
      <c r="I303" s="496" t="s">
        <v>91</v>
      </c>
      <c r="J303" s="541" t="str">
        <f>"T12_"&amp;STDLIGHTINEFCAT2[[#This Row],[Ineff DropDown 2]]</f>
        <v>T12_Fixture</v>
      </c>
      <c r="K303" s="548" t="str">
        <f>STDLIGHTINEFCAT2[[#This Row],[Match]]&amp;"_"&amp;STDLIGHTINEFCAT2[[#This Row],[Options]]</f>
        <v>T12_Fixture_1L T12 8' 95W</v>
      </c>
      <c r="L303" s="536" t="s">
        <v>2391</v>
      </c>
      <c r="M303" s="536">
        <v>95</v>
      </c>
      <c r="N303" s="536">
        <v>125</v>
      </c>
      <c r="O303" s="54">
        <v>339</v>
      </c>
      <c r="P303" s="54"/>
    </row>
    <row r="304" spans="9:16">
      <c r="I304" s="496" t="s">
        <v>91</v>
      </c>
      <c r="J304" s="541" t="str">
        <f>"T12_"&amp;STDLIGHTINEFCAT2[[#This Row],[Ineff DropDown 2]]</f>
        <v>T12_Fixture</v>
      </c>
      <c r="K304" s="548" t="str">
        <f>STDLIGHTINEFCAT2[[#This Row],[Match]]&amp;"_"&amp;STDLIGHTINEFCAT2[[#This Row],[Options]]</f>
        <v>T12_Fixture_2L T12 8' 95W</v>
      </c>
      <c r="L304" s="536" t="s">
        <v>2392</v>
      </c>
      <c r="M304" s="536">
        <f>2*95</f>
        <v>190</v>
      </c>
      <c r="N304" s="536">
        <v>216</v>
      </c>
      <c r="O304" s="54">
        <v>340</v>
      </c>
      <c r="P304" s="54"/>
    </row>
    <row r="305" spans="9:16">
      <c r="I305" s="496" t="s">
        <v>91</v>
      </c>
      <c r="J305" s="541" t="str">
        <f>"T12_"&amp;STDLIGHTINEFCAT2[[#This Row],[Ineff DropDown 2]]</f>
        <v>T12_Fixture</v>
      </c>
      <c r="K305" s="548" t="str">
        <f>STDLIGHTINEFCAT2[[#This Row],[Match]]&amp;"_"&amp;STDLIGHTINEFCAT2[[#This Row],[Options]]</f>
        <v>T12_Fixture_1L T12 8' 110W</v>
      </c>
      <c r="L305" s="536" t="s">
        <v>2393</v>
      </c>
      <c r="M305" s="536">
        <v>110</v>
      </c>
      <c r="N305" s="536">
        <v>140</v>
      </c>
      <c r="O305" s="54">
        <v>341</v>
      </c>
      <c r="P305" s="54"/>
    </row>
    <row r="306" spans="9:16">
      <c r="I306" s="496" t="s">
        <v>91</v>
      </c>
      <c r="J306" s="541" t="str">
        <f>"T12_"&amp;STDLIGHTINEFCAT2[[#This Row],[Ineff DropDown 2]]</f>
        <v>T12_Fixture</v>
      </c>
      <c r="K306" s="548" t="str">
        <f>STDLIGHTINEFCAT2[[#This Row],[Match]]&amp;"_"&amp;STDLIGHTINEFCAT2[[#This Row],[Options]]</f>
        <v>T12_Fixture_2L T12 8' 110W</v>
      </c>
      <c r="L306" s="536" t="s">
        <v>2394</v>
      </c>
      <c r="M306" s="546">
        <f>2*110</f>
        <v>220</v>
      </c>
      <c r="N306" s="536">
        <v>258</v>
      </c>
      <c r="O306" s="54">
        <v>342</v>
      </c>
      <c r="P306" s="54"/>
    </row>
    <row r="307" spans="9:16">
      <c r="I307" s="496" t="s">
        <v>91</v>
      </c>
      <c r="J307" s="541" t="str">
        <f>"T12_"&amp;STDLIGHTINEFCAT2[[#This Row],[Ineff DropDown 2]]</f>
        <v>T12_Fixture</v>
      </c>
      <c r="K307" s="548" t="str">
        <f>STDLIGHTINEFCAT2[[#This Row],[Match]]&amp;"_"&amp;STDLIGHTINEFCAT2[[#This Row],[Options]]</f>
        <v>T12_Fixture_1L T12 8' 185W</v>
      </c>
      <c r="L307" s="536" t="s">
        <v>2395</v>
      </c>
      <c r="M307" s="536">
        <v>185</v>
      </c>
      <c r="N307" s="536">
        <v>198</v>
      </c>
      <c r="O307" s="54">
        <v>343</v>
      </c>
      <c r="P307" s="54"/>
    </row>
    <row r="308" spans="9:16">
      <c r="I308" s="496" t="s">
        <v>91</v>
      </c>
      <c r="J308" s="541" t="str">
        <f>"T12_"&amp;STDLIGHTINEFCAT2[[#This Row],[Ineff DropDown 2]]</f>
        <v>T12_Fixture</v>
      </c>
      <c r="K308" s="548" t="str">
        <f>STDLIGHTINEFCAT2[[#This Row],[Match]]&amp;"_"&amp;STDLIGHTINEFCAT2[[#This Row],[Options]]</f>
        <v>T12_Fixture_2L T12 8' 185W</v>
      </c>
      <c r="L308" s="536" t="s">
        <v>2396</v>
      </c>
      <c r="M308" s="546">
        <f>2*185</f>
        <v>370</v>
      </c>
      <c r="N308" s="536">
        <v>398</v>
      </c>
      <c r="O308" s="54">
        <v>344</v>
      </c>
      <c r="P308" s="54"/>
    </row>
    <row r="309" spans="9:16">
      <c r="I309" s="496" t="s">
        <v>91</v>
      </c>
      <c r="J309" s="541" t="str">
        <f>"T12_"&amp;STDLIGHTINEFCAT2[[#This Row],[Ineff DropDown 2]]</f>
        <v>T12_Fixture</v>
      </c>
      <c r="K309" s="548" t="str">
        <f>STDLIGHTINEFCAT2[[#This Row],[Match]]&amp;"_"&amp;STDLIGHTINEFCAT2[[#This Row],[Options]]</f>
        <v>T12_Fixture_3L T12 8' 185W</v>
      </c>
      <c r="L309" s="536" t="s">
        <v>2397</v>
      </c>
      <c r="M309" s="536">
        <f>3*185</f>
        <v>555</v>
      </c>
      <c r="N309" s="536">
        <v>550</v>
      </c>
      <c r="O309" s="54">
        <v>345</v>
      </c>
      <c r="P309" s="54"/>
    </row>
    <row r="310" spans="9:16">
      <c r="I310" s="496" t="s">
        <v>91</v>
      </c>
      <c r="J310" s="541" t="str">
        <f>"T12_"&amp;STDLIGHTINEFCAT2[[#This Row],[Ineff DropDown 2]]</f>
        <v>T12_Fixture</v>
      </c>
      <c r="K310" s="548" t="str">
        <f>STDLIGHTINEFCAT2[[#This Row],[Match]]&amp;"_"&amp;STDLIGHTINEFCAT2[[#This Row],[Options]]</f>
        <v>T12_Fixture_1L T12 8' 215W</v>
      </c>
      <c r="L310" s="536" t="s">
        <v>2398</v>
      </c>
      <c r="M310" s="536">
        <v>215</v>
      </c>
      <c r="N310" s="536">
        <v>213</v>
      </c>
      <c r="O310" s="54">
        <v>346</v>
      </c>
      <c r="P310" s="54"/>
    </row>
    <row r="311" spans="9:16">
      <c r="I311" s="496" t="s">
        <v>91</v>
      </c>
      <c r="J311" s="541" t="str">
        <f>"T12_"&amp;STDLIGHTINEFCAT2[[#This Row],[Ineff DropDown 2]]</f>
        <v>T12_Fixture</v>
      </c>
      <c r="K311" s="548" t="str">
        <f>STDLIGHTINEFCAT2[[#This Row],[Match]]&amp;"_"&amp;STDLIGHTINEFCAT2[[#This Row],[Options]]</f>
        <v>T12_Fixture_2L T12 8' 215W</v>
      </c>
      <c r="L311" s="536" t="s">
        <v>2399</v>
      </c>
      <c r="M311" s="546">
        <f>2*215</f>
        <v>430</v>
      </c>
      <c r="N311" s="536">
        <v>320</v>
      </c>
      <c r="O311" s="54">
        <v>347</v>
      </c>
      <c r="P311" s="54"/>
    </row>
    <row r="312" spans="9:16">
      <c r="I312" s="496" t="s">
        <v>91</v>
      </c>
      <c r="J312" s="541" t="str">
        <f>"T12_"&amp;STDLIGHTINEFCAT2[[#This Row],[Ineff DropDown 2]]</f>
        <v>T12_Fixture</v>
      </c>
      <c r="K312" s="548" t="str">
        <f>STDLIGHTINEFCAT2[[#This Row],[Match]]&amp;"_"&amp;STDLIGHTINEFCAT2[[#This Row],[Options]]</f>
        <v>T12_Fixture_3L T12 8' 215W</v>
      </c>
      <c r="L312" s="536" t="s">
        <v>2400</v>
      </c>
      <c r="M312" s="551">
        <f>3*215</f>
        <v>645</v>
      </c>
      <c r="N312" s="536">
        <v>518</v>
      </c>
      <c r="O312" s="54">
        <v>348</v>
      </c>
      <c r="P312" s="54"/>
    </row>
    <row r="313" spans="9:16">
      <c r="I313" s="492" t="s">
        <v>2285</v>
      </c>
      <c r="J313" s="541" t="str">
        <f>"T12_"&amp;STDLIGHTINEFCAT2[[#This Row],[Ineff DropDown 2]]</f>
        <v>T12_PG &lt;=100</v>
      </c>
      <c r="K313" s="548" t="str">
        <f>STDLIGHTINEFCAT2[[#This Row],[Match]]&amp;"_"&amp;STDLIGHTINEFCAT2[[#This Row],[Options]]</f>
        <v>T12_PG &lt;=100_----2 ft Lamps----</v>
      </c>
      <c r="L313" s="542" t="s">
        <v>2402</v>
      </c>
      <c r="M313" s="542"/>
      <c r="N313" s="536"/>
      <c r="O313" s="54">
        <v>538</v>
      </c>
      <c r="P313" s="54"/>
    </row>
    <row r="314" spans="9:16">
      <c r="I314" s="492" t="s">
        <v>2285</v>
      </c>
      <c r="J314" s="541" t="str">
        <f>"T12_"&amp;STDLIGHTINEFCAT2[[#This Row],[Ineff DropDown 2]]</f>
        <v>T12_PG &lt;=100</v>
      </c>
      <c r="K314" s="548" t="str">
        <f>STDLIGHTINEFCAT2[[#This Row],[Match]]&amp;"_"&amp;STDLIGHTINEFCAT2[[#This Row],[Options]]</f>
        <v>T12_PG &lt;=100_1L T12 2' 20W</v>
      </c>
      <c r="L314" s="536" t="s">
        <v>2323</v>
      </c>
      <c r="M314" s="536">
        <v>20</v>
      </c>
      <c r="N314" s="536">
        <v>21</v>
      </c>
      <c r="O314" s="54">
        <v>539</v>
      </c>
      <c r="P314" s="54"/>
    </row>
    <row r="315" spans="9:16">
      <c r="I315" s="492" t="s">
        <v>2285</v>
      </c>
      <c r="J315" s="541" t="str">
        <f>"T12_"&amp;STDLIGHTINEFCAT2[[#This Row],[Ineff DropDown 2]]</f>
        <v>T12_PG &lt;=100</v>
      </c>
      <c r="K315" s="548" t="str">
        <f>STDLIGHTINEFCAT2[[#This Row],[Match]]&amp;"_"&amp;STDLIGHTINEFCAT2[[#This Row],[Options]]</f>
        <v>T12_PG &lt;=100_2L T12 2' 20W</v>
      </c>
      <c r="L315" s="536" t="s">
        <v>2324</v>
      </c>
      <c r="M315" s="536">
        <v>40</v>
      </c>
      <c r="N315" s="536">
        <v>53</v>
      </c>
      <c r="O315" s="54">
        <v>540</v>
      </c>
      <c r="P315" s="54"/>
    </row>
    <row r="316" spans="9:16">
      <c r="I316" s="492" t="s">
        <v>2285</v>
      </c>
      <c r="J316" s="541" t="str">
        <f>"T12_"&amp;STDLIGHTINEFCAT2[[#This Row],[Ineff DropDown 2]]</f>
        <v>T12_PG &lt;=100</v>
      </c>
      <c r="K316" s="548" t="str">
        <f>STDLIGHTINEFCAT2[[#This Row],[Match]]&amp;"_"&amp;STDLIGHTINEFCAT2[[#This Row],[Options]]</f>
        <v>T12_PG &lt;=100_3L T12 2' 20W</v>
      </c>
      <c r="L316" s="536" t="s">
        <v>2325</v>
      </c>
      <c r="M316" s="536">
        <v>60</v>
      </c>
      <c r="N316" s="536">
        <v>64</v>
      </c>
      <c r="O316" s="54">
        <v>541</v>
      </c>
      <c r="P316" s="54"/>
    </row>
    <row r="317" spans="9:16">
      <c r="I317" s="492" t="s">
        <v>2285</v>
      </c>
      <c r="J317" s="541" t="str">
        <f>"T12_"&amp;STDLIGHTINEFCAT2[[#This Row],[Ineff DropDown 2]]</f>
        <v>T12_PG &lt;=100</v>
      </c>
      <c r="K317" s="548" t="str">
        <f>STDLIGHTINEFCAT2[[#This Row],[Match]]&amp;"_"&amp;STDLIGHTINEFCAT2[[#This Row],[Options]]</f>
        <v>T12_PG &lt;=100_4L T12 2' 20W</v>
      </c>
      <c r="L317" s="536" t="s">
        <v>2326</v>
      </c>
      <c r="M317" s="536">
        <v>80</v>
      </c>
      <c r="N317" s="536">
        <v>91</v>
      </c>
      <c r="O317" s="54">
        <v>542</v>
      </c>
      <c r="P317" s="54"/>
    </row>
    <row r="318" spans="9:16">
      <c r="I318" s="492" t="s">
        <v>2285</v>
      </c>
      <c r="J318" s="541" t="str">
        <f>"T12_"&amp;STDLIGHTINEFCAT2[[#This Row],[Ineff DropDown 2]]</f>
        <v>T12_PG &lt;=100</v>
      </c>
      <c r="K318" s="548" t="str">
        <f>STDLIGHTINEFCAT2[[#This Row],[Match]]&amp;"_"&amp;STDLIGHTINEFCAT2[[#This Row],[Options]]</f>
        <v>T12_PG &lt;=100_1L T12 2' 35W</v>
      </c>
      <c r="L318" s="536" t="s">
        <v>2327</v>
      </c>
      <c r="M318" s="536">
        <v>35</v>
      </c>
      <c r="N318" s="536">
        <v>64</v>
      </c>
      <c r="O318" s="54">
        <v>543</v>
      </c>
      <c r="P318" s="54"/>
    </row>
    <row r="319" spans="9:16">
      <c r="I319" s="492" t="s">
        <v>2285</v>
      </c>
      <c r="J319" s="541" t="str">
        <f>"T12_"&amp;STDLIGHTINEFCAT2[[#This Row],[Ineff DropDown 2]]</f>
        <v>T12_PG &lt;=100</v>
      </c>
      <c r="K319" s="548" t="str">
        <f>STDLIGHTINEFCAT2[[#This Row],[Match]]&amp;"_"&amp;STDLIGHTINEFCAT2[[#This Row],[Options]]</f>
        <v>T12_PG &lt;=100_2L T12 2' 35W</v>
      </c>
      <c r="L319" s="536" t="s">
        <v>2328</v>
      </c>
      <c r="M319" s="536">
        <v>70</v>
      </c>
      <c r="N319" s="536">
        <v>95</v>
      </c>
      <c r="O319" s="54">
        <v>544</v>
      </c>
      <c r="P319" s="54"/>
    </row>
    <row r="320" spans="9:16">
      <c r="I320" s="492" t="s">
        <v>2285</v>
      </c>
      <c r="J320" s="541" t="str">
        <f>"T12_"&amp;STDLIGHTINEFCAT2[[#This Row],[Ineff DropDown 2]]</f>
        <v>T12_PG &lt;=100</v>
      </c>
      <c r="K320" s="548" t="str">
        <f>STDLIGHTINEFCAT2[[#This Row],[Match]]&amp;"_"&amp;STDLIGHTINEFCAT2[[#This Row],[Options]]</f>
        <v>T12_PG &lt;=100_----3 ft Lamps----</v>
      </c>
      <c r="L320" s="542" t="s">
        <v>2403</v>
      </c>
      <c r="M320" s="542"/>
      <c r="N320" s="536"/>
      <c r="O320" s="54">
        <v>545</v>
      </c>
      <c r="P320" s="54"/>
    </row>
    <row r="321" spans="9:16">
      <c r="I321" s="492" t="s">
        <v>2285</v>
      </c>
      <c r="J321" s="541" t="str">
        <f>"T12_"&amp;STDLIGHTINEFCAT2[[#This Row],[Ineff DropDown 2]]</f>
        <v>T12_PG &lt;=100</v>
      </c>
      <c r="K321" s="548" t="str">
        <f>STDLIGHTINEFCAT2[[#This Row],[Match]]&amp;"_"&amp;STDLIGHTINEFCAT2[[#This Row],[Options]]</f>
        <v>T12_PG &lt;=100_1L T12 3' 21W</v>
      </c>
      <c r="L321" s="536" t="s">
        <v>2331</v>
      </c>
      <c r="M321" s="536">
        <v>21</v>
      </c>
      <c r="N321" s="536">
        <v>25</v>
      </c>
      <c r="O321" s="54">
        <v>546</v>
      </c>
      <c r="P321" s="54"/>
    </row>
    <row r="322" spans="9:16">
      <c r="I322" s="492" t="s">
        <v>2285</v>
      </c>
      <c r="J322" s="541" t="str">
        <f>"T12_"&amp;STDLIGHTINEFCAT2[[#This Row],[Ineff DropDown 2]]</f>
        <v>T12_PG &lt;=100</v>
      </c>
      <c r="K322" s="548" t="str">
        <f>STDLIGHTINEFCAT2[[#This Row],[Match]]&amp;"_"&amp;STDLIGHTINEFCAT2[[#This Row],[Options]]</f>
        <v>T12_PG &lt;=100_2L T12 3' 21W</v>
      </c>
      <c r="L322" s="536" t="s">
        <v>2332</v>
      </c>
      <c r="M322" s="536">
        <v>42</v>
      </c>
      <c r="N322" s="536">
        <v>49</v>
      </c>
      <c r="O322" s="54">
        <v>547</v>
      </c>
      <c r="P322" s="54"/>
    </row>
    <row r="323" spans="9:16">
      <c r="I323" s="492" t="s">
        <v>2285</v>
      </c>
      <c r="J323" s="541" t="str">
        <f>"T12_"&amp;STDLIGHTINEFCAT2[[#This Row],[Ineff DropDown 2]]</f>
        <v>T12_PG &lt;=100</v>
      </c>
      <c r="K323" s="548" t="str">
        <f>STDLIGHTINEFCAT2[[#This Row],[Match]]&amp;"_"&amp;STDLIGHTINEFCAT2[[#This Row],[Options]]</f>
        <v>T12_PG &lt;=100_1L T12 3' 24W</v>
      </c>
      <c r="L323" s="536" t="s">
        <v>2333</v>
      </c>
      <c r="M323" s="536">
        <v>24</v>
      </c>
      <c r="N323" s="536">
        <v>45</v>
      </c>
      <c r="O323" s="54">
        <v>548</v>
      </c>
      <c r="P323" s="54"/>
    </row>
    <row r="324" spans="9:16">
      <c r="I324" s="492" t="s">
        <v>2285</v>
      </c>
      <c r="J324" s="541" t="str">
        <f>"T12_"&amp;STDLIGHTINEFCAT2[[#This Row],[Ineff DropDown 2]]</f>
        <v>T12_PG &lt;=100</v>
      </c>
      <c r="K324" s="548" t="str">
        <f>STDLIGHTINEFCAT2[[#This Row],[Match]]&amp;"_"&amp;STDLIGHTINEFCAT2[[#This Row],[Options]]</f>
        <v>T12_PG &lt;=100_2L T12 3' 24W</v>
      </c>
      <c r="L324" s="536" t="s">
        <v>2334</v>
      </c>
      <c r="M324" s="536">
        <v>48</v>
      </c>
      <c r="N324" s="536">
        <v>65</v>
      </c>
      <c r="O324" s="54">
        <v>549</v>
      </c>
      <c r="P324" s="54"/>
    </row>
    <row r="325" spans="9:16">
      <c r="I325" s="492" t="s">
        <v>2285</v>
      </c>
      <c r="J325" s="541" t="str">
        <f>"T12_"&amp;STDLIGHTINEFCAT2[[#This Row],[Ineff DropDown 2]]</f>
        <v>T12_PG &lt;=100</v>
      </c>
      <c r="K325" s="548" t="str">
        <f>STDLIGHTINEFCAT2[[#This Row],[Match]]&amp;"_"&amp;STDLIGHTINEFCAT2[[#This Row],[Options]]</f>
        <v>T12_PG &lt;=100_1L T12 3' 25W</v>
      </c>
      <c r="L325" s="536" t="s">
        <v>2335</v>
      </c>
      <c r="M325" s="536">
        <v>25</v>
      </c>
      <c r="N325" s="536">
        <v>35</v>
      </c>
      <c r="O325" s="54">
        <v>550</v>
      </c>
      <c r="P325" s="54"/>
    </row>
    <row r="326" spans="9:16">
      <c r="I326" s="492" t="s">
        <v>2285</v>
      </c>
      <c r="J326" s="541" t="str">
        <f>"T12_"&amp;STDLIGHTINEFCAT2[[#This Row],[Ineff DropDown 2]]</f>
        <v>T12_PG &lt;=100</v>
      </c>
      <c r="K326" s="548" t="str">
        <f>STDLIGHTINEFCAT2[[#This Row],[Match]]&amp;"_"&amp;STDLIGHTINEFCAT2[[#This Row],[Options]]</f>
        <v>T12_PG &lt;=100_2L T12 3' 25W</v>
      </c>
      <c r="L326" s="536" t="s">
        <v>2336</v>
      </c>
      <c r="M326" s="536">
        <v>50</v>
      </c>
      <c r="N326" s="536">
        <v>71</v>
      </c>
      <c r="O326" s="54">
        <v>551</v>
      </c>
      <c r="P326" s="54"/>
    </row>
    <row r="327" spans="9:16">
      <c r="I327" s="492" t="s">
        <v>2285</v>
      </c>
      <c r="J327" s="541" t="str">
        <f>"T12_"&amp;STDLIGHTINEFCAT2[[#This Row],[Ineff DropDown 2]]</f>
        <v>T12_PG &lt;=100</v>
      </c>
      <c r="K327" s="548" t="str">
        <f>STDLIGHTINEFCAT2[[#This Row],[Match]]&amp;"_"&amp;STDLIGHTINEFCAT2[[#This Row],[Options]]</f>
        <v>T12_PG &lt;=100_3L T12 3' 25W</v>
      </c>
      <c r="L327" s="536" t="s">
        <v>2337</v>
      </c>
      <c r="M327" s="536">
        <v>75</v>
      </c>
      <c r="N327" s="536">
        <v>70</v>
      </c>
      <c r="O327" s="54">
        <v>552</v>
      </c>
      <c r="P327" s="54"/>
    </row>
    <row r="328" spans="9:16">
      <c r="I328" s="492" t="s">
        <v>2285</v>
      </c>
      <c r="J328" s="541" t="str">
        <f>"T12_"&amp;STDLIGHTINEFCAT2[[#This Row],[Ineff DropDown 2]]</f>
        <v>T12_PG &lt;=100</v>
      </c>
      <c r="K328" s="548" t="str">
        <f>STDLIGHTINEFCAT2[[#This Row],[Match]]&amp;"_"&amp;STDLIGHTINEFCAT2[[#This Row],[Options]]</f>
        <v>T12_PG &lt;=100_4L T12 3' 25W</v>
      </c>
      <c r="L328" s="536" t="s">
        <v>2338</v>
      </c>
      <c r="M328" s="536">
        <v>100</v>
      </c>
      <c r="N328" s="536">
        <v>88</v>
      </c>
      <c r="O328" s="54">
        <v>553</v>
      </c>
      <c r="P328" s="54"/>
    </row>
    <row r="329" spans="9:16">
      <c r="I329" s="492" t="s">
        <v>2285</v>
      </c>
      <c r="J329" s="541" t="str">
        <f>"T12_"&amp;STDLIGHTINEFCAT2[[#This Row],[Ineff DropDown 2]]</f>
        <v>T12_PG &lt;=100</v>
      </c>
      <c r="K329" s="548" t="str">
        <f>STDLIGHTINEFCAT2[[#This Row],[Match]]&amp;"_"&amp;STDLIGHTINEFCAT2[[#This Row],[Options]]</f>
        <v>T12_PG &lt;=100_1L T12 3' 30W</v>
      </c>
      <c r="L329" s="536" t="s">
        <v>2339</v>
      </c>
      <c r="M329" s="536">
        <v>30</v>
      </c>
      <c r="N329" s="536">
        <v>40</v>
      </c>
      <c r="O329" s="54">
        <v>554</v>
      </c>
      <c r="P329" s="54"/>
    </row>
    <row r="330" spans="9:16">
      <c r="I330" s="492" t="s">
        <v>2285</v>
      </c>
      <c r="J330" s="541" t="str">
        <f>"T12_"&amp;STDLIGHTINEFCAT2[[#This Row],[Ineff DropDown 2]]</f>
        <v>T12_PG &lt;=100</v>
      </c>
      <c r="K330" s="548" t="str">
        <f>STDLIGHTINEFCAT2[[#This Row],[Match]]&amp;"_"&amp;STDLIGHTINEFCAT2[[#This Row],[Options]]</f>
        <v>T12_PG &lt;=100_2L T12 3' 30W</v>
      </c>
      <c r="L330" s="536" t="s">
        <v>2340</v>
      </c>
      <c r="M330" s="536">
        <v>60</v>
      </c>
      <c r="N330" s="536">
        <v>75</v>
      </c>
      <c r="O330" s="54">
        <v>555</v>
      </c>
      <c r="P330" s="54"/>
    </row>
    <row r="331" spans="9:16">
      <c r="I331" s="492" t="s">
        <v>2285</v>
      </c>
      <c r="J331" s="541" t="str">
        <f>"T12_"&amp;STDLIGHTINEFCAT2[[#This Row],[Ineff DropDown 2]]</f>
        <v>T12_PG &lt;=100</v>
      </c>
      <c r="K331" s="548" t="str">
        <f>STDLIGHTINEFCAT2[[#This Row],[Match]]&amp;"_"&amp;STDLIGHTINEFCAT2[[#This Row],[Options]]</f>
        <v>T12_PG &lt;=100_3L T12 3' 30W</v>
      </c>
      <c r="L331" s="536" t="s">
        <v>2341</v>
      </c>
      <c r="M331" s="536">
        <v>90</v>
      </c>
      <c r="N331" s="536">
        <v>113</v>
      </c>
      <c r="O331" s="54">
        <v>556</v>
      </c>
      <c r="P331" s="54"/>
    </row>
    <row r="332" spans="9:16">
      <c r="I332" s="492" t="s">
        <v>2285</v>
      </c>
      <c r="J332" s="541" t="str">
        <f>"T12_"&amp;STDLIGHTINEFCAT2[[#This Row],[Ineff DropDown 2]]</f>
        <v>T12_PG &lt;=100</v>
      </c>
      <c r="K332" s="548" t="str">
        <f>STDLIGHTINEFCAT2[[#This Row],[Match]]&amp;"_"&amp;STDLIGHTINEFCAT2[[#This Row],[Options]]</f>
        <v>T12_PG &lt;=100_1L T12 3' 50W</v>
      </c>
      <c r="L332" s="536" t="s">
        <v>2343</v>
      </c>
      <c r="M332" s="536">
        <v>50</v>
      </c>
      <c r="N332" s="536">
        <v>72</v>
      </c>
      <c r="O332" s="54">
        <v>557</v>
      </c>
      <c r="P332" s="54"/>
    </row>
    <row r="333" spans="9:16">
      <c r="I333" s="492" t="s">
        <v>2285</v>
      </c>
      <c r="J333" s="541" t="str">
        <f>"T12_"&amp;STDLIGHTINEFCAT2[[#This Row],[Ineff DropDown 2]]</f>
        <v>T12_PG &lt;=100</v>
      </c>
      <c r="K333" s="548" t="str">
        <f>STDLIGHTINEFCAT2[[#This Row],[Match]]&amp;"_"&amp;STDLIGHTINEFCAT2[[#This Row],[Options]]</f>
        <v>T12_PG &lt;=100_2L T12 3' 50W</v>
      </c>
      <c r="L333" s="536" t="s">
        <v>2344</v>
      </c>
      <c r="M333" s="536">
        <v>100</v>
      </c>
      <c r="N333" s="536">
        <v>110</v>
      </c>
      <c r="O333" s="54">
        <v>558</v>
      </c>
      <c r="P333" s="54"/>
    </row>
    <row r="334" spans="9:16">
      <c r="I334" s="492" t="s">
        <v>2285</v>
      </c>
      <c r="J334" s="541" t="str">
        <f>"T12_"&amp;STDLIGHTINEFCAT2[[#This Row],[Ineff DropDown 2]]</f>
        <v>T12_PG &lt;=100</v>
      </c>
      <c r="K334" s="548" t="str">
        <f>STDLIGHTINEFCAT2[[#This Row],[Match]]&amp;"_"&amp;STDLIGHTINEFCAT2[[#This Row],[Options]]</f>
        <v>T12_PG &lt;=100_----4 ft Lamps----</v>
      </c>
      <c r="L334" s="542" t="s">
        <v>2404</v>
      </c>
      <c r="M334" s="542"/>
      <c r="N334" s="536"/>
      <c r="O334" s="54">
        <v>559</v>
      </c>
      <c r="P334" s="54"/>
    </row>
    <row r="335" spans="9:16">
      <c r="I335" s="492" t="s">
        <v>2285</v>
      </c>
      <c r="J335" s="541" t="str">
        <f>"T12_"&amp;STDLIGHTINEFCAT2[[#This Row],[Ineff DropDown 2]]</f>
        <v>T12_PG &lt;=100</v>
      </c>
      <c r="K335" s="548" t="str">
        <f>STDLIGHTINEFCAT2[[#This Row],[Match]]&amp;"_"&amp;STDLIGHTINEFCAT2[[#This Row],[Options]]</f>
        <v>T12_PG &lt;=100_1L T12 4' 30W</v>
      </c>
      <c r="L335" s="536" t="s">
        <v>2347</v>
      </c>
      <c r="M335" s="536">
        <v>30</v>
      </c>
      <c r="N335" s="536">
        <v>49</v>
      </c>
      <c r="O335" s="54">
        <v>560</v>
      </c>
      <c r="P335" s="54"/>
    </row>
    <row r="336" spans="9:16">
      <c r="I336" s="492" t="s">
        <v>2285</v>
      </c>
      <c r="J336" s="541" t="str">
        <f>"T12_"&amp;STDLIGHTINEFCAT2[[#This Row],[Ineff DropDown 2]]</f>
        <v>T12_PG &lt;=100</v>
      </c>
      <c r="K336" s="548" t="str">
        <f>STDLIGHTINEFCAT2[[#This Row],[Match]]&amp;"_"&amp;STDLIGHTINEFCAT2[[#This Row],[Options]]</f>
        <v>T12_PG &lt;=100_2L T12 4' 30W</v>
      </c>
      <c r="L336" s="536" t="s">
        <v>2348</v>
      </c>
      <c r="M336" s="536">
        <v>60</v>
      </c>
      <c r="N336" s="536">
        <v>80</v>
      </c>
      <c r="O336" s="54">
        <v>561</v>
      </c>
      <c r="P336" s="54"/>
    </row>
    <row r="337" spans="9:16">
      <c r="I337" s="492" t="s">
        <v>2285</v>
      </c>
      <c r="J337" s="541" t="str">
        <f>"T12_"&amp;STDLIGHTINEFCAT2[[#This Row],[Ineff DropDown 2]]</f>
        <v>T12_PG &lt;=100</v>
      </c>
      <c r="K337" s="548" t="str">
        <f>STDLIGHTINEFCAT2[[#This Row],[Match]]&amp;"_"&amp;STDLIGHTINEFCAT2[[#This Row],[Options]]</f>
        <v>T12_PG &lt;=100_1L T12 4' 34W</v>
      </c>
      <c r="L337" s="536" t="s">
        <v>2349</v>
      </c>
      <c r="M337" s="536">
        <v>34</v>
      </c>
      <c r="N337" s="536">
        <v>45</v>
      </c>
      <c r="O337" s="54">
        <v>562</v>
      </c>
      <c r="P337" s="54"/>
    </row>
    <row r="338" spans="9:16">
      <c r="I338" s="492" t="s">
        <v>2285</v>
      </c>
      <c r="J338" s="541" t="str">
        <f>"T12_"&amp;STDLIGHTINEFCAT2[[#This Row],[Ineff DropDown 2]]</f>
        <v>T12_PG &lt;=100</v>
      </c>
      <c r="K338" s="548" t="str">
        <f>STDLIGHTINEFCAT2[[#This Row],[Match]]&amp;"_"&amp;STDLIGHTINEFCAT2[[#This Row],[Options]]</f>
        <v>T12_PG &lt;=100_2L T12 4' 34W</v>
      </c>
      <c r="L338" s="536" t="s">
        <v>2350</v>
      </c>
      <c r="M338" s="536">
        <v>68</v>
      </c>
      <c r="N338" s="536">
        <v>84</v>
      </c>
      <c r="O338" s="54">
        <v>563</v>
      </c>
      <c r="P338" s="54"/>
    </row>
    <row r="339" spans="9:16">
      <c r="I339" s="492" t="s">
        <v>2285</v>
      </c>
      <c r="J339" s="541" t="str">
        <f>"T12_"&amp;STDLIGHTINEFCAT2[[#This Row],[Ineff DropDown 2]]</f>
        <v>T12_PG &lt;=100</v>
      </c>
      <c r="K339" s="548" t="str">
        <f>STDLIGHTINEFCAT2[[#This Row],[Match]]&amp;"_"&amp;STDLIGHTINEFCAT2[[#This Row],[Options]]</f>
        <v>T12_PG &lt;=100_1L T12 4' 40W</v>
      </c>
      <c r="L339" s="536" t="s">
        <v>2353</v>
      </c>
      <c r="M339" s="536">
        <v>40</v>
      </c>
      <c r="N339" s="536">
        <v>51</v>
      </c>
      <c r="O339" s="54">
        <v>564</v>
      </c>
      <c r="P339" s="54"/>
    </row>
    <row r="340" spans="9:16">
      <c r="I340" s="492" t="s">
        <v>2285</v>
      </c>
      <c r="J340" s="541" t="str">
        <f>"T12_"&amp;STDLIGHTINEFCAT2[[#This Row],[Ineff DropDown 2]]</f>
        <v>T12_PG &lt;=100</v>
      </c>
      <c r="K340" s="548" t="str">
        <f>STDLIGHTINEFCAT2[[#This Row],[Match]]&amp;"_"&amp;STDLIGHTINEFCAT2[[#This Row],[Options]]</f>
        <v>T12_PG &lt;=100_2L T12 4' 40W</v>
      </c>
      <c r="L340" s="536" t="s">
        <v>2354</v>
      </c>
      <c r="M340" s="536">
        <v>80</v>
      </c>
      <c r="N340" s="536">
        <v>97</v>
      </c>
      <c r="O340" s="54">
        <v>565</v>
      </c>
      <c r="P340" s="54"/>
    </row>
    <row r="341" spans="9:16">
      <c r="I341" s="492" t="s">
        <v>2285</v>
      </c>
      <c r="J341" s="541" t="str">
        <f>"T12_"&amp;STDLIGHTINEFCAT2[[#This Row],[Ineff DropDown 2]]</f>
        <v>T12_PG &lt;=100</v>
      </c>
      <c r="K341" s="548" t="str">
        <f>STDLIGHTINEFCAT2[[#This Row],[Match]]&amp;"_"&amp;STDLIGHTINEFCAT2[[#This Row],[Options]]</f>
        <v>T12_PG &lt;=100_1L T12 4' 60W</v>
      </c>
      <c r="L341" s="536" t="s">
        <v>2357</v>
      </c>
      <c r="M341" s="536">
        <v>60</v>
      </c>
      <c r="N341" s="536">
        <v>82</v>
      </c>
      <c r="O341" s="54">
        <v>566</v>
      </c>
      <c r="P341" s="54"/>
    </row>
    <row r="342" spans="9:16">
      <c r="I342" s="492" t="s">
        <v>2285</v>
      </c>
      <c r="J342" s="541" t="str">
        <f>"T12_"&amp;STDLIGHTINEFCAT2[[#This Row],[Ineff DropDown 2]]</f>
        <v>T12_PG &lt;=100</v>
      </c>
      <c r="K342" s="548" t="str">
        <f>STDLIGHTINEFCAT2[[#This Row],[Match]]&amp;"_"&amp;STDLIGHTINEFCAT2[[#This Row],[Options]]</f>
        <v>T12_PG &lt;=100_----6 ft Lamps----</v>
      </c>
      <c r="L342" s="542" t="s">
        <v>2406</v>
      </c>
      <c r="M342" s="542"/>
      <c r="N342" s="536"/>
      <c r="O342" s="54">
        <v>567</v>
      </c>
      <c r="P342" s="54"/>
    </row>
    <row r="343" spans="9:16">
      <c r="I343" s="492" t="s">
        <v>2285</v>
      </c>
      <c r="J343" s="541" t="str">
        <f>"T12_"&amp;STDLIGHTINEFCAT2[[#This Row],[Ineff DropDown 2]]</f>
        <v>T12_PG &lt;=100</v>
      </c>
      <c r="K343" s="548" t="str">
        <f>STDLIGHTINEFCAT2[[#This Row],[Match]]&amp;"_"&amp;STDLIGHTINEFCAT2[[#This Row],[Options]]</f>
        <v>T12_PG &lt;=100_1L T12 6' 57W</v>
      </c>
      <c r="L343" s="536" t="s">
        <v>2375</v>
      </c>
      <c r="M343" s="536">
        <v>57</v>
      </c>
      <c r="N343" s="536">
        <v>80</v>
      </c>
      <c r="O343" s="54">
        <v>568</v>
      </c>
      <c r="P343" s="54"/>
    </row>
    <row r="344" spans="9:16">
      <c r="I344" s="492" t="s">
        <v>2285</v>
      </c>
      <c r="J344" s="541" t="str">
        <f>"T12_"&amp;STDLIGHTINEFCAT2[[#This Row],[Ineff DropDown 2]]</f>
        <v>T12_PG &lt;=100</v>
      </c>
      <c r="K344" s="548" t="str">
        <f>STDLIGHTINEFCAT2[[#This Row],[Match]]&amp;"_"&amp;STDLIGHTINEFCAT2[[#This Row],[Options]]</f>
        <v>T12_PG &lt;=100_1L T12 6' 85W</v>
      </c>
      <c r="L344" s="536" t="s">
        <v>2377</v>
      </c>
      <c r="M344" s="536">
        <v>85</v>
      </c>
      <c r="N344" s="536">
        <v>106</v>
      </c>
      <c r="O344" s="54">
        <v>569</v>
      </c>
      <c r="P344" s="54"/>
    </row>
    <row r="345" spans="9:16">
      <c r="I345" s="492" t="s">
        <v>2285</v>
      </c>
      <c r="J345" s="541" t="str">
        <f>"T12_"&amp;STDLIGHTINEFCAT2[[#This Row],[Ineff DropDown 2]]</f>
        <v>T12_PG &lt;=100</v>
      </c>
      <c r="K345" s="548" t="str">
        <f>STDLIGHTINEFCAT2[[#This Row],[Match]]&amp;"_"&amp;STDLIGHTINEFCAT2[[#This Row],[Options]]</f>
        <v>T12_PG &lt;=100_----8 ft Lamps----</v>
      </c>
      <c r="L345" s="542" t="s">
        <v>2408</v>
      </c>
      <c r="M345" s="542"/>
      <c r="N345" s="536"/>
      <c r="O345" s="54">
        <v>570</v>
      </c>
      <c r="P345" s="54"/>
    </row>
    <row r="346" spans="9:16">
      <c r="I346" s="492" t="s">
        <v>2285</v>
      </c>
      <c r="J346" s="541" t="str">
        <f>"T12_"&amp;STDLIGHTINEFCAT2[[#This Row],[Ineff DropDown 2]]</f>
        <v>T12_PG &lt;=100</v>
      </c>
      <c r="K346" s="548" t="str">
        <f>STDLIGHTINEFCAT2[[#This Row],[Match]]&amp;"_"&amp;STDLIGHTINEFCAT2[[#This Row],[Options]]</f>
        <v>T12_PG &lt;=100_1L T12 8' 60W</v>
      </c>
      <c r="L346" s="536" t="s">
        <v>2386</v>
      </c>
      <c r="M346" s="536">
        <v>60</v>
      </c>
      <c r="N346" s="536">
        <v>74</v>
      </c>
      <c r="O346" s="54">
        <v>571</v>
      </c>
      <c r="P346" s="54"/>
    </row>
    <row r="347" spans="9:16">
      <c r="I347" s="492" t="s">
        <v>2285</v>
      </c>
      <c r="J347" s="541" t="str">
        <f>"T12_"&amp;STDLIGHTINEFCAT2[[#This Row],[Ineff DropDown 2]]</f>
        <v>T12_PG &lt;=100</v>
      </c>
      <c r="K347" s="548" t="str">
        <f>STDLIGHTINEFCAT2[[#This Row],[Match]]&amp;"_"&amp;STDLIGHTINEFCAT2[[#This Row],[Options]]</f>
        <v>T12_PG &lt;=100_1L T12 8' 75W</v>
      </c>
      <c r="L347" s="536" t="s">
        <v>2389</v>
      </c>
      <c r="M347" s="536">
        <v>75</v>
      </c>
      <c r="N347" s="536">
        <v>94</v>
      </c>
      <c r="O347" s="54">
        <v>572</v>
      </c>
      <c r="P347" s="54"/>
    </row>
    <row r="348" spans="9:16">
      <c r="I348" s="492" t="s">
        <v>2285</v>
      </c>
      <c r="J348" s="541" t="str">
        <f>"T12_"&amp;STDLIGHTINEFCAT2[[#This Row],[Ineff DropDown 2]]</f>
        <v>T12_PG &lt;=100</v>
      </c>
      <c r="K348" s="548" t="str">
        <f>STDLIGHTINEFCAT2[[#This Row],[Match]]&amp;"_"&amp;STDLIGHTINEFCAT2[[#This Row],[Options]]</f>
        <v>T12_PG &lt;=100_1L T12 8' 95W</v>
      </c>
      <c r="L348" s="536" t="s">
        <v>2391</v>
      </c>
      <c r="M348" s="536">
        <v>95</v>
      </c>
      <c r="N348" s="536">
        <v>125</v>
      </c>
      <c r="O348" s="54">
        <v>573</v>
      </c>
      <c r="P348" s="54"/>
    </row>
    <row r="349" spans="9:16">
      <c r="I349" s="492" t="s">
        <v>2286</v>
      </c>
      <c r="J349" s="541" t="str">
        <f>"T12_"&amp;STDLIGHTINEFCAT2[[#This Row],[Ineff DropDown 2]]</f>
        <v>T12_PG &gt;175</v>
      </c>
      <c r="K349" s="548" t="str">
        <f>STDLIGHTINEFCAT2[[#This Row],[Match]]&amp;"_"&amp;STDLIGHTINEFCAT2[[#This Row],[Options]]</f>
        <v>T12_PG &gt;175_----3 ft Lamps----</v>
      </c>
      <c r="L349" s="542" t="s">
        <v>2403</v>
      </c>
      <c r="M349" s="542"/>
      <c r="N349" s="536"/>
      <c r="O349" s="54">
        <v>692</v>
      </c>
      <c r="P349" s="54"/>
    </row>
    <row r="350" spans="9:16">
      <c r="I350" s="492" t="s">
        <v>2286</v>
      </c>
      <c r="J350" s="541" t="str">
        <f>"T12_"&amp;STDLIGHTINEFCAT2[[#This Row],[Ineff DropDown 2]]</f>
        <v>T12_PG &gt;175</v>
      </c>
      <c r="K350" s="548" t="str">
        <f>STDLIGHTINEFCAT2[[#This Row],[Match]]&amp;"_"&amp;STDLIGHTINEFCAT2[[#This Row],[Options]]</f>
        <v>T12_PG &gt;175_4L T12 3' 50W</v>
      </c>
      <c r="L350" s="536" t="s">
        <v>2346</v>
      </c>
      <c r="M350" s="536">
        <f>4*50</f>
        <v>200</v>
      </c>
      <c r="N350" s="536">
        <v>212</v>
      </c>
      <c r="O350" s="54">
        <v>693</v>
      </c>
      <c r="P350" s="54"/>
    </row>
    <row r="351" spans="9:16">
      <c r="I351" s="492" t="s">
        <v>2286</v>
      </c>
      <c r="J351" s="541" t="str">
        <f>"T12_"&amp;STDLIGHTINEFCAT2[[#This Row],[Ineff DropDown 2]]</f>
        <v>T12_PG &gt;175</v>
      </c>
      <c r="K351" s="548" t="str">
        <f>STDLIGHTINEFCAT2[[#This Row],[Match]]&amp;"_"&amp;STDLIGHTINEFCAT2[[#This Row],[Options]]</f>
        <v>T12_PG &gt;175_----4 ft Lamps----</v>
      </c>
      <c r="L351" s="542" t="s">
        <v>2404</v>
      </c>
      <c r="M351" s="542"/>
      <c r="N351" s="536"/>
      <c r="O351" s="54">
        <v>694</v>
      </c>
      <c r="P351" s="54"/>
    </row>
    <row r="352" spans="9:16">
      <c r="I352" s="492" t="s">
        <v>2286</v>
      </c>
      <c r="J352" s="541" t="str">
        <f>"T12_"&amp;STDLIGHTINEFCAT2[[#This Row],[Ineff DropDown 2]]</f>
        <v>T12_PG &gt;175</v>
      </c>
      <c r="K352" s="548" t="str">
        <f>STDLIGHTINEFCAT2[[#This Row],[Match]]&amp;"_"&amp;STDLIGHTINEFCAT2[[#This Row],[Options]]</f>
        <v>T12_PG &gt;175_3L T12 4' 60W</v>
      </c>
      <c r="L352" s="536" t="s">
        <v>2359</v>
      </c>
      <c r="M352" s="536">
        <f>3*60</f>
        <v>180</v>
      </c>
      <c r="N352" s="536">
        <v>204</v>
      </c>
      <c r="O352" s="54">
        <v>695</v>
      </c>
      <c r="P352" s="54"/>
    </row>
    <row r="353" spans="9:16">
      <c r="I353" s="492" t="s">
        <v>2286</v>
      </c>
      <c r="J353" s="541" t="str">
        <f>"T12_"&amp;STDLIGHTINEFCAT2[[#This Row],[Ineff DropDown 2]]</f>
        <v>T12_PG &gt;175</v>
      </c>
      <c r="K353" s="548" t="str">
        <f>STDLIGHTINEFCAT2[[#This Row],[Match]]&amp;"_"&amp;STDLIGHTINEFCAT2[[#This Row],[Options]]</f>
        <v>T12_PG &gt;175_4L T12 4' 60W</v>
      </c>
      <c r="L353" s="536" t="s">
        <v>2360</v>
      </c>
      <c r="M353" s="546">
        <f>4*60</f>
        <v>240</v>
      </c>
      <c r="N353" s="536">
        <v>263</v>
      </c>
      <c r="O353" s="54">
        <v>696</v>
      </c>
      <c r="P353" s="54"/>
    </row>
    <row r="354" spans="9:16">
      <c r="I354" s="492" t="s">
        <v>2286</v>
      </c>
      <c r="J354" s="541" t="str">
        <f>"T12_"&amp;STDLIGHTINEFCAT2[[#This Row],[Ineff DropDown 2]]</f>
        <v>T12_PG &gt;175</v>
      </c>
      <c r="K354" s="548" t="str">
        <f>STDLIGHTINEFCAT2[[#This Row],[Match]]&amp;"_"&amp;STDLIGHTINEFCAT2[[#This Row],[Options]]</f>
        <v>T12_PG &gt;175_2L T12 4' 116W</v>
      </c>
      <c r="L354" s="536" t="s">
        <v>2362</v>
      </c>
      <c r="M354" s="536">
        <f>2*116</f>
        <v>232</v>
      </c>
      <c r="N354" s="536">
        <v>230</v>
      </c>
      <c r="O354" s="54">
        <v>697</v>
      </c>
      <c r="P354" s="54"/>
    </row>
    <row r="355" spans="9:16">
      <c r="I355" s="492" t="s">
        <v>2286</v>
      </c>
      <c r="J355" s="541" t="str">
        <f>"T12_"&amp;STDLIGHTINEFCAT2[[#This Row],[Ineff DropDown 2]]</f>
        <v>T12_PG &gt;175</v>
      </c>
      <c r="K355" s="548" t="str">
        <f>STDLIGHTINEFCAT2[[#This Row],[Match]]&amp;"_"&amp;STDLIGHTINEFCAT2[[#This Row],[Options]]</f>
        <v>T12_PG &gt;175_3L T12 4' 116W</v>
      </c>
      <c r="L355" s="536" t="s">
        <v>2363</v>
      </c>
      <c r="M355" s="546">
        <f>3*116</f>
        <v>348</v>
      </c>
      <c r="N355" s="536">
        <v>329</v>
      </c>
      <c r="O355" s="54">
        <v>698</v>
      </c>
      <c r="P355" s="492"/>
    </row>
    <row r="356" spans="9:16">
      <c r="I356" s="492" t="s">
        <v>2286</v>
      </c>
      <c r="J356" s="541" t="str">
        <f>"T12_"&amp;STDLIGHTINEFCAT2[[#This Row],[Ineff DropDown 2]]</f>
        <v>T12_PG &gt;175</v>
      </c>
      <c r="K356" s="548" t="str">
        <f>STDLIGHTINEFCAT2[[#This Row],[Match]]&amp;"_"&amp;STDLIGHTINEFCAT2[[#This Row],[Options]]</f>
        <v>T12_PG &gt;175_----6 ft Lamps----</v>
      </c>
      <c r="L356" s="542" t="s">
        <v>2406</v>
      </c>
      <c r="M356" s="542"/>
      <c r="N356" s="536"/>
      <c r="O356" s="54">
        <v>699</v>
      </c>
      <c r="P356" s="492"/>
    </row>
    <row r="357" spans="9:16">
      <c r="I357" s="492" t="s">
        <v>2286</v>
      </c>
      <c r="J357" s="541" t="str">
        <f>"T12_"&amp;STDLIGHTINEFCAT2[[#This Row],[Ineff DropDown 2]]</f>
        <v>T12_PG &gt;175</v>
      </c>
      <c r="K357" s="548" t="str">
        <f>STDLIGHTINEFCAT2[[#This Row],[Match]]&amp;"_"&amp;STDLIGHTINEFCAT2[[#This Row],[Options]]</f>
        <v>T12_PG &gt;175_2L T12 6' 168W</v>
      </c>
      <c r="L357" s="536" t="s">
        <v>2373</v>
      </c>
      <c r="M357" s="546">
        <f>2*168</f>
        <v>336</v>
      </c>
      <c r="N357" s="536">
        <v>314</v>
      </c>
      <c r="O357" s="54">
        <v>700</v>
      </c>
      <c r="P357" s="54"/>
    </row>
    <row r="358" spans="9:16">
      <c r="I358" s="492" t="s">
        <v>2286</v>
      </c>
      <c r="J358" s="541" t="str">
        <f>"T12_"&amp;STDLIGHTINEFCAT2[[#This Row],[Ineff DropDown 2]]</f>
        <v>T12_PG &gt;175</v>
      </c>
      <c r="K358" s="548" t="str">
        <f>STDLIGHTINEFCAT2[[#This Row],[Match]]&amp;"_"&amp;STDLIGHTINEFCAT2[[#This Row],[Options]]</f>
        <v>T12_PG &gt;175_3L T12 6' 168W</v>
      </c>
      <c r="L358" s="536" t="s">
        <v>2374</v>
      </c>
      <c r="M358" s="551">
        <f>3*168</f>
        <v>504</v>
      </c>
      <c r="N358" s="536">
        <v>424</v>
      </c>
      <c r="O358" s="54">
        <v>701</v>
      </c>
      <c r="P358" s="492"/>
    </row>
    <row r="359" spans="9:16">
      <c r="I359" s="492" t="s">
        <v>2286</v>
      </c>
      <c r="J359" s="541" t="str">
        <f>"T12_"&amp;STDLIGHTINEFCAT2[[#This Row],[Ineff DropDown 2]]</f>
        <v>T12_PG &gt;175</v>
      </c>
      <c r="K359" s="548" t="str">
        <f>STDLIGHTINEFCAT2[[#This Row],[Match]]&amp;"_"&amp;STDLIGHTINEFCAT2[[#This Row],[Options]]</f>
        <v>T12_PG &gt;175_3L T12 6' 85W</v>
      </c>
      <c r="L359" s="536" t="s">
        <v>2379</v>
      </c>
      <c r="M359" s="546">
        <f>3*85</f>
        <v>255</v>
      </c>
      <c r="N359" s="536">
        <v>291</v>
      </c>
      <c r="O359" s="54">
        <v>702</v>
      </c>
      <c r="P359" s="54"/>
    </row>
    <row r="360" spans="9:16">
      <c r="I360" s="492" t="s">
        <v>2286</v>
      </c>
      <c r="J360" s="541" t="str">
        <f>"T12_"&amp;STDLIGHTINEFCAT2[[#This Row],[Ineff DropDown 2]]</f>
        <v>T12_PG &gt;175</v>
      </c>
      <c r="K360" s="548" t="str">
        <f>STDLIGHTINEFCAT2[[#This Row],[Match]]&amp;"_"&amp;STDLIGHTINEFCAT2[[#This Row],[Options]]</f>
        <v>T12_PG &gt;175_4L T12 6' 85W</v>
      </c>
      <c r="L360" s="536" t="s">
        <v>2380</v>
      </c>
      <c r="M360" s="546">
        <f>4*85</f>
        <v>340</v>
      </c>
      <c r="N360" s="536">
        <v>323</v>
      </c>
      <c r="O360" s="54">
        <v>703</v>
      </c>
      <c r="P360" s="492"/>
    </row>
    <row r="361" spans="9:16">
      <c r="I361" s="492" t="s">
        <v>2286</v>
      </c>
      <c r="J361" s="541" t="str">
        <f>"T12_"&amp;STDLIGHTINEFCAT2[[#This Row],[Ineff DropDown 2]]</f>
        <v>T12_PG &gt;175</v>
      </c>
      <c r="K361" s="548" t="str">
        <f>STDLIGHTINEFCAT2[[#This Row],[Match]]&amp;"_"&amp;STDLIGHTINEFCAT2[[#This Row],[Options]]</f>
        <v>T12_PG &gt;175_----8 ft Lamps----</v>
      </c>
      <c r="L361" s="542" t="s">
        <v>2408</v>
      </c>
      <c r="M361" s="542"/>
      <c r="N361" s="536"/>
      <c r="O361" s="54">
        <v>704</v>
      </c>
      <c r="P361" s="492"/>
    </row>
    <row r="362" spans="9:16">
      <c r="I362" s="492" t="s">
        <v>2286</v>
      </c>
      <c r="J362" s="541" t="str">
        <f>"T12_"&amp;STDLIGHTINEFCAT2[[#This Row],[Ineff DropDown 2]]</f>
        <v>T12_PG &gt;175</v>
      </c>
      <c r="K362" s="548" t="str">
        <f>STDLIGHTINEFCAT2[[#This Row],[Match]]&amp;"_"&amp;STDLIGHTINEFCAT2[[#This Row],[Options]]</f>
        <v>T12_PG &gt;175_4L T12 8' 60W</v>
      </c>
      <c r="L362" s="536" t="s">
        <v>2388</v>
      </c>
      <c r="M362" s="536">
        <f>4*60</f>
        <v>240</v>
      </c>
      <c r="N362" s="536">
        <v>246</v>
      </c>
      <c r="O362" s="54">
        <v>705</v>
      </c>
      <c r="P362" s="492"/>
    </row>
    <row r="363" spans="9:16">
      <c r="I363" s="492" t="s">
        <v>2286</v>
      </c>
      <c r="J363" s="541" t="str">
        <f>"T12_"&amp;STDLIGHTINEFCAT2[[#This Row],[Ineff DropDown 2]]</f>
        <v>T12_PG &gt;175</v>
      </c>
      <c r="K363" s="548" t="str">
        <f>STDLIGHTINEFCAT2[[#This Row],[Match]]&amp;"_"&amp;STDLIGHTINEFCAT2[[#This Row],[Options]]</f>
        <v>T12_PG &gt;175_2L T12 8' 95W</v>
      </c>
      <c r="L363" s="536" t="s">
        <v>2392</v>
      </c>
      <c r="M363" s="536">
        <f>2*95</f>
        <v>190</v>
      </c>
      <c r="N363" s="536">
        <v>216</v>
      </c>
      <c r="O363" s="54">
        <v>706</v>
      </c>
      <c r="P363" s="492"/>
    </row>
    <row r="364" spans="9:16">
      <c r="I364" s="492" t="s">
        <v>2286</v>
      </c>
      <c r="J364" s="541" t="str">
        <f>"T12_"&amp;STDLIGHTINEFCAT2[[#This Row],[Ineff DropDown 2]]</f>
        <v>T12_PG &gt;175</v>
      </c>
      <c r="K364" s="548" t="str">
        <f>STDLIGHTINEFCAT2[[#This Row],[Match]]&amp;"_"&amp;STDLIGHTINEFCAT2[[#This Row],[Options]]</f>
        <v>T12_PG &gt;175_2L T12 8' 110W</v>
      </c>
      <c r="L364" s="536" t="s">
        <v>2394</v>
      </c>
      <c r="M364" s="546">
        <f>2*110</f>
        <v>220</v>
      </c>
      <c r="N364" s="536">
        <v>258</v>
      </c>
      <c r="O364" s="54">
        <v>707</v>
      </c>
      <c r="P364" s="54"/>
    </row>
    <row r="365" spans="9:16">
      <c r="I365" s="492" t="s">
        <v>2286</v>
      </c>
      <c r="J365" s="541" t="str">
        <f>"T12_"&amp;STDLIGHTINEFCAT2[[#This Row],[Ineff DropDown 2]]</f>
        <v>T12_PG &gt;175</v>
      </c>
      <c r="K365" s="548" t="str">
        <f>STDLIGHTINEFCAT2[[#This Row],[Match]]&amp;"_"&amp;STDLIGHTINEFCAT2[[#This Row],[Options]]</f>
        <v>T12_PG &gt;175_1L T12 8' 185W</v>
      </c>
      <c r="L365" s="536" t="s">
        <v>2395</v>
      </c>
      <c r="M365" s="536">
        <v>185</v>
      </c>
      <c r="N365" s="536">
        <v>198</v>
      </c>
      <c r="O365" s="54">
        <v>708</v>
      </c>
      <c r="P365" s="54"/>
    </row>
    <row r="366" spans="9:16">
      <c r="I366" s="492" t="s">
        <v>2286</v>
      </c>
      <c r="J366" s="541" t="str">
        <f>"T12_"&amp;STDLIGHTINEFCAT2[[#This Row],[Ineff DropDown 2]]</f>
        <v>T12_PG &gt;175</v>
      </c>
      <c r="K366" s="548" t="str">
        <f>STDLIGHTINEFCAT2[[#This Row],[Match]]&amp;"_"&amp;STDLIGHTINEFCAT2[[#This Row],[Options]]</f>
        <v>T12_PG &gt;175_2L T12 8' 185W</v>
      </c>
      <c r="L366" s="536" t="s">
        <v>2396</v>
      </c>
      <c r="M366" s="546">
        <f>2*185</f>
        <v>370</v>
      </c>
      <c r="N366" s="536">
        <v>398</v>
      </c>
      <c r="O366" s="54">
        <v>709</v>
      </c>
      <c r="P366" s="54"/>
    </row>
    <row r="367" spans="9:16">
      <c r="I367" s="492" t="s">
        <v>2286</v>
      </c>
      <c r="J367" s="541" t="str">
        <f>"T12_"&amp;STDLIGHTINEFCAT2[[#This Row],[Ineff DropDown 2]]</f>
        <v>T12_PG &gt;175</v>
      </c>
      <c r="K367" s="548" t="str">
        <f>STDLIGHTINEFCAT2[[#This Row],[Match]]&amp;"_"&amp;STDLIGHTINEFCAT2[[#This Row],[Options]]</f>
        <v>T12_PG &gt;175_3L T12 8' 185W</v>
      </c>
      <c r="L367" s="536" t="s">
        <v>2397</v>
      </c>
      <c r="M367" s="536">
        <f>3*185</f>
        <v>555</v>
      </c>
      <c r="N367" s="536">
        <v>550</v>
      </c>
      <c r="O367" s="54">
        <v>710</v>
      </c>
      <c r="P367" s="54"/>
    </row>
    <row r="368" spans="9:16">
      <c r="I368" s="492" t="s">
        <v>2286</v>
      </c>
      <c r="J368" s="541" t="str">
        <f>"T12_"&amp;STDLIGHTINEFCAT2[[#This Row],[Ineff DropDown 2]]</f>
        <v>T12_PG &gt;175</v>
      </c>
      <c r="K368" s="548" t="str">
        <f>STDLIGHTINEFCAT2[[#This Row],[Match]]&amp;"_"&amp;STDLIGHTINEFCAT2[[#This Row],[Options]]</f>
        <v>T12_PG &gt;175_1L T12 8' 215W</v>
      </c>
      <c r="L368" s="536" t="s">
        <v>2398</v>
      </c>
      <c r="M368" s="536">
        <v>215</v>
      </c>
      <c r="N368" s="536">
        <v>213</v>
      </c>
      <c r="O368" s="54">
        <v>711</v>
      </c>
      <c r="P368" s="54"/>
    </row>
    <row r="369" spans="9:16">
      <c r="I369" s="492" t="s">
        <v>2286</v>
      </c>
      <c r="J369" s="541" t="str">
        <f>"T12_"&amp;STDLIGHTINEFCAT2[[#This Row],[Ineff DropDown 2]]</f>
        <v>T12_PG &gt;175</v>
      </c>
      <c r="K369" s="548" t="str">
        <f>STDLIGHTINEFCAT2[[#This Row],[Match]]&amp;"_"&amp;STDLIGHTINEFCAT2[[#This Row],[Options]]</f>
        <v>T12_PG &gt;175_2L T12 8' 215W</v>
      </c>
      <c r="L369" s="536" t="s">
        <v>2399</v>
      </c>
      <c r="M369" s="546">
        <f>2*215</f>
        <v>430</v>
      </c>
      <c r="N369" s="536">
        <v>320</v>
      </c>
      <c r="O369" s="54">
        <v>712</v>
      </c>
      <c r="P369" s="54"/>
    </row>
    <row r="370" spans="9:16">
      <c r="I370" s="492" t="s">
        <v>2286</v>
      </c>
      <c r="J370" s="541" t="str">
        <f>"T12_"&amp;STDLIGHTINEFCAT2[[#This Row],[Ineff DropDown 2]]</f>
        <v>T12_PG &gt;175</v>
      </c>
      <c r="K370" s="548" t="str">
        <f>STDLIGHTINEFCAT2[[#This Row],[Match]]&amp;"_"&amp;STDLIGHTINEFCAT2[[#This Row],[Options]]</f>
        <v>T12_PG &gt;175_3L T12 8' 215W</v>
      </c>
      <c r="L370" s="536" t="s">
        <v>2400</v>
      </c>
      <c r="M370" s="551">
        <f>3*215</f>
        <v>645</v>
      </c>
      <c r="N370" s="536">
        <v>518</v>
      </c>
      <c r="O370" s="54">
        <v>713</v>
      </c>
      <c r="P370" s="492"/>
    </row>
    <row r="371" spans="9:16">
      <c r="I371" s="541" t="s">
        <v>2287</v>
      </c>
      <c r="J371" s="541" t="str">
        <f>"T12_"&amp;STDLIGHTINEFCAT2[[#This Row],[Ineff DropDown 2]]</f>
        <v>T12_PG 101-175</v>
      </c>
      <c r="K371" s="548" t="str">
        <f>STDLIGHTINEFCAT2[[#This Row],[Match]]&amp;"_"&amp;STDLIGHTINEFCAT2[[#This Row],[Options]]</f>
        <v>T12_PG 101-175_----2 ft Lamps----</v>
      </c>
      <c r="L371" s="542" t="s">
        <v>2402</v>
      </c>
      <c r="M371" s="542"/>
      <c r="N371" s="536"/>
      <c r="O371" s="54">
        <v>636</v>
      </c>
      <c r="P371" s="54"/>
    </row>
    <row r="372" spans="9:16">
      <c r="I372" s="541" t="s">
        <v>2287</v>
      </c>
      <c r="J372" s="541" t="str">
        <f>"T12_"&amp;STDLIGHTINEFCAT2[[#This Row],[Ineff DropDown 2]]</f>
        <v>T12_PG 101-175</v>
      </c>
      <c r="K372" s="548" t="str">
        <f>STDLIGHTINEFCAT2[[#This Row],[Match]]&amp;"_"&amp;STDLIGHTINEFCAT2[[#This Row],[Options]]</f>
        <v>T12_PG 101-175_3L T12 2' 35W</v>
      </c>
      <c r="L372" s="536" t="s">
        <v>2329</v>
      </c>
      <c r="M372" s="536">
        <v>105</v>
      </c>
      <c r="N372" s="536">
        <v>148</v>
      </c>
      <c r="O372" s="54">
        <v>637</v>
      </c>
      <c r="P372" s="54"/>
    </row>
    <row r="373" spans="9:16">
      <c r="I373" s="541" t="s">
        <v>2287</v>
      </c>
      <c r="J373" s="541" t="str">
        <f>"T12_"&amp;STDLIGHTINEFCAT2[[#This Row],[Ineff DropDown 2]]</f>
        <v>T12_PG 101-175</v>
      </c>
      <c r="K373" s="548" t="str">
        <f>STDLIGHTINEFCAT2[[#This Row],[Match]]&amp;"_"&amp;STDLIGHTINEFCAT2[[#This Row],[Options]]</f>
        <v>T12_PG 101-175_4L T12 2' 35W</v>
      </c>
      <c r="L373" s="536" t="s">
        <v>2330</v>
      </c>
      <c r="M373" s="536">
        <f>4*35</f>
        <v>140</v>
      </c>
      <c r="N373" s="536">
        <v>183</v>
      </c>
      <c r="O373" s="54">
        <v>638</v>
      </c>
      <c r="P373" s="54"/>
    </row>
    <row r="374" spans="9:16">
      <c r="I374" s="541" t="s">
        <v>2287</v>
      </c>
      <c r="J374" s="541" t="str">
        <f>"T12_"&amp;STDLIGHTINEFCAT2[[#This Row],[Ineff DropDown 2]]</f>
        <v>T12_PG 101-175</v>
      </c>
      <c r="K374" s="548" t="str">
        <f>STDLIGHTINEFCAT2[[#This Row],[Match]]&amp;"_"&amp;STDLIGHTINEFCAT2[[#This Row],[Options]]</f>
        <v>T12_PG 101-175_----3 ft Lamps----</v>
      </c>
      <c r="L374" s="542" t="s">
        <v>2403</v>
      </c>
      <c r="M374" s="542"/>
      <c r="N374" s="536"/>
      <c r="O374" s="54">
        <v>639</v>
      </c>
      <c r="P374" s="54"/>
    </row>
    <row r="375" spans="9:16">
      <c r="I375" s="541" t="s">
        <v>2287</v>
      </c>
      <c r="J375" s="541" t="str">
        <f>"T12_"&amp;STDLIGHTINEFCAT2[[#This Row],[Ineff DropDown 2]]</f>
        <v>T12_PG 101-175</v>
      </c>
      <c r="K375" s="548" t="str">
        <f>STDLIGHTINEFCAT2[[#This Row],[Match]]&amp;"_"&amp;STDLIGHTINEFCAT2[[#This Row],[Options]]</f>
        <v>T12_PG 101-175_4L T12 3' 30W</v>
      </c>
      <c r="L375" s="536" t="s">
        <v>2342</v>
      </c>
      <c r="M375" s="536">
        <v>120</v>
      </c>
      <c r="N375" s="536">
        <v>138</v>
      </c>
      <c r="O375" s="54">
        <v>640</v>
      </c>
      <c r="P375" s="54"/>
    </row>
    <row r="376" spans="9:16">
      <c r="I376" s="541" t="s">
        <v>2287</v>
      </c>
      <c r="J376" s="541" t="str">
        <f>"T12_"&amp;STDLIGHTINEFCAT2[[#This Row],[Ineff DropDown 2]]</f>
        <v>T12_PG 101-175</v>
      </c>
      <c r="K376" s="548" t="str">
        <f>STDLIGHTINEFCAT2[[#This Row],[Match]]&amp;"_"&amp;STDLIGHTINEFCAT2[[#This Row],[Options]]</f>
        <v>T12_PG 101-175_3L T12 3' 50W</v>
      </c>
      <c r="L376" s="536" t="s">
        <v>2345</v>
      </c>
      <c r="M376" s="536">
        <v>150</v>
      </c>
      <c r="N376" s="536">
        <v>166</v>
      </c>
      <c r="O376" s="54">
        <v>641</v>
      </c>
      <c r="P376" s="54"/>
    </row>
    <row r="377" spans="9:16">
      <c r="I377" s="541" t="s">
        <v>2287</v>
      </c>
      <c r="J377" s="541" t="str">
        <f>"T12_"&amp;STDLIGHTINEFCAT2[[#This Row],[Ineff DropDown 2]]</f>
        <v>T12_PG 101-175</v>
      </c>
      <c r="K377" s="548" t="str">
        <f>STDLIGHTINEFCAT2[[#This Row],[Match]]&amp;"_"&amp;STDLIGHTINEFCAT2[[#This Row],[Options]]</f>
        <v>T12_PG 101-175_----4 ft Lamps----</v>
      </c>
      <c r="L377" s="542" t="s">
        <v>2404</v>
      </c>
      <c r="M377" s="542"/>
      <c r="N377" s="536"/>
      <c r="O377" s="54">
        <v>642</v>
      </c>
      <c r="P377" s="54"/>
    </row>
    <row r="378" spans="9:16">
      <c r="I378" s="541" t="s">
        <v>2287</v>
      </c>
      <c r="J378" s="541" t="str">
        <f>"T12_"&amp;STDLIGHTINEFCAT2[[#This Row],[Ineff DropDown 2]]</f>
        <v>T12_PG 101-175</v>
      </c>
      <c r="K378" s="548" t="str">
        <f>STDLIGHTINEFCAT2[[#This Row],[Match]]&amp;"_"&amp;STDLIGHTINEFCAT2[[#This Row],[Options]]</f>
        <v>T12_PG 101-175_3L T12 4' 34W</v>
      </c>
      <c r="L378" s="536" t="s">
        <v>2351</v>
      </c>
      <c r="M378" s="536">
        <v>102</v>
      </c>
      <c r="N378" s="536">
        <v>127</v>
      </c>
      <c r="O378" s="54">
        <v>643</v>
      </c>
      <c r="P378" s="54"/>
    </row>
    <row r="379" spans="9:16">
      <c r="I379" s="541" t="s">
        <v>2287</v>
      </c>
      <c r="J379" s="541" t="str">
        <f>"T12_"&amp;STDLIGHTINEFCAT2[[#This Row],[Ineff DropDown 2]]</f>
        <v>T12_PG 101-175</v>
      </c>
      <c r="K379" s="548" t="str">
        <f>STDLIGHTINEFCAT2[[#This Row],[Match]]&amp;"_"&amp;STDLIGHTINEFCAT2[[#This Row],[Options]]</f>
        <v>T12_PG 101-175_4L T12 4' 34W</v>
      </c>
      <c r="L379" s="536" t="s">
        <v>2352</v>
      </c>
      <c r="M379" s="536">
        <v>136</v>
      </c>
      <c r="N379" s="536">
        <v>156</v>
      </c>
      <c r="O379" s="54">
        <v>644</v>
      </c>
      <c r="P379" s="54"/>
    </row>
    <row r="380" spans="9:16">
      <c r="I380" s="541" t="s">
        <v>2287</v>
      </c>
      <c r="J380" s="541" t="str">
        <f>"T12_"&amp;STDLIGHTINEFCAT2[[#This Row],[Ineff DropDown 2]]</f>
        <v>T12_PG 101-175</v>
      </c>
      <c r="K380" s="548" t="str">
        <f>STDLIGHTINEFCAT2[[#This Row],[Match]]&amp;"_"&amp;STDLIGHTINEFCAT2[[#This Row],[Options]]</f>
        <v>T12_PG 101-175_3L T12 4' 40W</v>
      </c>
      <c r="L380" s="536" t="s">
        <v>2355</v>
      </c>
      <c r="M380" s="536">
        <f>3*40</f>
        <v>120</v>
      </c>
      <c r="N380" s="536">
        <v>135</v>
      </c>
      <c r="O380" s="54">
        <v>645</v>
      </c>
      <c r="P380" s="54"/>
    </row>
    <row r="381" spans="9:16">
      <c r="I381" s="541" t="s">
        <v>2287</v>
      </c>
      <c r="J381" s="541" t="str">
        <f>"T12_"&amp;STDLIGHTINEFCAT2[[#This Row],[Ineff DropDown 2]]</f>
        <v>T12_PG 101-175</v>
      </c>
      <c r="K381" s="548" t="str">
        <f>STDLIGHTINEFCAT2[[#This Row],[Match]]&amp;"_"&amp;STDLIGHTINEFCAT2[[#This Row],[Options]]</f>
        <v>T12_PG 101-175_4L T12 4' 40W</v>
      </c>
      <c r="L381" s="536" t="s">
        <v>2356</v>
      </c>
      <c r="M381" s="536">
        <f>4*40</f>
        <v>160</v>
      </c>
      <c r="N381" s="536">
        <v>175</v>
      </c>
      <c r="O381" s="54">
        <v>646</v>
      </c>
      <c r="P381" s="54"/>
    </row>
    <row r="382" spans="9:16">
      <c r="I382" s="541" t="s">
        <v>2287</v>
      </c>
      <c r="J382" s="541" t="str">
        <f>"T12_"&amp;STDLIGHTINEFCAT2[[#This Row],[Ineff DropDown 2]]</f>
        <v>T12_PG 101-175</v>
      </c>
      <c r="K382" s="548" t="str">
        <f>STDLIGHTINEFCAT2[[#This Row],[Match]]&amp;"_"&amp;STDLIGHTINEFCAT2[[#This Row],[Options]]</f>
        <v>T12_PG 101-175_2L T12 4' 60W</v>
      </c>
      <c r="L382" s="536" t="s">
        <v>2358</v>
      </c>
      <c r="M382" s="536">
        <v>120</v>
      </c>
      <c r="N382" s="536">
        <v>133</v>
      </c>
      <c r="O382" s="54">
        <v>647</v>
      </c>
      <c r="P382" s="54"/>
    </row>
    <row r="383" spans="9:16">
      <c r="I383" s="541" t="s">
        <v>2287</v>
      </c>
      <c r="J383" s="541" t="str">
        <f>"T12_"&amp;STDLIGHTINEFCAT2[[#This Row],[Ineff DropDown 2]]</f>
        <v>T12_PG 101-175</v>
      </c>
      <c r="K383" s="548" t="str">
        <f>STDLIGHTINEFCAT2[[#This Row],[Match]]&amp;"_"&amp;STDLIGHTINEFCAT2[[#This Row],[Options]]</f>
        <v>T12_PG 101-175_1L T12 4' 116W</v>
      </c>
      <c r="L383" s="536" t="s">
        <v>2361</v>
      </c>
      <c r="M383" s="536">
        <v>116</v>
      </c>
      <c r="N383" s="536">
        <v>130</v>
      </c>
      <c r="O383" s="54">
        <v>648</v>
      </c>
      <c r="P383" s="54"/>
    </row>
    <row r="384" spans="9:16">
      <c r="I384" s="541" t="s">
        <v>2287</v>
      </c>
      <c r="J384" s="541" t="str">
        <f>"T12_"&amp;STDLIGHTINEFCAT2[[#This Row],[Ineff DropDown 2]]</f>
        <v>T12_PG 101-175</v>
      </c>
      <c r="K384" s="548" t="str">
        <f>STDLIGHTINEFCAT2[[#This Row],[Match]]&amp;"_"&amp;STDLIGHTINEFCAT2[[#This Row],[Options]]</f>
        <v>T12_PG 101-175_----6 ft Lamps----</v>
      </c>
      <c r="L384" s="542" t="s">
        <v>2406</v>
      </c>
      <c r="M384" s="542"/>
      <c r="N384" s="536"/>
      <c r="O384" s="54">
        <v>649</v>
      </c>
      <c r="P384" s="54"/>
    </row>
    <row r="385" spans="9:16">
      <c r="I385" s="541" t="s">
        <v>2287</v>
      </c>
      <c r="J385" s="541" t="str">
        <f>"T12_"&amp;STDLIGHTINEFCAT2[[#This Row],[Ineff DropDown 2]]</f>
        <v>T12_PG 101-175</v>
      </c>
      <c r="K385" s="548" t="str">
        <f>STDLIGHTINEFCAT2[[#This Row],[Match]]&amp;"_"&amp;STDLIGHTINEFCAT2[[#This Row],[Options]]</f>
        <v>T12_PG 101-175_2L T12 6' 85W</v>
      </c>
      <c r="L385" s="536" t="s">
        <v>2378</v>
      </c>
      <c r="M385" s="536">
        <f>2*85</f>
        <v>170</v>
      </c>
      <c r="N385" s="536">
        <v>190</v>
      </c>
      <c r="O385" s="54">
        <v>650</v>
      </c>
      <c r="P385" s="54"/>
    </row>
    <row r="386" spans="9:16">
      <c r="I386" s="541" t="s">
        <v>2287</v>
      </c>
      <c r="J386" s="541" t="str">
        <f>"T12_"&amp;STDLIGHTINEFCAT2[[#This Row],[Ineff DropDown 2]]</f>
        <v>T12_PG 101-175</v>
      </c>
      <c r="K386" s="548" t="str">
        <f>STDLIGHTINEFCAT2[[#This Row],[Match]]&amp;"_"&amp;STDLIGHTINEFCAT2[[#This Row],[Options]]</f>
        <v>T12_PG 101-175_2L T12 6' 57W</v>
      </c>
      <c r="L386" s="536" t="s">
        <v>2376</v>
      </c>
      <c r="M386" s="536">
        <f>57*2</f>
        <v>114</v>
      </c>
      <c r="N386" s="536">
        <v>122</v>
      </c>
      <c r="O386" s="54">
        <v>651</v>
      </c>
      <c r="P386" s="54"/>
    </row>
    <row r="387" spans="9:16">
      <c r="I387" s="541" t="s">
        <v>2287</v>
      </c>
      <c r="J387" s="541" t="str">
        <f>"T12_"&amp;STDLIGHTINEFCAT2[[#This Row],[Ineff DropDown 2]]</f>
        <v>T12_PG 101-175</v>
      </c>
      <c r="K387" s="548" t="str">
        <f>STDLIGHTINEFCAT2[[#This Row],[Match]]&amp;"_"&amp;STDLIGHTINEFCAT2[[#This Row],[Options]]</f>
        <v>T12_PG 101-175_1L T12 6' 168W</v>
      </c>
      <c r="L387" s="536" t="s">
        <v>2372</v>
      </c>
      <c r="M387" s="536">
        <v>168</v>
      </c>
      <c r="N387" s="536">
        <v>169</v>
      </c>
      <c r="O387" s="54">
        <v>652</v>
      </c>
      <c r="P387" s="54"/>
    </row>
    <row r="388" spans="9:16">
      <c r="I388" s="541" t="s">
        <v>2287</v>
      </c>
      <c r="J388" s="541" t="str">
        <f>"T12_"&amp;STDLIGHTINEFCAT2[[#This Row],[Ineff DropDown 2]]</f>
        <v>T12_PG 101-175</v>
      </c>
      <c r="K388" s="548" t="str">
        <f>STDLIGHTINEFCAT2[[#This Row],[Match]]&amp;"_"&amp;STDLIGHTINEFCAT2[[#This Row],[Options]]</f>
        <v>T12_PG 101-175_----8 ft Lamps----</v>
      </c>
      <c r="L388" s="542" t="s">
        <v>2408</v>
      </c>
      <c r="M388" s="542"/>
      <c r="N388" s="536"/>
      <c r="O388" s="54">
        <v>653</v>
      </c>
      <c r="P388" s="54"/>
    </row>
    <row r="389" spans="9:16">
      <c r="I389" s="541" t="s">
        <v>2287</v>
      </c>
      <c r="J389" s="541" t="str">
        <f>"T12_"&amp;STDLIGHTINEFCAT2[[#This Row],[Ineff DropDown 2]]</f>
        <v>T12_PG 101-175</v>
      </c>
      <c r="K389" s="548" t="str">
        <f>STDLIGHTINEFCAT2[[#This Row],[Match]]&amp;"_"&amp;STDLIGHTINEFCAT2[[#This Row],[Options]]</f>
        <v>T12_PG 101-175_2L T12 8' 60W</v>
      </c>
      <c r="L389" s="536" t="s">
        <v>2387</v>
      </c>
      <c r="M389" s="536">
        <v>120</v>
      </c>
      <c r="N389" s="536">
        <v>113</v>
      </c>
      <c r="O389" s="54">
        <v>654</v>
      </c>
      <c r="P389" s="54"/>
    </row>
    <row r="390" spans="9:16">
      <c r="I390" s="541" t="s">
        <v>2287</v>
      </c>
      <c r="J390" s="541" t="str">
        <f>"T12_"&amp;STDLIGHTINEFCAT2[[#This Row],[Ineff DropDown 2]]</f>
        <v>T12_PG 101-175</v>
      </c>
      <c r="K390" s="548" t="str">
        <f>STDLIGHTINEFCAT2[[#This Row],[Match]]&amp;"_"&amp;STDLIGHTINEFCAT2[[#This Row],[Options]]</f>
        <v>T12_PG 101-175_2L T12 8' 75W</v>
      </c>
      <c r="L390" s="536" t="s">
        <v>2390</v>
      </c>
      <c r="M390" s="536">
        <f>2*75</f>
        <v>150</v>
      </c>
      <c r="N390" s="536">
        <v>145</v>
      </c>
      <c r="O390" s="54">
        <v>655</v>
      </c>
      <c r="P390" s="54"/>
    </row>
    <row r="391" spans="9:16">
      <c r="I391" s="541" t="s">
        <v>2287</v>
      </c>
      <c r="J391" s="541" t="str">
        <f>"T12_"&amp;STDLIGHTINEFCAT2[[#This Row],[Ineff DropDown 2]]</f>
        <v>T12_PG 101-175</v>
      </c>
      <c r="K391" s="548" t="str">
        <f>STDLIGHTINEFCAT2[[#This Row],[Match]]&amp;"_"&amp;STDLIGHTINEFCAT2[[#This Row],[Options]]</f>
        <v>T12_PG 101-175_1L T12 8' 110W</v>
      </c>
      <c r="L391" s="536" t="s">
        <v>2393</v>
      </c>
      <c r="M391" s="536">
        <v>110</v>
      </c>
      <c r="N391" s="536">
        <v>140</v>
      </c>
      <c r="O391" s="54">
        <v>656</v>
      </c>
      <c r="P391" s="54"/>
    </row>
    <row r="392" spans="9:16">
      <c r="I392" s="541" t="s">
        <v>2639</v>
      </c>
      <c r="J392" s="541" t="str">
        <f>"T12_"&amp;STDLIGHTINEFCAT2[[#This Row],[Ineff DropDown 2]]</f>
        <v>T12_Retrofit_2ft</v>
      </c>
      <c r="K392" s="548" t="str">
        <f>STDLIGHTINEFCAT2[[#This Row],[Match]]&amp;"_"&amp;STDLIGHTINEFCAT2[[#This Row],[Options]]</f>
        <v>T12_Retrofit_2ft_1L T12 2' 20W</v>
      </c>
      <c r="L392" s="536" t="s">
        <v>2323</v>
      </c>
      <c r="M392" s="536">
        <v>20</v>
      </c>
      <c r="N392" s="536">
        <v>21</v>
      </c>
      <c r="O392" s="54">
        <v>443</v>
      </c>
      <c r="P392" s="54"/>
    </row>
    <row r="393" spans="9:16">
      <c r="I393" s="541" t="s">
        <v>2639</v>
      </c>
      <c r="J393" s="541" t="str">
        <f>"T12_"&amp;STDLIGHTINEFCAT2[[#This Row],[Ineff DropDown 2]]</f>
        <v>T12_Retrofit_2ft</v>
      </c>
      <c r="K393" s="548" t="str">
        <f>STDLIGHTINEFCAT2[[#This Row],[Match]]&amp;"_"&amp;STDLIGHTINEFCAT2[[#This Row],[Options]]</f>
        <v>T12_Retrofit_2ft_2L T12 2' 20W</v>
      </c>
      <c r="L393" s="536" t="s">
        <v>2324</v>
      </c>
      <c r="M393" s="536">
        <v>40</v>
      </c>
      <c r="N393" s="536">
        <v>53</v>
      </c>
      <c r="O393" s="54">
        <v>444</v>
      </c>
      <c r="P393" s="54"/>
    </row>
    <row r="394" spans="9:16">
      <c r="I394" s="541" t="s">
        <v>2639</v>
      </c>
      <c r="J394" s="541" t="str">
        <f>"T12_"&amp;STDLIGHTINEFCAT2[[#This Row],[Ineff DropDown 2]]</f>
        <v>T12_Retrofit_2ft</v>
      </c>
      <c r="K394" s="548" t="str">
        <f>STDLIGHTINEFCAT2[[#This Row],[Match]]&amp;"_"&amp;STDLIGHTINEFCAT2[[#This Row],[Options]]</f>
        <v>T12_Retrofit_2ft_3L T12 2' 20W</v>
      </c>
      <c r="L394" s="536" t="s">
        <v>2325</v>
      </c>
      <c r="M394" s="536">
        <v>60</v>
      </c>
      <c r="N394" s="536">
        <v>64</v>
      </c>
      <c r="O394" s="54">
        <v>445</v>
      </c>
      <c r="P394" s="54"/>
    </row>
    <row r="395" spans="9:16">
      <c r="I395" s="541" t="s">
        <v>2639</v>
      </c>
      <c r="J395" s="541" t="str">
        <f>"T12_"&amp;STDLIGHTINEFCAT2[[#This Row],[Ineff DropDown 2]]</f>
        <v>T12_Retrofit_2ft</v>
      </c>
      <c r="K395" s="548" t="str">
        <f>STDLIGHTINEFCAT2[[#This Row],[Match]]&amp;"_"&amp;STDLIGHTINEFCAT2[[#This Row],[Options]]</f>
        <v>T12_Retrofit_2ft_4L T12 2' 20W</v>
      </c>
      <c r="L395" s="536" t="s">
        <v>2326</v>
      </c>
      <c r="M395" s="536">
        <v>80</v>
      </c>
      <c r="N395" s="536">
        <v>91</v>
      </c>
      <c r="O395" s="54">
        <v>446</v>
      </c>
      <c r="P395" s="54"/>
    </row>
    <row r="396" spans="9:16">
      <c r="I396" s="541" t="s">
        <v>2639</v>
      </c>
      <c r="J396" s="541" t="str">
        <f>"T12_"&amp;STDLIGHTINEFCAT2[[#This Row],[Ineff DropDown 2]]</f>
        <v>T12_Retrofit_2ft</v>
      </c>
      <c r="K396" s="548" t="str">
        <f>STDLIGHTINEFCAT2[[#This Row],[Match]]&amp;"_"&amp;STDLIGHTINEFCAT2[[#This Row],[Options]]</f>
        <v>T12_Retrofit_2ft_1L T12 2' 35W</v>
      </c>
      <c r="L396" s="536" t="s">
        <v>2327</v>
      </c>
      <c r="M396" s="536">
        <v>35</v>
      </c>
      <c r="N396" s="536">
        <v>64</v>
      </c>
      <c r="O396" s="54">
        <v>447</v>
      </c>
      <c r="P396" s="54"/>
    </row>
    <row r="397" spans="9:16">
      <c r="I397" s="541" t="s">
        <v>2639</v>
      </c>
      <c r="J397" s="541" t="str">
        <f>"T12_"&amp;STDLIGHTINEFCAT2[[#This Row],[Ineff DropDown 2]]</f>
        <v>T12_Retrofit_2ft</v>
      </c>
      <c r="K397" s="548" t="str">
        <f>STDLIGHTINEFCAT2[[#This Row],[Match]]&amp;"_"&amp;STDLIGHTINEFCAT2[[#This Row],[Options]]</f>
        <v>T12_Retrofit_2ft_2L T12 2' 35W</v>
      </c>
      <c r="L397" s="536" t="s">
        <v>2328</v>
      </c>
      <c r="M397" s="536">
        <v>70</v>
      </c>
      <c r="N397" s="536">
        <v>95</v>
      </c>
      <c r="O397" s="54">
        <v>448</v>
      </c>
      <c r="P397" s="54"/>
    </row>
    <row r="398" spans="9:16">
      <c r="I398" s="541" t="s">
        <v>2639</v>
      </c>
      <c r="J398" s="541" t="str">
        <f>"T12_"&amp;STDLIGHTINEFCAT2[[#This Row],[Ineff DropDown 2]]</f>
        <v>T12_Retrofit_2ft</v>
      </c>
      <c r="K398" s="548" t="str">
        <f>STDLIGHTINEFCAT2[[#This Row],[Match]]&amp;"_"&amp;STDLIGHTINEFCAT2[[#This Row],[Options]]</f>
        <v>T12_Retrofit_2ft_3L T12 2' 35W</v>
      </c>
      <c r="L398" s="536" t="s">
        <v>2329</v>
      </c>
      <c r="M398" s="536">
        <v>105</v>
      </c>
      <c r="N398" s="536">
        <v>148</v>
      </c>
      <c r="O398" s="54">
        <v>449</v>
      </c>
      <c r="P398" s="54"/>
    </row>
    <row r="399" spans="9:16">
      <c r="I399" s="541" t="s">
        <v>2639</v>
      </c>
      <c r="J399" s="541" t="str">
        <f>"T12_"&amp;STDLIGHTINEFCAT2[[#This Row],[Ineff DropDown 2]]</f>
        <v>T12_Retrofit_2ft</v>
      </c>
      <c r="K399" s="548" t="str">
        <f>STDLIGHTINEFCAT2[[#This Row],[Match]]&amp;"_"&amp;STDLIGHTINEFCAT2[[#This Row],[Options]]</f>
        <v>T12_Retrofit_2ft_4L T12 2' 35W</v>
      </c>
      <c r="L399" s="540" t="s">
        <v>2330</v>
      </c>
      <c r="M399" s="536">
        <f>4*35</f>
        <v>140</v>
      </c>
      <c r="N399" s="540">
        <v>183</v>
      </c>
      <c r="O399" s="54">
        <v>450</v>
      </c>
      <c r="P399" s="54"/>
    </row>
    <row r="400" spans="9:16">
      <c r="I400" s="541" t="s">
        <v>2639</v>
      </c>
      <c r="J400" s="541" t="str">
        <f>"T12_"&amp;STDLIGHTINEFCAT2[[#This Row],[Ineff DropDown 2]]</f>
        <v>T12_Retrofit_2ft</v>
      </c>
      <c r="K400" s="548" t="str">
        <f>STDLIGHTINEFCAT2[[#This Row],[Match]]&amp;"_"&amp;STDLIGHTINEFCAT2[[#This Row],[Options]]</f>
        <v>T12_Retrofit_2ft_1L T12 Ubend 34W</v>
      </c>
      <c r="L400" s="536" t="s">
        <v>2817</v>
      </c>
      <c r="M400" s="536">
        <v>34</v>
      </c>
      <c r="N400" s="536">
        <v>43</v>
      </c>
      <c r="O400" s="54">
        <v>451</v>
      </c>
      <c r="P400" s="54" t="s">
        <v>2821</v>
      </c>
    </row>
    <row r="401" spans="9:16">
      <c r="I401" s="541" t="s">
        <v>2639</v>
      </c>
      <c r="J401" s="541" t="str">
        <f>"T12_"&amp;STDLIGHTINEFCAT2[[#This Row],[Ineff DropDown 2]]</f>
        <v>T12_Retrofit_2ft</v>
      </c>
      <c r="K401" s="548" t="str">
        <f>STDLIGHTINEFCAT2[[#This Row],[Match]]&amp;"_"&amp;STDLIGHTINEFCAT2[[#This Row],[Options]]</f>
        <v>T12_Retrofit_2ft_2L T12 Ubend 34W</v>
      </c>
      <c r="L401" s="536" t="s">
        <v>2818</v>
      </c>
      <c r="M401" s="536">
        <f>34*2</f>
        <v>68</v>
      </c>
      <c r="N401" s="536">
        <v>63</v>
      </c>
      <c r="O401" s="54">
        <v>452</v>
      </c>
      <c r="P401" s="54" t="s">
        <v>2822</v>
      </c>
    </row>
    <row r="402" spans="9:16">
      <c r="I402" s="541" t="s">
        <v>2639</v>
      </c>
      <c r="J402" s="541" t="str">
        <f>"T12_"&amp;STDLIGHTINEFCAT2[[#This Row],[Ineff DropDown 2]]</f>
        <v>T12_Retrofit_2ft</v>
      </c>
      <c r="K402" s="548" t="str">
        <f>STDLIGHTINEFCAT2[[#This Row],[Match]]&amp;"_"&amp;STDLIGHTINEFCAT2[[#This Row],[Options]]</f>
        <v>T12_Retrofit_2ft_1L T12 Ubend 40W</v>
      </c>
      <c r="L402" s="536" t="s">
        <v>2819</v>
      </c>
      <c r="M402" s="536">
        <v>40</v>
      </c>
      <c r="N402" s="536">
        <v>43</v>
      </c>
      <c r="O402" s="54">
        <v>453</v>
      </c>
      <c r="P402" s="54" t="s">
        <v>2821</v>
      </c>
    </row>
    <row r="403" spans="9:16">
      <c r="I403" s="541" t="s">
        <v>2639</v>
      </c>
      <c r="J403" s="541" t="str">
        <f>"T12_"&amp;STDLIGHTINEFCAT2[[#This Row],[Ineff DropDown 2]]</f>
        <v>T12_Retrofit_2ft</v>
      </c>
      <c r="K403" s="548" t="str">
        <f>STDLIGHTINEFCAT2[[#This Row],[Match]]&amp;"_"&amp;STDLIGHTINEFCAT2[[#This Row],[Options]]</f>
        <v>T12_Retrofit_2ft_2L T12 Ubend 40W</v>
      </c>
      <c r="L403" s="536" t="s">
        <v>2820</v>
      </c>
      <c r="M403" s="536">
        <v>80</v>
      </c>
      <c r="N403" s="536">
        <v>63</v>
      </c>
      <c r="O403" s="54">
        <v>454</v>
      </c>
      <c r="P403" s="54" t="s">
        <v>2823</v>
      </c>
    </row>
    <row r="404" spans="9:16">
      <c r="I404" s="496" t="s">
        <v>2638</v>
      </c>
      <c r="J404" s="541" t="str">
        <f>"T12_"&amp;STDLIGHTINEFCAT2[[#This Row],[Ineff DropDown 2]]</f>
        <v>T12_Retrofit_4ft</v>
      </c>
      <c r="K404" s="548" t="str">
        <f>STDLIGHTINEFCAT2[[#This Row],[Match]]&amp;"_"&amp;STDLIGHTINEFCAT2[[#This Row],[Options]]</f>
        <v>T12_Retrofit_4ft_1L T12 4' 30W</v>
      </c>
      <c r="L404" s="536" t="s">
        <v>2347</v>
      </c>
      <c r="M404" s="536">
        <v>30</v>
      </c>
      <c r="N404" s="536">
        <v>49</v>
      </c>
      <c r="O404" s="54">
        <v>426</v>
      </c>
      <c r="P404" s="54"/>
    </row>
    <row r="405" spans="9:16">
      <c r="I405" s="496" t="s">
        <v>2638</v>
      </c>
      <c r="J405" s="541" t="str">
        <f>"T12_"&amp;STDLIGHTINEFCAT2[[#This Row],[Ineff DropDown 2]]</f>
        <v>T12_Retrofit_4ft</v>
      </c>
      <c r="K405" s="548" t="str">
        <f>STDLIGHTINEFCAT2[[#This Row],[Match]]&amp;"_"&amp;STDLIGHTINEFCAT2[[#This Row],[Options]]</f>
        <v>T12_Retrofit_4ft_2L T12 4' 30W</v>
      </c>
      <c r="L405" s="536" t="s">
        <v>2348</v>
      </c>
      <c r="M405" s="536">
        <v>60</v>
      </c>
      <c r="N405" s="536">
        <v>80</v>
      </c>
      <c r="O405" s="54">
        <v>427</v>
      </c>
      <c r="P405" s="54"/>
    </row>
    <row r="406" spans="9:16">
      <c r="I406" s="496" t="s">
        <v>2638</v>
      </c>
      <c r="J406" s="541" t="str">
        <f>"T12_"&amp;STDLIGHTINEFCAT2[[#This Row],[Ineff DropDown 2]]</f>
        <v>T12_Retrofit_4ft</v>
      </c>
      <c r="K406" s="548" t="str">
        <f>STDLIGHTINEFCAT2[[#This Row],[Match]]&amp;"_"&amp;STDLIGHTINEFCAT2[[#This Row],[Options]]</f>
        <v>T12_Retrofit_4ft_1L T12 4' 34W</v>
      </c>
      <c r="L406" s="536" t="s">
        <v>2349</v>
      </c>
      <c r="M406" s="536">
        <v>34</v>
      </c>
      <c r="N406" s="536">
        <v>45</v>
      </c>
      <c r="O406" s="54">
        <v>428</v>
      </c>
      <c r="P406" s="54"/>
    </row>
    <row r="407" spans="9:16">
      <c r="I407" s="496" t="s">
        <v>2638</v>
      </c>
      <c r="J407" s="541" t="str">
        <f>"T12_"&amp;STDLIGHTINEFCAT2[[#This Row],[Ineff DropDown 2]]</f>
        <v>T12_Retrofit_4ft</v>
      </c>
      <c r="K407" s="548" t="str">
        <f>STDLIGHTINEFCAT2[[#This Row],[Match]]&amp;"_"&amp;STDLIGHTINEFCAT2[[#This Row],[Options]]</f>
        <v>T12_Retrofit_4ft_2L T12 4' 34W</v>
      </c>
      <c r="L407" s="536" t="s">
        <v>2350</v>
      </c>
      <c r="M407" s="536">
        <v>68</v>
      </c>
      <c r="N407" s="536">
        <v>84</v>
      </c>
      <c r="O407" s="54">
        <v>429</v>
      </c>
      <c r="P407" s="54"/>
    </row>
    <row r="408" spans="9:16">
      <c r="I408" s="496" t="s">
        <v>2638</v>
      </c>
      <c r="J408" s="541" t="str">
        <f>"T12_"&amp;STDLIGHTINEFCAT2[[#This Row],[Ineff DropDown 2]]</f>
        <v>T12_Retrofit_4ft</v>
      </c>
      <c r="K408" s="548" t="str">
        <f>STDLIGHTINEFCAT2[[#This Row],[Match]]&amp;"_"&amp;STDLIGHTINEFCAT2[[#This Row],[Options]]</f>
        <v>T12_Retrofit_4ft_3L T12 4' 34W</v>
      </c>
      <c r="L408" s="536" t="s">
        <v>2351</v>
      </c>
      <c r="M408" s="536">
        <v>102</v>
      </c>
      <c r="N408" s="536">
        <v>127</v>
      </c>
      <c r="O408" s="54">
        <v>430</v>
      </c>
      <c r="P408" s="54"/>
    </row>
    <row r="409" spans="9:16">
      <c r="I409" s="496" t="s">
        <v>2638</v>
      </c>
      <c r="J409" s="541" t="str">
        <f>"T12_"&amp;STDLIGHTINEFCAT2[[#This Row],[Ineff DropDown 2]]</f>
        <v>T12_Retrofit_4ft</v>
      </c>
      <c r="K409" s="548" t="str">
        <f>STDLIGHTINEFCAT2[[#This Row],[Match]]&amp;"_"&amp;STDLIGHTINEFCAT2[[#This Row],[Options]]</f>
        <v>T12_Retrofit_4ft_4L T12 4' 34W</v>
      </c>
      <c r="L409" s="536" t="s">
        <v>2352</v>
      </c>
      <c r="M409" s="536">
        <v>136</v>
      </c>
      <c r="N409" s="536">
        <v>156</v>
      </c>
      <c r="O409" s="54">
        <v>431</v>
      </c>
      <c r="P409" s="54"/>
    </row>
    <row r="410" spans="9:16">
      <c r="I410" s="496" t="s">
        <v>2638</v>
      </c>
      <c r="J410" s="541" t="str">
        <f>"T12_"&amp;STDLIGHTINEFCAT2[[#This Row],[Ineff DropDown 2]]</f>
        <v>T12_Retrofit_4ft</v>
      </c>
      <c r="K410" s="548" t="str">
        <f>STDLIGHTINEFCAT2[[#This Row],[Match]]&amp;"_"&amp;STDLIGHTINEFCAT2[[#This Row],[Options]]</f>
        <v>T12_Retrofit_4ft_1L T12 4' 40W</v>
      </c>
      <c r="L410" s="536" t="s">
        <v>2353</v>
      </c>
      <c r="M410" s="536">
        <v>40</v>
      </c>
      <c r="N410" s="536">
        <v>51</v>
      </c>
      <c r="O410" s="54">
        <v>432</v>
      </c>
      <c r="P410" s="54"/>
    </row>
    <row r="411" spans="9:16">
      <c r="I411" s="496" t="s">
        <v>2638</v>
      </c>
      <c r="J411" s="541" t="str">
        <f>"T12_"&amp;STDLIGHTINEFCAT2[[#This Row],[Ineff DropDown 2]]</f>
        <v>T12_Retrofit_4ft</v>
      </c>
      <c r="K411" s="548" t="str">
        <f>STDLIGHTINEFCAT2[[#This Row],[Match]]&amp;"_"&amp;STDLIGHTINEFCAT2[[#This Row],[Options]]</f>
        <v>T12_Retrofit_4ft_2L T12 4' 40W</v>
      </c>
      <c r="L411" s="536" t="s">
        <v>2354</v>
      </c>
      <c r="M411" s="536">
        <v>80</v>
      </c>
      <c r="N411" s="536">
        <v>97</v>
      </c>
      <c r="O411" s="54">
        <v>433</v>
      </c>
      <c r="P411" s="54"/>
    </row>
    <row r="412" spans="9:16">
      <c r="I412" s="496" t="s">
        <v>2638</v>
      </c>
      <c r="J412" s="541" t="str">
        <f>"T12_"&amp;STDLIGHTINEFCAT2[[#This Row],[Ineff DropDown 2]]</f>
        <v>T12_Retrofit_4ft</v>
      </c>
      <c r="K412" s="548" t="str">
        <f>STDLIGHTINEFCAT2[[#This Row],[Match]]&amp;"_"&amp;STDLIGHTINEFCAT2[[#This Row],[Options]]</f>
        <v>T12_Retrofit_4ft_3L T12 4' 40W</v>
      </c>
      <c r="L412" s="536" t="s">
        <v>2355</v>
      </c>
      <c r="M412" s="536">
        <f>3*40</f>
        <v>120</v>
      </c>
      <c r="N412" s="536">
        <v>135</v>
      </c>
      <c r="O412" s="54">
        <v>434</v>
      </c>
      <c r="P412" s="54"/>
    </row>
    <row r="413" spans="9:16">
      <c r="I413" s="496" t="s">
        <v>2638</v>
      </c>
      <c r="J413" s="541" t="str">
        <f>"T12_"&amp;STDLIGHTINEFCAT2[[#This Row],[Ineff DropDown 2]]</f>
        <v>T12_Retrofit_4ft</v>
      </c>
      <c r="K413" s="548" t="str">
        <f>STDLIGHTINEFCAT2[[#This Row],[Match]]&amp;"_"&amp;STDLIGHTINEFCAT2[[#This Row],[Options]]</f>
        <v>T12_Retrofit_4ft_4L T12 4' 40W</v>
      </c>
      <c r="L413" s="536" t="s">
        <v>2356</v>
      </c>
      <c r="M413" s="536">
        <f>4*40</f>
        <v>160</v>
      </c>
      <c r="N413" s="536">
        <v>175</v>
      </c>
      <c r="O413" s="54">
        <v>435</v>
      </c>
      <c r="P413" s="54"/>
    </row>
    <row r="414" spans="9:16">
      <c r="I414" s="496" t="s">
        <v>2638</v>
      </c>
      <c r="J414" s="541" t="str">
        <f>"T12_"&amp;STDLIGHTINEFCAT2[[#This Row],[Ineff DropDown 2]]</f>
        <v>T12_Retrofit_4ft</v>
      </c>
      <c r="K414" s="548" t="str">
        <f>STDLIGHTINEFCAT2[[#This Row],[Match]]&amp;"_"&amp;STDLIGHTINEFCAT2[[#This Row],[Options]]</f>
        <v>T12_Retrofit_4ft_1L T12 4' 60W</v>
      </c>
      <c r="L414" s="536" t="s">
        <v>2357</v>
      </c>
      <c r="M414" s="536">
        <v>60</v>
      </c>
      <c r="N414" s="536">
        <v>82</v>
      </c>
      <c r="O414" s="54">
        <v>436</v>
      </c>
      <c r="P414" s="54"/>
    </row>
    <row r="415" spans="9:16">
      <c r="I415" s="496" t="s">
        <v>2638</v>
      </c>
      <c r="J415" s="541" t="str">
        <f>"T12_"&amp;STDLIGHTINEFCAT2[[#This Row],[Ineff DropDown 2]]</f>
        <v>T12_Retrofit_4ft</v>
      </c>
      <c r="K415" s="548" t="str">
        <f>STDLIGHTINEFCAT2[[#This Row],[Match]]&amp;"_"&amp;STDLIGHTINEFCAT2[[#This Row],[Options]]</f>
        <v>T12_Retrofit_4ft_2L T12 4' 60W</v>
      </c>
      <c r="L415" s="536" t="s">
        <v>2358</v>
      </c>
      <c r="M415" s="536">
        <v>120</v>
      </c>
      <c r="N415" s="536">
        <v>133</v>
      </c>
      <c r="O415" s="54">
        <v>437</v>
      </c>
      <c r="P415" s="54"/>
    </row>
    <row r="416" spans="9:16">
      <c r="I416" s="496" t="s">
        <v>2638</v>
      </c>
      <c r="J416" s="541" t="str">
        <f>"T12_"&amp;STDLIGHTINEFCAT2[[#This Row],[Ineff DropDown 2]]</f>
        <v>T12_Retrofit_4ft</v>
      </c>
      <c r="K416" s="548" t="str">
        <f>STDLIGHTINEFCAT2[[#This Row],[Match]]&amp;"_"&amp;STDLIGHTINEFCAT2[[#This Row],[Options]]</f>
        <v>T12_Retrofit_4ft_3L T12 4' 60W</v>
      </c>
      <c r="L416" s="536" t="s">
        <v>2359</v>
      </c>
      <c r="M416" s="536">
        <f>3*60</f>
        <v>180</v>
      </c>
      <c r="N416" s="536">
        <v>204</v>
      </c>
      <c r="O416" s="54">
        <v>438</v>
      </c>
      <c r="P416" s="54"/>
    </row>
    <row r="417" spans="9:22">
      <c r="I417" s="496" t="s">
        <v>2638</v>
      </c>
      <c r="J417" s="541" t="str">
        <f>"T12_"&amp;STDLIGHTINEFCAT2[[#This Row],[Ineff DropDown 2]]</f>
        <v>T12_Retrofit_4ft</v>
      </c>
      <c r="K417" s="548" t="str">
        <f>STDLIGHTINEFCAT2[[#This Row],[Match]]&amp;"_"&amp;STDLIGHTINEFCAT2[[#This Row],[Options]]</f>
        <v>T12_Retrofit_4ft_4L T12 4' 60W</v>
      </c>
      <c r="L417" s="536" t="s">
        <v>2360</v>
      </c>
      <c r="M417" s="546">
        <f>4*60</f>
        <v>240</v>
      </c>
      <c r="N417" s="536">
        <v>263</v>
      </c>
      <c r="O417" s="54">
        <v>439</v>
      </c>
      <c r="P417" s="54"/>
    </row>
    <row r="418" spans="9:22">
      <c r="I418" s="496" t="s">
        <v>2638</v>
      </c>
      <c r="J418" s="541" t="str">
        <f>"T12_"&amp;STDLIGHTINEFCAT2[[#This Row],[Ineff DropDown 2]]</f>
        <v>T12_Retrofit_4ft</v>
      </c>
      <c r="K418" s="548" t="str">
        <f>STDLIGHTINEFCAT2[[#This Row],[Match]]&amp;"_"&amp;STDLIGHTINEFCAT2[[#This Row],[Options]]</f>
        <v>T12_Retrofit_4ft_1L T12 4' 116W</v>
      </c>
      <c r="L418" s="536" t="s">
        <v>2361</v>
      </c>
      <c r="M418" s="536">
        <v>116</v>
      </c>
      <c r="N418" s="536">
        <v>130</v>
      </c>
      <c r="O418" s="54">
        <v>440</v>
      </c>
      <c r="P418" s="54"/>
    </row>
    <row r="419" spans="9:22">
      <c r="I419" s="496" t="s">
        <v>2638</v>
      </c>
      <c r="J419" s="541" t="str">
        <f>"T12_"&amp;STDLIGHTINEFCAT2[[#This Row],[Ineff DropDown 2]]</f>
        <v>T12_Retrofit_4ft</v>
      </c>
      <c r="K419" s="548" t="str">
        <f>STDLIGHTINEFCAT2[[#This Row],[Match]]&amp;"_"&amp;STDLIGHTINEFCAT2[[#This Row],[Options]]</f>
        <v>T12_Retrofit_4ft_2L T12 4' 116W</v>
      </c>
      <c r="L419" s="536" t="s">
        <v>2362</v>
      </c>
      <c r="M419" s="536">
        <f>2*116</f>
        <v>232</v>
      </c>
      <c r="N419" s="536">
        <v>230</v>
      </c>
      <c r="O419" s="54">
        <v>441</v>
      </c>
      <c r="P419" s="54"/>
    </row>
    <row r="420" spans="9:22">
      <c r="I420" s="496" t="s">
        <v>2638</v>
      </c>
      <c r="J420" s="541" t="str">
        <f>"T12_"&amp;STDLIGHTINEFCAT2[[#This Row],[Ineff DropDown 2]]</f>
        <v>T12_Retrofit_4ft</v>
      </c>
      <c r="K420" s="548" t="str">
        <f>STDLIGHTINEFCAT2[[#This Row],[Match]]&amp;"_"&amp;STDLIGHTINEFCAT2[[#This Row],[Options]]</f>
        <v>T12_Retrofit_4ft_3L T12 4' 116W</v>
      </c>
      <c r="L420" s="536" t="s">
        <v>2363</v>
      </c>
      <c r="M420" s="546">
        <f>3*116</f>
        <v>348</v>
      </c>
      <c r="N420" s="536">
        <v>329</v>
      </c>
      <c r="O420" s="54">
        <v>442</v>
      </c>
      <c r="P420" s="54"/>
      <c r="R420" t="s">
        <v>2640</v>
      </c>
      <c r="S420" t="s">
        <v>2719</v>
      </c>
      <c r="T420" t="s">
        <v>2721</v>
      </c>
      <c r="U420" t="s">
        <v>2397</v>
      </c>
      <c r="V420">
        <v>550</v>
      </c>
    </row>
    <row r="421" spans="9:22">
      <c r="I421" s="496" t="s">
        <v>2640</v>
      </c>
      <c r="J421" s="541" t="str">
        <f>"T12_"&amp;STDLIGHTINEFCAT2[[#This Row],[Ineff DropDown 2]]</f>
        <v>T12_Retrofit_8ft</v>
      </c>
      <c r="K421" s="548" t="str">
        <f>STDLIGHTINEFCAT2[[#This Row],[Match]]&amp;"_"&amp;STDLIGHTINEFCAT2[[#This Row],[Options]]</f>
        <v>T12_Retrofit_8ft_4L T12 4' 34W</v>
      </c>
      <c r="L421" s="536" t="s">
        <v>2352</v>
      </c>
      <c r="M421" s="536">
        <v>136</v>
      </c>
      <c r="N421" s="536">
        <v>156</v>
      </c>
      <c r="O421" s="54">
        <v>455</v>
      </c>
      <c r="P421" s="54"/>
      <c r="R421" t="s">
        <v>2640</v>
      </c>
      <c r="S421" t="s">
        <v>2719</v>
      </c>
      <c r="T421" t="s">
        <v>2722</v>
      </c>
      <c r="U421" t="s">
        <v>2400</v>
      </c>
      <c r="V421">
        <v>518</v>
      </c>
    </row>
    <row r="422" spans="9:22">
      <c r="I422" s="496" t="s">
        <v>2640</v>
      </c>
      <c r="J422" s="541" t="str">
        <f>"T12_"&amp;STDLIGHTINEFCAT2[[#This Row],[Ineff DropDown 2]]</f>
        <v>T12_Retrofit_8ft</v>
      </c>
      <c r="K422" s="548" t="str">
        <f>STDLIGHTINEFCAT2[[#This Row],[Match]]&amp;"_"&amp;STDLIGHTINEFCAT2[[#This Row],[Options]]</f>
        <v>T12_Retrofit_8ft_4L T12 4' 40W</v>
      </c>
      <c r="L422" s="536" t="s">
        <v>2356</v>
      </c>
      <c r="M422" s="536">
        <f>4*40</f>
        <v>160</v>
      </c>
      <c r="N422" s="536">
        <v>175</v>
      </c>
      <c r="O422" s="54">
        <v>456</v>
      </c>
      <c r="P422" s="54"/>
    </row>
    <row r="423" spans="9:22">
      <c r="I423" s="496" t="s">
        <v>2640</v>
      </c>
      <c r="J423" s="541" t="str">
        <f>"T12_"&amp;STDLIGHTINEFCAT2[[#This Row],[Ineff DropDown 2]]</f>
        <v>T12_Retrofit_8ft</v>
      </c>
      <c r="K423" s="548" t="str">
        <f>STDLIGHTINEFCAT2[[#This Row],[Match]]&amp;"_"&amp;STDLIGHTINEFCAT2[[#This Row],[Options]]</f>
        <v>T12_Retrofit_8ft_4L T12 4' 60W</v>
      </c>
      <c r="L423" s="536" t="s">
        <v>2360</v>
      </c>
      <c r="M423" s="546">
        <f>4*60</f>
        <v>240</v>
      </c>
      <c r="N423" s="536">
        <v>263</v>
      </c>
      <c r="O423" s="54">
        <v>457</v>
      </c>
      <c r="P423" s="54"/>
    </row>
    <row r="424" spans="9:22">
      <c r="I424" s="496" t="s">
        <v>2640</v>
      </c>
      <c r="J424" s="541" t="str">
        <f>"T12_"&amp;STDLIGHTINEFCAT2[[#This Row],[Ineff DropDown 2]]</f>
        <v>T12_Retrofit_8ft</v>
      </c>
      <c r="K424" s="548" t="str">
        <f>STDLIGHTINEFCAT2[[#This Row],[Match]]&amp;"_"&amp;STDLIGHTINEFCAT2[[#This Row],[Options]]</f>
        <v>T12_Retrofit_8ft_1L T12 8' 60W</v>
      </c>
      <c r="L424" s="536" t="s">
        <v>2386</v>
      </c>
      <c r="M424" s="536">
        <v>60</v>
      </c>
      <c r="N424" s="536">
        <v>74</v>
      </c>
      <c r="O424" s="54">
        <v>458</v>
      </c>
      <c r="P424" s="54"/>
    </row>
    <row r="425" spans="9:22">
      <c r="I425" s="496" t="s">
        <v>2640</v>
      </c>
      <c r="J425" s="541" t="str">
        <f>"T12_"&amp;STDLIGHTINEFCAT2[[#This Row],[Ineff DropDown 2]]</f>
        <v>T12_Retrofit_8ft</v>
      </c>
      <c r="K425" s="548" t="str">
        <f>STDLIGHTINEFCAT2[[#This Row],[Match]]&amp;"_"&amp;STDLIGHTINEFCAT2[[#This Row],[Options]]</f>
        <v>T12_Retrofit_8ft_2L T12 8' 60W</v>
      </c>
      <c r="L425" s="536" t="s">
        <v>2387</v>
      </c>
      <c r="M425" s="536">
        <v>120</v>
      </c>
      <c r="N425" s="536">
        <v>113</v>
      </c>
      <c r="O425" s="54">
        <v>459</v>
      </c>
      <c r="P425" s="54"/>
    </row>
    <row r="426" spans="9:22">
      <c r="I426" s="496" t="s">
        <v>2640</v>
      </c>
      <c r="J426" s="541" t="str">
        <f>"T12_"&amp;STDLIGHTINEFCAT2[[#This Row],[Ineff DropDown 2]]</f>
        <v>T12_Retrofit_8ft</v>
      </c>
      <c r="K426" s="548" t="str">
        <f>STDLIGHTINEFCAT2[[#This Row],[Match]]&amp;"_"&amp;STDLIGHTINEFCAT2[[#This Row],[Options]]</f>
        <v>T12_Retrofit_8ft_1L T12 8' 75W</v>
      </c>
      <c r="L426" s="536" t="s">
        <v>2389</v>
      </c>
      <c r="M426" s="536">
        <v>75</v>
      </c>
      <c r="N426" s="536">
        <v>94</v>
      </c>
      <c r="O426" s="54">
        <v>460</v>
      </c>
      <c r="P426" s="54"/>
    </row>
    <row r="427" spans="9:22">
      <c r="I427" s="496" t="s">
        <v>2640</v>
      </c>
      <c r="J427" s="541" t="str">
        <f>"T12_"&amp;STDLIGHTINEFCAT2[[#This Row],[Ineff DropDown 2]]</f>
        <v>T12_Retrofit_8ft</v>
      </c>
      <c r="K427" s="548" t="str">
        <f>STDLIGHTINEFCAT2[[#This Row],[Match]]&amp;"_"&amp;STDLIGHTINEFCAT2[[#This Row],[Options]]</f>
        <v>T12_Retrofit_8ft_2L T12 8' 75W</v>
      </c>
      <c r="L427" s="536" t="s">
        <v>2390</v>
      </c>
      <c r="M427" s="536">
        <f>2*75</f>
        <v>150</v>
      </c>
      <c r="N427" s="536">
        <v>145</v>
      </c>
      <c r="O427" s="54">
        <v>461</v>
      </c>
      <c r="P427" s="54"/>
    </row>
    <row r="428" spans="9:22">
      <c r="I428" s="496" t="s">
        <v>2640</v>
      </c>
      <c r="J428" s="541" t="str">
        <f>"T12_"&amp;STDLIGHTINEFCAT2[[#This Row],[Ineff DropDown 2]]</f>
        <v>T12_Retrofit_8ft</v>
      </c>
      <c r="K428" s="548" t="str">
        <f>STDLIGHTINEFCAT2[[#This Row],[Match]]&amp;"_"&amp;STDLIGHTINEFCAT2[[#This Row],[Options]]</f>
        <v>T12_Retrofit_8ft_1L T12 8' 95W</v>
      </c>
      <c r="L428" s="536" t="s">
        <v>2391</v>
      </c>
      <c r="M428" s="536">
        <v>95</v>
      </c>
      <c r="N428" s="536">
        <v>125</v>
      </c>
      <c r="O428" s="54">
        <v>462</v>
      </c>
      <c r="P428" s="492"/>
    </row>
    <row r="429" spans="9:22">
      <c r="I429" s="496" t="s">
        <v>2640</v>
      </c>
      <c r="J429" s="541" t="str">
        <f>"T12_"&amp;STDLIGHTINEFCAT2[[#This Row],[Ineff DropDown 2]]</f>
        <v>T12_Retrofit_8ft</v>
      </c>
      <c r="K429" s="548" t="str">
        <f>STDLIGHTINEFCAT2[[#This Row],[Match]]&amp;"_"&amp;STDLIGHTINEFCAT2[[#This Row],[Options]]</f>
        <v>T12_Retrofit_8ft_2L T12 8' 95W</v>
      </c>
      <c r="L429" s="536" t="s">
        <v>2392</v>
      </c>
      <c r="M429" s="536">
        <f>2*95</f>
        <v>190</v>
      </c>
      <c r="N429" s="536">
        <v>216</v>
      </c>
      <c r="O429" s="54">
        <v>463</v>
      </c>
      <c r="P429" s="54"/>
    </row>
    <row r="430" spans="9:22">
      <c r="I430" s="496" t="s">
        <v>2640</v>
      </c>
      <c r="J430" s="541" t="str">
        <f>"T12_"&amp;STDLIGHTINEFCAT2[[#This Row],[Ineff DropDown 2]]</f>
        <v>T12_Retrofit_8ft</v>
      </c>
      <c r="K430" s="548" t="str">
        <f>STDLIGHTINEFCAT2[[#This Row],[Match]]&amp;"_"&amp;STDLIGHTINEFCAT2[[#This Row],[Options]]</f>
        <v>T12_Retrofit_8ft_1L T12 8' 110W</v>
      </c>
      <c r="L430" s="536" t="s">
        <v>2393</v>
      </c>
      <c r="M430" s="536">
        <v>110</v>
      </c>
      <c r="N430" s="536">
        <v>140</v>
      </c>
      <c r="O430" s="54">
        <v>464</v>
      </c>
      <c r="P430" s="54"/>
    </row>
    <row r="431" spans="9:22">
      <c r="I431" s="496" t="s">
        <v>2640</v>
      </c>
      <c r="J431" s="541" t="str">
        <f>"T12_"&amp;STDLIGHTINEFCAT2[[#This Row],[Ineff DropDown 2]]</f>
        <v>T12_Retrofit_8ft</v>
      </c>
      <c r="K431" s="548" t="str">
        <f>STDLIGHTINEFCAT2[[#This Row],[Match]]&amp;"_"&amp;STDLIGHTINEFCAT2[[#This Row],[Options]]</f>
        <v>T12_Retrofit_8ft_2L T12 8' 110W</v>
      </c>
      <c r="L431" s="536" t="s">
        <v>2394</v>
      </c>
      <c r="M431" s="546">
        <f>2*110</f>
        <v>220</v>
      </c>
      <c r="N431" s="536">
        <v>258</v>
      </c>
      <c r="O431" s="54">
        <v>465</v>
      </c>
      <c r="P431" s="54"/>
    </row>
    <row r="432" spans="9:22">
      <c r="I432" s="496" t="s">
        <v>2640</v>
      </c>
      <c r="J432" s="541" t="str">
        <f>"T12_"&amp;STDLIGHTINEFCAT2[[#This Row],[Ineff DropDown 2]]</f>
        <v>T12_Retrofit_8ft</v>
      </c>
      <c r="K432" s="548" t="str">
        <f>STDLIGHTINEFCAT2[[#This Row],[Match]]&amp;"_"&amp;STDLIGHTINEFCAT2[[#This Row],[Options]]</f>
        <v>T12_Retrofit_8ft_1L T12 8' 185W</v>
      </c>
      <c r="L432" s="536" t="s">
        <v>2395</v>
      </c>
      <c r="M432" s="536">
        <v>185</v>
      </c>
      <c r="N432" s="536">
        <v>198</v>
      </c>
      <c r="O432" s="54">
        <v>466</v>
      </c>
      <c r="P432" s="54"/>
    </row>
    <row r="433" spans="9:16">
      <c r="I433" s="496" t="s">
        <v>2640</v>
      </c>
      <c r="J433" s="541" t="str">
        <f>"T12_"&amp;STDLIGHTINEFCAT2[[#This Row],[Ineff DropDown 2]]</f>
        <v>T12_Retrofit_8ft</v>
      </c>
      <c r="K433" s="548" t="str">
        <f>STDLIGHTINEFCAT2[[#This Row],[Match]]&amp;"_"&amp;STDLIGHTINEFCAT2[[#This Row],[Options]]</f>
        <v>T12_Retrofit_8ft_2L T12 8' 185W</v>
      </c>
      <c r="L433" s="536" t="s">
        <v>2396</v>
      </c>
      <c r="M433" s="546">
        <f>2*185</f>
        <v>370</v>
      </c>
      <c r="N433" s="536">
        <v>398</v>
      </c>
      <c r="O433" s="54">
        <v>467</v>
      </c>
      <c r="P433" s="54"/>
    </row>
    <row r="434" spans="9:16">
      <c r="I434" s="496" t="s">
        <v>2640</v>
      </c>
      <c r="J434" s="541" t="str">
        <f>"T12_"&amp;STDLIGHTINEFCAT2[[#This Row],[Ineff DropDown 2]]</f>
        <v>T12_Retrofit_8ft</v>
      </c>
      <c r="K434" s="548" t="str">
        <f>STDLIGHTINEFCAT2[[#This Row],[Match]]&amp;"_"&amp;STDLIGHTINEFCAT2[[#This Row],[Options]]</f>
        <v>T12_Retrofit_8ft_1L T12 8' 215W</v>
      </c>
      <c r="L434" s="536" t="s">
        <v>2398</v>
      </c>
      <c r="M434" s="536">
        <v>215</v>
      </c>
      <c r="N434" s="536">
        <v>213</v>
      </c>
      <c r="O434" s="54">
        <v>468</v>
      </c>
      <c r="P434" s="54"/>
    </row>
    <row r="435" spans="9:16">
      <c r="I435" s="496" t="s">
        <v>2640</v>
      </c>
      <c r="J435" s="541" t="str">
        <f>"T12_"&amp;STDLIGHTINEFCAT2[[#This Row],[Ineff DropDown 2]]</f>
        <v>T12_Retrofit_8ft</v>
      </c>
      <c r="K435" s="548" t="str">
        <f>STDLIGHTINEFCAT2[[#This Row],[Match]]&amp;"_"&amp;STDLIGHTINEFCAT2[[#This Row],[Options]]</f>
        <v>T12_Retrofit_8ft_2L T12 8' 215W</v>
      </c>
      <c r="L435" s="536" t="s">
        <v>2399</v>
      </c>
      <c r="M435" s="546">
        <f>2*215</f>
        <v>430</v>
      </c>
      <c r="N435" s="536">
        <v>320</v>
      </c>
      <c r="O435" s="54">
        <v>469</v>
      </c>
      <c r="P435" s="54"/>
    </row>
    <row r="436" spans="9:16">
      <c r="I436" s="517" t="s">
        <v>2253</v>
      </c>
      <c r="J436" s="541" t="s">
        <v>2290</v>
      </c>
      <c r="K436" s="542" t="str">
        <f>STDLIGHTINEFCAT2[[#This Row],[Match]]&amp;"_"&amp;STDLIGHTINEFCAT2[[#This Row],[Options]]</f>
        <v>T5_2ft_Lamp_T5 2' 13W</v>
      </c>
      <c r="L436" s="542" t="s">
        <v>2177</v>
      </c>
      <c r="M436" s="536">
        <v>13</v>
      </c>
      <c r="N436" s="536">
        <v>13</v>
      </c>
      <c r="O436" s="54">
        <v>195</v>
      </c>
      <c r="P436" s="54"/>
    </row>
    <row r="437" spans="9:16">
      <c r="I437" s="517" t="s">
        <v>2253</v>
      </c>
      <c r="J437" s="541" t="s">
        <v>2290</v>
      </c>
      <c r="K437" s="536" t="str">
        <f>STDLIGHTINEFCAT2[[#This Row],[Match]]&amp;"_"&amp;STDLIGHTINEFCAT2[[#This Row],[Options]]</f>
        <v>T5_2ft_Lamp_T5 2' 14W</v>
      </c>
      <c r="L437" s="536" t="s">
        <v>2178</v>
      </c>
      <c r="M437" s="536">
        <v>14</v>
      </c>
      <c r="N437" s="536">
        <v>14</v>
      </c>
      <c r="O437" s="54">
        <v>196</v>
      </c>
      <c r="P437" s="54"/>
    </row>
    <row r="438" spans="9:16">
      <c r="I438" s="517" t="s">
        <v>2253</v>
      </c>
      <c r="J438" s="541" t="s">
        <v>2290</v>
      </c>
      <c r="K438" s="536" t="str">
        <f>STDLIGHTINEFCAT2[[#This Row],[Match]]&amp;"_"&amp;STDLIGHTINEFCAT2[[#This Row],[Options]]</f>
        <v>T5_2ft_Lamp_T5 2' 24W</v>
      </c>
      <c r="L438" s="536" t="s">
        <v>2250</v>
      </c>
      <c r="M438" s="536">
        <v>24</v>
      </c>
      <c r="N438" s="536">
        <v>24</v>
      </c>
      <c r="O438" s="54">
        <v>197</v>
      </c>
      <c r="P438" s="54"/>
    </row>
    <row r="439" spans="9:16">
      <c r="I439" s="496" t="s">
        <v>2254</v>
      </c>
      <c r="J439" s="541" t="s">
        <v>2296</v>
      </c>
      <c r="K439" s="547" t="str">
        <f>STDLIGHTINEFCAT2[[#This Row],[Match]]&amp;"_"&amp;STDLIGHTINEFCAT2[[#This Row],[Options]]</f>
        <v>T5_4ft_Lamp_T5 4' 28W</v>
      </c>
      <c r="L439" s="547" t="s">
        <v>2179</v>
      </c>
      <c r="M439" s="536">
        <v>28</v>
      </c>
      <c r="N439" s="536">
        <v>28</v>
      </c>
      <c r="O439" s="54">
        <v>209</v>
      </c>
      <c r="P439" s="54"/>
    </row>
    <row r="440" spans="9:16">
      <c r="I440" s="496" t="s">
        <v>2254</v>
      </c>
      <c r="J440" s="541" t="s">
        <v>2296</v>
      </c>
      <c r="K440" s="546" t="str">
        <f>STDLIGHTINEFCAT2[[#This Row],[Match]]&amp;"_"&amp;STDLIGHTINEFCAT2[[#This Row],[Options]]</f>
        <v>T5_4ft_Lamp_T5 4' 54W</v>
      </c>
      <c r="L440" s="546" t="s">
        <v>2251</v>
      </c>
      <c r="M440" s="536">
        <v>54</v>
      </c>
      <c r="N440" s="536">
        <v>54</v>
      </c>
      <c r="O440" s="54">
        <v>210</v>
      </c>
      <c r="P440" s="54"/>
    </row>
    <row r="441" spans="9:16">
      <c r="I441" s="517" t="s">
        <v>2281</v>
      </c>
      <c r="J441" s="517" t="str">
        <f>"T5_"&amp;STDLIGHTINEFCAT2[[#This Row],[Ineff DropDown 2]]</f>
        <v>T5_Ext &lt;175</v>
      </c>
      <c r="K441" s="536" t="str">
        <f>STDLIGHTINEFCAT2[[#This Row],[Match]]&amp;"_"&amp;STDLIGHTINEFCAT2[[#This Row],[Options]]</f>
        <v>T5_Ext &lt;175_----2 ft Lamps----</v>
      </c>
      <c r="L441" s="542" t="s">
        <v>2402</v>
      </c>
      <c r="M441" s="542"/>
      <c r="N441" s="536"/>
      <c r="O441" s="54">
        <v>111</v>
      </c>
      <c r="P441" s="54"/>
    </row>
    <row r="442" spans="9:16">
      <c r="I442" s="517" t="s">
        <v>2281</v>
      </c>
      <c r="J442" s="517" t="str">
        <f>"T5_"&amp;STDLIGHTINEFCAT2[[#This Row],[Ineff DropDown 2]]</f>
        <v>T5_Ext &lt;175</v>
      </c>
      <c r="K442" s="548" t="str">
        <f>STDLIGHTINEFCAT2[[#This Row],[Match]]&amp;"_"&amp;STDLIGHTINEFCAT2[[#This Row],[Options]]</f>
        <v>T5_Ext &lt;175_1L T5 2' 13W</v>
      </c>
      <c r="L442" s="536" t="s">
        <v>2456</v>
      </c>
      <c r="M442" s="536">
        <v>13</v>
      </c>
      <c r="N442" s="536">
        <v>14</v>
      </c>
      <c r="O442" s="54">
        <v>112</v>
      </c>
      <c r="P442" s="492"/>
    </row>
    <row r="443" spans="9:16">
      <c r="I443" s="517" t="s">
        <v>2281</v>
      </c>
      <c r="J443" s="517" t="str">
        <f>"T5_"&amp;STDLIGHTINEFCAT2[[#This Row],[Ineff DropDown 2]]</f>
        <v>T5_Ext &lt;175</v>
      </c>
      <c r="K443" s="548" t="str">
        <f>STDLIGHTINEFCAT2[[#This Row],[Match]]&amp;"_"&amp;STDLIGHTINEFCAT2[[#This Row],[Options]]</f>
        <v>T5_Ext &lt;175_2L T5 2' 13W</v>
      </c>
      <c r="L443" s="536" t="s">
        <v>2457</v>
      </c>
      <c r="M443" s="536">
        <v>36</v>
      </c>
      <c r="N443" s="536">
        <v>27</v>
      </c>
      <c r="O443" s="54">
        <v>113</v>
      </c>
      <c r="P443" s="54"/>
    </row>
    <row r="444" spans="9:16">
      <c r="I444" s="517" t="s">
        <v>2281</v>
      </c>
      <c r="J444" s="517" t="str">
        <f>"T5_"&amp;STDLIGHTINEFCAT2[[#This Row],[Ineff DropDown 2]]</f>
        <v>T5_Ext &lt;175</v>
      </c>
      <c r="K444" s="548" t="str">
        <f>STDLIGHTINEFCAT2[[#This Row],[Match]]&amp;"_"&amp;STDLIGHTINEFCAT2[[#This Row],[Options]]</f>
        <v>T5_Ext &lt;175_1L T5 2' 14W</v>
      </c>
      <c r="L444" s="536" t="s">
        <v>2458</v>
      </c>
      <c r="M444" s="536">
        <v>14</v>
      </c>
      <c r="N444" s="536">
        <v>14</v>
      </c>
      <c r="O444" s="54">
        <v>114</v>
      </c>
      <c r="P444" s="492"/>
    </row>
    <row r="445" spans="9:16">
      <c r="I445" s="517" t="s">
        <v>2281</v>
      </c>
      <c r="J445" s="517" t="str">
        <f>"T5_"&amp;STDLIGHTINEFCAT2[[#This Row],[Ineff DropDown 2]]</f>
        <v>T5_Ext &lt;175</v>
      </c>
      <c r="K445" s="548" t="str">
        <f>STDLIGHTINEFCAT2[[#This Row],[Match]]&amp;"_"&amp;STDLIGHTINEFCAT2[[#This Row],[Options]]</f>
        <v>T5_Ext &lt;175_2L T5 2' 14W</v>
      </c>
      <c r="L445" s="536" t="s">
        <v>2459</v>
      </c>
      <c r="M445" s="536">
        <v>28</v>
      </c>
      <c r="N445" s="536">
        <v>28</v>
      </c>
      <c r="O445" s="54">
        <v>115</v>
      </c>
      <c r="P445" s="492"/>
    </row>
    <row r="446" spans="9:16">
      <c r="I446" s="517" t="s">
        <v>2281</v>
      </c>
      <c r="J446" s="517" t="str">
        <f>"T5_"&amp;STDLIGHTINEFCAT2[[#This Row],[Ineff DropDown 2]]</f>
        <v>T5_Ext &lt;175</v>
      </c>
      <c r="K446" s="548" t="str">
        <f>STDLIGHTINEFCAT2[[#This Row],[Match]]&amp;"_"&amp;STDLIGHTINEFCAT2[[#This Row],[Options]]</f>
        <v>T5_Ext &lt;175_1L T5 2' 24W</v>
      </c>
      <c r="L446" s="536" t="s">
        <v>2460</v>
      </c>
      <c r="M446" s="536">
        <v>24</v>
      </c>
      <c r="N446" s="536">
        <v>27</v>
      </c>
      <c r="O446" s="54">
        <v>116</v>
      </c>
      <c r="P446" s="492"/>
    </row>
    <row r="447" spans="9:16">
      <c r="I447" s="517" t="s">
        <v>2281</v>
      </c>
      <c r="J447" s="517" t="str">
        <f>"T5_"&amp;STDLIGHTINEFCAT2[[#This Row],[Ineff DropDown 2]]</f>
        <v>T5_Ext &lt;175</v>
      </c>
      <c r="K447" s="548" t="str">
        <f>STDLIGHTINEFCAT2[[#This Row],[Match]]&amp;"_"&amp;STDLIGHTINEFCAT2[[#This Row],[Options]]</f>
        <v>T5_Ext &lt;175_2L T5 2' 24W</v>
      </c>
      <c r="L447" s="536" t="s">
        <v>2461</v>
      </c>
      <c r="M447" s="536">
        <v>48</v>
      </c>
      <c r="N447" s="536">
        <v>54</v>
      </c>
      <c r="O447" s="54">
        <v>117</v>
      </c>
      <c r="P447" s="54"/>
    </row>
    <row r="448" spans="9:16">
      <c r="I448" s="517" t="s">
        <v>2281</v>
      </c>
      <c r="J448" s="517" t="str">
        <f>"T5_"&amp;STDLIGHTINEFCAT2[[#This Row],[Ineff DropDown 2]]</f>
        <v>T5_Ext &lt;175</v>
      </c>
      <c r="K448" s="548" t="str">
        <f>STDLIGHTINEFCAT2[[#This Row],[Match]]&amp;"_"&amp;STDLIGHTINEFCAT2[[#This Row],[Options]]</f>
        <v>T5_Ext &lt;175_----3 ft Lamps----</v>
      </c>
      <c r="L448" s="542" t="s">
        <v>2403</v>
      </c>
      <c r="M448" s="542"/>
      <c r="N448" s="536"/>
      <c r="O448" s="54">
        <v>118</v>
      </c>
      <c r="P448" s="54"/>
    </row>
    <row r="449" spans="9:16">
      <c r="I449" s="517" t="s">
        <v>2281</v>
      </c>
      <c r="J449" s="517" t="str">
        <f>"T5_"&amp;STDLIGHTINEFCAT2[[#This Row],[Ineff DropDown 2]]</f>
        <v>T5_Ext &lt;175</v>
      </c>
      <c r="K449" s="548" t="str">
        <f>STDLIGHTINEFCAT2[[#This Row],[Match]]&amp;"_"&amp;STDLIGHTINEFCAT2[[#This Row],[Options]]</f>
        <v>T5_Ext &lt;175_1L T5 3' 21W</v>
      </c>
      <c r="L449" s="536" t="s">
        <v>2462</v>
      </c>
      <c r="M449" s="536">
        <v>21</v>
      </c>
      <c r="N449" s="536">
        <v>25</v>
      </c>
      <c r="O449" s="54">
        <v>119</v>
      </c>
      <c r="P449" s="492"/>
    </row>
    <row r="450" spans="9:16">
      <c r="I450" s="517" t="s">
        <v>2281</v>
      </c>
      <c r="J450" s="517" t="str">
        <f>"T5_"&amp;STDLIGHTINEFCAT2[[#This Row],[Ineff DropDown 2]]</f>
        <v>T5_Ext &lt;175</v>
      </c>
      <c r="K450" s="548" t="str">
        <f>STDLIGHTINEFCAT2[[#This Row],[Match]]&amp;"_"&amp;STDLIGHTINEFCAT2[[#This Row],[Options]]</f>
        <v>T5_Ext &lt;175_2L T5 3' 21W</v>
      </c>
      <c r="L450" s="536" t="s">
        <v>2463</v>
      </c>
      <c r="M450" s="536">
        <v>42</v>
      </c>
      <c r="N450" s="536">
        <v>49</v>
      </c>
      <c r="O450" s="54">
        <v>120</v>
      </c>
      <c r="P450" s="492"/>
    </row>
    <row r="451" spans="9:16">
      <c r="I451" s="517" t="s">
        <v>2281</v>
      </c>
      <c r="J451" s="517" t="str">
        <f>"T5_"&amp;STDLIGHTINEFCAT2[[#This Row],[Ineff DropDown 2]]</f>
        <v>T5_Ext &lt;175</v>
      </c>
      <c r="K451" s="548" t="str">
        <f>STDLIGHTINEFCAT2[[#This Row],[Match]]&amp;"_"&amp;STDLIGHTINEFCAT2[[#This Row],[Options]]</f>
        <v>T5_Ext &lt;175_1L T5 3' 39W</v>
      </c>
      <c r="L451" s="536" t="s">
        <v>2464</v>
      </c>
      <c r="M451" s="536">
        <v>39</v>
      </c>
      <c r="N451" s="536">
        <v>42</v>
      </c>
      <c r="O451" s="54">
        <v>121</v>
      </c>
      <c r="P451" s="492"/>
    </row>
    <row r="452" spans="9:16">
      <c r="I452" s="517" t="s">
        <v>2281</v>
      </c>
      <c r="J452" s="517" t="str">
        <f>"T5_"&amp;STDLIGHTINEFCAT2[[#This Row],[Ineff DropDown 2]]</f>
        <v>T5_Ext &lt;175</v>
      </c>
      <c r="K452" s="548" t="str">
        <f>STDLIGHTINEFCAT2[[#This Row],[Match]]&amp;"_"&amp;STDLIGHTINEFCAT2[[#This Row],[Options]]</f>
        <v>T5_Ext &lt;175_2L T5 3' 39W</v>
      </c>
      <c r="L452" s="536" t="s">
        <v>2465</v>
      </c>
      <c r="M452" s="536">
        <f>2*39</f>
        <v>78</v>
      </c>
      <c r="N452" s="536">
        <v>85</v>
      </c>
      <c r="O452" s="54">
        <v>122</v>
      </c>
      <c r="P452" s="492"/>
    </row>
    <row r="453" spans="9:16">
      <c r="I453" s="517" t="s">
        <v>2281</v>
      </c>
      <c r="J453" s="517" t="str">
        <f>"T5_"&amp;STDLIGHTINEFCAT2[[#This Row],[Ineff DropDown 2]]</f>
        <v>T5_Ext &lt;175</v>
      </c>
      <c r="K453" s="548" t="str">
        <f>STDLIGHTINEFCAT2[[#This Row],[Match]]&amp;"_"&amp;STDLIGHTINEFCAT2[[#This Row],[Options]]</f>
        <v>T5_Ext &lt;175_----4 ft Lamps----</v>
      </c>
      <c r="L453" s="542" t="s">
        <v>2404</v>
      </c>
      <c r="M453" s="542"/>
      <c r="N453" s="536"/>
      <c r="O453" s="54">
        <v>123</v>
      </c>
      <c r="P453" s="492"/>
    </row>
    <row r="454" spans="9:16">
      <c r="I454" s="517" t="s">
        <v>2281</v>
      </c>
      <c r="J454" s="517" t="str">
        <f>"T5_"&amp;STDLIGHTINEFCAT2[[#This Row],[Ineff DropDown 2]]</f>
        <v>T5_Ext &lt;175</v>
      </c>
      <c r="K454" s="548" t="str">
        <f>STDLIGHTINEFCAT2[[#This Row],[Match]]&amp;"_"&amp;STDLIGHTINEFCAT2[[#This Row],[Options]]</f>
        <v>T5_Ext &lt;175_1L T5 4' 28W</v>
      </c>
      <c r="L454" s="536" t="s">
        <v>2466</v>
      </c>
      <c r="M454" s="536">
        <v>28</v>
      </c>
      <c r="N454" s="536">
        <v>32</v>
      </c>
      <c r="O454" s="54">
        <v>124</v>
      </c>
      <c r="P454" s="492"/>
    </row>
    <row r="455" spans="9:16">
      <c r="I455" s="517" t="s">
        <v>2281</v>
      </c>
      <c r="J455" s="517" t="str">
        <f>"T5_"&amp;STDLIGHTINEFCAT2[[#This Row],[Ineff DropDown 2]]</f>
        <v>T5_Ext &lt;175</v>
      </c>
      <c r="K455" s="548" t="str">
        <f>STDLIGHTINEFCAT2[[#This Row],[Match]]&amp;"_"&amp;STDLIGHTINEFCAT2[[#This Row],[Options]]</f>
        <v>T5_Ext &lt;175_2L T5 4' 28W</v>
      </c>
      <c r="L455" s="536" t="s">
        <v>2467</v>
      </c>
      <c r="M455" s="536">
        <f>2*28</f>
        <v>56</v>
      </c>
      <c r="N455" s="536">
        <v>63</v>
      </c>
      <c r="O455" s="54">
        <v>125</v>
      </c>
      <c r="P455" s="492"/>
    </row>
    <row r="456" spans="9:16">
      <c r="I456" s="517" t="s">
        <v>2281</v>
      </c>
      <c r="J456" s="517" t="str">
        <f>"T5_"&amp;STDLIGHTINEFCAT2[[#This Row],[Ineff DropDown 2]]</f>
        <v>T5_Ext &lt;175</v>
      </c>
      <c r="K456" s="548" t="str">
        <f>STDLIGHTINEFCAT2[[#This Row],[Match]]&amp;"_"&amp;STDLIGHTINEFCAT2[[#This Row],[Options]]</f>
        <v>T5_Ext &lt;175_3L T5 4' 28W</v>
      </c>
      <c r="L456" s="536" t="s">
        <v>2468</v>
      </c>
      <c r="M456" s="536">
        <f>3*28</f>
        <v>84</v>
      </c>
      <c r="N456" s="536">
        <v>95</v>
      </c>
      <c r="O456" s="54">
        <v>126</v>
      </c>
      <c r="P456" s="492"/>
    </row>
    <row r="457" spans="9:16">
      <c r="I457" s="517" t="s">
        <v>2281</v>
      </c>
      <c r="J457" s="517" t="str">
        <f>"T5_"&amp;STDLIGHTINEFCAT2[[#This Row],[Ineff DropDown 2]]</f>
        <v>T5_Ext &lt;175</v>
      </c>
      <c r="K457" s="548" t="str">
        <f>STDLIGHTINEFCAT2[[#This Row],[Match]]&amp;"_"&amp;STDLIGHTINEFCAT2[[#This Row],[Options]]</f>
        <v>T5_Ext &lt;175_4L T5 4' 28W</v>
      </c>
      <c r="L457" s="536" t="s">
        <v>2469</v>
      </c>
      <c r="M457" s="536">
        <f>4*28</f>
        <v>112</v>
      </c>
      <c r="N457" s="536">
        <v>126</v>
      </c>
      <c r="O457" s="54">
        <v>127</v>
      </c>
      <c r="P457" s="492"/>
    </row>
    <row r="458" spans="9:16">
      <c r="I458" s="517" t="s">
        <v>2281</v>
      </c>
      <c r="J458" s="517" t="str">
        <f>"T5_"&amp;STDLIGHTINEFCAT2[[#This Row],[Ineff DropDown 2]]</f>
        <v>T5_Ext &lt;175</v>
      </c>
      <c r="K458" s="548" t="str">
        <f>STDLIGHTINEFCAT2[[#This Row],[Match]]&amp;"_"&amp;STDLIGHTINEFCAT2[[#This Row],[Options]]</f>
        <v>T5_Ext &lt;175_1L T5 4' 54W</v>
      </c>
      <c r="L458" s="536" t="s">
        <v>2472</v>
      </c>
      <c r="M458" s="536">
        <v>54</v>
      </c>
      <c r="N458" s="536">
        <v>62</v>
      </c>
      <c r="O458" s="54">
        <v>128</v>
      </c>
      <c r="P458" s="492"/>
    </row>
    <row r="459" spans="9:16">
      <c r="I459" s="517" t="s">
        <v>2281</v>
      </c>
      <c r="J459" s="517" t="str">
        <f>"T5_"&amp;STDLIGHTINEFCAT2[[#This Row],[Ineff DropDown 2]]</f>
        <v>T5_Ext &lt;175</v>
      </c>
      <c r="K459" s="548" t="str">
        <f>STDLIGHTINEFCAT2[[#This Row],[Match]]&amp;"_"&amp;STDLIGHTINEFCAT2[[#This Row],[Options]]</f>
        <v>T5_Ext &lt;175_2L T5 4' 54W</v>
      </c>
      <c r="L459" s="536" t="s">
        <v>2473</v>
      </c>
      <c r="M459" s="536">
        <f>2*54</f>
        <v>108</v>
      </c>
      <c r="N459" s="536">
        <v>117</v>
      </c>
      <c r="O459" s="54">
        <v>129</v>
      </c>
      <c r="P459" s="54"/>
    </row>
    <row r="460" spans="9:16">
      <c r="I460" s="517" t="s">
        <v>2281</v>
      </c>
      <c r="J460" s="517" t="str">
        <f>"T5_"&amp;STDLIGHTINEFCAT2[[#This Row],[Ineff DropDown 2]]</f>
        <v>T5_Ext &lt;175</v>
      </c>
      <c r="K460" s="536" t="str">
        <f>STDLIGHTINEFCAT2[[#This Row],[Match]]&amp;"_"&amp;STDLIGHTINEFCAT2[[#This Row],[Options]]</f>
        <v>T5_Ext &lt;175_3L T5 4' 54W</v>
      </c>
      <c r="L460" s="536" t="s">
        <v>2476</v>
      </c>
      <c r="M460" s="536">
        <f>3*54</f>
        <v>162</v>
      </c>
      <c r="N460" s="536">
        <v>179</v>
      </c>
      <c r="O460" s="54">
        <v>130</v>
      </c>
      <c r="P460" s="54"/>
    </row>
    <row r="461" spans="9:16">
      <c r="I461" s="517" t="s">
        <v>2282</v>
      </c>
      <c r="J461" s="517" t="str">
        <f>"T5_"&amp;STDLIGHTINEFCAT2[[#This Row],[Ineff DropDown 2]]</f>
        <v>T5_Ext 175-250</v>
      </c>
      <c r="K461" s="536" t="str">
        <f>STDLIGHTINEFCAT2[[#This Row],[Match]]&amp;"_"&amp;STDLIGHTINEFCAT2[[#This Row],[Options]]</f>
        <v>T5_Ext 175-250_----4 ft Lamps----</v>
      </c>
      <c r="L461" s="542" t="s">
        <v>2404</v>
      </c>
      <c r="M461" s="542"/>
      <c r="N461" s="544"/>
      <c r="O461" s="54">
        <v>155</v>
      </c>
      <c r="P461" s="492"/>
    </row>
    <row r="462" spans="9:16">
      <c r="I462" s="517" t="s">
        <v>2282</v>
      </c>
      <c r="J462" s="517" t="str">
        <f>"T5_"&amp;STDLIGHTINEFCAT2[[#This Row],[Ineff DropDown 2]]</f>
        <v>T5_Ext 175-250</v>
      </c>
      <c r="K462" s="536" t="str">
        <f>STDLIGHTINEFCAT2[[#This Row],[Match]]&amp;"_"&amp;STDLIGHTINEFCAT2[[#This Row],[Options]]</f>
        <v>T5_Ext 175-250_4L T5 4' 54W</v>
      </c>
      <c r="L462" s="536" t="s">
        <v>2477</v>
      </c>
      <c r="M462" s="536">
        <f>4*54</f>
        <v>216</v>
      </c>
      <c r="N462" s="536">
        <v>234</v>
      </c>
      <c r="O462" s="54">
        <v>156</v>
      </c>
      <c r="P462" s="492"/>
    </row>
    <row r="463" spans="9:16">
      <c r="I463" s="517" t="s">
        <v>2283</v>
      </c>
      <c r="J463" s="517" t="str">
        <f>"T5_"&amp;STDLIGHTINEFCAT2[[#This Row],[Ineff DropDown 2]]</f>
        <v>T5_Ext 251-400</v>
      </c>
      <c r="K463" s="536" t="str">
        <f>STDLIGHTINEFCAT2[[#This Row],[Match]]&amp;"_"&amp;STDLIGHTINEFCAT2[[#This Row],[Options]]</f>
        <v>T5_Ext 251-400_----4 ft Lamps----</v>
      </c>
      <c r="L463" s="542" t="s">
        <v>2404</v>
      </c>
      <c r="M463" s="542"/>
      <c r="N463" s="536"/>
      <c r="O463" s="54">
        <v>176</v>
      </c>
      <c r="P463" s="492"/>
    </row>
    <row r="464" spans="9:16">
      <c r="I464" s="517" t="s">
        <v>2283</v>
      </c>
      <c r="J464" s="517" t="str">
        <f>"T5_"&amp;STDLIGHTINEFCAT2[[#This Row],[Ineff DropDown 2]]</f>
        <v>T5_Ext 251-400</v>
      </c>
      <c r="K464" s="540" t="str">
        <f>STDLIGHTINEFCAT2[[#This Row],[Match]]&amp;"_"&amp;STDLIGHTINEFCAT2[[#This Row],[Options]]</f>
        <v>T5_Ext 251-400_5L T5 4' 54W</v>
      </c>
      <c r="L464" s="540" t="s">
        <v>2478</v>
      </c>
      <c r="M464" s="540">
        <f>5*54</f>
        <v>270</v>
      </c>
      <c r="N464" s="540">
        <v>295</v>
      </c>
      <c r="O464" s="54">
        <v>177</v>
      </c>
      <c r="P464" s="492"/>
    </row>
    <row r="465" spans="9:16">
      <c r="I465" s="517" t="s">
        <v>2283</v>
      </c>
      <c r="J465" s="517" t="str">
        <f>"T5_"&amp;STDLIGHTINEFCAT2[[#This Row],[Ineff DropDown 2]]</f>
        <v>T5_Ext 251-400</v>
      </c>
      <c r="K465" s="536" t="str">
        <f>STDLIGHTINEFCAT2[[#This Row],[Match]]&amp;"_"&amp;STDLIGHTINEFCAT2[[#This Row],[Options]]</f>
        <v>T5_Ext 251-400_6L T5 4' 54W</v>
      </c>
      <c r="L465" s="536" t="s">
        <v>2479</v>
      </c>
      <c r="M465" s="536">
        <f>6*54</f>
        <v>324</v>
      </c>
      <c r="N465" s="536">
        <v>358</v>
      </c>
      <c r="O465" s="54">
        <v>178</v>
      </c>
      <c r="P465" s="492"/>
    </row>
    <row r="466" spans="9:16">
      <c r="I466" s="496" t="s">
        <v>91</v>
      </c>
      <c r="J466" s="541" t="str">
        <f>"T5_"&amp;STDLIGHTINEFCAT2[[#This Row],[Ineff DropDown 2]]</f>
        <v>T5_Fixture</v>
      </c>
      <c r="K466" s="548" t="str">
        <f>STDLIGHTINEFCAT2[[#This Row],[Match]]&amp;"_"&amp;STDLIGHTINEFCAT2[[#This Row],[Options]]</f>
        <v>T5_Fixture_----2 ft Lamps----</v>
      </c>
      <c r="L466" s="542" t="s">
        <v>2402</v>
      </c>
      <c r="M466" s="542"/>
      <c r="N466" s="536"/>
      <c r="O466" s="54">
        <v>399</v>
      </c>
      <c r="P466" s="492"/>
    </row>
    <row r="467" spans="9:16">
      <c r="I467" s="496" t="s">
        <v>91</v>
      </c>
      <c r="J467" s="541" t="str">
        <f>"T5_"&amp;STDLIGHTINEFCAT2[[#This Row],[Ineff DropDown 2]]</f>
        <v>T5_Fixture</v>
      </c>
      <c r="K467" s="548" t="str">
        <f>STDLIGHTINEFCAT2[[#This Row],[Match]]&amp;"_"&amp;STDLIGHTINEFCAT2[[#This Row],[Options]]</f>
        <v>T5_Fixture_1L T5 2' 13W</v>
      </c>
      <c r="L467" s="536" t="s">
        <v>2456</v>
      </c>
      <c r="M467" s="536">
        <v>13</v>
      </c>
      <c r="N467" s="536">
        <v>14</v>
      </c>
      <c r="O467" s="54">
        <v>400</v>
      </c>
      <c r="P467" s="54"/>
    </row>
    <row r="468" spans="9:16">
      <c r="I468" s="496" t="s">
        <v>91</v>
      </c>
      <c r="J468" s="541" t="str">
        <f>"T5_"&amp;STDLIGHTINEFCAT2[[#This Row],[Ineff DropDown 2]]</f>
        <v>T5_Fixture</v>
      </c>
      <c r="K468" s="548" t="str">
        <f>STDLIGHTINEFCAT2[[#This Row],[Match]]&amp;"_"&amp;STDLIGHTINEFCAT2[[#This Row],[Options]]</f>
        <v>T5_Fixture_2L T5 2' 13W</v>
      </c>
      <c r="L468" s="536" t="s">
        <v>2457</v>
      </c>
      <c r="M468" s="536">
        <v>36</v>
      </c>
      <c r="N468" s="536">
        <v>27</v>
      </c>
      <c r="O468" s="54">
        <v>401</v>
      </c>
      <c r="P468" s="54"/>
    </row>
    <row r="469" spans="9:16">
      <c r="I469" s="496" t="s">
        <v>91</v>
      </c>
      <c r="J469" s="541" t="str">
        <f>"T5_"&amp;STDLIGHTINEFCAT2[[#This Row],[Ineff DropDown 2]]</f>
        <v>T5_Fixture</v>
      </c>
      <c r="K469" s="548" t="str">
        <f>STDLIGHTINEFCAT2[[#This Row],[Match]]&amp;"_"&amp;STDLIGHTINEFCAT2[[#This Row],[Options]]</f>
        <v>T5_Fixture_1L T5 2' 14W</v>
      </c>
      <c r="L469" s="536" t="s">
        <v>2458</v>
      </c>
      <c r="M469" s="536">
        <v>14</v>
      </c>
      <c r="N469" s="536">
        <v>14</v>
      </c>
      <c r="O469" s="54">
        <v>402</v>
      </c>
      <c r="P469" s="54"/>
    </row>
    <row r="470" spans="9:16">
      <c r="I470" s="496" t="s">
        <v>91</v>
      </c>
      <c r="J470" s="541" t="str">
        <f>"T5_"&amp;STDLIGHTINEFCAT2[[#This Row],[Ineff DropDown 2]]</f>
        <v>T5_Fixture</v>
      </c>
      <c r="K470" s="548" t="str">
        <f>STDLIGHTINEFCAT2[[#This Row],[Match]]&amp;"_"&amp;STDLIGHTINEFCAT2[[#This Row],[Options]]</f>
        <v>T5_Fixture_2L T5 2' 14W</v>
      </c>
      <c r="L470" s="536" t="s">
        <v>2459</v>
      </c>
      <c r="M470" s="536">
        <v>28</v>
      </c>
      <c r="N470" s="536">
        <v>28</v>
      </c>
      <c r="O470" s="54">
        <v>403</v>
      </c>
      <c r="P470" s="54"/>
    </row>
    <row r="471" spans="9:16">
      <c r="I471" s="496" t="s">
        <v>91</v>
      </c>
      <c r="J471" s="541" t="str">
        <f>"T5_"&amp;STDLIGHTINEFCAT2[[#This Row],[Ineff DropDown 2]]</f>
        <v>T5_Fixture</v>
      </c>
      <c r="K471" s="548" t="str">
        <f>STDLIGHTINEFCAT2[[#This Row],[Match]]&amp;"_"&amp;STDLIGHTINEFCAT2[[#This Row],[Options]]</f>
        <v>T5_Fixture_1L T5 2' 24W</v>
      </c>
      <c r="L471" s="536" t="s">
        <v>2460</v>
      </c>
      <c r="M471" s="536">
        <v>24</v>
      </c>
      <c r="N471" s="536">
        <v>27</v>
      </c>
      <c r="O471" s="54">
        <v>404</v>
      </c>
      <c r="P471" s="54"/>
    </row>
    <row r="472" spans="9:16">
      <c r="I472" s="496" t="s">
        <v>91</v>
      </c>
      <c r="J472" s="541" t="str">
        <f>"T5_"&amp;STDLIGHTINEFCAT2[[#This Row],[Ineff DropDown 2]]</f>
        <v>T5_Fixture</v>
      </c>
      <c r="K472" s="548" t="str">
        <f>STDLIGHTINEFCAT2[[#This Row],[Match]]&amp;"_"&amp;STDLIGHTINEFCAT2[[#This Row],[Options]]</f>
        <v>T5_Fixture_2L T5 2' 24W</v>
      </c>
      <c r="L472" s="536" t="s">
        <v>2461</v>
      </c>
      <c r="M472" s="536">
        <v>48</v>
      </c>
      <c r="N472" s="536">
        <v>54</v>
      </c>
      <c r="O472" s="54">
        <v>405</v>
      </c>
      <c r="P472" s="54"/>
    </row>
    <row r="473" spans="9:16">
      <c r="I473" s="496" t="s">
        <v>91</v>
      </c>
      <c r="J473" s="541" t="str">
        <f>"T5_"&amp;STDLIGHTINEFCAT2[[#This Row],[Ineff DropDown 2]]</f>
        <v>T5_Fixture</v>
      </c>
      <c r="K473" s="548" t="str">
        <f>STDLIGHTINEFCAT2[[#This Row],[Match]]&amp;"_"&amp;STDLIGHTINEFCAT2[[#This Row],[Options]]</f>
        <v>T5_Fixture_----3 ft Lamps----</v>
      </c>
      <c r="L473" s="542" t="s">
        <v>2403</v>
      </c>
      <c r="M473" s="542"/>
      <c r="N473" s="536"/>
      <c r="O473" s="54">
        <v>406</v>
      </c>
      <c r="P473" s="54"/>
    </row>
    <row r="474" spans="9:16">
      <c r="I474" s="496" t="s">
        <v>91</v>
      </c>
      <c r="J474" s="541" t="str">
        <f>"T5_"&amp;STDLIGHTINEFCAT2[[#This Row],[Ineff DropDown 2]]</f>
        <v>T5_Fixture</v>
      </c>
      <c r="K474" s="548" t="str">
        <f>STDLIGHTINEFCAT2[[#This Row],[Match]]&amp;"_"&amp;STDLIGHTINEFCAT2[[#This Row],[Options]]</f>
        <v>T5_Fixture_1L T5 3' 21W</v>
      </c>
      <c r="L474" s="536" t="s">
        <v>2462</v>
      </c>
      <c r="M474" s="536">
        <v>21</v>
      </c>
      <c r="N474" s="536">
        <v>25</v>
      </c>
      <c r="O474" s="54">
        <v>407</v>
      </c>
      <c r="P474" s="54"/>
    </row>
    <row r="475" spans="9:16">
      <c r="I475" s="496" t="s">
        <v>91</v>
      </c>
      <c r="J475" s="541" t="str">
        <f>"T5_"&amp;STDLIGHTINEFCAT2[[#This Row],[Ineff DropDown 2]]</f>
        <v>T5_Fixture</v>
      </c>
      <c r="K475" s="548" t="str">
        <f>STDLIGHTINEFCAT2[[#This Row],[Match]]&amp;"_"&amp;STDLIGHTINEFCAT2[[#This Row],[Options]]</f>
        <v>T5_Fixture_2L T5 3' 21W</v>
      </c>
      <c r="L475" s="536" t="s">
        <v>2463</v>
      </c>
      <c r="M475" s="536">
        <v>42</v>
      </c>
      <c r="N475" s="536">
        <v>49</v>
      </c>
      <c r="O475" s="54">
        <v>408</v>
      </c>
      <c r="P475" s="54"/>
    </row>
    <row r="476" spans="9:16">
      <c r="I476" s="496" t="s">
        <v>91</v>
      </c>
      <c r="J476" s="541" t="str">
        <f>"T5_"&amp;STDLIGHTINEFCAT2[[#This Row],[Ineff DropDown 2]]</f>
        <v>T5_Fixture</v>
      </c>
      <c r="K476" s="548" t="str">
        <f>STDLIGHTINEFCAT2[[#This Row],[Match]]&amp;"_"&amp;STDLIGHTINEFCAT2[[#This Row],[Options]]</f>
        <v>T5_Fixture_1L T5 3' 39W</v>
      </c>
      <c r="L476" s="536" t="s">
        <v>2464</v>
      </c>
      <c r="M476" s="536">
        <v>39</v>
      </c>
      <c r="N476" s="536">
        <v>42</v>
      </c>
      <c r="O476" s="54">
        <v>409</v>
      </c>
      <c r="P476" s="54"/>
    </row>
    <row r="477" spans="9:16">
      <c r="I477" s="496" t="s">
        <v>91</v>
      </c>
      <c r="J477" s="541" t="str">
        <f>"T5_"&amp;STDLIGHTINEFCAT2[[#This Row],[Ineff DropDown 2]]</f>
        <v>T5_Fixture</v>
      </c>
      <c r="K477" s="548" t="str">
        <f>STDLIGHTINEFCAT2[[#This Row],[Match]]&amp;"_"&amp;STDLIGHTINEFCAT2[[#This Row],[Options]]</f>
        <v>T5_Fixture_2L T5 3' 39W</v>
      </c>
      <c r="L477" s="536" t="s">
        <v>2465</v>
      </c>
      <c r="M477" s="536">
        <f>2*39</f>
        <v>78</v>
      </c>
      <c r="N477" s="536">
        <v>85</v>
      </c>
      <c r="O477" s="54">
        <v>410</v>
      </c>
      <c r="P477" s="54"/>
    </row>
    <row r="478" spans="9:16">
      <c r="I478" s="496" t="s">
        <v>91</v>
      </c>
      <c r="J478" s="541" t="str">
        <f>"T5_"&amp;STDLIGHTINEFCAT2[[#This Row],[Ineff DropDown 2]]</f>
        <v>T5_Fixture</v>
      </c>
      <c r="K478" s="548" t="str">
        <f>STDLIGHTINEFCAT2[[#This Row],[Match]]&amp;"_"&amp;STDLIGHTINEFCAT2[[#This Row],[Options]]</f>
        <v>T5_Fixture_----4 ft Lamps----</v>
      </c>
      <c r="L478" s="542" t="s">
        <v>2404</v>
      </c>
      <c r="M478" s="542"/>
      <c r="N478" s="536"/>
      <c r="O478" s="54">
        <v>411</v>
      </c>
      <c r="P478" s="54"/>
    </row>
    <row r="479" spans="9:16">
      <c r="I479" s="496" t="s">
        <v>91</v>
      </c>
      <c r="J479" s="541" t="str">
        <f>"T5_"&amp;STDLIGHTINEFCAT2[[#This Row],[Ineff DropDown 2]]</f>
        <v>T5_Fixture</v>
      </c>
      <c r="K479" s="548" t="str">
        <f>STDLIGHTINEFCAT2[[#This Row],[Match]]&amp;"_"&amp;STDLIGHTINEFCAT2[[#This Row],[Options]]</f>
        <v>T5_Fixture_1L T5 4' 28W</v>
      </c>
      <c r="L479" s="536" t="s">
        <v>2466</v>
      </c>
      <c r="M479" s="536">
        <v>28</v>
      </c>
      <c r="N479" s="536">
        <v>32</v>
      </c>
      <c r="O479" s="54">
        <v>412</v>
      </c>
      <c r="P479" s="54"/>
    </row>
    <row r="480" spans="9:16">
      <c r="I480" s="496" t="s">
        <v>91</v>
      </c>
      <c r="J480" s="541" t="str">
        <f>"T5_"&amp;STDLIGHTINEFCAT2[[#This Row],[Ineff DropDown 2]]</f>
        <v>T5_Fixture</v>
      </c>
      <c r="K480" s="548" t="str">
        <f>STDLIGHTINEFCAT2[[#This Row],[Match]]&amp;"_"&amp;STDLIGHTINEFCAT2[[#This Row],[Options]]</f>
        <v>T5_Fixture_2L T5 4' 28W</v>
      </c>
      <c r="L480" s="536" t="s">
        <v>2467</v>
      </c>
      <c r="M480" s="536">
        <f>2*28</f>
        <v>56</v>
      </c>
      <c r="N480" s="536">
        <v>63</v>
      </c>
      <c r="O480" s="54">
        <v>413</v>
      </c>
      <c r="P480" s="54"/>
    </row>
    <row r="481" spans="9:16">
      <c r="I481" s="496" t="s">
        <v>91</v>
      </c>
      <c r="J481" s="541" t="str">
        <f>"T5_"&amp;STDLIGHTINEFCAT2[[#This Row],[Ineff DropDown 2]]</f>
        <v>T5_Fixture</v>
      </c>
      <c r="K481" s="548" t="str">
        <f>STDLIGHTINEFCAT2[[#This Row],[Match]]&amp;"_"&amp;STDLIGHTINEFCAT2[[#This Row],[Options]]</f>
        <v>T5_Fixture_3L T5 4' 28W</v>
      </c>
      <c r="L481" s="536" t="s">
        <v>2468</v>
      </c>
      <c r="M481" s="536">
        <f>3*28</f>
        <v>84</v>
      </c>
      <c r="N481" s="536">
        <v>95</v>
      </c>
      <c r="O481" s="54">
        <v>414</v>
      </c>
      <c r="P481" s="54"/>
    </row>
    <row r="482" spans="9:16">
      <c r="I482" s="496" t="s">
        <v>91</v>
      </c>
      <c r="J482" s="541" t="str">
        <f>"T5_"&amp;STDLIGHTINEFCAT2[[#This Row],[Ineff DropDown 2]]</f>
        <v>T5_Fixture</v>
      </c>
      <c r="K482" s="548" t="str">
        <f>STDLIGHTINEFCAT2[[#This Row],[Match]]&amp;"_"&amp;STDLIGHTINEFCAT2[[#This Row],[Options]]</f>
        <v>T5_Fixture_4L T5 4' 28W</v>
      </c>
      <c r="L482" s="536" t="s">
        <v>2469</v>
      </c>
      <c r="M482" s="536">
        <f>4*28</f>
        <v>112</v>
      </c>
      <c r="N482" s="536">
        <v>126</v>
      </c>
      <c r="O482" s="54">
        <v>415</v>
      </c>
      <c r="P482" s="54"/>
    </row>
    <row r="483" spans="9:16">
      <c r="I483" s="496" t="s">
        <v>91</v>
      </c>
      <c r="J483" s="541" t="str">
        <f>"T5_"&amp;STDLIGHTINEFCAT2[[#This Row],[Ineff DropDown 2]]</f>
        <v>T5_Fixture</v>
      </c>
      <c r="K483" s="548" t="str">
        <f>STDLIGHTINEFCAT2[[#This Row],[Match]]&amp;"_"&amp;STDLIGHTINEFCAT2[[#This Row],[Options]]</f>
        <v>T5_Fixture_1L T5 4' 54W</v>
      </c>
      <c r="L483" s="536" t="s">
        <v>2472</v>
      </c>
      <c r="M483" s="536">
        <v>54</v>
      </c>
      <c r="N483" s="536">
        <v>62</v>
      </c>
      <c r="O483" s="54">
        <v>416</v>
      </c>
      <c r="P483" s="492"/>
    </row>
    <row r="484" spans="9:16">
      <c r="I484" s="496" t="s">
        <v>91</v>
      </c>
      <c r="J484" s="541" t="str">
        <f>"T5_"&amp;STDLIGHTINEFCAT2[[#This Row],[Ineff DropDown 2]]</f>
        <v>T5_Fixture</v>
      </c>
      <c r="K484" s="549" t="str">
        <f>STDLIGHTINEFCAT2[[#This Row],[Match]]&amp;"_"&amp;STDLIGHTINEFCAT2[[#This Row],[Options]]</f>
        <v>T5_Fixture_2L T5 4' 54W</v>
      </c>
      <c r="L484" s="540" t="s">
        <v>2473</v>
      </c>
      <c r="M484" s="540">
        <f>2*54</f>
        <v>108</v>
      </c>
      <c r="N484" s="540">
        <v>117</v>
      </c>
      <c r="O484" s="54">
        <v>417</v>
      </c>
      <c r="P484" s="54"/>
    </row>
    <row r="485" spans="9:16">
      <c r="I485" s="496" t="s">
        <v>91</v>
      </c>
      <c r="J485" s="541" t="str">
        <f>"T5_"&amp;STDLIGHTINEFCAT2[[#This Row],[Ineff DropDown 2]]</f>
        <v>T5_Fixture</v>
      </c>
      <c r="K485" s="548" t="str">
        <f>STDLIGHTINEFCAT2[[#This Row],[Match]]&amp;"_"&amp;STDLIGHTINEFCAT2[[#This Row],[Options]]</f>
        <v>T5_Fixture_3L T5 4' 54W</v>
      </c>
      <c r="L485" s="536" t="s">
        <v>2476</v>
      </c>
      <c r="M485" s="536">
        <f>3*54</f>
        <v>162</v>
      </c>
      <c r="N485" s="536">
        <v>179</v>
      </c>
      <c r="O485" s="54">
        <v>418</v>
      </c>
      <c r="P485" s="54"/>
    </row>
    <row r="486" spans="9:16">
      <c r="I486" s="496" t="s">
        <v>91</v>
      </c>
      <c r="J486" s="541" t="str">
        <f>"T5_"&amp;STDLIGHTINEFCAT2[[#This Row],[Ineff DropDown 2]]</f>
        <v>T5_Fixture</v>
      </c>
      <c r="K486" s="548" t="str">
        <f>STDLIGHTINEFCAT2[[#This Row],[Match]]&amp;"_"&amp;STDLIGHTINEFCAT2[[#This Row],[Options]]</f>
        <v>T5_Fixture_4L T5 4' 54W</v>
      </c>
      <c r="L486" s="536" t="s">
        <v>2477</v>
      </c>
      <c r="M486" s="536">
        <f>4*54</f>
        <v>216</v>
      </c>
      <c r="N486" s="536">
        <v>234</v>
      </c>
      <c r="O486" s="54">
        <v>419</v>
      </c>
      <c r="P486" s="54"/>
    </row>
    <row r="487" spans="9:16">
      <c r="I487" s="496" t="s">
        <v>91</v>
      </c>
      <c r="J487" s="541" t="str">
        <f>"T5_"&amp;STDLIGHTINEFCAT2[[#This Row],[Ineff DropDown 2]]</f>
        <v>T5_Fixture</v>
      </c>
      <c r="K487" s="548" t="str">
        <f>STDLIGHTINEFCAT2[[#This Row],[Match]]&amp;"_"&amp;STDLIGHTINEFCAT2[[#This Row],[Options]]</f>
        <v>T5_Fixture_5L T5 4' 54W</v>
      </c>
      <c r="L487" s="536" t="s">
        <v>2478</v>
      </c>
      <c r="M487" s="536">
        <f>5*54</f>
        <v>270</v>
      </c>
      <c r="N487" s="536">
        <v>295</v>
      </c>
      <c r="O487" s="54">
        <v>420</v>
      </c>
      <c r="P487" s="54"/>
    </row>
    <row r="488" spans="9:16">
      <c r="I488" s="496" t="s">
        <v>91</v>
      </c>
      <c r="J488" s="541" t="str">
        <f>"T5_"&amp;STDLIGHTINEFCAT2[[#This Row],[Ineff DropDown 2]]</f>
        <v>T5_Fixture</v>
      </c>
      <c r="K488" s="548" t="str">
        <f>STDLIGHTINEFCAT2[[#This Row],[Match]]&amp;"_"&amp;STDLIGHTINEFCAT2[[#This Row],[Options]]</f>
        <v>T5_Fixture_6L T5 4' 54W</v>
      </c>
      <c r="L488" s="536" t="s">
        <v>2479</v>
      </c>
      <c r="M488" s="536">
        <f>6*54</f>
        <v>324</v>
      </c>
      <c r="N488" s="536">
        <v>358</v>
      </c>
      <c r="O488" s="54">
        <v>421</v>
      </c>
      <c r="P488" s="54"/>
    </row>
    <row r="489" spans="9:16">
      <c r="I489" s="496" t="s">
        <v>91</v>
      </c>
      <c r="J489" s="541" t="str">
        <f>"T5_"&amp;STDLIGHTINEFCAT2[[#This Row],[Ineff DropDown 2]]</f>
        <v>T5_Fixture</v>
      </c>
      <c r="K489" s="548" t="str">
        <f>STDLIGHTINEFCAT2[[#This Row],[Match]]&amp;"_"&amp;STDLIGHTINEFCAT2[[#This Row],[Options]]</f>
        <v>T5_Fixture_----5 ft Lamps----</v>
      </c>
      <c r="L489" s="542" t="s">
        <v>2405</v>
      </c>
      <c r="M489" s="542"/>
      <c r="N489" s="536"/>
      <c r="O489" s="54">
        <v>422</v>
      </c>
      <c r="P489" s="54"/>
    </row>
    <row r="490" spans="9:16">
      <c r="I490" s="496" t="s">
        <v>91</v>
      </c>
      <c r="J490" s="541" t="str">
        <f>"T5_"&amp;STDLIGHTINEFCAT2[[#This Row],[Ineff DropDown 2]]</f>
        <v>T5_Fixture</v>
      </c>
      <c r="K490" s="548" t="str">
        <f>STDLIGHTINEFCAT2[[#This Row],[Match]]&amp;"_"&amp;STDLIGHTINEFCAT2[[#This Row],[Options]]</f>
        <v>T5_Fixture_1L T5 5' 35W</v>
      </c>
      <c r="L490" s="536" t="s">
        <v>2470</v>
      </c>
      <c r="M490" s="536">
        <v>35</v>
      </c>
      <c r="N490" s="536">
        <v>40</v>
      </c>
      <c r="O490" s="54">
        <v>423</v>
      </c>
      <c r="P490" s="492"/>
    </row>
    <row r="491" spans="9:16">
      <c r="I491" s="496" t="s">
        <v>91</v>
      </c>
      <c r="J491" s="541" t="str">
        <f>"T5_"&amp;STDLIGHTINEFCAT2[[#This Row],[Ineff DropDown 2]]</f>
        <v>T5_Fixture</v>
      </c>
      <c r="K491" s="548" t="str">
        <f>STDLIGHTINEFCAT2[[#This Row],[Match]]&amp;"_"&amp;STDLIGHTINEFCAT2[[#This Row],[Options]]</f>
        <v>T5_Fixture_2L T5 5' 35W</v>
      </c>
      <c r="L491" s="536" t="s">
        <v>2471</v>
      </c>
      <c r="M491" s="536">
        <f>35*2</f>
        <v>70</v>
      </c>
      <c r="N491" s="536">
        <v>77</v>
      </c>
      <c r="O491" s="54">
        <v>424</v>
      </c>
      <c r="P491" s="54"/>
    </row>
    <row r="492" spans="9:16">
      <c r="I492" s="496" t="s">
        <v>91</v>
      </c>
      <c r="J492" s="541" t="str">
        <f>"T5_"&amp;STDLIGHTINEFCAT2[[#This Row],[Ineff DropDown 2]]</f>
        <v>T5_Fixture</v>
      </c>
      <c r="K492" s="548" t="str">
        <f>STDLIGHTINEFCAT2[[#This Row],[Match]]&amp;"_"&amp;STDLIGHTINEFCAT2[[#This Row],[Options]]</f>
        <v>T5_Fixture_1L T5 5' 80W</v>
      </c>
      <c r="L492" s="536" t="s">
        <v>2474</v>
      </c>
      <c r="M492" s="536">
        <v>80</v>
      </c>
      <c r="N492" s="536">
        <v>89</v>
      </c>
      <c r="O492" s="54">
        <v>425</v>
      </c>
      <c r="P492" s="492"/>
    </row>
    <row r="493" spans="9:16">
      <c r="I493" s="492" t="s">
        <v>2285</v>
      </c>
      <c r="J493" s="541" t="str">
        <f>"T5_"&amp;STDLIGHTINEFCAT2[[#This Row],[Ineff DropDown 2]]</f>
        <v>T5_PG &lt;=100</v>
      </c>
      <c r="K493" s="548" t="str">
        <f>STDLIGHTINEFCAT2[[#This Row],[Match]]&amp;"_"&amp;STDLIGHTINEFCAT2[[#This Row],[Options]]</f>
        <v>T5_PG &lt;=100_----2 ft Lamps----</v>
      </c>
      <c r="L493" s="542" t="s">
        <v>2402</v>
      </c>
      <c r="M493" s="542"/>
      <c r="N493" s="536"/>
      <c r="O493" s="54">
        <v>609</v>
      </c>
      <c r="P493" s="54"/>
    </row>
    <row r="494" spans="9:16">
      <c r="I494" s="492" t="s">
        <v>2285</v>
      </c>
      <c r="J494" s="541" t="str">
        <f>"T5_"&amp;STDLIGHTINEFCAT2[[#This Row],[Ineff DropDown 2]]</f>
        <v>T5_PG &lt;=100</v>
      </c>
      <c r="K494" s="548" t="str">
        <f>STDLIGHTINEFCAT2[[#This Row],[Match]]&amp;"_"&amp;STDLIGHTINEFCAT2[[#This Row],[Options]]</f>
        <v>T5_PG &lt;=100_1L T5 2' 13W</v>
      </c>
      <c r="L494" s="536" t="s">
        <v>2456</v>
      </c>
      <c r="M494" s="536">
        <v>13</v>
      </c>
      <c r="N494" s="536">
        <v>14</v>
      </c>
      <c r="O494" s="54">
        <v>610</v>
      </c>
      <c r="P494" s="54"/>
    </row>
    <row r="495" spans="9:16">
      <c r="I495" s="492" t="s">
        <v>2285</v>
      </c>
      <c r="J495" s="541" t="str">
        <f>"T5_"&amp;STDLIGHTINEFCAT2[[#This Row],[Ineff DropDown 2]]</f>
        <v>T5_PG &lt;=100</v>
      </c>
      <c r="K495" s="548" t="str">
        <f>STDLIGHTINEFCAT2[[#This Row],[Match]]&amp;"_"&amp;STDLIGHTINEFCAT2[[#This Row],[Options]]</f>
        <v>T5_PG &lt;=100_2L T5 2' 13W</v>
      </c>
      <c r="L495" s="536" t="s">
        <v>2457</v>
      </c>
      <c r="M495" s="536">
        <v>36</v>
      </c>
      <c r="N495" s="536">
        <v>27</v>
      </c>
      <c r="O495" s="54">
        <v>611</v>
      </c>
      <c r="P495" s="54"/>
    </row>
    <row r="496" spans="9:16">
      <c r="I496" s="492" t="s">
        <v>2285</v>
      </c>
      <c r="J496" s="541" t="str">
        <f>"T5_"&amp;STDLIGHTINEFCAT2[[#This Row],[Ineff DropDown 2]]</f>
        <v>T5_PG &lt;=100</v>
      </c>
      <c r="K496" s="548" t="str">
        <f>STDLIGHTINEFCAT2[[#This Row],[Match]]&amp;"_"&amp;STDLIGHTINEFCAT2[[#This Row],[Options]]</f>
        <v>T5_PG &lt;=100_1L T5 2' 14W</v>
      </c>
      <c r="L496" s="536" t="s">
        <v>2458</v>
      </c>
      <c r="M496" s="536">
        <v>14</v>
      </c>
      <c r="N496" s="536">
        <v>14</v>
      </c>
      <c r="O496" s="54">
        <v>612</v>
      </c>
      <c r="P496" s="54"/>
    </row>
    <row r="497" spans="9:16">
      <c r="I497" s="492" t="s">
        <v>2285</v>
      </c>
      <c r="J497" s="541" t="str">
        <f>"T5_"&amp;STDLIGHTINEFCAT2[[#This Row],[Ineff DropDown 2]]</f>
        <v>T5_PG &lt;=100</v>
      </c>
      <c r="K497" s="548" t="str">
        <f>STDLIGHTINEFCAT2[[#This Row],[Match]]&amp;"_"&amp;STDLIGHTINEFCAT2[[#This Row],[Options]]</f>
        <v>T5_PG &lt;=100_2L T5 2' 14W</v>
      </c>
      <c r="L497" s="536" t="s">
        <v>2459</v>
      </c>
      <c r="M497" s="536">
        <v>28</v>
      </c>
      <c r="N497" s="536">
        <v>28</v>
      </c>
      <c r="O497" s="54">
        <v>613</v>
      </c>
      <c r="P497" s="54"/>
    </row>
    <row r="498" spans="9:16">
      <c r="I498" s="492" t="s">
        <v>2285</v>
      </c>
      <c r="J498" s="541" t="str">
        <f>"T5_"&amp;STDLIGHTINEFCAT2[[#This Row],[Ineff DropDown 2]]</f>
        <v>T5_PG &lt;=100</v>
      </c>
      <c r="K498" s="548" t="str">
        <f>STDLIGHTINEFCAT2[[#This Row],[Match]]&amp;"_"&amp;STDLIGHTINEFCAT2[[#This Row],[Options]]</f>
        <v>T5_PG &lt;=100_1L T5 2' 24W</v>
      </c>
      <c r="L498" s="536" t="s">
        <v>2460</v>
      </c>
      <c r="M498" s="536">
        <v>24</v>
      </c>
      <c r="N498" s="536">
        <v>27</v>
      </c>
      <c r="O498" s="54">
        <v>614</v>
      </c>
      <c r="P498" s="54"/>
    </row>
    <row r="499" spans="9:16">
      <c r="I499" s="492" t="s">
        <v>2285</v>
      </c>
      <c r="J499" s="541" t="str">
        <f>"T5_"&amp;STDLIGHTINEFCAT2[[#This Row],[Ineff DropDown 2]]</f>
        <v>T5_PG &lt;=100</v>
      </c>
      <c r="K499" s="548" t="str">
        <f>STDLIGHTINEFCAT2[[#This Row],[Match]]&amp;"_"&amp;STDLIGHTINEFCAT2[[#This Row],[Options]]</f>
        <v>T5_PG &lt;=100_2L T5 2' 24W</v>
      </c>
      <c r="L499" s="536" t="s">
        <v>2461</v>
      </c>
      <c r="M499" s="536">
        <v>48</v>
      </c>
      <c r="N499" s="536">
        <v>54</v>
      </c>
      <c r="O499" s="54">
        <v>615</v>
      </c>
      <c r="P499" s="54"/>
    </row>
    <row r="500" spans="9:16">
      <c r="I500" s="492" t="s">
        <v>2285</v>
      </c>
      <c r="J500" s="541" t="str">
        <f>"T5_"&amp;STDLIGHTINEFCAT2[[#This Row],[Ineff DropDown 2]]</f>
        <v>T5_PG &lt;=100</v>
      </c>
      <c r="K500" s="548" t="str">
        <f>STDLIGHTINEFCAT2[[#This Row],[Match]]&amp;"_"&amp;STDLIGHTINEFCAT2[[#This Row],[Options]]</f>
        <v>T5_PG &lt;=100_----3 ft Lamps----</v>
      </c>
      <c r="L500" s="542" t="s">
        <v>2403</v>
      </c>
      <c r="M500" s="542"/>
      <c r="N500" s="536"/>
      <c r="O500" s="54">
        <v>616</v>
      </c>
      <c r="P500" s="54"/>
    </row>
    <row r="501" spans="9:16">
      <c r="I501" s="492" t="s">
        <v>2285</v>
      </c>
      <c r="J501" s="541" t="str">
        <f>"T5_"&amp;STDLIGHTINEFCAT2[[#This Row],[Ineff DropDown 2]]</f>
        <v>T5_PG &lt;=100</v>
      </c>
      <c r="K501" s="548" t="str">
        <f>STDLIGHTINEFCAT2[[#This Row],[Match]]&amp;"_"&amp;STDLIGHTINEFCAT2[[#This Row],[Options]]</f>
        <v>T5_PG &lt;=100_1L T5 3' 21W</v>
      </c>
      <c r="L501" s="536" t="s">
        <v>2462</v>
      </c>
      <c r="M501" s="536">
        <v>21</v>
      </c>
      <c r="N501" s="536">
        <v>25</v>
      </c>
      <c r="O501" s="54">
        <v>617</v>
      </c>
      <c r="P501" s="54"/>
    </row>
    <row r="502" spans="9:16">
      <c r="I502" s="492" t="s">
        <v>2285</v>
      </c>
      <c r="J502" s="541" t="str">
        <f>"T5_"&amp;STDLIGHTINEFCAT2[[#This Row],[Ineff DropDown 2]]</f>
        <v>T5_PG &lt;=100</v>
      </c>
      <c r="K502" s="548" t="str">
        <f>STDLIGHTINEFCAT2[[#This Row],[Match]]&amp;"_"&amp;STDLIGHTINEFCAT2[[#This Row],[Options]]</f>
        <v>T5_PG &lt;=100_2L T5 3' 21W</v>
      </c>
      <c r="L502" s="536" t="s">
        <v>2463</v>
      </c>
      <c r="M502" s="536">
        <v>42</v>
      </c>
      <c r="N502" s="536">
        <v>49</v>
      </c>
      <c r="O502" s="54">
        <v>618</v>
      </c>
      <c r="P502" s="54"/>
    </row>
    <row r="503" spans="9:16">
      <c r="I503" s="492" t="s">
        <v>2285</v>
      </c>
      <c r="J503" s="541" t="str">
        <f>"T5_"&amp;STDLIGHTINEFCAT2[[#This Row],[Ineff DropDown 2]]</f>
        <v>T5_PG &lt;=100</v>
      </c>
      <c r="K503" s="548" t="str">
        <f>STDLIGHTINEFCAT2[[#This Row],[Match]]&amp;"_"&amp;STDLIGHTINEFCAT2[[#This Row],[Options]]</f>
        <v>T5_PG &lt;=100_1L T5 3' 39W</v>
      </c>
      <c r="L503" s="536" t="s">
        <v>2464</v>
      </c>
      <c r="M503" s="536">
        <v>39</v>
      </c>
      <c r="N503" s="536">
        <v>42</v>
      </c>
      <c r="O503" s="54">
        <v>619</v>
      </c>
      <c r="P503" s="54"/>
    </row>
    <row r="504" spans="9:16">
      <c r="I504" s="492" t="s">
        <v>2285</v>
      </c>
      <c r="J504" s="541" t="str">
        <f>"T5_"&amp;STDLIGHTINEFCAT2[[#This Row],[Ineff DropDown 2]]</f>
        <v>T5_PG &lt;=100</v>
      </c>
      <c r="K504" s="548" t="str">
        <f>STDLIGHTINEFCAT2[[#This Row],[Match]]&amp;"_"&amp;STDLIGHTINEFCAT2[[#This Row],[Options]]</f>
        <v>T5_PG &lt;=100_2L T5 3' 39W</v>
      </c>
      <c r="L504" s="536" t="s">
        <v>2465</v>
      </c>
      <c r="M504" s="536">
        <f>2*39</f>
        <v>78</v>
      </c>
      <c r="N504" s="536">
        <v>85</v>
      </c>
      <c r="O504" s="54">
        <v>620</v>
      </c>
      <c r="P504" s="54"/>
    </row>
    <row r="505" spans="9:16">
      <c r="I505" s="492" t="s">
        <v>2285</v>
      </c>
      <c r="J505" s="541" t="str">
        <f>"T5_"&amp;STDLIGHTINEFCAT2[[#This Row],[Ineff DropDown 2]]</f>
        <v>T5_PG &lt;=100</v>
      </c>
      <c r="K505" s="548" t="str">
        <f>STDLIGHTINEFCAT2[[#This Row],[Match]]&amp;"_"&amp;STDLIGHTINEFCAT2[[#This Row],[Options]]</f>
        <v>T5_PG &lt;=100_----4 ft Lamps----</v>
      </c>
      <c r="L505" s="542" t="s">
        <v>2404</v>
      </c>
      <c r="M505" s="542"/>
      <c r="N505" s="536"/>
      <c r="O505" s="54">
        <v>621</v>
      </c>
      <c r="P505" s="54"/>
    </row>
    <row r="506" spans="9:16">
      <c r="I506" s="492" t="s">
        <v>2285</v>
      </c>
      <c r="J506" s="541" t="str">
        <f>"T5_"&amp;STDLIGHTINEFCAT2[[#This Row],[Ineff DropDown 2]]</f>
        <v>T5_PG &lt;=100</v>
      </c>
      <c r="K506" s="548" t="str">
        <f>STDLIGHTINEFCAT2[[#This Row],[Match]]&amp;"_"&amp;STDLIGHTINEFCAT2[[#This Row],[Options]]</f>
        <v>T5_PG &lt;=100_1L T5 4' 28W</v>
      </c>
      <c r="L506" s="536" t="s">
        <v>2466</v>
      </c>
      <c r="M506" s="536">
        <v>28</v>
      </c>
      <c r="N506" s="536">
        <v>32</v>
      </c>
      <c r="O506" s="54">
        <v>622</v>
      </c>
      <c r="P506" s="54"/>
    </row>
    <row r="507" spans="9:16">
      <c r="I507" s="492" t="s">
        <v>2285</v>
      </c>
      <c r="J507" s="541" t="str">
        <f>"T5_"&amp;STDLIGHTINEFCAT2[[#This Row],[Ineff DropDown 2]]</f>
        <v>T5_PG &lt;=100</v>
      </c>
      <c r="K507" s="548" t="str">
        <f>STDLIGHTINEFCAT2[[#This Row],[Match]]&amp;"_"&amp;STDLIGHTINEFCAT2[[#This Row],[Options]]</f>
        <v>T5_PG &lt;=100_2L T5 4' 28W</v>
      </c>
      <c r="L507" s="536" t="s">
        <v>2467</v>
      </c>
      <c r="M507" s="536">
        <f>2*28</f>
        <v>56</v>
      </c>
      <c r="N507" s="536">
        <v>63</v>
      </c>
      <c r="O507" s="54">
        <v>623</v>
      </c>
      <c r="P507" s="54"/>
    </row>
    <row r="508" spans="9:16">
      <c r="I508" s="492" t="s">
        <v>2285</v>
      </c>
      <c r="J508" s="541" t="str">
        <f>"T5_"&amp;STDLIGHTINEFCAT2[[#This Row],[Ineff DropDown 2]]</f>
        <v>T5_PG &lt;=100</v>
      </c>
      <c r="K508" s="548" t="str">
        <f>STDLIGHTINEFCAT2[[#This Row],[Match]]&amp;"_"&amp;STDLIGHTINEFCAT2[[#This Row],[Options]]</f>
        <v>T5_PG &lt;=100_3L T5 4' 28W</v>
      </c>
      <c r="L508" s="536" t="s">
        <v>2468</v>
      </c>
      <c r="M508" s="536">
        <f>3*28</f>
        <v>84</v>
      </c>
      <c r="N508" s="536">
        <v>95</v>
      </c>
      <c r="O508" s="54">
        <v>624</v>
      </c>
      <c r="P508" s="54"/>
    </row>
    <row r="509" spans="9:16">
      <c r="I509" s="492" t="s">
        <v>2285</v>
      </c>
      <c r="J509" s="541" t="str">
        <f>"T5_"&amp;STDLIGHTINEFCAT2[[#This Row],[Ineff DropDown 2]]</f>
        <v>T5_PG &lt;=100</v>
      </c>
      <c r="K509" s="548" t="str">
        <f>STDLIGHTINEFCAT2[[#This Row],[Match]]&amp;"_"&amp;STDLIGHTINEFCAT2[[#This Row],[Options]]</f>
        <v>T5_PG &lt;=100_1L T5 4' 54W</v>
      </c>
      <c r="L509" s="536" t="s">
        <v>2472</v>
      </c>
      <c r="M509" s="536">
        <v>54</v>
      </c>
      <c r="N509" s="536">
        <v>62</v>
      </c>
      <c r="O509" s="54">
        <v>625</v>
      </c>
      <c r="P509" s="492"/>
    </row>
    <row r="510" spans="9:16">
      <c r="I510" s="492" t="s">
        <v>2286</v>
      </c>
      <c r="J510" s="541" t="str">
        <f>"T5_"&amp;STDLIGHTINEFCAT2[[#This Row],[Ineff DropDown 2]]</f>
        <v>T5_PG &gt;175</v>
      </c>
      <c r="K510" s="548" t="str">
        <f>STDLIGHTINEFCAT2[[#This Row],[Match]]&amp;"_"&amp;STDLIGHTINEFCAT2[[#This Row],[Options]]</f>
        <v>T5_PG &gt;175_----4 ft Lamps----</v>
      </c>
      <c r="L510" s="542" t="s">
        <v>2404</v>
      </c>
      <c r="M510" s="542"/>
      <c r="N510" s="536"/>
      <c r="O510" s="54">
        <v>718</v>
      </c>
      <c r="P510" s="54"/>
    </row>
    <row r="511" spans="9:16">
      <c r="I511" s="492" t="s">
        <v>2286</v>
      </c>
      <c r="J511" s="541" t="str">
        <f>"T5_"&amp;STDLIGHTINEFCAT2[[#This Row],[Ineff DropDown 2]]</f>
        <v>T5_PG &gt;175</v>
      </c>
      <c r="K511" s="548" t="str">
        <f>STDLIGHTINEFCAT2[[#This Row],[Match]]&amp;"_"&amp;STDLIGHTINEFCAT2[[#This Row],[Options]]</f>
        <v>T5_PG &gt;175_4L T5 4' 54W</v>
      </c>
      <c r="L511" s="536" t="s">
        <v>2477</v>
      </c>
      <c r="M511" s="536">
        <f>4*54</f>
        <v>216</v>
      </c>
      <c r="N511" s="536">
        <v>234</v>
      </c>
      <c r="O511" s="54">
        <v>719</v>
      </c>
      <c r="P511" s="54"/>
    </row>
    <row r="512" spans="9:16">
      <c r="I512" s="492" t="s">
        <v>2286</v>
      </c>
      <c r="J512" s="541" t="str">
        <f>"T5_"&amp;STDLIGHTINEFCAT2[[#This Row],[Ineff DropDown 2]]</f>
        <v>T5_PG &gt;175</v>
      </c>
      <c r="K512" s="548" t="str">
        <f>STDLIGHTINEFCAT2[[#This Row],[Match]]&amp;"_"&amp;STDLIGHTINEFCAT2[[#This Row],[Options]]</f>
        <v>T5_PG &gt;175_5L T5 4' 54W</v>
      </c>
      <c r="L512" s="536" t="s">
        <v>2478</v>
      </c>
      <c r="M512" s="536">
        <f>5*54</f>
        <v>270</v>
      </c>
      <c r="N512" s="536">
        <v>295</v>
      </c>
      <c r="O512" s="54">
        <v>720</v>
      </c>
      <c r="P512" s="54"/>
    </row>
    <row r="513" spans="9:16">
      <c r="I513" s="492" t="s">
        <v>2286</v>
      </c>
      <c r="J513" s="541" t="str">
        <f>"T5_"&amp;STDLIGHTINEFCAT2[[#This Row],[Ineff DropDown 2]]</f>
        <v>T5_PG &gt;175</v>
      </c>
      <c r="K513" s="548" t="str">
        <f>STDLIGHTINEFCAT2[[#This Row],[Match]]&amp;"_"&amp;STDLIGHTINEFCAT2[[#This Row],[Options]]</f>
        <v>T5_PG &gt;175_6L T5 4' 54W</v>
      </c>
      <c r="L513" s="536" t="s">
        <v>2479</v>
      </c>
      <c r="M513" s="536">
        <f>6*54</f>
        <v>324</v>
      </c>
      <c r="N513" s="536">
        <v>358</v>
      </c>
      <c r="O513" s="54">
        <v>721</v>
      </c>
      <c r="P513" s="492"/>
    </row>
    <row r="514" spans="9:16">
      <c r="I514" s="541" t="s">
        <v>2287</v>
      </c>
      <c r="J514" s="541" t="str">
        <f>"T5_"&amp;STDLIGHTINEFCAT2[[#This Row],[Ineff DropDown 2]]</f>
        <v>T5_PG 101-175</v>
      </c>
      <c r="K514" s="548" t="str">
        <f>STDLIGHTINEFCAT2[[#This Row],[Match]]&amp;"_"&amp;STDLIGHTINEFCAT2[[#This Row],[Options]]</f>
        <v>T5_PG 101-175_----4 ft Lamps----</v>
      </c>
      <c r="L514" s="542" t="s">
        <v>2404</v>
      </c>
      <c r="M514" s="542"/>
      <c r="N514" s="536"/>
      <c r="O514" s="54">
        <v>666</v>
      </c>
      <c r="P514" s="54"/>
    </row>
    <row r="515" spans="9:16">
      <c r="I515" s="541" t="s">
        <v>2287</v>
      </c>
      <c r="J515" s="541" t="str">
        <f>"T5_"&amp;STDLIGHTINEFCAT2[[#This Row],[Ineff DropDown 2]]</f>
        <v>T5_PG 101-175</v>
      </c>
      <c r="K515" s="548" t="str">
        <f>STDLIGHTINEFCAT2[[#This Row],[Match]]&amp;"_"&amp;STDLIGHTINEFCAT2[[#This Row],[Options]]</f>
        <v>T5_PG 101-175_4L T5 4' 28W</v>
      </c>
      <c r="L515" s="536" t="s">
        <v>2469</v>
      </c>
      <c r="M515" s="536">
        <f>4*28</f>
        <v>112</v>
      </c>
      <c r="N515" s="536">
        <v>126</v>
      </c>
      <c r="O515" s="54">
        <v>667</v>
      </c>
      <c r="P515" s="54"/>
    </row>
    <row r="516" spans="9:16">
      <c r="I516" s="541" t="s">
        <v>2287</v>
      </c>
      <c r="J516" s="541" t="str">
        <f>"T5_"&amp;STDLIGHTINEFCAT2[[#This Row],[Ineff DropDown 2]]</f>
        <v>T5_PG 101-175</v>
      </c>
      <c r="K516" s="548" t="str">
        <f>STDLIGHTINEFCAT2[[#This Row],[Match]]&amp;"_"&amp;STDLIGHTINEFCAT2[[#This Row],[Options]]</f>
        <v>T5_PG 101-175_2L T5 4' 54W</v>
      </c>
      <c r="L516" s="536" t="s">
        <v>2473</v>
      </c>
      <c r="M516" s="536">
        <f>2*54</f>
        <v>108</v>
      </c>
      <c r="N516" s="536">
        <v>117</v>
      </c>
      <c r="O516" s="54">
        <v>668</v>
      </c>
      <c r="P516" s="54"/>
    </row>
    <row r="517" spans="9:16">
      <c r="I517" s="541" t="s">
        <v>2287</v>
      </c>
      <c r="J517" s="541" t="str">
        <f>"T5_"&amp;STDLIGHTINEFCAT2[[#This Row],[Ineff DropDown 2]]</f>
        <v>T5_PG 101-175</v>
      </c>
      <c r="K517" s="548" t="str">
        <f>STDLIGHTINEFCAT2[[#This Row],[Match]]&amp;"_"&amp;STDLIGHTINEFCAT2[[#This Row],[Options]]</f>
        <v>T5_PG 101-175_3L T5 4' 54W</v>
      </c>
      <c r="L517" s="536" t="s">
        <v>2476</v>
      </c>
      <c r="M517" s="536">
        <f>3*54</f>
        <v>162</v>
      </c>
      <c r="N517" s="536">
        <v>179</v>
      </c>
      <c r="O517" s="54">
        <v>669</v>
      </c>
      <c r="P517" s="54"/>
    </row>
    <row r="518" spans="9:16">
      <c r="I518" s="541" t="s">
        <v>2639</v>
      </c>
      <c r="J518" s="541" t="str">
        <f>"T5_"&amp;STDLIGHTINEFCAT2[[#This Row],[Ineff DropDown 2]]</f>
        <v>T5_Retrofit_2ft</v>
      </c>
      <c r="K518" s="548" t="str">
        <f>STDLIGHTINEFCAT2[[#This Row],[Match]]&amp;"_"&amp;STDLIGHTINEFCAT2[[#This Row],[Options]]</f>
        <v>T5_Retrofit_2ft_1L T5 2' 13W</v>
      </c>
      <c r="L518" s="536" t="s">
        <v>2456</v>
      </c>
      <c r="M518" s="536">
        <v>13</v>
      </c>
      <c r="N518" s="536">
        <v>14</v>
      </c>
      <c r="O518" s="54">
        <v>504</v>
      </c>
      <c r="P518" s="54"/>
    </row>
    <row r="519" spans="9:16">
      <c r="I519" s="541" t="s">
        <v>2639</v>
      </c>
      <c r="J519" s="541" t="str">
        <f>"T5_"&amp;STDLIGHTINEFCAT2[[#This Row],[Ineff DropDown 2]]</f>
        <v>T5_Retrofit_2ft</v>
      </c>
      <c r="K519" s="548" t="str">
        <f>STDLIGHTINEFCAT2[[#This Row],[Match]]&amp;"_"&amp;STDLIGHTINEFCAT2[[#This Row],[Options]]</f>
        <v>T5_Retrofit_2ft_2L T5 2' 13W</v>
      </c>
      <c r="L519" s="536" t="s">
        <v>2457</v>
      </c>
      <c r="M519" s="536">
        <v>36</v>
      </c>
      <c r="N519" s="536">
        <v>27</v>
      </c>
      <c r="O519" s="54">
        <v>505</v>
      </c>
      <c r="P519" s="54"/>
    </row>
    <row r="520" spans="9:16">
      <c r="I520" s="541" t="s">
        <v>2639</v>
      </c>
      <c r="J520" s="541" t="str">
        <f>"T5_"&amp;STDLIGHTINEFCAT2[[#This Row],[Ineff DropDown 2]]</f>
        <v>T5_Retrofit_2ft</v>
      </c>
      <c r="K520" s="548" t="str">
        <f>STDLIGHTINEFCAT2[[#This Row],[Match]]&amp;"_"&amp;STDLIGHTINEFCAT2[[#This Row],[Options]]</f>
        <v>T5_Retrofit_2ft_1L T5 2' 14W</v>
      </c>
      <c r="L520" s="536" t="s">
        <v>2458</v>
      </c>
      <c r="M520" s="536">
        <v>14</v>
      </c>
      <c r="N520" s="536">
        <v>14</v>
      </c>
      <c r="O520" s="54">
        <v>506</v>
      </c>
      <c r="P520" s="54"/>
    </row>
    <row r="521" spans="9:16">
      <c r="I521" s="541" t="s">
        <v>2639</v>
      </c>
      <c r="J521" s="541" t="str">
        <f>"T5_"&amp;STDLIGHTINEFCAT2[[#This Row],[Ineff DropDown 2]]</f>
        <v>T5_Retrofit_2ft</v>
      </c>
      <c r="K521" s="548" t="str">
        <f>STDLIGHTINEFCAT2[[#This Row],[Match]]&amp;"_"&amp;STDLIGHTINEFCAT2[[#This Row],[Options]]</f>
        <v>T5_Retrofit_2ft_2L T5 2' 14W</v>
      </c>
      <c r="L521" s="536" t="s">
        <v>2459</v>
      </c>
      <c r="M521" s="536">
        <v>28</v>
      </c>
      <c r="N521" s="536">
        <v>28</v>
      </c>
      <c r="O521" s="54">
        <v>507</v>
      </c>
      <c r="P521" s="54"/>
    </row>
    <row r="522" spans="9:16">
      <c r="I522" s="541" t="s">
        <v>2639</v>
      </c>
      <c r="J522" s="541" t="str">
        <f>"T5_"&amp;STDLIGHTINEFCAT2[[#This Row],[Ineff DropDown 2]]</f>
        <v>T5_Retrofit_2ft</v>
      </c>
      <c r="K522" s="548" t="str">
        <f>STDLIGHTINEFCAT2[[#This Row],[Match]]&amp;"_"&amp;STDLIGHTINEFCAT2[[#This Row],[Options]]</f>
        <v>T5_Retrofit_2ft_1L T5 2' 24W</v>
      </c>
      <c r="L522" s="536" t="s">
        <v>2460</v>
      </c>
      <c r="M522" s="536">
        <v>24</v>
      </c>
      <c r="N522" s="536">
        <v>27</v>
      </c>
      <c r="O522" s="54">
        <v>508</v>
      </c>
      <c r="P522" s="54"/>
    </row>
    <row r="523" spans="9:16">
      <c r="I523" s="541" t="s">
        <v>2639</v>
      </c>
      <c r="J523" s="541" t="str">
        <f>"T5_"&amp;STDLIGHTINEFCAT2[[#This Row],[Ineff DropDown 2]]</f>
        <v>T5_Retrofit_2ft</v>
      </c>
      <c r="K523" s="548" t="str">
        <f>STDLIGHTINEFCAT2[[#This Row],[Match]]&amp;"_"&amp;STDLIGHTINEFCAT2[[#This Row],[Options]]</f>
        <v>T5_Retrofit_2ft_2L T5 2' 24W</v>
      </c>
      <c r="L523" s="536" t="s">
        <v>2461</v>
      </c>
      <c r="M523" s="536">
        <v>48</v>
      </c>
      <c r="N523" s="536">
        <v>54</v>
      </c>
      <c r="O523" s="54">
        <v>509</v>
      </c>
      <c r="P523" s="54"/>
    </row>
    <row r="524" spans="9:16">
      <c r="I524" s="496" t="s">
        <v>2638</v>
      </c>
      <c r="J524" s="541" t="str">
        <f>"T5_"&amp;STDLIGHTINEFCAT2[[#This Row],[Ineff DropDown 2]]</f>
        <v>T5_Retrofit_4ft</v>
      </c>
      <c r="K524" s="548" t="str">
        <f>STDLIGHTINEFCAT2[[#This Row],[Match]]&amp;"_"&amp;STDLIGHTINEFCAT2[[#This Row],[Options]]</f>
        <v>T5_Retrofit_4ft_1L T5 4' 28W</v>
      </c>
      <c r="L524" s="536" t="s">
        <v>2466</v>
      </c>
      <c r="M524" s="536">
        <v>28</v>
      </c>
      <c r="N524" s="536">
        <v>32</v>
      </c>
      <c r="O524" s="54">
        <v>510</v>
      </c>
      <c r="P524" s="492"/>
    </row>
    <row r="525" spans="9:16">
      <c r="I525" s="496" t="s">
        <v>2638</v>
      </c>
      <c r="J525" s="541" t="str">
        <f>"T5_"&amp;STDLIGHTINEFCAT2[[#This Row],[Ineff DropDown 2]]</f>
        <v>T5_Retrofit_4ft</v>
      </c>
      <c r="K525" s="548" t="str">
        <f>STDLIGHTINEFCAT2[[#This Row],[Match]]&amp;"_"&amp;STDLIGHTINEFCAT2[[#This Row],[Options]]</f>
        <v>T5_Retrofit_4ft_2L T5 4' 28W</v>
      </c>
      <c r="L525" s="536" t="s">
        <v>2467</v>
      </c>
      <c r="M525" s="536">
        <f>2*28</f>
        <v>56</v>
      </c>
      <c r="N525" s="536">
        <v>63</v>
      </c>
      <c r="O525" s="54">
        <v>511</v>
      </c>
      <c r="P525" s="54"/>
    </row>
    <row r="526" spans="9:16">
      <c r="I526" s="496" t="s">
        <v>2638</v>
      </c>
      <c r="J526" s="541" t="str">
        <f>"T5_"&amp;STDLIGHTINEFCAT2[[#This Row],[Ineff DropDown 2]]</f>
        <v>T5_Retrofit_4ft</v>
      </c>
      <c r="K526" s="548" t="str">
        <f>STDLIGHTINEFCAT2[[#This Row],[Match]]&amp;"_"&amp;STDLIGHTINEFCAT2[[#This Row],[Options]]</f>
        <v>T5_Retrofit_4ft_3L T5 4' 28W</v>
      </c>
      <c r="L526" s="536" t="s">
        <v>2468</v>
      </c>
      <c r="M526" s="536">
        <f>3*28</f>
        <v>84</v>
      </c>
      <c r="N526" s="536">
        <v>95</v>
      </c>
      <c r="O526" s="54">
        <v>512</v>
      </c>
      <c r="P526" s="54"/>
    </row>
    <row r="527" spans="9:16">
      <c r="I527" s="496" t="s">
        <v>2638</v>
      </c>
      <c r="J527" s="541" t="str">
        <f>"T5_"&amp;STDLIGHTINEFCAT2[[#This Row],[Ineff DropDown 2]]</f>
        <v>T5_Retrofit_4ft</v>
      </c>
      <c r="K527" s="548" t="str">
        <f>STDLIGHTINEFCAT2[[#This Row],[Match]]&amp;"_"&amp;STDLIGHTINEFCAT2[[#This Row],[Options]]</f>
        <v>T5_Retrofit_4ft_4L T5 4' 28W</v>
      </c>
      <c r="L527" s="536" t="s">
        <v>2469</v>
      </c>
      <c r="M527" s="536">
        <f>4*28</f>
        <v>112</v>
      </c>
      <c r="N527" s="536">
        <v>126</v>
      </c>
      <c r="O527" s="54">
        <v>513</v>
      </c>
      <c r="P527" s="54"/>
    </row>
    <row r="528" spans="9:16">
      <c r="I528" s="496" t="s">
        <v>2638</v>
      </c>
      <c r="J528" s="541" t="str">
        <f>"T5_"&amp;STDLIGHTINEFCAT2[[#This Row],[Ineff DropDown 2]]</f>
        <v>T5_Retrofit_4ft</v>
      </c>
      <c r="K528" s="548" t="str">
        <f>STDLIGHTINEFCAT2[[#This Row],[Match]]&amp;"_"&amp;STDLIGHTINEFCAT2[[#This Row],[Options]]</f>
        <v>T5_Retrofit_4ft_1L T5 4' 54W</v>
      </c>
      <c r="L528" s="536" t="s">
        <v>2472</v>
      </c>
      <c r="M528" s="536">
        <v>54</v>
      </c>
      <c r="N528" s="536">
        <v>62</v>
      </c>
      <c r="O528" s="54">
        <v>514</v>
      </c>
      <c r="P528" s="492"/>
    </row>
    <row r="529" spans="9:16">
      <c r="I529" s="496" t="s">
        <v>2638</v>
      </c>
      <c r="J529" s="541" t="str">
        <f>"T5_"&amp;STDLIGHTINEFCAT2[[#This Row],[Ineff DropDown 2]]</f>
        <v>T5_Retrofit_4ft</v>
      </c>
      <c r="K529" s="548" t="str">
        <f>STDLIGHTINEFCAT2[[#This Row],[Match]]&amp;"_"&amp;STDLIGHTINEFCAT2[[#This Row],[Options]]</f>
        <v>T5_Retrofit_4ft_2L T5 4' 54W</v>
      </c>
      <c r="L529" s="536" t="s">
        <v>2473</v>
      </c>
      <c r="M529" s="536">
        <f>2*54</f>
        <v>108</v>
      </c>
      <c r="N529" s="536">
        <v>117</v>
      </c>
      <c r="O529" s="54">
        <v>515</v>
      </c>
      <c r="P529" s="54"/>
    </row>
    <row r="530" spans="9:16">
      <c r="I530" s="496" t="s">
        <v>2638</v>
      </c>
      <c r="J530" s="541" t="str">
        <f>"T5_"&amp;STDLIGHTINEFCAT2[[#This Row],[Ineff DropDown 2]]</f>
        <v>T5_Retrofit_4ft</v>
      </c>
      <c r="K530" s="548" t="str">
        <f>STDLIGHTINEFCAT2[[#This Row],[Match]]&amp;"_"&amp;STDLIGHTINEFCAT2[[#This Row],[Options]]</f>
        <v>T5_Retrofit_4ft_3L T5 4' 54W</v>
      </c>
      <c r="L530" s="536" t="s">
        <v>2476</v>
      </c>
      <c r="M530" s="536">
        <f>3*54</f>
        <v>162</v>
      </c>
      <c r="N530" s="536">
        <v>179</v>
      </c>
      <c r="O530" s="54">
        <v>516</v>
      </c>
      <c r="P530" s="54"/>
    </row>
    <row r="531" spans="9:16">
      <c r="I531" s="496" t="s">
        <v>2638</v>
      </c>
      <c r="J531" s="541" t="str">
        <f>"T5_"&amp;STDLIGHTINEFCAT2[[#This Row],[Ineff DropDown 2]]</f>
        <v>T5_Retrofit_4ft</v>
      </c>
      <c r="K531" s="548" t="str">
        <f>STDLIGHTINEFCAT2[[#This Row],[Match]]&amp;"_"&amp;STDLIGHTINEFCAT2[[#This Row],[Options]]</f>
        <v>T5_Retrofit_4ft_4L T5 4' 54W</v>
      </c>
      <c r="L531" s="536" t="s">
        <v>2477</v>
      </c>
      <c r="M531" s="536">
        <f>4*54</f>
        <v>216</v>
      </c>
      <c r="N531" s="536">
        <v>234</v>
      </c>
      <c r="O531" s="54">
        <v>517</v>
      </c>
      <c r="P531" s="54"/>
    </row>
    <row r="532" spans="9:16">
      <c r="I532" s="496" t="s">
        <v>2638</v>
      </c>
      <c r="J532" s="541" t="str">
        <f>"T5_"&amp;STDLIGHTINEFCAT2[[#This Row],[Ineff DropDown 2]]</f>
        <v>T5_Retrofit_4ft</v>
      </c>
      <c r="K532" s="548" t="str">
        <f>STDLIGHTINEFCAT2[[#This Row],[Match]]&amp;"_"&amp;STDLIGHTINEFCAT2[[#This Row],[Options]]</f>
        <v>T5_Retrofit_4ft_5L T5 4' 54W</v>
      </c>
      <c r="L532" s="536" t="s">
        <v>2478</v>
      </c>
      <c r="M532" s="536">
        <f>5*54</f>
        <v>270</v>
      </c>
      <c r="N532" s="536">
        <v>295</v>
      </c>
      <c r="O532" s="54">
        <v>518</v>
      </c>
      <c r="P532" s="54"/>
    </row>
    <row r="533" spans="9:16">
      <c r="I533" s="496" t="s">
        <v>2638</v>
      </c>
      <c r="J533" s="541" t="str">
        <f>"T5_"&amp;STDLIGHTINEFCAT2[[#This Row],[Ineff DropDown 2]]</f>
        <v>T5_Retrofit_4ft</v>
      </c>
      <c r="K533" s="548" t="str">
        <f>STDLIGHTINEFCAT2[[#This Row],[Match]]&amp;"_"&amp;STDLIGHTINEFCAT2[[#This Row],[Options]]</f>
        <v>T5_Retrofit_4ft_6L T5 4' 54W</v>
      </c>
      <c r="L533" s="536" t="s">
        <v>2479</v>
      </c>
      <c r="M533" s="536">
        <f>6*54</f>
        <v>324</v>
      </c>
      <c r="N533" s="536">
        <v>358</v>
      </c>
      <c r="O533" s="54">
        <v>519</v>
      </c>
      <c r="P533" s="54"/>
    </row>
    <row r="534" spans="9:16">
      <c r="I534" s="496" t="s">
        <v>2254</v>
      </c>
      <c r="J534" s="541" t="s">
        <v>2909</v>
      </c>
      <c r="K534" s="656" t="str">
        <f>STDLIGHTINEFCAT2[[#This Row],[Match]]&amp;"_"&amp;STDLIGHTINEFCAT2[[#This Row],[Options]]</f>
        <v>T5HO_4ft_Lamp_T5HO 4' 54W</v>
      </c>
      <c r="L534" s="546" t="s">
        <v>2885</v>
      </c>
      <c r="M534" s="536">
        <v>54</v>
      </c>
      <c r="N534" s="536">
        <v>54</v>
      </c>
      <c r="O534" s="54">
        <v>211</v>
      </c>
      <c r="P534" s="54"/>
    </row>
    <row r="535" spans="9:16">
      <c r="I535" s="517" t="s">
        <v>2253</v>
      </c>
      <c r="J535" s="541" t="s">
        <v>2289</v>
      </c>
      <c r="K535" s="536" t="str">
        <f>STDLIGHTINEFCAT2[[#This Row],[Match]]&amp;"_"&amp;STDLIGHTINEFCAT2[[#This Row],[Options]]</f>
        <v>T8_2ft_Lamp_T8 2' 17W</v>
      </c>
      <c r="L535" s="536" t="s">
        <v>2171</v>
      </c>
      <c r="M535" s="536">
        <v>17</v>
      </c>
      <c r="N535" s="536">
        <v>17</v>
      </c>
      <c r="O535" s="54">
        <v>194</v>
      </c>
      <c r="P535" s="54"/>
    </row>
    <row r="536" spans="9:16">
      <c r="I536" s="496" t="s">
        <v>2254</v>
      </c>
      <c r="J536" s="541" t="s">
        <v>2295</v>
      </c>
      <c r="K536" s="544" t="str">
        <f>STDLIGHTINEFCAT2[[#This Row],[Match]]&amp;"_"&amp;STDLIGHTINEFCAT2[[#This Row],[Options]]</f>
        <v>T8_4ft_Lamp_T8 4' 25W</v>
      </c>
      <c r="L536" s="544" t="s">
        <v>2172</v>
      </c>
      <c r="M536" s="536">
        <v>25</v>
      </c>
      <c r="N536" s="536">
        <v>25</v>
      </c>
      <c r="O536" s="54">
        <v>203</v>
      </c>
      <c r="P536" s="54"/>
    </row>
    <row r="537" spans="9:16">
      <c r="I537" s="496" t="s">
        <v>2254</v>
      </c>
      <c r="J537" s="541" t="s">
        <v>2295</v>
      </c>
      <c r="K537" s="544" t="str">
        <f>STDLIGHTINEFCAT2[[#This Row],[Match]]&amp;"_"&amp;STDLIGHTINEFCAT2[[#This Row],[Options]]</f>
        <v>T8_4ft_Lamp_T8 4' 28W</v>
      </c>
      <c r="L537" s="544" t="s">
        <v>2173</v>
      </c>
      <c r="M537" s="536">
        <v>28</v>
      </c>
      <c r="N537" s="536">
        <v>28</v>
      </c>
      <c r="O537" s="54">
        <v>204</v>
      </c>
      <c r="P537" s="54"/>
    </row>
    <row r="538" spans="9:16">
      <c r="I538" s="496" t="s">
        <v>2254</v>
      </c>
      <c r="J538" s="541" t="s">
        <v>2295</v>
      </c>
      <c r="K538" s="544" t="str">
        <f>STDLIGHTINEFCAT2[[#This Row],[Match]]&amp;"_"&amp;STDLIGHTINEFCAT2[[#This Row],[Options]]</f>
        <v>T8_4ft_Lamp_T8 4' 30W</v>
      </c>
      <c r="L538" s="544" t="s">
        <v>2246</v>
      </c>
      <c r="M538" s="536">
        <v>30</v>
      </c>
      <c r="N538" s="536">
        <v>30</v>
      </c>
      <c r="O538" s="54">
        <v>205</v>
      </c>
      <c r="P538" s="54"/>
    </row>
    <row r="539" spans="9:16">
      <c r="I539" s="496" t="s">
        <v>2254</v>
      </c>
      <c r="J539" s="541" t="s">
        <v>2295</v>
      </c>
      <c r="K539" s="544" t="str">
        <f>STDLIGHTINEFCAT2[[#This Row],[Match]]&amp;"_"&amp;STDLIGHTINEFCAT2[[#This Row],[Options]]</f>
        <v>T8_4ft_Lamp_T8 4' 32W</v>
      </c>
      <c r="L539" s="544" t="s">
        <v>2174</v>
      </c>
      <c r="M539" s="536">
        <v>32</v>
      </c>
      <c r="N539" s="536">
        <v>32</v>
      </c>
      <c r="O539" s="54">
        <v>206</v>
      </c>
      <c r="P539" s="54"/>
    </row>
    <row r="540" spans="9:16">
      <c r="I540" s="496" t="s">
        <v>2254</v>
      </c>
      <c r="J540" s="541" t="s">
        <v>2295</v>
      </c>
      <c r="K540" s="544" t="str">
        <f>STDLIGHTINEFCAT2[[#This Row],[Match]]&amp;"_"&amp;STDLIGHTINEFCAT2[[#This Row],[Options]]</f>
        <v>T8_4ft_Lamp_T8 4' 36W</v>
      </c>
      <c r="L540" s="544" t="s">
        <v>2175</v>
      </c>
      <c r="M540" s="536">
        <v>36</v>
      </c>
      <c r="N540" s="536">
        <v>36</v>
      </c>
      <c r="O540" s="54">
        <v>207</v>
      </c>
      <c r="P540" s="54"/>
    </row>
    <row r="541" spans="9:16">
      <c r="I541" s="496" t="s">
        <v>2254</v>
      </c>
      <c r="J541" s="541" t="s">
        <v>2295</v>
      </c>
      <c r="K541" s="546" t="str">
        <f>STDLIGHTINEFCAT2[[#This Row],[Match]]&amp;"_"&amp;STDLIGHTINEFCAT2[[#This Row],[Options]]</f>
        <v>T8_4ft_Lamp_T8 4' 44W</v>
      </c>
      <c r="L541" s="546" t="s">
        <v>2247</v>
      </c>
      <c r="M541" s="536">
        <v>44</v>
      </c>
      <c r="N541" s="536">
        <v>44</v>
      </c>
      <c r="O541" s="54">
        <v>208</v>
      </c>
      <c r="P541" s="54"/>
    </row>
    <row r="542" spans="9:16">
      <c r="I542" s="496" t="s">
        <v>2255</v>
      </c>
      <c r="J542" s="541" t="s">
        <v>2301</v>
      </c>
      <c r="K542" s="536" t="str">
        <f>STDLIGHTINEFCAT2[[#This Row],[Match]]&amp;"_"&amp;STDLIGHTINEFCAT2[[#This Row],[Options]]</f>
        <v>T8_8ft_Lamp_T8 8' 59W</v>
      </c>
      <c r="L542" s="536" t="s">
        <v>2248</v>
      </c>
      <c r="M542" s="536">
        <v>59</v>
      </c>
      <c r="N542" s="536">
        <v>59</v>
      </c>
      <c r="O542" s="54">
        <v>218</v>
      </c>
      <c r="P542" s="54"/>
    </row>
    <row r="543" spans="9:16">
      <c r="I543" s="496" t="s">
        <v>2255</v>
      </c>
      <c r="J543" s="541" t="s">
        <v>2301</v>
      </c>
      <c r="K543" s="536" t="str">
        <f>STDLIGHTINEFCAT2[[#This Row],[Match]]&amp;"_"&amp;STDLIGHTINEFCAT2[[#This Row],[Options]]</f>
        <v>T8_8ft_Lamp_T8 8' 86W</v>
      </c>
      <c r="L543" s="536" t="s">
        <v>2249</v>
      </c>
      <c r="M543" s="536">
        <v>86</v>
      </c>
      <c r="N543" s="536">
        <v>86</v>
      </c>
      <c r="O543" s="54">
        <v>219</v>
      </c>
      <c r="P543" s="54"/>
    </row>
    <row r="544" spans="9:16">
      <c r="I544" s="496" t="s">
        <v>2255</v>
      </c>
      <c r="J544" s="541" t="s">
        <v>2301</v>
      </c>
      <c r="K544" s="536" t="str">
        <f>STDLIGHTINEFCAT2[[#This Row],[Match]]&amp;"_"&amp;STDLIGHTINEFCAT2[[#This Row],[Options]]</f>
        <v>T8_8ft_Lamp_T8 8' 96W</v>
      </c>
      <c r="L544" s="536" t="s">
        <v>2176</v>
      </c>
      <c r="M544" s="536">
        <v>96</v>
      </c>
      <c r="N544" s="536">
        <v>96</v>
      </c>
      <c r="O544" s="54">
        <v>220</v>
      </c>
      <c r="P544" s="54"/>
    </row>
    <row r="545" spans="9:16">
      <c r="I545" s="517" t="s">
        <v>2281</v>
      </c>
      <c r="J545" s="517" t="str">
        <f>"T8_"&amp;STDLIGHTINEFCAT2[[#This Row],[Ineff DropDown 2]]</f>
        <v>T8_Ext &lt;175</v>
      </c>
      <c r="K545" s="536" t="str">
        <f>STDLIGHTINEFCAT2[[#This Row],[Match]]&amp;"_"&amp;STDLIGHTINEFCAT2[[#This Row],[Options]]</f>
        <v>T8_Ext &lt;175_----2 ft Lamps----</v>
      </c>
      <c r="L545" s="542" t="s">
        <v>2402</v>
      </c>
      <c r="M545" s="542"/>
      <c r="N545" s="536"/>
      <c r="O545" s="54">
        <v>70</v>
      </c>
      <c r="P545" s="492"/>
    </row>
    <row r="546" spans="9:16">
      <c r="I546" s="517" t="s">
        <v>2281</v>
      </c>
      <c r="J546" s="517" t="str">
        <f>"T8_"&amp;STDLIGHTINEFCAT2[[#This Row],[Ineff DropDown 2]]</f>
        <v>T8_Ext &lt;175</v>
      </c>
      <c r="K546" s="548" t="str">
        <f>STDLIGHTINEFCAT2[[#This Row],[Match]]&amp;"_"&amp;STDLIGHTINEFCAT2[[#This Row],[Options]]</f>
        <v>T8_Ext &lt;175_1L T8 2' 17W</v>
      </c>
      <c r="L546" s="536" t="s">
        <v>2412</v>
      </c>
      <c r="M546" s="536">
        <v>17</v>
      </c>
      <c r="N546" s="536">
        <v>24</v>
      </c>
      <c r="O546" s="54">
        <v>71</v>
      </c>
      <c r="P546" s="492"/>
    </row>
    <row r="547" spans="9:16">
      <c r="I547" s="517" t="s">
        <v>2281</v>
      </c>
      <c r="J547" s="517" t="str">
        <f>"T8_"&amp;STDLIGHTINEFCAT2[[#This Row],[Ineff DropDown 2]]</f>
        <v>T8_Ext &lt;175</v>
      </c>
      <c r="K547" s="548" t="str">
        <f>STDLIGHTINEFCAT2[[#This Row],[Match]]&amp;"_"&amp;STDLIGHTINEFCAT2[[#This Row],[Options]]</f>
        <v>T8_Ext &lt;175_2L T8 2' 17W</v>
      </c>
      <c r="L547" s="536" t="s">
        <v>2413</v>
      </c>
      <c r="M547" s="536">
        <f>17*2</f>
        <v>34</v>
      </c>
      <c r="N547" s="536">
        <v>45</v>
      </c>
      <c r="O547" s="54">
        <v>72</v>
      </c>
      <c r="P547" s="54"/>
    </row>
    <row r="548" spans="9:16">
      <c r="I548" s="517" t="s">
        <v>2281</v>
      </c>
      <c r="J548" s="517" t="str">
        <f>"T8_"&amp;STDLIGHTINEFCAT2[[#This Row],[Ineff DropDown 2]]</f>
        <v>T8_Ext &lt;175</v>
      </c>
      <c r="K548" s="548" t="str">
        <f>STDLIGHTINEFCAT2[[#This Row],[Match]]&amp;"_"&amp;STDLIGHTINEFCAT2[[#This Row],[Options]]</f>
        <v>T8_Ext &lt;175_3L T8 2' 17W</v>
      </c>
      <c r="L548" s="536" t="s">
        <v>2414</v>
      </c>
      <c r="M548" s="536">
        <f>3*17</f>
        <v>51</v>
      </c>
      <c r="N548" s="536">
        <v>64</v>
      </c>
      <c r="O548" s="54">
        <v>73</v>
      </c>
      <c r="P548" s="54"/>
    </row>
    <row r="549" spans="9:16">
      <c r="I549" s="517" t="s">
        <v>2281</v>
      </c>
      <c r="J549" s="517" t="str">
        <f>"T8_"&amp;STDLIGHTINEFCAT2[[#This Row],[Ineff DropDown 2]]</f>
        <v>T8_Ext &lt;175</v>
      </c>
      <c r="K549" s="548" t="str">
        <f>STDLIGHTINEFCAT2[[#This Row],[Match]]&amp;"_"&amp;STDLIGHTINEFCAT2[[#This Row],[Options]]</f>
        <v>T8_Ext &lt;175_4L T8 2' 17W</v>
      </c>
      <c r="L549" s="536" t="s">
        <v>2415</v>
      </c>
      <c r="M549" s="536">
        <f>4*17</f>
        <v>68</v>
      </c>
      <c r="N549" s="536">
        <v>83</v>
      </c>
      <c r="O549" s="54">
        <v>74</v>
      </c>
      <c r="P549" s="54"/>
    </row>
    <row r="550" spans="9:16">
      <c r="I550" s="517" t="s">
        <v>2281</v>
      </c>
      <c r="J550" s="517" t="str">
        <f>"T8_"&amp;STDLIGHTINEFCAT2[[#This Row],[Ineff DropDown 2]]</f>
        <v>T8_Ext &lt;175</v>
      </c>
      <c r="K550" s="548" t="str">
        <f>STDLIGHTINEFCAT2[[#This Row],[Match]]&amp;"_"&amp;STDLIGHTINEFCAT2[[#This Row],[Options]]</f>
        <v>T8_Ext &lt;175_----3 ft Lamps----</v>
      </c>
      <c r="L550" s="542" t="s">
        <v>2403</v>
      </c>
      <c r="M550" s="542"/>
      <c r="N550" s="536"/>
      <c r="O550" s="54">
        <v>75</v>
      </c>
      <c r="P550" s="492"/>
    </row>
    <row r="551" spans="9:16">
      <c r="I551" s="517" t="s">
        <v>2281</v>
      </c>
      <c r="J551" s="517" t="str">
        <f>"T8_"&amp;STDLIGHTINEFCAT2[[#This Row],[Ineff DropDown 2]]</f>
        <v>T8_Ext &lt;175</v>
      </c>
      <c r="K551" s="548" t="str">
        <f>STDLIGHTINEFCAT2[[#This Row],[Match]]&amp;"_"&amp;STDLIGHTINEFCAT2[[#This Row],[Options]]</f>
        <v>T8_Ext &lt;175_1L T8 3' 25W</v>
      </c>
      <c r="L551" s="536" t="s">
        <v>2416</v>
      </c>
      <c r="M551" s="536">
        <v>25</v>
      </c>
      <c r="N551" s="536">
        <v>30</v>
      </c>
      <c r="O551" s="54">
        <v>76</v>
      </c>
      <c r="P551" s="492"/>
    </row>
    <row r="552" spans="9:16">
      <c r="I552" s="517" t="s">
        <v>2281</v>
      </c>
      <c r="J552" s="517" t="str">
        <f>"T8_"&amp;STDLIGHTINEFCAT2[[#This Row],[Ineff DropDown 2]]</f>
        <v>T8_Ext &lt;175</v>
      </c>
      <c r="K552" s="548" t="str">
        <f>STDLIGHTINEFCAT2[[#This Row],[Match]]&amp;"_"&amp;STDLIGHTINEFCAT2[[#This Row],[Options]]</f>
        <v>T8_Ext &lt;175_2L T8 3' 25W</v>
      </c>
      <c r="L552" s="536" t="s">
        <v>2417</v>
      </c>
      <c r="M552" s="536">
        <v>50</v>
      </c>
      <c r="N552" s="536">
        <v>62</v>
      </c>
      <c r="O552" s="54">
        <v>77</v>
      </c>
      <c r="P552" s="54"/>
    </row>
    <row r="553" spans="9:16">
      <c r="I553" s="517" t="s">
        <v>2281</v>
      </c>
      <c r="J553" s="517" t="str">
        <f>"T8_"&amp;STDLIGHTINEFCAT2[[#This Row],[Ineff DropDown 2]]</f>
        <v>T8_Ext &lt;175</v>
      </c>
      <c r="K553" s="548" t="str">
        <f>STDLIGHTINEFCAT2[[#This Row],[Match]]&amp;"_"&amp;STDLIGHTINEFCAT2[[#This Row],[Options]]</f>
        <v>T8_Ext &lt;175_3L T8 3' 25W</v>
      </c>
      <c r="L553" s="536" t="s">
        <v>2418</v>
      </c>
      <c r="M553" s="536">
        <v>75</v>
      </c>
      <c r="N553" s="536">
        <v>87</v>
      </c>
      <c r="O553" s="54">
        <v>78</v>
      </c>
      <c r="P553" s="54"/>
    </row>
    <row r="554" spans="9:16">
      <c r="I554" s="517" t="s">
        <v>2281</v>
      </c>
      <c r="J554" s="517" t="str">
        <f>"T8_"&amp;STDLIGHTINEFCAT2[[#This Row],[Ineff DropDown 2]]</f>
        <v>T8_Ext &lt;175</v>
      </c>
      <c r="K554" s="548" t="str">
        <f>STDLIGHTINEFCAT2[[#This Row],[Match]]&amp;"_"&amp;STDLIGHTINEFCAT2[[#This Row],[Options]]</f>
        <v>T8_Ext &lt;175_4L T8 3' 25W</v>
      </c>
      <c r="L554" s="536" t="s">
        <v>2419</v>
      </c>
      <c r="M554" s="536">
        <v>100</v>
      </c>
      <c r="N554" s="536">
        <v>116</v>
      </c>
      <c r="O554" s="54">
        <v>79</v>
      </c>
      <c r="P554" s="54"/>
    </row>
    <row r="555" spans="9:16">
      <c r="I555" s="517" t="s">
        <v>2281</v>
      </c>
      <c r="J555" s="517" t="str">
        <f>"T8_"&amp;STDLIGHTINEFCAT2[[#This Row],[Ineff DropDown 2]]</f>
        <v>T8_Ext &lt;175</v>
      </c>
      <c r="K555" s="548" t="str">
        <f>STDLIGHTINEFCAT2[[#This Row],[Match]]&amp;"_"&amp;STDLIGHTINEFCAT2[[#This Row],[Options]]</f>
        <v>T8_Ext &lt;175_----4 ft Lamps----</v>
      </c>
      <c r="L555" s="542" t="s">
        <v>2404</v>
      </c>
      <c r="M555" s="542"/>
      <c r="N555" s="536"/>
      <c r="O555" s="54">
        <v>80</v>
      </c>
      <c r="P555" s="492"/>
    </row>
    <row r="556" spans="9:16">
      <c r="I556" s="517" t="s">
        <v>2281</v>
      </c>
      <c r="J556" s="517" t="str">
        <f>"T8_"&amp;STDLIGHTINEFCAT2[[#This Row],[Ineff DropDown 2]]</f>
        <v>T8_Ext &lt;175</v>
      </c>
      <c r="K556" s="548" t="str">
        <f>STDLIGHTINEFCAT2[[#This Row],[Match]]&amp;"_"&amp;STDLIGHTINEFCAT2[[#This Row],[Options]]</f>
        <v>T8_Ext &lt;175_1L T8 4' 25W</v>
      </c>
      <c r="L556" s="536" t="s">
        <v>2420</v>
      </c>
      <c r="M556" s="536">
        <v>25</v>
      </c>
      <c r="N556" s="536">
        <v>26</v>
      </c>
      <c r="O556" s="54">
        <v>81</v>
      </c>
      <c r="P556" s="492"/>
    </row>
    <row r="557" spans="9:16">
      <c r="I557" s="517" t="s">
        <v>2281</v>
      </c>
      <c r="J557" s="517" t="str">
        <f>"T8_"&amp;STDLIGHTINEFCAT2[[#This Row],[Ineff DropDown 2]]</f>
        <v>T8_Ext &lt;175</v>
      </c>
      <c r="K557" s="548" t="str">
        <f>STDLIGHTINEFCAT2[[#This Row],[Match]]&amp;"_"&amp;STDLIGHTINEFCAT2[[#This Row],[Options]]</f>
        <v>T8_Ext &lt;175_2L T8 4' 25W</v>
      </c>
      <c r="L557" s="536" t="s">
        <v>2421</v>
      </c>
      <c r="M557" s="536">
        <v>50</v>
      </c>
      <c r="N557" s="536">
        <v>43</v>
      </c>
      <c r="O557" s="54">
        <v>82</v>
      </c>
      <c r="P557" s="54"/>
    </row>
    <row r="558" spans="9:16">
      <c r="I558" s="517" t="s">
        <v>2281</v>
      </c>
      <c r="J558" s="517" t="str">
        <f>"T8_"&amp;STDLIGHTINEFCAT2[[#This Row],[Ineff DropDown 2]]</f>
        <v>T8_Ext &lt;175</v>
      </c>
      <c r="K558" s="548" t="str">
        <f>STDLIGHTINEFCAT2[[#This Row],[Match]]&amp;"_"&amp;STDLIGHTINEFCAT2[[#This Row],[Options]]</f>
        <v>T8_Ext &lt;175_3L T8 4' 25W</v>
      </c>
      <c r="L558" s="536" t="s">
        <v>2422</v>
      </c>
      <c r="M558" s="536">
        <v>75</v>
      </c>
      <c r="N558" s="536">
        <v>63</v>
      </c>
      <c r="O558" s="54">
        <v>83</v>
      </c>
      <c r="P558" s="54"/>
    </row>
    <row r="559" spans="9:16">
      <c r="I559" s="517" t="s">
        <v>2281</v>
      </c>
      <c r="J559" s="517" t="str">
        <f>"T8_"&amp;STDLIGHTINEFCAT2[[#This Row],[Ineff DropDown 2]]</f>
        <v>T8_Ext &lt;175</v>
      </c>
      <c r="K559" s="548" t="str">
        <f>STDLIGHTINEFCAT2[[#This Row],[Match]]&amp;"_"&amp;STDLIGHTINEFCAT2[[#This Row],[Options]]</f>
        <v>T8_Ext &lt;175_4L T8 4' 25W</v>
      </c>
      <c r="L559" s="536" t="s">
        <v>2423</v>
      </c>
      <c r="M559" s="536">
        <v>100</v>
      </c>
      <c r="N559" s="536">
        <v>85</v>
      </c>
      <c r="O559" s="54">
        <v>84</v>
      </c>
      <c r="P559" s="54"/>
    </row>
    <row r="560" spans="9:16">
      <c r="I560" s="517" t="s">
        <v>2281</v>
      </c>
      <c r="J560" s="517" t="str">
        <f>"T8_"&amp;STDLIGHTINEFCAT2[[#This Row],[Ineff DropDown 2]]</f>
        <v>T8_Ext &lt;175</v>
      </c>
      <c r="K560" s="548" t="str">
        <f>STDLIGHTINEFCAT2[[#This Row],[Match]]&amp;"_"&amp;STDLIGHTINEFCAT2[[#This Row],[Options]]</f>
        <v>T8_Ext &lt;175_1L T8 4' 28W</v>
      </c>
      <c r="L560" s="536" t="s">
        <v>2424</v>
      </c>
      <c r="M560" s="536">
        <v>28</v>
      </c>
      <c r="N560" s="536">
        <v>25</v>
      </c>
      <c r="O560" s="54">
        <v>85</v>
      </c>
      <c r="P560" s="492"/>
    </row>
    <row r="561" spans="9:16">
      <c r="I561" s="517" t="s">
        <v>2281</v>
      </c>
      <c r="J561" s="517" t="str">
        <f>"T8_"&amp;STDLIGHTINEFCAT2[[#This Row],[Ineff DropDown 2]]</f>
        <v>T8_Ext &lt;175</v>
      </c>
      <c r="K561" s="548" t="str">
        <f>STDLIGHTINEFCAT2[[#This Row],[Match]]&amp;"_"&amp;STDLIGHTINEFCAT2[[#This Row],[Options]]</f>
        <v>T8_Ext &lt;175_2L T8 4' 28W</v>
      </c>
      <c r="L561" s="536" t="s">
        <v>2425</v>
      </c>
      <c r="M561" s="536">
        <f>2*28</f>
        <v>56</v>
      </c>
      <c r="N561" s="536">
        <v>48</v>
      </c>
      <c r="O561" s="54">
        <v>86</v>
      </c>
      <c r="P561" s="54"/>
    </row>
    <row r="562" spans="9:16">
      <c r="I562" s="517" t="s">
        <v>2281</v>
      </c>
      <c r="J562" s="517" t="str">
        <f>"T8_"&amp;STDLIGHTINEFCAT2[[#This Row],[Ineff DropDown 2]]</f>
        <v>T8_Ext &lt;175</v>
      </c>
      <c r="K562" s="548" t="str">
        <f>STDLIGHTINEFCAT2[[#This Row],[Match]]&amp;"_"&amp;STDLIGHTINEFCAT2[[#This Row],[Options]]</f>
        <v>T8_Ext &lt;175_3L T8 4' 28W</v>
      </c>
      <c r="L562" s="536" t="s">
        <v>2426</v>
      </c>
      <c r="M562" s="536">
        <f>3*28</f>
        <v>84</v>
      </c>
      <c r="N562" s="536">
        <v>72</v>
      </c>
      <c r="O562" s="54">
        <v>87</v>
      </c>
      <c r="P562" s="54"/>
    </row>
    <row r="563" spans="9:16">
      <c r="I563" s="517" t="s">
        <v>2281</v>
      </c>
      <c r="J563" s="517" t="str">
        <f>"T8_"&amp;STDLIGHTINEFCAT2[[#This Row],[Ineff DropDown 2]]</f>
        <v>T8_Ext &lt;175</v>
      </c>
      <c r="K563" s="548" t="str">
        <f>STDLIGHTINEFCAT2[[#This Row],[Match]]&amp;"_"&amp;STDLIGHTINEFCAT2[[#This Row],[Options]]</f>
        <v>T8_Ext &lt;175_4L T8 4' 28W</v>
      </c>
      <c r="L563" s="536" t="s">
        <v>2427</v>
      </c>
      <c r="M563" s="536">
        <f>4*28</f>
        <v>112</v>
      </c>
      <c r="N563" s="536">
        <v>97</v>
      </c>
      <c r="O563" s="54">
        <v>88</v>
      </c>
      <c r="P563" s="54"/>
    </row>
    <row r="564" spans="9:16">
      <c r="I564" s="517" t="s">
        <v>2281</v>
      </c>
      <c r="J564" s="517" t="str">
        <f>"T8_"&amp;STDLIGHTINEFCAT2[[#This Row],[Ineff DropDown 2]]</f>
        <v>T8_Ext &lt;175</v>
      </c>
      <c r="K564" s="548" t="str">
        <f>STDLIGHTINEFCAT2[[#This Row],[Match]]&amp;"_"&amp;STDLIGHTINEFCAT2[[#This Row],[Options]]</f>
        <v>T8_Ext &lt;175_1L T8 4' 30W</v>
      </c>
      <c r="L564" s="536" t="s">
        <v>2428</v>
      </c>
      <c r="M564" s="536">
        <v>30</v>
      </c>
      <c r="N564" s="536">
        <v>40</v>
      </c>
      <c r="O564" s="54">
        <v>89</v>
      </c>
      <c r="P564" s="54"/>
    </row>
    <row r="565" spans="9:16">
      <c r="I565" s="517" t="s">
        <v>2281</v>
      </c>
      <c r="J565" s="517" t="str">
        <f>"T8_"&amp;STDLIGHTINEFCAT2[[#This Row],[Ineff DropDown 2]]</f>
        <v>T8_Ext &lt;175</v>
      </c>
      <c r="K565" s="548" t="str">
        <f>STDLIGHTINEFCAT2[[#This Row],[Match]]&amp;"_"&amp;STDLIGHTINEFCAT2[[#This Row],[Options]]</f>
        <v>T8_Ext &lt;175_2L T8 4' 30W</v>
      </c>
      <c r="L565" s="536" t="s">
        <v>2429</v>
      </c>
      <c r="M565" s="536">
        <v>60</v>
      </c>
      <c r="N565" s="536">
        <v>82</v>
      </c>
      <c r="O565" s="54">
        <v>90</v>
      </c>
      <c r="P565" s="54"/>
    </row>
    <row r="566" spans="9:16">
      <c r="I566" s="517" t="s">
        <v>2281</v>
      </c>
      <c r="J566" s="517" t="str">
        <f>"T8_"&amp;STDLIGHTINEFCAT2[[#This Row],[Ineff DropDown 2]]</f>
        <v>T8_Ext &lt;175</v>
      </c>
      <c r="K566" s="548" t="str">
        <f>STDLIGHTINEFCAT2[[#This Row],[Match]]&amp;"_"&amp;STDLIGHTINEFCAT2[[#This Row],[Options]]</f>
        <v>T8_Ext &lt;175_3L T8 4' 30W</v>
      </c>
      <c r="L566" s="536" t="s">
        <v>2430</v>
      </c>
      <c r="M566" s="536">
        <v>90</v>
      </c>
      <c r="N566" s="536">
        <v>77</v>
      </c>
      <c r="O566" s="54">
        <v>91</v>
      </c>
      <c r="P566" s="54"/>
    </row>
    <row r="567" spans="9:16">
      <c r="I567" s="517" t="s">
        <v>2281</v>
      </c>
      <c r="J567" s="517" t="str">
        <f>"T8_"&amp;STDLIGHTINEFCAT2[[#This Row],[Ineff DropDown 2]]</f>
        <v>T8_Ext &lt;175</v>
      </c>
      <c r="K567" s="548" t="str">
        <f>STDLIGHTINEFCAT2[[#This Row],[Match]]&amp;"_"&amp;STDLIGHTINEFCAT2[[#This Row],[Options]]</f>
        <v>T8_Ext &lt;175_4L T8 4' 30W</v>
      </c>
      <c r="L567" s="536" t="s">
        <v>2431</v>
      </c>
      <c r="M567" s="536">
        <f>4*30</f>
        <v>120</v>
      </c>
      <c r="N567" s="536">
        <v>104</v>
      </c>
      <c r="O567" s="54">
        <v>92</v>
      </c>
      <c r="P567" s="54"/>
    </row>
    <row r="568" spans="9:16">
      <c r="I568" s="517" t="s">
        <v>2281</v>
      </c>
      <c r="J568" s="517" t="str">
        <f>"T8_"&amp;STDLIGHTINEFCAT2[[#This Row],[Ineff DropDown 2]]</f>
        <v>T8_Ext &lt;175</v>
      </c>
      <c r="K568" s="548" t="str">
        <f>STDLIGHTINEFCAT2[[#This Row],[Match]]&amp;"_"&amp;STDLIGHTINEFCAT2[[#This Row],[Options]]</f>
        <v>T8_Ext &lt;175_1L T8 4' 32W</v>
      </c>
      <c r="L568" s="536" t="s">
        <v>2432</v>
      </c>
      <c r="M568" s="536">
        <v>32</v>
      </c>
      <c r="N568" s="536">
        <v>32</v>
      </c>
      <c r="O568" s="54">
        <v>93</v>
      </c>
      <c r="P568" s="492" t="s">
        <v>2816</v>
      </c>
    </row>
    <row r="569" spans="9:16">
      <c r="I569" s="517" t="s">
        <v>2281</v>
      </c>
      <c r="J569" s="517" t="str">
        <f>"T8_"&amp;STDLIGHTINEFCAT2[[#This Row],[Ineff DropDown 2]]</f>
        <v>T8_Ext &lt;175</v>
      </c>
      <c r="K569" s="548" t="str">
        <f>STDLIGHTINEFCAT2[[#This Row],[Match]]&amp;"_"&amp;STDLIGHTINEFCAT2[[#This Row],[Options]]</f>
        <v>T8_Ext &lt;175_2L T8 4' 32W</v>
      </c>
      <c r="L569" s="536" t="s">
        <v>2433</v>
      </c>
      <c r="M569" s="536">
        <f>2*32</f>
        <v>64</v>
      </c>
      <c r="N569" s="536">
        <v>59</v>
      </c>
      <c r="O569" s="54">
        <v>94</v>
      </c>
      <c r="P569" s="54" t="s">
        <v>2816</v>
      </c>
    </row>
    <row r="570" spans="9:16">
      <c r="I570" s="517" t="s">
        <v>2281</v>
      </c>
      <c r="J570" s="517" t="str">
        <f>"T8_"&amp;STDLIGHTINEFCAT2[[#This Row],[Ineff DropDown 2]]</f>
        <v>T8_Ext &lt;175</v>
      </c>
      <c r="K570" s="536" t="str">
        <f>STDLIGHTINEFCAT2[[#This Row],[Match]]&amp;"_"&amp;STDLIGHTINEFCAT2[[#This Row],[Options]]</f>
        <v>T8_Ext &lt;175_3L T8 4' 32W</v>
      </c>
      <c r="L570" s="536" t="s">
        <v>2434</v>
      </c>
      <c r="M570" s="536">
        <f>3*32</f>
        <v>96</v>
      </c>
      <c r="N570" s="536">
        <v>88</v>
      </c>
      <c r="O570" s="54">
        <v>95</v>
      </c>
      <c r="P570" s="54" t="s">
        <v>2816</v>
      </c>
    </row>
    <row r="571" spans="9:16">
      <c r="I571" s="517" t="s">
        <v>2281</v>
      </c>
      <c r="J571" s="517" t="str">
        <f>"T8_"&amp;STDLIGHTINEFCAT2[[#This Row],[Ineff DropDown 2]]</f>
        <v>T8_Ext &lt;175</v>
      </c>
      <c r="K571" s="536" t="str">
        <f>STDLIGHTINEFCAT2[[#This Row],[Match]]&amp;"_"&amp;STDLIGHTINEFCAT2[[#This Row],[Options]]</f>
        <v>T8_Ext &lt;175_4L T8 4' 32W</v>
      </c>
      <c r="L571" s="536" t="s">
        <v>2435</v>
      </c>
      <c r="M571" s="536">
        <f>4*32</f>
        <v>128</v>
      </c>
      <c r="N571" s="536">
        <v>117</v>
      </c>
      <c r="O571" s="54">
        <v>96</v>
      </c>
      <c r="P571" s="54" t="s">
        <v>2816</v>
      </c>
    </row>
    <row r="572" spans="9:16">
      <c r="I572" s="517" t="s">
        <v>2281</v>
      </c>
      <c r="J572" s="517" t="str">
        <f>"T8_"&amp;STDLIGHTINEFCAT2[[#This Row],[Ineff DropDown 2]]</f>
        <v>T8_Ext &lt;175</v>
      </c>
      <c r="K572" s="536" t="str">
        <f>STDLIGHTINEFCAT2[[#This Row],[Match]]&amp;"_"&amp;STDLIGHTINEFCAT2[[#This Row],[Options]]</f>
        <v>T8_Ext &lt;175_2L T8 4' 36W</v>
      </c>
      <c r="L572" s="536" t="s">
        <v>2437</v>
      </c>
      <c r="M572" s="536">
        <f>2*36</f>
        <v>72</v>
      </c>
      <c r="N572" s="536">
        <v>74</v>
      </c>
      <c r="O572" s="54">
        <v>97</v>
      </c>
      <c r="P572" s="54"/>
    </row>
    <row r="573" spans="9:16">
      <c r="I573" s="517" t="s">
        <v>2281</v>
      </c>
      <c r="J573" s="517" t="str">
        <f>"T8_"&amp;STDLIGHTINEFCAT2[[#This Row],[Ineff DropDown 2]]</f>
        <v>T8_Ext &lt;175</v>
      </c>
      <c r="K573" s="536" t="str">
        <f>STDLIGHTINEFCAT2[[#This Row],[Match]]&amp;"_"&amp;STDLIGHTINEFCAT2[[#This Row],[Options]]</f>
        <v>T8_Ext &lt;175_1L T8 4' 44W</v>
      </c>
      <c r="L573" s="536" t="s">
        <v>2438</v>
      </c>
      <c r="M573" s="536">
        <v>44</v>
      </c>
      <c r="N573" s="536">
        <v>59</v>
      </c>
      <c r="O573" s="54">
        <v>98</v>
      </c>
      <c r="P573" s="492"/>
    </row>
    <row r="574" spans="9:16">
      <c r="I574" s="517" t="s">
        <v>2281</v>
      </c>
      <c r="J574" s="517" t="str">
        <f>"T8_"&amp;STDLIGHTINEFCAT2[[#This Row],[Ineff DropDown 2]]</f>
        <v>T8_Ext &lt;175</v>
      </c>
      <c r="K574" s="536" t="str">
        <f>STDLIGHTINEFCAT2[[#This Row],[Match]]&amp;"_"&amp;STDLIGHTINEFCAT2[[#This Row],[Options]]</f>
        <v>T8_Ext &lt;175_2L T8 4' 44W</v>
      </c>
      <c r="L574" s="536" t="s">
        <v>2439</v>
      </c>
      <c r="M574" s="536">
        <v>88</v>
      </c>
      <c r="N574" s="536">
        <v>120</v>
      </c>
      <c r="O574" s="54">
        <v>99</v>
      </c>
      <c r="P574" s="54"/>
    </row>
    <row r="575" spans="9:16">
      <c r="I575" s="517" t="s">
        <v>2281</v>
      </c>
      <c r="J575" s="517" t="str">
        <f>"T8_"&amp;STDLIGHTINEFCAT2[[#This Row],[Ineff DropDown 2]]</f>
        <v>T8_Ext &lt;175</v>
      </c>
      <c r="K575" s="536" t="str">
        <f>STDLIGHTINEFCAT2[[#This Row],[Match]]&amp;"_"&amp;STDLIGHTINEFCAT2[[#This Row],[Options]]</f>
        <v>T8_Ext &lt;175_----6 ft Lamps----</v>
      </c>
      <c r="L575" s="542" t="s">
        <v>2406</v>
      </c>
      <c r="M575" s="542"/>
      <c r="N575" s="536"/>
      <c r="O575" s="54">
        <v>100</v>
      </c>
      <c r="P575" s="492"/>
    </row>
    <row r="576" spans="9:16">
      <c r="I576" s="517" t="s">
        <v>2281</v>
      </c>
      <c r="J576" s="517" t="str">
        <f>"T8_"&amp;STDLIGHTINEFCAT2[[#This Row],[Ineff DropDown 2]]</f>
        <v>T8_Ext &lt;175</v>
      </c>
      <c r="K576" s="536" t="str">
        <f>STDLIGHTINEFCAT2[[#This Row],[Match]]&amp;"_"&amp;STDLIGHTINEFCAT2[[#This Row],[Options]]</f>
        <v>T8_Ext &lt;175_1L T8 6' 46W</v>
      </c>
      <c r="L576" s="536" t="s">
        <v>2446</v>
      </c>
      <c r="M576" s="536">
        <v>46</v>
      </c>
      <c r="N576" s="536">
        <v>52</v>
      </c>
      <c r="O576" s="54">
        <v>101</v>
      </c>
      <c r="P576" s="54"/>
    </row>
    <row r="577" spans="9:16">
      <c r="I577" s="517" t="s">
        <v>2281</v>
      </c>
      <c r="J577" s="517" t="str">
        <f>"T8_"&amp;STDLIGHTINEFCAT2[[#This Row],[Ineff DropDown 2]]</f>
        <v>T8_Ext &lt;175</v>
      </c>
      <c r="K577" s="536" t="str">
        <f>STDLIGHTINEFCAT2[[#This Row],[Match]]&amp;"_"&amp;STDLIGHTINEFCAT2[[#This Row],[Options]]</f>
        <v>T8_Ext &lt;175_2L T8 6' 46W</v>
      </c>
      <c r="L577" s="536" t="s">
        <v>2447</v>
      </c>
      <c r="M577" s="536">
        <f>2*46</f>
        <v>92</v>
      </c>
      <c r="N577" s="536">
        <v>97</v>
      </c>
      <c r="O577" s="54">
        <v>102</v>
      </c>
      <c r="P577" s="54"/>
    </row>
    <row r="578" spans="9:16">
      <c r="I578" s="517" t="s">
        <v>2281</v>
      </c>
      <c r="J578" s="517" t="str">
        <f>"T8_"&amp;STDLIGHTINEFCAT2[[#This Row],[Ineff DropDown 2]]</f>
        <v>T8_Ext &lt;175</v>
      </c>
      <c r="K578" s="536" t="str">
        <f>STDLIGHTINEFCAT2[[#This Row],[Match]]&amp;"_"&amp;STDLIGHTINEFCAT2[[#This Row],[Options]]</f>
        <v>T8_Ext &lt;175_1L T8 6' 66W</v>
      </c>
      <c r="L578" s="536" t="s">
        <v>2450</v>
      </c>
      <c r="M578" s="536">
        <f>1*66</f>
        <v>66</v>
      </c>
      <c r="N578" s="536">
        <v>81</v>
      </c>
      <c r="O578" s="54">
        <v>103</v>
      </c>
      <c r="P578" s="54"/>
    </row>
    <row r="579" spans="9:16">
      <c r="I579" s="517" t="s">
        <v>2281</v>
      </c>
      <c r="J579" s="517" t="str">
        <f>"T8_"&amp;STDLIGHTINEFCAT2[[#This Row],[Ineff DropDown 2]]</f>
        <v>T8_Ext &lt;175</v>
      </c>
      <c r="K579" s="536" t="str">
        <f>STDLIGHTINEFCAT2[[#This Row],[Match]]&amp;"_"&amp;STDLIGHTINEFCAT2[[#This Row],[Options]]</f>
        <v>T8_Ext &lt;175_2L T8 6' 66W</v>
      </c>
      <c r="L579" s="536" t="s">
        <v>2451</v>
      </c>
      <c r="M579" s="536">
        <f>2*66</f>
        <v>132</v>
      </c>
      <c r="N579" s="536">
        <v>150</v>
      </c>
      <c r="O579" s="54">
        <v>104</v>
      </c>
      <c r="P579" s="54"/>
    </row>
    <row r="580" spans="9:16">
      <c r="I580" s="517" t="s">
        <v>2281</v>
      </c>
      <c r="J580" s="517" t="str">
        <f>"T8_"&amp;STDLIGHTINEFCAT2[[#This Row],[Ineff DropDown 2]]</f>
        <v>T8_Ext &lt;175</v>
      </c>
      <c r="K580" s="536" t="str">
        <f>STDLIGHTINEFCAT2[[#This Row],[Match]]&amp;"_"&amp;STDLIGHTINEFCAT2[[#This Row],[Options]]</f>
        <v>T8_Ext &lt;175_----8 ft Lamps----</v>
      </c>
      <c r="L580" s="542" t="s">
        <v>2408</v>
      </c>
      <c r="M580" s="542"/>
      <c r="N580" s="536"/>
      <c r="O580" s="54">
        <v>105</v>
      </c>
      <c r="P580" s="492"/>
    </row>
    <row r="581" spans="9:16">
      <c r="I581" s="517" t="s">
        <v>2281</v>
      </c>
      <c r="J581" s="517" t="str">
        <f>"T8_"&amp;STDLIGHTINEFCAT2[[#This Row],[Ineff DropDown 2]]</f>
        <v>T8_Ext &lt;175</v>
      </c>
      <c r="K581" s="536" t="str">
        <f>STDLIGHTINEFCAT2[[#This Row],[Match]]&amp;"_"&amp;STDLIGHTINEFCAT2[[#This Row],[Options]]</f>
        <v>T8_Ext &lt;175_1L T8 8' 59W</v>
      </c>
      <c r="L581" s="536" t="s">
        <v>2448</v>
      </c>
      <c r="M581" s="536">
        <v>59</v>
      </c>
      <c r="N581" s="536">
        <v>64</v>
      </c>
      <c r="O581" s="54">
        <v>106</v>
      </c>
      <c r="P581" s="54"/>
    </row>
    <row r="582" spans="9:16">
      <c r="I582" s="517" t="s">
        <v>2281</v>
      </c>
      <c r="J582" s="517" t="str">
        <f>"T8_"&amp;STDLIGHTINEFCAT2[[#This Row],[Ineff DropDown 2]]</f>
        <v>T8_Ext &lt;175</v>
      </c>
      <c r="K582" s="536" t="str">
        <f>STDLIGHTINEFCAT2[[#This Row],[Match]]&amp;"_"&amp;STDLIGHTINEFCAT2[[#This Row],[Options]]</f>
        <v>T8_Ext &lt;175_2L T8 8' 59W</v>
      </c>
      <c r="L582" s="536" t="s">
        <v>2449</v>
      </c>
      <c r="M582" s="536">
        <f>2*59</f>
        <v>118</v>
      </c>
      <c r="N582" s="536">
        <v>104</v>
      </c>
      <c r="O582" s="54">
        <v>107</v>
      </c>
      <c r="P582" s="492"/>
    </row>
    <row r="583" spans="9:16">
      <c r="I583" s="517" t="s">
        <v>2281</v>
      </c>
      <c r="J583" s="517" t="str">
        <f>"T8_"&amp;STDLIGHTINEFCAT2[[#This Row],[Ineff DropDown 2]]</f>
        <v>T8_Ext &lt;175</v>
      </c>
      <c r="K583" s="536" t="str">
        <f>STDLIGHTINEFCAT2[[#This Row],[Match]]&amp;"_"&amp;STDLIGHTINEFCAT2[[#This Row],[Options]]</f>
        <v>T8_Ext &lt;175_1L T8 8' 86W</v>
      </c>
      <c r="L583" s="536" t="s">
        <v>2452</v>
      </c>
      <c r="M583" s="536">
        <v>86</v>
      </c>
      <c r="N583" s="536">
        <v>100</v>
      </c>
      <c r="O583" s="54">
        <v>108</v>
      </c>
      <c r="P583" s="54"/>
    </row>
    <row r="584" spans="9:16">
      <c r="I584" s="517" t="s">
        <v>2281</v>
      </c>
      <c r="J584" s="517" t="str">
        <f>"T8_"&amp;STDLIGHTINEFCAT2[[#This Row],[Ineff DropDown 2]]</f>
        <v>T8_Ext &lt;175</v>
      </c>
      <c r="K584" s="536" t="str">
        <f>STDLIGHTINEFCAT2[[#This Row],[Match]]&amp;"_"&amp;STDLIGHTINEFCAT2[[#This Row],[Options]]</f>
        <v>T8_Ext &lt;175_2L T8 8' 86W</v>
      </c>
      <c r="L584" s="536" t="s">
        <v>2453</v>
      </c>
      <c r="M584" s="536">
        <f>2*86</f>
        <v>172</v>
      </c>
      <c r="N584" s="536">
        <v>160</v>
      </c>
      <c r="O584" s="54">
        <v>109</v>
      </c>
      <c r="P584" s="54"/>
    </row>
    <row r="585" spans="9:16">
      <c r="I585" s="517" t="s">
        <v>2281</v>
      </c>
      <c r="J585" s="517" t="str">
        <f>"T8_"&amp;STDLIGHTINEFCAT2[[#This Row],[Ineff DropDown 2]]</f>
        <v>T8_Ext &lt;175</v>
      </c>
      <c r="K585" s="536" t="str">
        <f>STDLIGHTINEFCAT2[[#This Row],[Match]]&amp;"_"&amp;STDLIGHTINEFCAT2[[#This Row],[Options]]</f>
        <v>T8_Ext &lt;175_1L T8 8' 96W</v>
      </c>
      <c r="L585" s="536" t="s">
        <v>2454</v>
      </c>
      <c r="M585" s="536">
        <v>96</v>
      </c>
      <c r="N585" s="536">
        <v>52</v>
      </c>
      <c r="O585" s="54">
        <v>110</v>
      </c>
      <c r="P585" s="54"/>
    </row>
    <row r="586" spans="9:16">
      <c r="I586" s="517" t="s">
        <v>2282</v>
      </c>
      <c r="J586" s="517" t="str">
        <f>"T8_"&amp;STDLIGHTINEFCAT2[[#This Row],[Ineff DropDown 2]]</f>
        <v>T8_Ext 175-250</v>
      </c>
      <c r="K586" s="536" t="str">
        <f>STDLIGHTINEFCAT2[[#This Row],[Match]]&amp;"_"&amp;STDLIGHTINEFCAT2[[#This Row],[Options]]</f>
        <v>T8_Ext 175-250_----4 ft Lamps----</v>
      </c>
      <c r="L586" s="542" t="s">
        <v>2404</v>
      </c>
      <c r="M586" s="542"/>
      <c r="N586" s="544"/>
      <c r="O586" s="54">
        <v>151</v>
      </c>
      <c r="P586" s="492"/>
    </row>
    <row r="587" spans="9:16">
      <c r="I587" s="517" t="s">
        <v>2282</v>
      </c>
      <c r="J587" s="517" t="str">
        <f>"T8_"&amp;STDLIGHTINEFCAT2[[#This Row],[Ineff DropDown 2]]</f>
        <v>T8_Ext 175-250</v>
      </c>
      <c r="K587" s="536" t="str">
        <f>STDLIGHTINEFCAT2[[#This Row],[Match]]&amp;"_"&amp;STDLIGHTINEFCAT2[[#This Row],[Options]]</f>
        <v>T8_Ext 175-250_6L T8 4' 32W</v>
      </c>
      <c r="L587" s="536" t="s">
        <v>2436</v>
      </c>
      <c r="M587" s="536">
        <f>6*32</f>
        <v>192</v>
      </c>
      <c r="N587" s="536">
        <v>169</v>
      </c>
      <c r="O587" s="54">
        <v>152</v>
      </c>
      <c r="P587" s="54"/>
    </row>
    <row r="588" spans="9:16">
      <c r="I588" s="517" t="s">
        <v>2282</v>
      </c>
      <c r="J588" s="517" t="str">
        <f>"T8_"&amp;STDLIGHTINEFCAT2[[#This Row],[Ineff DropDown 2]]</f>
        <v>T8_Ext 175-250</v>
      </c>
      <c r="K588" s="536" t="str">
        <f>STDLIGHTINEFCAT2[[#This Row],[Match]]&amp;"_"&amp;STDLIGHTINEFCAT2[[#This Row],[Options]]</f>
        <v>T8_Ext 175-250_----8 ft Lamps----</v>
      </c>
      <c r="L588" s="542" t="s">
        <v>2408</v>
      </c>
      <c r="M588" s="542"/>
      <c r="N588" s="544"/>
      <c r="O588" s="54">
        <v>153</v>
      </c>
      <c r="P588" s="492"/>
    </row>
    <row r="589" spans="9:16">
      <c r="I589" s="517" t="s">
        <v>2282</v>
      </c>
      <c r="J589" s="517" t="str">
        <f>"T8_"&amp;STDLIGHTINEFCAT2[[#This Row],[Ineff DropDown 2]]</f>
        <v>T8_Ext 175-250</v>
      </c>
      <c r="K589" s="536" t="str">
        <f>STDLIGHTINEFCAT2[[#This Row],[Match]]&amp;"_"&amp;STDLIGHTINEFCAT2[[#This Row],[Options]]</f>
        <v>T8_Ext 175-250_2L T8 8' 96W</v>
      </c>
      <c r="L589" s="536" t="s">
        <v>2455</v>
      </c>
      <c r="M589" s="536">
        <f>2*96</f>
        <v>192</v>
      </c>
      <c r="N589" s="536">
        <v>104</v>
      </c>
      <c r="O589" s="54">
        <v>154</v>
      </c>
      <c r="P589" s="492"/>
    </row>
    <row r="590" spans="9:16">
      <c r="I590" s="517" t="s">
        <v>2283</v>
      </c>
      <c r="J590" s="517" t="str">
        <f>"T8_"&amp;STDLIGHTINEFCAT2[[#This Row],[Ineff DropDown 2]]</f>
        <v>T8_Ext 251-400</v>
      </c>
      <c r="K590" s="536" t="str">
        <f>STDLIGHTINEFCAT2[[#This Row],[Match]]&amp;"_"&amp;STDLIGHTINEFCAT2[[#This Row],[Options]]</f>
        <v>T8_Ext 251-400_----4 ft Lamps----</v>
      </c>
      <c r="L590" s="542" t="s">
        <v>2404</v>
      </c>
      <c r="M590" s="546"/>
      <c r="N590" s="556"/>
      <c r="O590" s="54">
        <v>174</v>
      </c>
      <c r="P590" s="492"/>
    </row>
    <row r="591" spans="9:16">
      <c r="I591" s="517" t="s">
        <v>2283</v>
      </c>
      <c r="J591" s="517" t="str">
        <f>"T8_"&amp;STDLIGHTINEFCAT2[[#This Row],[Ineff DropDown 2]]</f>
        <v>T8_Ext 251-400</v>
      </c>
      <c r="K591" s="536" t="str">
        <f>STDLIGHTINEFCAT2[[#This Row],[Match]]&amp;"_"&amp;STDLIGHTINEFCAT2[[#This Row],[Options]]</f>
        <v>T8_Ext 251-400_8L T8 4' 32W</v>
      </c>
      <c r="L591" s="536" t="s">
        <v>2475</v>
      </c>
      <c r="M591" s="536">
        <f>8*32</f>
        <v>256</v>
      </c>
      <c r="N591" s="536">
        <v>225</v>
      </c>
      <c r="O591" s="54">
        <v>175</v>
      </c>
      <c r="P591" s="492"/>
    </row>
    <row r="592" spans="9:16">
      <c r="I592" s="496" t="s">
        <v>91</v>
      </c>
      <c r="J592" s="541" t="str">
        <f>"T8_"&amp;STDLIGHTINEFCAT2[[#This Row],[Ineff DropDown 2]]</f>
        <v>T8_Fixture</v>
      </c>
      <c r="K592" s="548" t="str">
        <f>STDLIGHTINEFCAT2[[#This Row],[Match]]&amp;"_"&amp;STDLIGHTINEFCAT2[[#This Row],[Options]]</f>
        <v>T8_Fixture_----2 ft Lamps----</v>
      </c>
      <c r="L592" s="542" t="s">
        <v>2402</v>
      </c>
      <c r="M592" s="542"/>
      <c r="N592" s="536"/>
      <c r="O592" s="54">
        <v>349</v>
      </c>
      <c r="P592" s="492"/>
    </row>
    <row r="593" spans="9:16">
      <c r="I593" s="496" t="s">
        <v>91</v>
      </c>
      <c r="J593" s="541" t="str">
        <f>"T8_"&amp;STDLIGHTINEFCAT2[[#This Row],[Ineff DropDown 2]]</f>
        <v>T8_Fixture</v>
      </c>
      <c r="K593" s="548" t="str">
        <f>STDLIGHTINEFCAT2[[#This Row],[Match]]&amp;"_"&amp;STDLIGHTINEFCAT2[[#This Row],[Options]]</f>
        <v>T8_Fixture_1L T8 2' 17W</v>
      </c>
      <c r="L593" s="536" t="s">
        <v>2412</v>
      </c>
      <c r="M593" s="536">
        <v>17</v>
      </c>
      <c r="N593" s="536">
        <v>24</v>
      </c>
      <c r="O593" s="54">
        <v>350</v>
      </c>
      <c r="P593" s="54"/>
    </row>
    <row r="594" spans="9:16">
      <c r="I594" s="496" t="s">
        <v>91</v>
      </c>
      <c r="J594" s="541" t="str">
        <f>"T8_"&amp;STDLIGHTINEFCAT2[[#This Row],[Ineff DropDown 2]]</f>
        <v>T8_Fixture</v>
      </c>
      <c r="K594" s="548" t="str">
        <f>STDLIGHTINEFCAT2[[#This Row],[Match]]&amp;"_"&amp;STDLIGHTINEFCAT2[[#This Row],[Options]]</f>
        <v>T8_Fixture_2L T8 2' 17W</v>
      </c>
      <c r="L594" s="536" t="s">
        <v>2413</v>
      </c>
      <c r="M594" s="536">
        <f>17*2</f>
        <v>34</v>
      </c>
      <c r="N594" s="536">
        <v>45</v>
      </c>
      <c r="O594" s="54">
        <v>351</v>
      </c>
      <c r="P594" s="54"/>
    </row>
    <row r="595" spans="9:16">
      <c r="I595" s="496" t="s">
        <v>91</v>
      </c>
      <c r="J595" s="541" t="str">
        <f>"T8_"&amp;STDLIGHTINEFCAT2[[#This Row],[Ineff DropDown 2]]</f>
        <v>T8_Fixture</v>
      </c>
      <c r="K595" s="548" t="str">
        <f>STDLIGHTINEFCAT2[[#This Row],[Match]]&amp;"_"&amp;STDLIGHTINEFCAT2[[#This Row],[Options]]</f>
        <v>T8_Fixture_3L T8 2' 17W</v>
      </c>
      <c r="L595" s="536" t="s">
        <v>2414</v>
      </c>
      <c r="M595" s="536">
        <f>3*17</f>
        <v>51</v>
      </c>
      <c r="N595" s="536">
        <v>64</v>
      </c>
      <c r="O595" s="54">
        <v>352</v>
      </c>
      <c r="P595" s="54"/>
    </row>
    <row r="596" spans="9:16">
      <c r="I596" s="496" t="s">
        <v>91</v>
      </c>
      <c r="J596" s="541" t="str">
        <f>"T8_"&amp;STDLIGHTINEFCAT2[[#This Row],[Ineff DropDown 2]]</f>
        <v>T8_Fixture</v>
      </c>
      <c r="K596" s="548" t="str">
        <f>STDLIGHTINEFCAT2[[#This Row],[Match]]&amp;"_"&amp;STDLIGHTINEFCAT2[[#This Row],[Options]]</f>
        <v>T8_Fixture_4L T8 2' 17W</v>
      </c>
      <c r="L596" s="536" t="s">
        <v>2415</v>
      </c>
      <c r="M596" s="536">
        <f>4*17</f>
        <v>68</v>
      </c>
      <c r="N596" s="536">
        <v>83</v>
      </c>
      <c r="O596" s="54">
        <v>353</v>
      </c>
      <c r="P596" s="54"/>
    </row>
    <row r="597" spans="9:16">
      <c r="I597" s="496" t="s">
        <v>91</v>
      </c>
      <c r="J597" s="541" t="str">
        <f>"T8_"&amp;STDLIGHTINEFCAT2[[#This Row],[Ineff DropDown 2]]</f>
        <v>T8_Fixture</v>
      </c>
      <c r="K597" s="548" t="str">
        <f>STDLIGHTINEFCAT2[[#This Row],[Match]]&amp;"_"&amp;STDLIGHTINEFCAT2[[#This Row],[Options]]</f>
        <v>T8_Fixture_----3 ft Lamps----</v>
      </c>
      <c r="L597" s="542" t="s">
        <v>2403</v>
      </c>
      <c r="M597" s="542"/>
      <c r="N597" s="536"/>
      <c r="O597" s="54">
        <v>354</v>
      </c>
      <c r="P597" s="54"/>
    </row>
    <row r="598" spans="9:16">
      <c r="I598" s="496" t="s">
        <v>91</v>
      </c>
      <c r="J598" s="541" t="str">
        <f>"T8_"&amp;STDLIGHTINEFCAT2[[#This Row],[Ineff DropDown 2]]</f>
        <v>T8_Fixture</v>
      </c>
      <c r="K598" s="548" t="str">
        <f>STDLIGHTINEFCAT2[[#This Row],[Match]]&amp;"_"&amp;STDLIGHTINEFCAT2[[#This Row],[Options]]</f>
        <v>T8_Fixture_1L T8 3' 25W</v>
      </c>
      <c r="L598" s="536" t="s">
        <v>2416</v>
      </c>
      <c r="M598" s="536">
        <v>25</v>
      </c>
      <c r="N598" s="536">
        <v>30</v>
      </c>
      <c r="O598" s="54">
        <v>355</v>
      </c>
      <c r="P598" s="54"/>
    </row>
    <row r="599" spans="9:16">
      <c r="I599" s="496" t="s">
        <v>91</v>
      </c>
      <c r="J599" s="541" t="str">
        <f>"T8_"&amp;STDLIGHTINEFCAT2[[#This Row],[Ineff DropDown 2]]</f>
        <v>T8_Fixture</v>
      </c>
      <c r="K599" s="548" t="str">
        <f>STDLIGHTINEFCAT2[[#This Row],[Match]]&amp;"_"&amp;STDLIGHTINEFCAT2[[#This Row],[Options]]</f>
        <v>T8_Fixture_2L T8 3' 25W</v>
      </c>
      <c r="L599" s="536" t="s">
        <v>2417</v>
      </c>
      <c r="M599" s="536">
        <v>50</v>
      </c>
      <c r="N599" s="536">
        <v>62</v>
      </c>
      <c r="O599" s="54">
        <v>356</v>
      </c>
      <c r="P599" s="54"/>
    </row>
    <row r="600" spans="9:16">
      <c r="I600" s="496" t="s">
        <v>91</v>
      </c>
      <c r="J600" s="541" t="str">
        <f>"T8_"&amp;STDLIGHTINEFCAT2[[#This Row],[Ineff DropDown 2]]</f>
        <v>T8_Fixture</v>
      </c>
      <c r="K600" s="548" t="str">
        <f>STDLIGHTINEFCAT2[[#This Row],[Match]]&amp;"_"&amp;STDLIGHTINEFCAT2[[#This Row],[Options]]</f>
        <v>T8_Fixture_3L T8 3' 25W</v>
      </c>
      <c r="L600" s="536" t="s">
        <v>2418</v>
      </c>
      <c r="M600" s="536">
        <v>75</v>
      </c>
      <c r="N600" s="536">
        <v>87</v>
      </c>
      <c r="O600" s="54">
        <v>357</v>
      </c>
      <c r="P600" s="54"/>
    </row>
    <row r="601" spans="9:16">
      <c r="I601" s="496" t="s">
        <v>91</v>
      </c>
      <c r="J601" s="541" t="str">
        <f>"T8_"&amp;STDLIGHTINEFCAT2[[#This Row],[Ineff DropDown 2]]</f>
        <v>T8_Fixture</v>
      </c>
      <c r="K601" s="548" t="str">
        <f>STDLIGHTINEFCAT2[[#This Row],[Match]]&amp;"_"&amp;STDLIGHTINEFCAT2[[#This Row],[Options]]</f>
        <v>T8_Fixture_4L T8 3' 25W</v>
      </c>
      <c r="L601" s="536" t="s">
        <v>2419</v>
      </c>
      <c r="M601" s="536">
        <v>100</v>
      </c>
      <c r="N601" s="536">
        <v>116</v>
      </c>
      <c r="O601" s="54">
        <v>358</v>
      </c>
      <c r="P601" s="54"/>
    </row>
    <row r="602" spans="9:16">
      <c r="I602" s="496" t="s">
        <v>91</v>
      </c>
      <c r="J602" s="541" t="str">
        <f>"T8_"&amp;STDLIGHTINEFCAT2[[#This Row],[Ineff DropDown 2]]</f>
        <v>T8_Fixture</v>
      </c>
      <c r="K602" s="548" t="str">
        <f>STDLIGHTINEFCAT2[[#This Row],[Match]]&amp;"_"&amp;STDLIGHTINEFCAT2[[#This Row],[Options]]</f>
        <v>T8_Fixture_----4 ft Lamps----</v>
      </c>
      <c r="L602" s="542" t="s">
        <v>2404</v>
      </c>
      <c r="M602" s="542"/>
      <c r="N602" s="536"/>
      <c r="O602" s="54">
        <v>359</v>
      </c>
      <c r="P602" s="54"/>
    </row>
    <row r="603" spans="9:16">
      <c r="I603" s="496" t="s">
        <v>91</v>
      </c>
      <c r="J603" s="541" t="str">
        <f>"T8_"&amp;STDLIGHTINEFCAT2[[#This Row],[Ineff DropDown 2]]</f>
        <v>T8_Fixture</v>
      </c>
      <c r="K603" s="548" t="str">
        <f>STDLIGHTINEFCAT2[[#This Row],[Match]]&amp;"_"&amp;STDLIGHTINEFCAT2[[#This Row],[Options]]</f>
        <v>T8_Fixture_1L T8 4' 25W</v>
      </c>
      <c r="L603" s="536" t="s">
        <v>2420</v>
      </c>
      <c r="M603" s="536">
        <v>25</v>
      </c>
      <c r="N603" s="536">
        <v>26</v>
      </c>
      <c r="O603" s="54">
        <v>360</v>
      </c>
      <c r="P603" s="54"/>
    </row>
    <row r="604" spans="9:16">
      <c r="I604" s="496" t="s">
        <v>91</v>
      </c>
      <c r="J604" s="541" t="str">
        <f>"T8_"&amp;STDLIGHTINEFCAT2[[#This Row],[Ineff DropDown 2]]</f>
        <v>T8_Fixture</v>
      </c>
      <c r="K604" s="548" t="str">
        <f>STDLIGHTINEFCAT2[[#This Row],[Match]]&amp;"_"&amp;STDLIGHTINEFCAT2[[#This Row],[Options]]</f>
        <v>T8_Fixture_2L T8 4' 25W</v>
      </c>
      <c r="L604" s="536" t="s">
        <v>2421</v>
      </c>
      <c r="M604" s="536">
        <v>50</v>
      </c>
      <c r="N604" s="536">
        <v>43</v>
      </c>
      <c r="O604" s="54">
        <v>361</v>
      </c>
      <c r="P604" s="54"/>
    </row>
    <row r="605" spans="9:16">
      <c r="I605" s="496" t="s">
        <v>91</v>
      </c>
      <c r="J605" s="541" t="str">
        <f>"T8_"&amp;STDLIGHTINEFCAT2[[#This Row],[Ineff DropDown 2]]</f>
        <v>T8_Fixture</v>
      </c>
      <c r="K605" s="548" t="str">
        <f>STDLIGHTINEFCAT2[[#This Row],[Match]]&amp;"_"&amp;STDLIGHTINEFCAT2[[#This Row],[Options]]</f>
        <v>T8_Fixture_3L T8 4' 25W</v>
      </c>
      <c r="L605" s="536" t="s">
        <v>2422</v>
      </c>
      <c r="M605" s="536">
        <v>75</v>
      </c>
      <c r="N605" s="536">
        <v>63</v>
      </c>
      <c r="O605" s="54">
        <v>362</v>
      </c>
      <c r="P605" s="54"/>
    </row>
    <row r="606" spans="9:16">
      <c r="I606" s="496" t="s">
        <v>91</v>
      </c>
      <c r="J606" s="541" t="str">
        <f>"T8_"&amp;STDLIGHTINEFCAT2[[#This Row],[Ineff DropDown 2]]</f>
        <v>T8_Fixture</v>
      </c>
      <c r="K606" s="548" t="str">
        <f>STDLIGHTINEFCAT2[[#This Row],[Match]]&amp;"_"&amp;STDLIGHTINEFCAT2[[#This Row],[Options]]</f>
        <v>T8_Fixture_4L T8 4' 25W</v>
      </c>
      <c r="L606" s="536" t="s">
        <v>2423</v>
      </c>
      <c r="M606" s="536">
        <v>100</v>
      </c>
      <c r="N606" s="536">
        <v>85</v>
      </c>
      <c r="O606" s="54">
        <v>363</v>
      </c>
      <c r="P606" s="54"/>
    </row>
    <row r="607" spans="9:16">
      <c r="I607" s="496" t="s">
        <v>91</v>
      </c>
      <c r="J607" s="541" t="str">
        <f>"T8_"&amp;STDLIGHTINEFCAT2[[#This Row],[Ineff DropDown 2]]</f>
        <v>T8_Fixture</v>
      </c>
      <c r="K607" s="548" t="str">
        <f>STDLIGHTINEFCAT2[[#This Row],[Match]]&amp;"_"&amp;STDLIGHTINEFCAT2[[#This Row],[Options]]</f>
        <v>T8_Fixture_1L T8 4' 28W</v>
      </c>
      <c r="L607" s="536" t="s">
        <v>2424</v>
      </c>
      <c r="M607" s="536">
        <v>28</v>
      </c>
      <c r="N607" s="536">
        <v>25</v>
      </c>
      <c r="O607" s="54">
        <v>364</v>
      </c>
      <c r="P607" s="492"/>
    </row>
    <row r="608" spans="9:16">
      <c r="I608" s="496" t="s">
        <v>91</v>
      </c>
      <c r="J608" s="541" t="str">
        <f>"T8_"&amp;STDLIGHTINEFCAT2[[#This Row],[Ineff DropDown 2]]</f>
        <v>T8_Fixture</v>
      </c>
      <c r="K608" s="548" t="str">
        <f>STDLIGHTINEFCAT2[[#This Row],[Match]]&amp;"_"&amp;STDLIGHTINEFCAT2[[#This Row],[Options]]</f>
        <v>T8_Fixture_2L T8 4' 28W</v>
      </c>
      <c r="L608" s="536" t="s">
        <v>2425</v>
      </c>
      <c r="M608" s="536">
        <f>2*28</f>
        <v>56</v>
      </c>
      <c r="N608" s="536">
        <v>48</v>
      </c>
      <c r="O608" s="54">
        <v>365</v>
      </c>
      <c r="P608" s="54"/>
    </row>
    <row r="609" spans="9:16">
      <c r="I609" s="496" t="s">
        <v>91</v>
      </c>
      <c r="J609" s="541" t="str">
        <f>"T8_"&amp;STDLIGHTINEFCAT2[[#This Row],[Ineff DropDown 2]]</f>
        <v>T8_Fixture</v>
      </c>
      <c r="K609" s="548" t="str">
        <f>STDLIGHTINEFCAT2[[#This Row],[Match]]&amp;"_"&amp;STDLIGHTINEFCAT2[[#This Row],[Options]]</f>
        <v>T8_Fixture_3L T8 4' 28W</v>
      </c>
      <c r="L609" s="536" t="s">
        <v>2426</v>
      </c>
      <c r="M609" s="536">
        <f>3*28</f>
        <v>84</v>
      </c>
      <c r="N609" s="536">
        <v>72</v>
      </c>
      <c r="O609" s="54">
        <v>366</v>
      </c>
      <c r="P609" s="54"/>
    </row>
    <row r="610" spans="9:16">
      <c r="I610" s="496" t="s">
        <v>91</v>
      </c>
      <c r="J610" s="541" t="str">
        <f>"T8_"&amp;STDLIGHTINEFCAT2[[#This Row],[Ineff DropDown 2]]</f>
        <v>T8_Fixture</v>
      </c>
      <c r="K610" s="548" t="str">
        <f>STDLIGHTINEFCAT2[[#This Row],[Match]]&amp;"_"&amp;STDLIGHTINEFCAT2[[#This Row],[Options]]</f>
        <v>T8_Fixture_4L T8 4' 28W</v>
      </c>
      <c r="L610" s="536" t="s">
        <v>2427</v>
      </c>
      <c r="M610" s="536">
        <f>4*28</f>
        <v>112</v>
      </c>
      <c r="N610" s="536">
        <v>97</v>
      </c>
      <c r="O610" s="54">
        <v>367</v>
      </c>
      <c r="P610" s="54"/>
    </row>
    <row r="611" spans="9:16">
      <c r="I611" s="496" t="s">
        <v>91</v>
      </c>
      <c r="J611" s="541" t="str">
        <f>"T8_"&amp;STDLIGHTINEFCAT2[[#This Row],[Ineff DropDown 2]]</f>
        <v>T8_Fixture</v>
      </c>
      <c r="K611" s="548" t="str">
        <f>STDLIGHTINEFCAT2[[#This Row],[Match]]&amp;"_"&amp;STDLIGHTINEFCAT2[[#This Row],[Options]]</f>
        <v>T8_Fixture_1L T8 4' 30W</v>
      </c>
      <c r="L611" s="536" t="s">
        <v>2428</v>
      </c>
      <c r="M611" s="536">
        <v>30</v>
      </c>
      <c r="N611" s="536">
        <v>40</v>
      </c>
      <c r="O611" s="54">
        <v>368</v>
      </c>
      <c r="P611" s="54"/>
    </row>
    <row r="612" spans="9:16">
      <c r="I612" s="496" t="s">
        <v>91</v>
      </c>
      <c r="J612" s="541" t="str">
        <f>"T8_"&amp;STDLIGHTINEFCAT2[[#This Row],[Ineff DropDown 2]]</f>
        <v>T8_Fixture</v>
      </c>
      <c r="K612" s="548" t="str">
        <f>STDLIGHTINEFCAT2[[#This Row],[Match]]&amp;"_"&amp;STDLIGHTINEFCAT2[[#This Row],[Options]]</f>
        <v>T8_Fixture_2L T8 4' 30W</v>
      </c>
      <c r="L612" s="536" t="s">
        <v>2429</v>
      </c>
      <c r="M612" s="536">
        <v>60</v>
      </c>
      <c r="N612" s="536">
        <v>82</v>
      </c>
      <c r="O612" s="54">
        <v>369</v>
      </c>
      <c r="P612" s="54"/>
    </row>
    <row r="613" spans="9:16">
      <c r="I613" s="496" t="s">
        <v>91</v>
      </c>
      <c r="J613" s="541" t="str">
        <f>"T8_"&amp;STDLIGHTINEFCAT2[[#This Row],[Ineff DropDown 2]]</f>
        <v>T8_Fixture</v>
      </c>
      <c r="K613" s="548" t="str">
        <f>STDLIGHTINEFCAT2[[#This Row],[Match]]&amp;"_"&amp;STDLIGHTINEFCAT2[[#This Row],[Options]]</f>
        <v>T8_Fixture_3L T8 4' 30W</v>
      </c>
      <c r="L613" s="536" t="s">
        <v>2430</v>
      </c>
      <c r="M613" s="536">
        <v>90</v>
      </c>
      <c r="N613" s="536">
        <v>77</v>
      </c>
      <c r="O613" s="54">
        <v>370</v>
      </c>
      <c r="P613" s="54"/>
    </row>
    <row r="614" spans="9:16">
      <c r="I614" s="496" t="s">
        <v>91</v>
      </c>
      <c r="J614" s="541" t="str">
        <f>"T8_"&amp;STDLIGHTINEFCAT2[[#This Row],[Ineff DropDown 2]]</f>
        <v>T8_Fixture</v>
      </c>
      <c r="K614" s="548" t="str">
        <f>STDLIGHTINEFCAT2[[#This Row],[Match]]&amp;"_"&amp;STDLIGHTINEFCAT2[[#This Row],[Options]]</f>
        <v>T8_Fixture_4L T8 4' 30W</v>
      </c>
      <c r="L614" s="536" t="s">
        <v>2431</v>
      </c>
      <c r="M614" s="536">
        <f>4*30</f>
        <v>120</v>
      </c>
      <c r="N614" s="536">
        <v>104</v>
      </c>
      <c r="O614" s="54">
        <v>371</v>
      </c>
      <c r="P614" s="54"/>
    </row>
    <row r="615" spans="9:16">
      <c r="I615" s="496" t="s">
        <v>91</v>
      </c>
      <c r="J615" s="541" t="str">
        <f>"T8_"&amp;STDLIGHTINEFCAT2[[#This Row],[Ineff DropDown 2]]</f>
        <v>T8_Fixture</v>
      </c>
      <c r="K615" s="548" t="str">
        <f>STDLIGHTINEFCAT2[[#This Row],[Match]]&amp;"_"&amp;STDLIGHTINEFCAT2[[#This Row],[Options]]</f>
        <v>T8_Fixture_1L T8 4' 32W</v>
      </c>
      <c r="L615" s="536" t="s">
        <v>2432</v>
      </c>
      <c r="M615" s="536">
        <v>32</v>
      </c>
      <c r="N615" s="536">
        <v>32</v>
      </c>
      <c r="O615" s="54">
        <v>372</v>
      </c>
      <c r="P615" s="54" t="s">
        <v>2816</v>
      </c>
    </row>
    <row r="616" spans="9:16">
      <c r="I616" s="496" t="s">
        <v>91</v>
      </c>
      <c r="J616" s="541" t="str">
        <f>"T8_"&amp;STDLIGHTINEFCAT2[[#This Row],[Ineff DropDown 2]]</f>
        <v>T8_Fixture</v>
      </c>
      <c r="K616" s="548" t="str">
        <f>STDLIGHTINEFCAT2[[#This Row],[Match]]&amp;"_"&amp;STDLIGHTINEFCAT2[[#This Row],[Options]]</f>
        <v>T8_Fixture_2L T8 4' 32W</v>
      </c>
      <c r="L616" s="536" t="s">
        <v>2433</v>
      </c>
      <c r="M616" s="536">
        <f>2*32</f>
        <v>64</v>
      </c>
      <c r="N616" s="536">
        <v>59</v>
      </c>
      <c r="O616" s="54">
        <v>373</v>
      </c>
      <c r="P616" s="54" t="s">
        <v>2816</v>
      </c>
    </row>
    <row r="617" spans="9:16">
      <c r="I617" s="496" t="s">
        <v>91</v>
      </c>
      <c r="J617" s="541" t="str">
        <f>"T8_"&amp;STDLIGHTINEFCAT2[[#This Row],[Ineff DropDown 2]]</f>
        <v>T8_Fixture</v>
      </c>
      <c r="K617" s="548" t="str">
        <f>STDLIGHTINEFCAT2[[#This Row],[Match]]&amp;"_"&amp;STDLIGHTINEFCAT2[[#This Row],[Options]]</f>
        <v>T8_Fixture_3L T8 4' 32W</v>
      </c>
      <c r="L617" s="536" t="s">
        <v>2434</v>
      </c>
      <c r="M617" s="536">
        <f>3*32</f>
        <v>96</v>
      </c>
      <c r="N617" s="536">
        <v>88</v>
      </c>
      <c r="O617" s="54">
        <v>374</v>
      </c>
      <c r="P617" s="54" t="s">
        <v>2816</v>
      </c>
    </row>
    <row r="618" spans="9:16">
      <c r="I618" s="496" t="s">
        <v>91</v>
      </c>
      <c r="J618" s="541" t="str">
        <f>"T8_"&amp;STDLIGHTINEFCAT2[[#This Row],[Ineff DropDown 2]]</f>
        <v>T8_Fixture</v>
      </c>
      <c r="K618" s="548" t="str">
        <f>STDLIGHTINEFCAT2[[#This Row],[Match]]&amp;"_"&amp;STDLIGHTINEFCAT2[[#This Row],[Options]]</f>
        <v>T8_Fixture_4L T8 4' 32W</v>
      </c>
      <c r="L618" s="536" t="s">
        <v>2435</v>
      </c>
      <c r="M618" s="536">
        <f>4*32</f>
        <v>128</v>
      </c>
      <c r="N618" s="536">
        <v>117</v>
      </c>
      <c r="O618" s="54">
        <v>375</v>
      </c>
      <c r="P618" s="54" t="s">
        <v>2816</v>
      </c>
    </row>
    <row r="619" spans="9:16">
      <c r="I619" s="496" t="s">
        <v>91</v>
      </c>
      <c r="J619" s="541" t="str">
        <f>"T8_"&amp;STDLIGHTINEFCAT2[[#This Row],[Ineff DropDown 2]]</f>
        <v>T8_Fixture</v>
      </c>
      <c r="K619" s="548" t="str">
        <f>STDLIGHTINEFCAT2[[#This Row],[Match]]&amp;"_"&amp;STDLIGHTINEFCAT2[[#This Row],[Options]]</f>
        <v>T8_Fixture_6L T8 4' 32W</v>
      </c>
      <c r="L619" s="536" t="s">
        <v>2436</v>
      </c>
      <c r="M619" s="536">
        <f>6*32</f>
        <v>192</v>
      </c>
      <c r="N619" s="536">
        <v>169</v>
      </c>
      <c r="O619" s="54">
        <v>376</v>
      </c>
      <c r="P619" s="54"/>
    </row>
    <row r="620" spans="9:16">
      <c r="I620" s="496" t="s">
        <v>91</v>
      </c>
      <c r="J620" s="541" t="str">
        <f>"T8_"&amp;STDLIGHTINEFCAT2[[#This Row],[Ineff DropDown 2]]</f>
        <v>T8_Fixture</v>
      </c>
      <c r="K620" s="548" t="str">
        <f>STDLIGHTINEFCAT2[[#This Row],[Match]]&amp;"_"&amp;STDLIGHTINEFCAT2[[#This Row],[Options]]</f>
        <v>T8_Fixture_2L T8 4' 36W</v>
      </c>
      <c r="L620" s="536" t="s">
        <v>2437</v>
      </c>
      <c r="M620" s="536">
        <f>2*36</f>
        <v>72</v>
      </c>
      <c r="N620" s="536">
        <v>74</v>
      </c>
      <c r="O620" s="54">
        <v>377</v>
      </c>
      <c r="P620" s="54"/>
    </row>
    <row r="621" spans="9:16">
      <c r="I621" s="496" t="s">
        <v>91</v>
      </c>
      <c r="J621" s="541" t="str">
        <f>"T8_"&amp;STDLIGHTINEFCAT2[[#This Row],[Ineff DropDown 2]]</f>
        <v>T8_Fixture</v>
      </c>
      <c r="K621" s="548" t="str">
        <f>STDLIGHTINEFCAT2[[#This Row],[Match]]&amp;"_"&amp;STDLIGHTINEFCAT2[[#This Row],[Options]]</f>
        <v>T8_Fixture_1L T8 4' 44W</v>
      </c>
      <c r="L621" s="536" t="s">
        <v>2438</v>
      </c>
      <c r="M621" s="536">
        <v>44</v>
      </c>
      <c r="N621" s="536">
        <v>59</v>
      </c>
      <c r="O621" s="54">
        <v>378</v>
      </c>
      <c r="P621" s="492"/>
    </row>
    <row r="622" spans="9:16">
      <c r="I622" s="496" t="s">
        <v>91</v>
      </c>
      <c r="J622" s="541" t="str">
        <f>"T8_"&amp;STDLIGHTINEFCAT2[[#This Row],[Ineff DropDown 2]]</f>
        <v>T8_Fixture</v>
      </c>
      <c r="K622" s="548" t="str">
        <f>STDLIGHTINEFCAT2[[#This Row],[Match]]&amp;"_"&amp;STDLIGHTINEFCAT2[[#This Row],[Options]]</f>
        <v>T8_Fixture_2L T8 4' 44W</v>
      </c>
      <c r="L622" s="536" t="s">
        <v>2439</v>
      </c>
      <c r="M622" s="536">
        <v>88</v>
      </c>
      <c r="N622" s="536">
        <v>120</v>
      </c>
      <c r="O622" s="54">
        <v>379</v>
      </c>
      <c r="P622" s="54"/>
    </row>
    <row r="623" spans="9:16">
      <c r="I623" s="496" t="s">
        <v>91</v>
      </c>
      <c r="J623" s="541" t="str">
        <f>"T8_"&amp;STDLIGHTINEFCAT2[[#This Row],[Ineff DropDown 2]]</f>
        <v>T8_Fixture</v>
      </c>
      <c r="K623" s="548" t="str">
        <f>STDLIGHTINEFCAT2[[#This Row],[Match]]&amp;"_"&amp;STDLIGHTINEFCAT2[[#This Row],[Options]]</f>
        <v>T8_Fixture_----5 ft Lamps----</v>
      </c>
      <c r="L623" s="542" t="s">
        <v>2405</v>
      </c>
      <c r="M623" s="542"/>
      <c r="N623" s="536"/>
      <c r="O623" s="54">
        <v>380</v>
      </c>
      <c r="P623" s="54"/>
    </row>
    <row r="624" spans="9:16">
      <c r="I624" s="496" t="s">
        <v>91</v>
      </c>
      <c r="J624" s="541" t="str">
        <f>"T8_"&amp;STDLIGHTINEFCAT2[[#This Row],[Ineff DropDown 2]]</f>
        <v>T8_Fixture</v>
      </c>
      <c r="K624" s="548" t="str">
        <f>STDLIGHTINEFCAT2[[#This Row],[Match]]&amp;"_"&amp;STDLIGHTINEFCAT2[[#This Row],[Options]]</f>
        <v>T8_Fixture_1L T8 5' 40W</v>
      </c>
      <c r="L624" s="536" t="s">
        <v>2440</v>
      </c>
      <c r="M624" s="536">
        <v>40</v>
      </c>
      <c r="N624" s="536">
        <v>50</v>
      </c>
      <c r="O624" s="54">
        <v>381</v>
      </c>
      <c r="P624" s="54"/>
    </row>
    <row r="625" spans="9:16">
      <c r="I625" s="496" t="s">
        <v>91</v>
      </c>
      <c r="J625" s="541" t="str">
        <f>"T8_"&amp;STDLIGHTINEFCAT2[[#This Row],[Ineff DropDown 2]]</f>
        <v>T8_Fixture</v>
      </c>
      <c r="K625" s="548" t="str">
        <f>STDLIGHTINEFCAT2[[#This Row],[Match]]&amp;"_"&amp;STDLIGHTINEFCAT2[[#This Row],[Options]]</f>
        <v>T8_Fixture_2L T8 5' 40W</v>
      </c>
      <c r="L625" s="536" t="s">
        <v>2441</v>
      </c>
      <c r="M625" s="536">
        <v>80</v>
      </c>
      <c r="N625" s="536">
        <v>86</v>
      </c>
      <c r="O625" s="54">
        <v>382</v>
      </c>
      <c r="P625" s="54"/>
    </row>
    <row r="626" spans="9:16">
      <c r="I626" s="496" t="s">
        <v>91</v>
      </c>
      <c r="J626" s="541" t="str">
        <f>"T8_"&amp;STDLIGHTINEFCAT2[[#This Row],[Ineff DropDown 2]]</f>
        <v>T8_Fixture</v>
      </c>
      <c r="K626" s="548" t="str">
        <f>STDLIGHTINEFCAT2[[#This Row],[Match]]&amp;"_"&amp;STDLIGHTINEFCAT2[[#This Row],[Options]]</f>
        <v>T8_Fixture_3L T8 5' 40W</v>
      </c>
      <c r="L626" s="536" t="s">
        <v>2442</v>
      </c>
      <c r="M626" s="536">
        <f>3*40</f>
        <v>120</v>
      </c>
      <c r="N626" s="536">
        <v>131</v>
      </c>
      <c r="O626" s="54">
        <v>383</v>
      </c>
      <c r="P626" s="54"/>
    </row>
    <row r="627" spans="9:16">
      <c r="I627" s="496" t="s">
        <v>91</v>
      </c>
      <c r="J627" s="541" t="str">
        <f>"T8_"&amp;STDLIGHTINEFCAT2[[#This Row],[Ineff DropDown 2]]</f>
        <v>T8_Fixture</v>
      </c>
      <c r="K627" s="548" t="str">
        <f>STDLIGHTINEFCAT2[[#This Row],[Match]]&amp;"_"&amp;STDLIGHTINEFCAT2[[#This Row],[Options]]</f>
        <v>T8_Fixture_4L T8 5' 40W</v>
      </c>
      <c r="L627" s="536" t="s">
        <v>2443</v>
      </c>
      <c r="M627" s="536">
        <f>4*40</f>
        <v>160</v>
      </c>
      <c r="N627" s="536">
        <v>171</v>
      </c>
      <c r="O627" s="54">
        <v>384</v>
      </c>
      <c r="P627" s="54"/>
    </row>
    <row r="628" spans="9:16">
      <c r="I628" s="496" t="s">
        <v>91</v>
      </c>
      <c r="J628" s="541" t="str">
        <f>"T8_"&amp;STDLIGHTINEFCAT2[[#This Row],[Ineff DropDown 2]]</f>
        <v>T8_Fixture</v>
      </c>
      <c r="K628" s="548" t="str">
        <f>STDLIGHTINEFCAT2[[#This Row],[Match]]&amp;"_"&amp;STDLIGHTINEFCAT2[[#This Row],[Options]]</f>
        <v>T8_Fixture_1L T8 5' 55W</v>
      </c>
      <c r="L628" s="538" t="s">
        <v>2444</v>
      </c>
      <c r="M628" s="536">
        <v>55</v>
      </c>
      <c r="N628" s="538">
        <v>70</v>
      </c>
      <c r="O628" s="54">
        <v>385</v>
      </c>
      <c r="P628" s="54"/>
    </row>
    <row r="629" spans="9:16">
      <c r="I629" s="496" t="s">
        <v>91</v>
      </c>
      <c r="J629" s="541" t="str">
        <f>"T8_"&amp;STDLIGHTINEFCAT2[[#This Row],[Ineff DropDown 2]]</f>
        <v>T8_Fixture</v>
      </c>
      <c r="K629" s="548" t="str">
        <f>STDLIGHTINEFCAT2[[#This Row],[Match]]&amp;"_"&amp;STDLIGHTINEFCAT2[[#This Row],[Options]]</f>
        <v>T8_Fixture_2L T8 5' 55W</v>
      </c>
      <c r="L629" s="538" t="s">
        <v>2445</v>
      </c>
      <c r="M629" s="538">
        <f>55*2</f>
        <v>110</v>
      </c>
      <c r="N629" s="538">
        <v>126</v>
      </c>
      <c r="O629" s="54">
        <v>386</v>
      </c>
      <c r="P629" s="54"/>
    </row>
    <row r="630" spans="9:16">
      <c r="I630" s="496" t="s">
        <v>91</v>
      </c>
      <c r="J630" s="541" t="str">
        <f>"T8_"&amp;STDLIGHTINEFCAT2[[#This Row],[Ineff DropDown 2]]</f>
        <v>T8_Fixture</v>
      </c>
      <c r="K630" s="548" t="str">
        <f>STDLIGHTINEFCAT2[[#This Row],[Match]]&amp;"_"&amp;STDLIGHTINEFCAT2[[#This Row],[Options]]</f>
        <v>T8_Fixture_----6 ft Lamps----</v>
      </c>
      <c r="L630" s="545" t="s">
        <v>2406</v>
      </c>
      <c r="M630" s="545"/>
      <c r="N630" s="538"/>
      <c r="O630" s="54">
        <v>387</v>
      </c>
      <c r="P630" s="54"/>
    </row>
    <row r="631" spans="9:16">
      <c r="I631" s="496" t="s">
        <v>91</v>
      </c>
      <c r="J631" s="541" t="str">
        <f>"T8_"&amp;STDLIGHTINEFCAT2[[#This Row],[Ineff DropDown 2]]</f>
        <v>T8_Fixture</v>
      </c>
      <c r="K631" s="548" t="str">
        <f>STDLIGHTINEFCAT2[[#This Row],[Match]]&amp;"_"&amp;STDLIGHTINEFCAT2[[#This Row],[Options]]</f>
        <v>T8_Fixture_1L T8 6' 46W</v>
      </c>
      <c r="L631" s="538" t="s">
        <v>2446</v>
      </c>
      <c r="M631" s="538">
        <v>46</v>
      </c>
      <c r="N631" s="538">
        <v>52</v>
      </c>
      <c r="O631" s="54">
        <v>388</v>
      </c>
      <c r="P631" s="492"/>
    </row>
    <row r="632" spans="9:16">
      <c r="I632" s="496" t="s">
        <v>91</v>
      </c>
      <c r="J632" s="541" t="str">
        <f>"T8_"&amp;STDLIGHTINEFCAT2[[#This Row],[Ineff DropDown 2]]</f>
        <v>T8_Fixture</v>
      </c>
      <c r="K632" s="548" t="str">
        <f>STDLIGHTINEFCAT2[[#This Row],[Match]]&amp;"_"&amp;STDLIGHTINEFCAT2[[#This Row],[Options]]</f>
        <v>T8_Fixture_2L T8 6' 46W</v>
      </c>
      <c r="L632" s="538" t="s">
        <v>2447</v>
      </c>
      <c r="M632" s="538">
        <f>2*46</f>
        <v>92</v>
      </c>
      <c r="N632" s="538">
        <v>97</v>
      </c>
      <c r="O632" s="54">
        <v>389</v>
      </c>
      <c r="P632" s="54"/>
    </row>
    <row r="633" spans="9:16">
      <c r="I633" s="496" t="s">
        <v>91</v>
      </c>
      <c r="J633" s="541" t="str">
        <f>"T8_"&amp;STDLIGHTINEFCAT2[[#This Row],[Ineff DropDown 2]]</f>
        <v>T8_Fixture</v>
      </c>
      <c r="K633" s="548" t="str">
        <f>STDLIGHTINEFCAT2[[#This Row],[Match]]&amp;"_"&amp;STDLIGHTINEFCAT2[[#This Row],[Options]]</f>
        <v>T8_Fixture_1L T8 8' 59W</v>
      </c>
      <c r="L633" s="538" t="s">
        <v>2448</v>
      </c>
      <c r="M633" s="538">
        <v>59</v>
      </c>
      <c r="N633" s="538">
        <v>64</v>
      </c>
      <c r="O633" s="54">
        <v>390</v>
      </c>
      <c r="P633" s="54"/>
    </row>
    <row r="634" spans="9:16">
      <c r="I634" s="496" t="s">
        <v>91</v>
      </c>
      <c r="J634" s="541" t="str">
        <f>"T8_"&amp;STDLIGHTINEFCAT2[[#This Row],[Ineff DropDown 2]]</f>
        <v>T8_Fixture</v>
      </c>
      <c r="K634" s="548" t="str">
        <f>STDLIGHTINEFCAT2[[#This Row],[Match]]&amp;"_"&amp;STDLIGHTINEFCAT2[[#This Row],[Options]]</f>
        <v>T8_Fixture_2L T8 8' 59W</v>
      </c>
      <c r="L634" s="538" t="s">
        <v>2449</v>
      </c>
      <c r="M634" s="538">
        <f>2*59</f>
        <v>118</v>
      </c>
      <c r="N634" s="538">
        <v>104</v>
      </c>
      <c r="O634" s="54">
        <v>391</v>
      </c>
      <c r="P634" s="54"/>
    </row>
    <row r="635" spans="9:16">
      <c r="I635" s="496" t="s">
        <v>91</v>
      </c>
      <c r="J635" s="541" t="str">
        <f>"T8_"&amp;STDLIGHTINEFCAT2[[#This Row],[Ineff DropDown 2]]</f>
        <v>T8_Fixture</v>
      </c>
      <c r="K635" s="548" t="str">
        <f>STDLIGHTINEFCAT2[[#This Row],[Match]]&amp;"_"&amp;STDLIGHTINEFCAT2[[#This Row],[Options]]</f>
        <v>T8_Fixture_1L T8 6' 66W</v>
      </c>
      <c r="L635" s="538" t="s">
        <v>2450</v>
      </c>
      <c r="M635" s="538">
        <f>1*66</f>
        <v>66</v>
      </c>
      <c r="N635" s="538">
        <v>81</v>
      </c>
      <c r="O635" s="54">
        <v>392</v>
      </c>
      <c r="P635" s="492"/>
    </row>
    <row r="636" spans="9:16">
      <c r="I636" s="496" t="s">
        <v>91</v>
      </c>
      <c r="J636" s="541" t="str">
        <f>"T8_"&amp;STDLIGHTINEFCAT2[[#This Row],[Ineff DropDown 2]]</f>
        <v>T8_Fixture</v>
      </c>
      <c r="K636" s="548" t="str">
        <f>STDLIGHTINEFCAT2[[#This Row],[Match]]&amp;"_"&amp;STDLIGHTINEFCAT2[[#This Row],[Options]]</f>
        <v>T8_Fixture_2L T8 6' 66W</v>
      </c>
      <c r="L636" s="538" t="s">
        <v>2451</v>
      </c>
      <c r="M636" s="538">
        <f>2*66</f>
        <v>132</v>
      </c>
      <c r="N636" s="538">
        <v>150</v>
      </c>
      <c r="O636" s="54">
        <v>393</v>
      </c>
      <c r="P636" s="54"/>
    </row>
    <row r="637" spans="9:16">
      <c r="I637" s="496" t="s">
        <v>91</v>
      </c>
      <c r="J637" s="541" t="str">
        <f>"T8_"&amp;STDLIGHTINEFCAT2[[#This Row],[Ineff DropDown 2]]</f>
        <v>T8_Fixture</v>
      </c>
      <c r="K637" s="548" t="str">
        <f>STDLIGHTINEFCAT2[[#This Row],[Match]]&amp;"_"&amp;STDLIGHTINEFCAT2[[#This Row],[Options]]</f>
        <v>T8_Fixture_----8 ft Lamps----</v>
      </c>
      <c r="L637" s="545" t="s">
        <v>2408</v>
      </c>
      <c r="M637" s="545"/>
      <c r="N637" s="538"/>
      <c r="O637" s="54">
        <v>394</v>
      </c>
      <c r="P637" s="54"/>
    </row>
    <row r="638" spans="9:16">
      <c r="I638" s="496" t="s">
        <v>91</v>
      </c>
      <c r="J638" s="541" t="str">
        <f>"T8_"&amp;STDLIGHTINEFCAT2[[#This Row],[Ineff DropDown 2]]</f>
        <v>T8_Fixture</v>
      </c>
      <c r="K638" s="548" t="str">
        <f>STDLIGHTINEFCAT2[[#This Row],[Match]]&amp;"_"&amp;STDLIGHTINEFCAT2[[#This Row],[Options]]</f>
        <v>T8_Fixture_1L T8 8' 86W</v>
      </c>
      <c r="L638" s="536" t="s">
        <v>2452</v>
      </c>
      <c r="M638" s="538">
        <v>86</v>
      </c>
      <c r="N638" s="536">
        <v>100</v>
      </c>
      <c r="O638" s="54">
        <v>395</v>
      </c>
      <c r="P638" s="54"/>
    </row>
    <row r="639" spans="9:16">
      <c r="I639" s="496" t="s">
        <v>91</v>
      </c>
      <c r="J639" s="541" t="str">
        <f>"T8_"&amp;STDLIGHTINEFCAT2[[#This Row],[Ineff DropDown 2]]</f>
        <v>T8_Fixture</v>
      </c>
      <c r="K639" s="548" t="str">
        <f>STDLIGHTINEFCAT2[[#This Row],[Match]]&amp;"_"&amp;STDLIGHTINEFCAT2[[#This Row],[Options]]</f>
        <v>T8_Fixture_2L T8 8' 86W</v>
      </c>
      <c r="L639" s="536" t="s">
        <v>2453</v>
      </c>
      <c r="M639" s="538">
        <f>2*86</f>
        <v>172</v>
      </c>
      <c r="N639" s="536">
        <v>160</v>
      </c>
      <c r="O639" s="54">
        <v>396</v>
      </c>
      <c r="P639" s="54"/>
    </row>
    <row r="640" spans="9:16">
      <c r="I640" s="496" t="s">
        <v>91</v>
      </c>
      <c r="J640" s="541" t="str">
        <f>"T8_"&amp;STDLIGHTINEFCAT2[[#This Row],[Ineff DropDown 2]]</f>
        <v>T8_Fixture</v>
      </c>
      <c r="K640" s="548" t="str">
        <f>STDLIGHTINEFCAT2[[#This Row],[Match]]&amp;"_"&amp;STDLIGHTINEFCAT2[[#This Row],[Options]]</f>
        <v>T8_Fixture_1L T8 8' 96W</v>
      </c>
      <c r="L640" s="536" t="s">
        <v>2454</v>
      </c>
      <c r="M640" s="536">
        <v>96</v>
      </c>
      <c r="N640" s="536">
        <v>52</v>
      </c>
      <c r="O640" s="54">
        <v>397</v>
      </c>
      <c r="P640" s="54"/>
    </row>
    <row r="641" spans="9:16">
      <c r="I641" s="496" t="s">
        <v>91</v>
      </c>
      <c r="J641" s="541" t="str">
        <f>"T8_"&amp;STDLIGHTINEFCAT2[[#This Row],[Ineff DropDown 2]]</f>
        <v>T8_Fixture</v>
      </c>
      <c r="K641" s="548" t="str">
        <f>STDLIGHTINEFCAT2[[#This Row],[Match]]&amp;"_"&amp;STDLIGHTINEFCAT2[[#This Row],[Options]]</f>
        <v>T8_Fixture_2L T8 8' 96W</v>
      </c>
      <c r="L641" s="536" t="s">
        <v>2455</v>
      </c>
      <c r="M641" s="536">
        <f>2*96</f>
        <v>192</v>
      </c>
      <c r="N641" s="536">
        <v>104</v>
      </c>
      <c r="O641" s="54">
        <v>398</v>
      </c>
      <c r="P641" s="54"/>
    </row>
    <row r="642" spans="9:16">
      <c r="I642" s="492" t="s">
        <v>2285</v>
      </c>
      <c r="J642" s="541" t="str">
        <f>"T8_"&amp;STDLIGHTINEFCAT2[[#This Row],[Ineff DropDown 2]]</f>
        <v>T8_PG &lt;=100</v>
      </c>
      <c r="K642" s="548" t="str">
        <f>STDLIGHTINEFCAT2[[#This Row],[Match]]&amp;"_"&amp;STDLIGHTINEFCAT2[[#This Row],[Options]]</f>
        <v>T8_PG &lt;=100_----2 ft Lamps----</v>
      </c>
      <c r="L642" s="542" t="s">
        <v>2402</v>
      </c>
      <c r="M642" s="542"/>
      <c r="N642" s="536"/>
      <c r="O642" s="54">
        <v>574</v>
      </c>
      <c r="P642" s="54"/>
    </row>
    <row r="643" spans="9:16">
      <c r="I643" s="492" t="s">
        <v>2285</v>
      </c>
      <c r="J643" s="541" t="str">
        <f>"T8_"&amp;STDLIGHTINEFCAT2[[#This Row],[Ineff DropDown 2]]</f>
        <v>T8_PG &lt;=100</v>
      </c>
      <c r="K643" s="548" t="str">
        <f>STDLIGHTINEFCAT2[[#This Row],[Match]]&amp;"_"&amp;STDLIGHTINEFCAT2[[#This Row],[Options]]</f>
        <v>T8_PG &lt;=100_1L T8 2' 17W</v>
      </c>
      <c r="L643" s="536" t="s">
        <v>2412</v>
      </c>
      <c r="M643" s="536">
        <v>17</v>
      </c>
      <c r="N643" s="536">
        <v>24</v>
      </c>
      <c r="O643" s="54">
        <v>575</v>
      </c>
      <c r="P643" s="54"/>
    </row>
    <row r="644" spans="9:16">
      <c r="I644" s="492" t="s">
        <v>2285</v>
      </c>
      <c r="J644" s="541" t="str">
        <f>"T8_"&amp;STDLIGHTINEFCAT2[[#This Row],[Ineff DropDown 2]]</f>
        <v>T8_PG &lt;=100</v>
      </c>
      <c r="K644" s="548" t="str">
        <f>STDLIGHTINEFCAT2[[#This Row],[Match]]&amp;"_"&amp;STDLIGHTINEFCAT2[[#This Row],[Options]]</f>
        <v>T8_PG &lt;=100_2L T8 2' 17W</v>
      </c>
      <c r="L644" s="536" t="s">
        <v>2413</v>
      </c>
      <c r="M644" s="536">
        <f>17*2</f>
        <v>34</v>
      </c>
      <c r="N644" s="536">
        <v>45</v>
      </c>
      <c r="O644" s="54">
        <v>576</v>
      </c>
      <c r="P644" s="54"/>
    </row>
    <row r="645" spans="9:16">
      <c r="I645" s="492" t="s">
        <v>2285</v>
      </c>
      <c r="J645" s="541" t="str">
        <f>"T8_"&amp;STDLIGHTINEFCAT2[[#This Row],[Ineff DropDown 2]]</f>
        <v>T8_PG &lt;=100</v>
      </c>
      <c r="K645" s="548" t="str">
        <f>STDLIGHTINEFCAT2[[#This Row],[Match]]&amp;"_"&amp;STDLIGHTINEFCAT2[[#This Row],[Options]]</f>
        <v>T8_PG &lt;=100_3L T8 2' 17W</v>
      </c>
      <c r="L645" s="536" t="s">
        <v>2414</v>
      </c>
      <c r="M645" s="536">
        <f>3*17</f>
        <v>51</v>
      </c>
      <c r="N645" s="536">
        <v>64</v>
      </c>
      <c r="O645" s="54">
        <v>577</v>
      </c>
      <c r="P645" s="54"/>
    </row>
    <row r="646" spans="9:16">
      <c r="I646" s="492" t="s">
        <v>2285</v>
      </c>
      <c r="J646" s="541" t="str">
        <f>"T8_"&amp;STDLIGHTINEFCAT2[[#This Row],[Ineff DropDown 2]]</f>
        <v>T8_PG &lt;=100</v>
      </c>
      <c r="K646" s="548" t="str">
        <f>STDLIGHTINEFCAT2[[#This Row],[Match]]&amp;"_"&amp;STDLIGHTINEFCAT2[[#This Row],[Options]]</f>
        <v>T8_PG &lt;=100_4L T8 2' 17W</v>
      </c>
      <c r="L646" s="536" t="s">
        <v>2415</v>
      </c>
      <c r="M646" s="536">
        <f>4*17</f>
        <v>68</v>
      </c>
      <c r="N646" s="536">
        <v>83</v>
      </c>
      <c r="O646" s="54">
        <v>578</v>
      </c>
      <c r="P646" s="54"/>
    </row>
    <row r="647" spans="9:16">
      <c r="I647" s="492" t="s">
        <v>2285</v>
      </c>
      <c r="J647" s="541" t="str">
        <f>"T8_"&amp;STDLIGHTINEFCAT2[[#This Row],[Ineff DropDown 2]]</f>
        <v>T8_PG &lt;=100</v>
      </c>
      <c r="K647" s="548" t="str">
        <f>STDLIGHTINEFCAT2[[#This Row],[Match]]&amp;"_"&amp;STDLIGHTINEFCAT2[[#This Row],[Options]]</f>
        <v>T8_PG &lt;=100_----3 ft Lamps----</v>
      </c>
      <c r="L647" s="542" t="s">
        <v>2403</v>
      </c>
      <c r="M647" s="542"/>
      <c r="N647" s="536"/>
      <c r="O647" s="54">
        <v>579</v>
      </c>
      <c r="P647" s="54"/>
    </row>
    <row r="648" spans="9:16">
      <c r="I648" s="492" t="s">
        <v>2285</v>
      </c>
      <c r="J648" s="541" t="str">
        <f>"T8_"&amp;STDLIGHTINEFCAT2[[#This Row],[Ineff DropDown 2]]</f>
        <v>T8_PG &lt;=100</v>
      </c>
      <c r="K648" s="548" t="str">
        <f>STDLIGHTINEFCAT2[[#This Row],[Match]]&amp;"_"&amp;STDLIGHTINEFCAT2[[#This Row],[Options]]</f>
        <v>T8_PG &lt;=100_1L T8 3' 25W</v>
      </c>
      <c r="L648" s="536" t="s">
        <v>2416</v>
      </c>
      <c r="M648" s="536">
        <v>25</v>
      </c>
      <c r="N648" s="536">
        <v>30</v>
      </c>
      <c r="O648" s="54">
        <v>580</v>
      </c>
      <c r="P648" s="54"/>
    </row>
    <row r="649" spans="9:16">
      <c r="I649" s="492" t="s">
        <v>2285</v>
      </c>
      <c r="J649" s="541" t="str">
        <f>"T8_"&amp;STDLIGHTINEFCAT2[[#This Row],[Ineff DropDown 2]]</f>
        <v>T8_PG &lt;=100</v>
      </c>
      <c r="K649" s="548" t="str">
        <f>STDLIGHTINEFCAT2[[#This Row],[Match]]&amp;"_"&amp;STDLIGHTINEFCAT2[[#This Row],[Options]]</f>
        <v>T8_PG &lt;=100_2L T8 3' 25W</v>
      </c>
      <c r="L649" s="536" t="s">
        <v>2417</v>
      </c>
      <c r="M649" s="536">
        <v>50</v>
      </c>
      <c r="N649" s="536">
        <v>62</v>
      </c>
      <c r="O649" s="54">
        <v>581</v>
      </c>
      <c r="P649" s="54"/>
    </row>
    <row r="650" spans="9:16">
      <c r="I650" s="492" t="s">
        <v>2285</v>
      </c>
      <c r="J650" s="541" t="str">
        <f>"T8_"&amp;STDLIGHTINEFCAT2[[#This Row],[Ineff DropDown 2]]</f>
        <v>T8_PG &lt;=100</v>
      </c>
      <c r="K650" s="548" t="str">
        <f>STDLIGHTINEFCAT2[[#This Row],[Match]]&amp;"_"&amp;STDLIGHTINEFCAT2[[#This Row],[Options]]</f>
        <v>T8_PG &lt;=100_3L T8 3' 25W</v>
      </c>
      <c r="L650" s="536" t="s">
        <v>2418</v>
      </c>
      <c r="M650" s="536">
        <v>75</v>
      </c>
      <c r="N650" s="536">
        <v>87</v>
      </c>
      <c r="O650" s="54">
        <v>582</v>
      </c>
      <c r="P650" s="54"/>
    </row>
    <row r="651" spans="9:16">
      <c r="I651" s="492" t="s">
        <v>2285</v>
      </c>
      <c r="J651" s="541" t="str">
        <f>"T8_"&amp;STDLIGHTINEFCAT2[[#This Row],[Ineff DropDown 2]]</f>
        <v>T8_PG &lt;=100</v>
      </c>
      <c r="K651" s="548" t="str">
        <f>STDLIGHTINEFCAT2[[#This Row],[Match]]&amp;"_"&amp;STDLIGHTINEFCAT2[[#This Row],[Options]]</f>
        <v>T8_PG &lt;=100_4L T8 3' 25W</v>
      </c>
      <c r="L651" s="536" t="s">
        <v>2419</v>
      </c>
      <c r="M651" s="536">
        <v>100</v>
      </c>
      <c r="N651" s="536">
        <v>116</v>
      </c>
      <c r="O651" s="54">
        <v>583</v>
      </c>
      <c r="P651" s="54"/>
    </row>
    <row r="652" spans="9:16">
      <c r="I652" s="492" t="s">
        <v>2285</v>
      </c>
      <c r="J652" s="541" t="str">
        <f>"T8_"&amp;STDLIGHTINEFCAT2[[#This Row],[Ineff DropDown 2]]</f>
        <v>T8_PG &lt;=100</v>
      </c>
      <c r="K652" s="549" t="str">
        <f>STDLIGHTINEFCAT2[[#This Row],[Match]]&amp;"_"&amp;STDLIGHTINEFCAT2[[#This Row],[Options]]</f>
        <v>T8_PG &lt;=100_----4 ft Lamps----</v>
      </c>
      <c r="L652" s="550" t="s">
        <v>2404</v>
      </c>
      <c r="M652" s="542"/>
      <c r="N652" s="540"/>
      <c r="O652" s="54">
        <v>584</v>
      </c>
      <c r="P652" s="54"/>
    </row>
    <row r="653" spans="9:16">
      <c r="I653" s="492" t="s">
        <v>2285</v>
      </c>
      <c r="J653" s="541" t="str">
        <f>"T8_"&amp;STDLIGHTINEFCAT2[[#This Row],[Ineff DropDown 2]]</f>
        <v>T8_PG &lt;=100</v>
      </c>
      <c r="K653" s="548" t="str">
        <f>STDLIGHTINEFCAT2[[#This Row],[Match]]&amp;"_"&amp;STDLIGHTINEFCAT2[[#This Row],[Options]]</f>
        <v>T8_PG &lt;=100_1L T8 4' 25W</v>
      </c>
      <c r="L653" s="536" t="s">
        <v>2420</v>
      </c>
      <c r="M653" s="536">
        <v>25</v>
      </c>
      <c r="N653" s="536">
        <v>26</v>
      </c>
      <c r="O653" s="54">
        <v>585</v>
      </c>
      <c r="P653" s="492"/>
    </row>
    <row r="654" spans="9:16">
      <c r="I654" s="492" t="s">
        <v>2285</v>
      </c>
      <c r="J654" s="541" t="str">
        <f>"T8_"&amp;STDLIGHTINEFCAT2[[#This Row],[Ineff DropDown 2]]</f>
        <v>T8_PG &lt;=100</v>
      </c>
      <c r="K654" s="548" t="str">
        <f>STDLIGHTINEFCAT2[[#This Row],[Match]]&amp;"_"&amp;STDLIGHTINEFCAT2[[#This Row],[Options]]</f>
        <v>T8_PG &lt;=100_2L T8 4' 25W</v>
      </c>
      <c r="L654" s="536" t="s">
        <v>2421</v>
      </c>
      <c r="M654" s="536">
        <v>50</v>
      </c>
      <c r="N654" s="536">
        <v>43</v>
      </c>
      <c r="O654" s="54">
        <v>586</v>
      </c>
      <c r="P654" s="54"/>
    </row>
    <row r="655" spans="9:16">
      <c r="I655" s="492" t="s">
        <v>2285</v>
      </c>
      <c r="J655" s="541" t="str">
        <f>"T8_"&amp;STDLIGHTINEFCAT2[[#This Row],[Ineff DropDown 2]]</f>
        <v>T8_PG &lt;=100</v>
      </c>
      <c r="K655" s="548" t="str">
        <f>STDLIGHTINEFCAT2[[#This Row],[Match]]&amp;"_"&amp;STDLIGHTINEFCAT2[[#This Row],[Options]]</f>
        <v>T8_PG &lt;=100_3L T8 4' 25W</v>
      </c>
      <c r="L655" s="536" t="s">
        <v>2422</v>
      </c>
      <c r="M655" s="536">
        <v>75</v>
      </c>
      <c r="N655" s="536">
        <v>63</v>
      </c>
      <c r="O655" s="54">
        <v>587</v>
      </c>
      <c r="P655" s="54"/>
    </row>
    <row r="656" spans="9:16">
      <c r="I656" s="492" t="s">
        <v>2285</v>
      </c>
      <c r="J656" s="541" t="str">
        <f>"T8_"&amp;STDLIGHTINEFCAT2[[#This Row],[Ineff DropDown 2]]</f>
        <v>T8_PG &lt;=100</v>
      </c>
      <c r="K656" s="548" t="str">
        <f>STDLIGHTINEFCAT2[[#This Row],[Match]]&amp;"_"&amp;STDLIGHTINEFCAT2[[#This Row],[Options]]</f>
        <v>T8_PG &lt;=100_4L T8 4' 25W</v>
      </c>
      <c r="L656" s="536" t="s">
        <v>2423</v>
      </c>
      <c r="M656" s="536">
        <v>100</v>
      </c>
      <c r="N656" s="536">
        <v>85</v>
      </c>
      <c r="O656" s="54">
        <v>588</v>
      </c>
      <c r="P656" s="54"/>
    </row>
    <row r="657" spans="9:16">
      <c r="I657" s="492" t="s">
        <v>2285</v>
      </c>
      <c r="J657" s="541" t="str">
        <f>"T8_"&amp;STDLIGHTINEFCAT2[[#This Row],[Ineff DropDown 2]]</f>
        <v>T8_PG &lt;=100</v>
      </c>
      <c r="K657" s="548" t="str">
        <f>STDLIGHTINEFCAT2[[#This Row],[Match]]&amp;"_"&amp;STDLIGHTINEFCAT2[[#This Row],[Options]]</f>
        <v>T8_PG &lt;=100_1L T8 4' 28W</v>
      </c>
      <c r="L657" s="536" t="s">
        <v>2424</v>
      </c>
      <c r="M657" s="536">
        <v>28</v>
      </c>
      <c r="N657" s="536">
        <v>25</v>
      </c>
      <c r="O657" s="54">
        <v>589</v>
      </c>
      <c r="P657" s="54"/>
    </row>
    <row r="658" spans="9:16">
      <c r="I658" s="492" t="s">
        <v>2285</v>
      </c>
      <c r="J658" s="541" t="str">
        <f>"T8_"&amp;STDLIGHTINEFCAT2[[#This Row],[Ineff DropDown 2]]</f>
        <v>T8_PG &lt;=100</v>
      </c>
      <c r="K658" s="548" t="str">
        <f>STDLIGHTINEFCAT2[[#This Row],[Match]]&amp;"_"&amp;STDLIGHTINEFCAT2[[#This Row],[Options]]</f>
        <v>T8_PG &lt;=100_2L T8 4' 28W</v>
      </c>
      <c r="L658" s="536" t="s">
        <v>2425</v>
      </c>
      <c r="M658" s="536">
        <f>2*28</f>
        <v>56</v>
      </c>
      <c r="N658" s="536">
        <v>48</v>
      </c>
      <c r="O658" s="54">
        <v>590</v>
      </c>
      <c r="P658" s="54"/>
    </row>
    <row r="659" spans="9:16">
      <c r="I659" s="492" t="s">
        <v>2285</v>
      </c>
      <c r="J659" s="541" t="str">
        <f>"T8_"&amp;STDLIGHTINEFCAT2[[#This Row],[Ineff DropDown 2]]</f>
        <v>T8_PG &lt;=100</v>
      </c>
      <c r="K659" s="548" t="str">
        <f>STDLIGHTINEFCAT2[[#This Row],[Match]]&amp;"_"&amp;STDLIGHTINEFCAT2[[#This Row],[Options]]</f>
        <v>T8_PG &lt;=100_3L T8 4' 28W</v>
      </c>
      <c r="L659" s="536" t="s">
        <v>2426</v>
      </c>
      <c r="M659" s="536">
        <f>3*28</f>
        <v>84</v>
      </c>
      <c r="N659" s="536">
        <v>72</v>
      </c>
      <c r="O659" s="54">
        <v>591</v>
      </c>
      <c r="P659" s="54"/>
    </row>
    <row r="660" spans="9:16">
      <c r="I660" s="492" t="s">
        <v>2285</v>
      </c>
      <c r="J660" s="541" t="str">
        <f>"T8_"&amp;STDLIGHTINEFCAT2[[#This Row],[Ineff DropDown 2]]</f>
        <v>T8_PG &lt;=100</v>
      </c>
      <c r="K660" s="548" t="str">
        <f>STDLIGHTINEFCAT2[[#This Row],[Match]]&amp;"_"&amp;STDLIGHTINEFCAT2[[#This Row],[Options]]</f>
        <v>T8_PG &lt;=100_1L T8 4' 30W</v>
      </c>
      <c r="L660" s="536" t="s">
        <v>2428</v>
      </c>
      <c r="M660" s="536">
        <v>30</v>
      </c>
      <c r="N660" s="536">
        <v>40</v>
      </c>
      <c r="O660" s="54">
        <v>592</v>
      </c>
      <c r="P660" s="54"/>
    </row>
    <row r="661" spans="9:16">
      <c r="I661" s="492" t="s">
        <v>2285</v>
      </c>
      <c r="J661" s="541" t="str">
        <f>"T8_"&amp;STDLIGHTINEFCAT2[[#This Row],[Ineff DropDown 2]]</f>
        <v>T8_PG &lt;=100</v>
      </c>
      <c r="K661" s="548" t="str">
        <f>STDLIGHTINEFCAT2[[#This Row],[Match]]&amp;"_"&amp;STDLIGHTINEFCAT2[[#This Row],[Options]]</f>
        <v>T8_PG &lt;=100_2L T8 4' 30W</v>
      </c>
      <c r="L661" s="536" t="s">
        <v>2429</v>
      </c>
      <c r="M661" s="536">
        <v>60</v>
      </c>
      <c r="N661" s="536">
        <v>82</v>
      </c>
      <c r="O661" s="54">
        <v>593</v>
      </c>
      <c r="P661" s="54"/>
    </row>
    <row r="662" spans="9:16">
      <c r="I662" s="492" t="s">
        <v>2285</v>
      </c>
      <c r="J662" s="541" t="str">
        <f>"T8_"&amp;STDLIGHTINEFCAT2[[#This Row],[Ineff DropDown 2]]</f>
        <v>T8_PG &lt;=100</v>
      </c>
      <c r="K662" s="548" t="str">
        <f>STDLIGHTINEFCAT2[[#This Row],[Match]]&amp;"_"&amp;STDLIGHTINEFCAT2[[#This Row],[Options]]</f>
        <v>T8_PG &lt;=100_3L T8 4' 30W</v>
      </c>
      <c r="L662" s="536" t="s">
        <v>2430</v>
      </c>
      <c r="M662" s="536">
        <v>90</v>
      </c>
      <c r="N662" s="536">
        <v>77</v>
      </c>
      <c r="O662" s="54">
        <v>594</v>
      </c>
      <c r="P662" s="54"/>
    </row>
    <row r="663" spans="9:16">
      <c r="I663" s="492" t="s">
        <v>2285</v>
      </c>
      <c r="J663" s="541" t="str">
        <f>"T8_"&amp;STDLIGHTINEFCAT2[[#This Row],[Ineff DropDown 2]]</f>
        <v>T8_PG &lt;=100</v>
      </c>
      <c r="K663" s="548" t="str">
        <f>STDLIGHTINEFCAT2[[#This Row],[Match]]&amp;"_"&amp;STDLIGHTINEFCAT2[[#This Row],[Options]]</f>
        <v>T8_PG &lt;=100_1L T8 4' 32W</v>
      </c>
      <c r="L663" s="536" t="s">
        <v>2432</v>
      </c>
      <c r="M663" s="536">
        <v>32</v>
      </c>
      <c r="N663" s="536">
        <v>32</v>
      </c>
      <c r="O663" s="54">
        <v>595</v>
      </c>
      <c r="P663" s="492" t="s">
        <v>2816</v>
      </c>
    </row>
    <row r="664" spans="9:16">
      <c r="I664" s="492" t="s">
        <v>2285</v>
      </c>
      <c r="J664" s="541" t="str">
        <f>"T8_"&amp;STDLIGHTINEFCAT2[[#This Row],[Ineff DropDown 2]]</f>
        <v>T8_PG &lt;=100</v>
      </c>
      <c r="K664" s="548" t="str">
        <f>STDLIGHTINEFCAT2[[#This Row],[Match]]&amp;"_"&amp;STDLIGHTINEFCAT2[[#This Row],[Options]]</f>
        <v>T8_PG &lt;=100_2L T8 4' 32W</v>
      </c>
      <c r="L664" s="536" t="s">
        <v>2433</v>
      </c>
      <c r="M664" s="536">
        <f>2*32</f>
        <v>64</v>
      </c>
      <c r="N664" s="536">
        <v>59</v>
      </c>
      <c r="O664" s="54">
        <v>596</v>
      </c>
      <c r="P664" s="54" t="s">
        <v>2816</v>
      </c>
    </row>
    <row r="665" spans="9:16">
      <c r="I665" s="492" t="s">
        <v>2285</v>
      </c>
      <c r="J665" s="541" t="str">
        <f>"T8_"&amp;STDLIGHTINEFCAT2[[#This Row],[Ineff DropDown 2]]</f>
        <v>T8_PG &lt;=100</v>
      </c>
      <c r="K665" s="548" t="str">
        <f>STDLIGHTINEFCAT2[[#This Row],[Match]]&amp;"_"&amp;STDLIGHTINEFCAT2[[#This Row],[Options]]</f>
        <v>T8_PG &lt;=100_3L T8 4' 32W</v>
      </c>
      <c r="L665" s="536" t="s">
        <v>2434</v>
      </c>
      <c r="M665" s="536">
        <f>3*32</f>
        <v>96</v>
      </c>
      <c r="N665" s="536">
        <v>88</v>
      </c>
      <c r="O665" s="54">
        <v>597</v>
      </c>
      <c r="P665" s="54" t="s">
        <v>2816</v>
      </c>
    </row>
    <row r="666" spans="9:16">
      <c r="I666" s="492" t="s">
        <v>2285</v>
      </c>
      <c r="J666" s="541" t="str">
        <f>"T8_"&amp;STDLIGHTINEFCAT2[[#This Row],[Ineff DropDown 2]]</f>
        <v>T8_PG &lt;=100</v>
      </c>
      <c r="K666" s="548" t="str">
        <f>STDLIGHTINEFCAT2[[#This Row],[Match]]&amp;"_"&amp;STDLIGHTINEFCAT2[[#This Row],[Options]]</f>
        <v>T8_PG &lt;=100_2L T8 4' 36W</v>
      </c>
      <c r="L666" s="536" t="s">
        <v>2437</v>
      </c>
      <c r="M666" s="536">
        <f>2*36</f>
        <v>72</v>
      </c>
      <c r="N666" s="536">
        <v>74</v>
      </c>
      <c r="O666" s="54">
        <v>598</v>
      </c>
      <c r="P666" s="54"/>
    </row>
    <row r="667" spans="9:16">
      <c r="I667" s="492" t="s">
        <v>2285</v>
      </c>
      <c r="J667" s="541" t="str">
        <f>"T8_"&amp;STDLIGHTINEFCAT2[[#This Row],[Ineff DropDown 2]]</f>
        <v>T8_PG &lt;=100</v>
      </c>
      <c r="K667" s="548" t="str">
        <f>STDLIGHTINEFCAT2[[#This Row],[Match]]&amp;"_"&amp;STDLIGHTINEFCAT2[[#This Row],[Options]]</f>
        <v>T8_PG &lt;=100_1L T8 4' 44W</v>
      </c>
      <c r="L667" s="536" t="s">
        <v>2438</v>
      </c>
      <c r="M667" s="536">
        <v>44</v>
      </c>
      <c r="N667" s="536">
        <v>59</v>
      </c>
      <c r="O667" s="54">
        <v>599</v>
      </c>
      <c r="P667" s="492"/>
    </row>
    <row r="668" spans="9:16">
      <c r="I668" s="492" t="s">
        <v>2285</v>
      </c>
      <c r="J668" s="541" t="str">
        <f>"T8_"&amp;STDLIGHTINEFCAT2[[#This Row],[Ineff DropDown 2]]</f>
        <v>T8_PG &lt;=100</v>
      </c>
      <c r="K668" s="548" t="str">
        <f>STDLIGHTINEFCAT2[[#This Row],[Match]]&amp;"_"&amp;STDLIGHTINEFCAT2[[#This Row],[Options]]</f>
        <v>T8_PG &lt;=100_2L T8 4' 44W</v>
      </c>
      <c r="L668" s="536" t="s">
        <v>2439</v>
      </c>
      <c r="M668" s="536">
        <v>88</v>
      </c>
      <c r="N668" s="536">
        <v>120</v>
      </c>
      <c r="O668" s="54">
        <v>600</v>
      </c>
      <c r="P668" s="54"/>
    </row>
    <row r="669" spans="9:16">
      <c r="I669" s="492" t="s">
        <v>2285</v>
      </c>
      <c r="J669" s="541" t="str">
        <f>"T8_"&amp;STDLIGHTINEFCAT2[[#This Row],[Ineff DropDown 2]]</f>
        <v>T8_PG &lt;=100</v>
      </c>
      <c r="K669" s="548" t="str">
        <f>STDLIGHTINEFCAT2[[#This Row],[Match]]&amp;"_"&amp;STDLIGHTINEFCAT2[[#This Row],[Options]]</f>
        <v>T8_PG &lt;=100_----6 ft Lamps----</v>
      </c>
      <c r="L669" s="542" t="s">
        <v>2406</v>
      </c>
      <c r="M669" s="542"/>
      <c r="N669" s="536"/>
      <c r="O669" s="54">
        <v>601</v>
      </c>
      <c r="P669" s="54"/>
    </row>
    <row r="670" spans="9:16">
      <c r="I670" s="492" t="s">
        <v>2285</v>
      </c>
      <c r="J670" s="541" t="str">
        <f>"T8_"&amp;STDLIGHTINEFCAT2[[#This Row],[Ineff DropDown 2]]</f>
        <v>T8_PG &lt;=100</v>
      </c>
      <c r="K670" s="548" t="str">
        <f>STDLIGHTINEFCAT2[[#This Row],[Match]]&amp;"_"&amp;STDLIGHTINEFCAT2[[#This Row],[Options]]</f>
        <v>T8_PG &lt;=100_1L T8 6' 46W</v>
      </c>
      <c r="L670" s="536" t="s">
        <v>2446</v>
      </c>
      <c r="M670" s="536">
        <v>46</v>
      </c>
      <c r="N670" s="536">
        <v>52</v>
      </c>
      <c r="O670" s="54">
        <v>602</v>
      </c>
      <c r="P670" s="54"/>
    </row>
    <row r="671" spans="9:16">
      <c r="I671" s="492" t="s">
        <v>2285</v>
      </c>
      <c r="J671" s="541" t="str">
        <f>"T8_"&amp;STDLIGHTINEFCAT2[[#This Row],[Ineff DropDown 2]]</f>
        <v>T8_PG &lt;=100</v>
      </c>
      <c r="K671" s="548" t="str">
        <f>STDLIGHTINEFCAT2[[#This Row],[Match]]&amp;"_"&amp;STDLIGHTINEFCAT2[[#This Row],[Options]]</f>
        <v>T8_PG &lt;=100_2L T8 6' 46W</v>
      </c>
      <c r="L671" s="536" t="s">
        <v>2447</v>
      </c>
      <c r="M671" s="536">
        <f>2*46</f>
        <v>92</v>
      </c>
      <c r="N671" s="536">
        <v>97</v>
      </c>
      <c r="O671" s="54">
        <v>603</v>
      </c>
      <c r="P671" s="54"/>
    </row>
    <row r="672" spans="9:16">
      <c r="I672" s="492" t="s">
        <v>2285</v>
      </c>
      <c r="J672" s="541" t="str">
        <f>"T8_"&amp;STDLIGHTINEFCAT2[[#This Row],[Ineff DropDown 2]]</f>
        <v>T8_PG &lt;=100</v>
      </c>
      <c r="K672" s="548" t="str">
        <f>STDLIGHTINEFCAT2[[#This Row],[Match]]&amp;"_"&amp;STDLIGHTINEFCAT2[[#This Row],[Options]]</f>
        <v>T8_PG &lt;=100_1L T8 6' 66W</v>
      </c>
      <c r="L672" s="536" t="s">
        <v>2450</v>
      </c>
      <c r="M672" s="536">
        <f>1*66</f>
        <v>66</v>
      </c>
      <c r="N672" s="536">
        <v>81</v>
      </c>
      <c r="O672" s="54">
        <v>604</v>
      </c>
      <c r="P672" s="54"/>
    </row>
    <row r="673" spans="9:16">
      <c r="I673" s="492" t="s">
        <v>2285</v>
      </c>
      <c r="J673" s="541" t="str">
        <f>"T8_"&amp;STDLIGHTINEFCAT2[[#This Row],[Ineff DropDown 2]]</f>
        <v>T8_PG &lt;=100</v>
      </c>
      <c r="K673" s="548" t="str">
        <f>STDLIGHTINEFCAT2[[#This Row],[Match]]&amp;"_"&amp;STDLIGHTINEFCAT2[[#This Row],[Options]]</f>
        <v>T8_PG &lt;=100_----8 ft Lamps----</v>
      </c>
      <c r="L673" s="542" t="s">
        <v>2408</v>
      </c>
      <c r="M673" s="542"/>
      <c r="N673" s="536"/>
      <c r="O673" s="54">
        <v>605</v>
      </c>
      <c r="P673" s="54"/>
    </row>
    <row r="674" spans="9:16">
      <c r="I674" s="492" t="s">
        <v>2285</v>
      </c>
      <c r="J674" s="541" t="str">
        <f>"T8_"&amp;STDLIGHTINEFCAT2[[#This Row],[Ineff DropDown 2]]</f>
        <v>T8_PG &lt;=100</v>
      </c>
      <c r="K674" s="548" t="str">
        <f>STDLIGHTINEFCAT2[[#This Row],[Match]]&amp;"_"&amp;STDLIGHTINEFCAT2[[#This Row],[Options]]</f>
        <v>T8_PG &lt;=100_1L T8 8' 59W</v>
      </c>
      <c r="L674" s="536" t="s">
        <v>2448</v>
      </c>
      <c r="M674" s="536">
        <v>59</v>
      </c>
      <c r="N674" s="536">
        <v>64</v>
      </c>
      <c r="O674" s="54">
        <v>606</v>
      </c>
      <c r="P674" s="54"/>
    </row>
    <row r="675" spans="9:16">
      <c r="I675" s="492" t="s">
        <v>2285</v>
      </c>
      <c r="J675" s="541" t="str">
        <f>"T8_"&amp;STDLIGHTINEFCAT2[[#This Row],[Ineff DropDown 2]]</f>
        <v>T8_PG &lt;=100</v>
      </c>
      <c r="K675" s="548" t="str">
        <f>STDLIGHTINEFCAT2[[#This Row],[Match]]&amp;"_"&amp;STDLIGHTINEFCAT2[[#This Row],[Options]]</f>
        <v>T8_PG &lt;=100_1L T8 8' 86W</v>
      </c>
      <c r="L675" s="536" t="s">
        <v>2452</v>
      </c>
      <c r="M675" s="536">
        <v>86</v>
      </c>
      <c r="N675" s="536">
        <v>100</v>
      </c>
      <c r="O675" s="54">
        <v>607</v>
      </c>
      <c r="P675" s="54"/>
    </row>
    <row r="676" spans="9:16">
      <c r="I676" s="492" t="s">
        <v>2285</v>
      </c>
      <c r="J676" s="541" t="str">
        <f>"T8_"&amp;STDLIGHTINEFCAT2[[#This Row],[Ineff DropDown 2]]</f>
        <v>T8_PG &lt;=100</v>
      </c>
      <c r="K676" s="548" t="str">
        <f>STDLIGHTINEFCAT2[[#This Row],[Match]]&amp;"_"&amp;STDLIGHTINEFCAT2[[#This Row],[Options]]</f>
        <v>T8_PG &lt;=100_1L T8 8' 96W</v>
      </c>
      <c r="L676" s="536" t="s">
        <v>2454</v>
      </c>
      <c r="M676" s="536">
        <v>96</v>
      </c>
      <c r="N676" s="536">
        <v>52</v>
      </c>
      <c r="O676" s="54">
        <v>608</v>
      </c>
      <c r="P676" s="54"/>
    </row>
    <row r="677" spans="9:16">
      <c r="I677" s="492" t="s">
        <v>2286</v>
      </c>
      <c r="J677" s="541" t="str">
        <f>"T8_"&amp;STDLIGHTINEFCAT2[[#This Row],[Ineff DropDown 2]]</f>
        <v>T8_PG &gt;175</v>
      </c>
      <c r="K677" s="548" t="str">
        <f>STDLIGHTINEFCAT2[[#This Row],[Match]]&amp;"_"&amp;STDLIGHTINEFCAT2[[#This Row],[Options]]</f>
        <v>T8_PG &gt;175_----4 ft Lamps----</v>
      </c>
      <c r="L677" s="542" t="s">
        <v>2404</v>
      </c>
      <c r="M677" s="551"/>
      <c r="N677" s="536"/>
      <c r="O677" s="54">
        <v>714</v>
      </c>
      <c r="P677" s="492"/>
    </row>
    <row r="678" spans="9:16">
      <c r="I678" s="492" t="s">
        <v>2286</v>
      </c>
      <c r="J678" s="541" t="str">
        <f>"T8_"&amp;STDLIGHTINEFCAT2[[#This Row],[Ineff DropDown 2]]</f>
        <v>T8_PG &gt;175</v>
      </c>
      <c r="K678" s="548" t="str">
        <f>STDLIGHTINEFCAT2[[#This Row],[Match]]&amp;"_"&amp;STDLIGHTINEFCAT2[[#This Row],[Options]]</f>
        <v>T8_PG &gt;175_6L T8 4' 32W</v>
      </c>
      <c r="L678" s="536" t="s">
        <v>2436</v>
      </c>
      <c r="M678" s="536">
        <f>6*32</f>
        <v>192</v>
      </c>
      <c r="N678" s="536">
        <v>169</v>
      </c>
      <c r="O678" s="54">
        <v>715</v>
      </c>
      <c r="P678" s="54"/>
    </row>
    <row r="679" spans="9:16">
      <c r="I679" s="492" t="s">
        <v>2286</v>
      </c>
      <c r="J679" s="541" t="str">
        <f>"T8_"&amp;STDLIGHTINEFCAT2[[#This Row],[Ineff DropDown 2]]</f>
        <v>T8_PG &gt;175</v>
      </c>
      <c r="K679" s="548" t="str">
        <f>STDLIGHTINEFCAT2[[#This Row],[Match]]&amp;"_"&amp;STDLIGHTINEFCAT2[[#This Row],[Options]]</f>
        <v>T8_PG &gt;175_----8 ft Lamps----</v>
      </c>
      <c r="L679" s="542" t="s">
        <v>2408</v>
      </c>
      <c r="M679" s="551"/>
      <c r="N679" s="536"/>
      <c r="O679" s="54">
        <v>716</v>
      </c>
      <c r="P679" s="492"/>
    </row>
    <row r="680" spans="9:16">
      <c r="I680" s="492" t="s">
        <v>2286</v>
      </c>
      <c r="J680" s="541" t="str">
        <f>"T8_"&amp;STDLIGHTINEFCAT2[[#This Row],[Ineff DropDown 2]]</f>
        <v>T8_PG &gt;175</v>
      </c>
      <c r="K680" s="548" t="str">
        <f>STDLIGHTINEFCAT2[[#This Row],[Match]]&amp;"_"&amp;STDLIGHTINEFCAT2[[#This Row],[Options]]</f>
        <v>T8_PG &gt;175_2L T8 8' 96W</v>
      </c>
      <c r="L680" s="536" t="s">
        <v>2455</v>
      </c>
      <c r="M680" s="536">
        <f>2*96</f>
        <v>192</v>
      </c>
      <c r="N680" s="536">
        <v>104</v>
      </c>
      <c r="O680" s="54">
        <v>717</v>
      </c>
      <c r="P680" s="54"/>
    </row>
    <row r="681" spans="9:16">
      <c r="I681" s="541" t="s">
        <v>2287</v>
      </c>
      <c r="J681" s="541" t="str">
        <f>"T8_"&amp;STDLIGHTINEFCAT2[[#This Row],[Ineff DropDown 2]]</f>
        <v>T8_PG 101-175</v>
      </c>
      <c r="K681" s="548" t="str">
        <f>STDLIGHTINEFCAT2[[#This Row],[Match]]&amp;"_"&amp;STDLIGHTINEFCAT2[[#This Row],[Options]]</f>
        <v>T8_PG 101-175_----4 ft Lamps----</v>
      </c>
      <c r="L681" s="542" t="s">
        <v>2404</v>
      </c>
      <c r="M681" s="542"/>
      <c r="N681" s="536"/>
      <c r="O681" s="54">
        <v>657</v>
      </c>
      <c r="P681" s="54"/>
    </row>
    <row r="682" spans="9:16">
      <c r="I682" s="541" t="s">
        <v>2287</v>
      </c>
      <c r="J682" s="541" t="str">
        <f>"T8_"&amp;STDLIGHTINEFCAT2[[#This Row],[Ineff DropDown 2]]</f>
        <v>T8_PG 101-175</v>
      </c>
      <c r="K682" s="548" t="str">
        <f>STDLIGHTINEFCAT2[[#This Row],[Match]]&amp;"_"&amp;STDLIGHTINEFCAT2[[#This Row],[Options]]</f>
        <v>T8_PG 101-175_4L T8 4' 30W</v>
      </c>
      <c r="L682" s="536" t="s">
        <v>2431</v>
      </c>
      <c r="M682" s="536">
        <f>4*30</f>
        <v>120</v>
      </c>
      <c r="N682" s="536">
        <v>104</v>
      </c>
      <c r="O682" s="54">
        <v>658</v>
      </c>
      <c r="P682" s="54"/>
    </row>
    <row r="683" spans="9:16">
      <c r="I683" s="541" t="s">
        <v>2287</v>
      </c>
      <c r="J683" s="541" t="str">
        <f>"T8_"&amp;STDLIGHTINEFCAT2[[#This Row],[Ineff DropDown 2]]</f>
        <v>T8_PG 101-175</v>
      </c>
      <c r="K683" s="548" t="str">
        <f>STDLIGHTINEFCAT2[[#This Row],[Match]]&amp;"_"&amp;STDLIGHTINEFCAT2[[#This Row],[Options]]</f>
        <v>T8_PG 101-175_4L T8 4' 32W</v>
      </c>
      <c r="L683" s="536" t="s">
        <v>2435</v>
      </c>
      <c r="M683" s="536">
        <f>4*32</f>
        <v>128</v>
      </c>
      <c r="N683" s="536">
        <v>117</v>
      </c>
      <c r="O683" s="54">
        <v>659</v>
      </c>
      <c r="P683" s="54" t="s">
        <v>2816</v>
      </c>
    </row>
    <row r="684" spans="9:16">
      <c r="I684" s="541" t="s">
        <v>2287</v>
      </c>
      <c r="J684" s="541" t="str">
        <f>"T8_"&amp;STDLIGHTINEFCAT2[[#This Row],[Ineff DropDown 2]]</f>
        <v>T8_PG 101-175</v>
      </c>
      <c r="K684" s="548" t="str">
        <f>STDLIGHTINEFCAT2[[#This Row],[Match]]&amp;"_"&amp;STDLIGHTINEFCAT2[[#This Row],[Options]]</f>
        <v>T8_PG 101-175_4L T8 4' 28W</v>
      </c>
      <c r="L684" s="536" t="s">
        <v>2427</v>
      </c>
      <c r="M684" s="536">
        <f>4*28</f>
        <v>112</v>
      </c>
      <c r="N684" s="536">
        <v>97</v>
      </c>
      <c r="O684" s="54">
        <v>660</v>
      </c>
      <c r="P684" s="54"/>
    </row>
    <row r="685" spans="9:16">
      <c r="I685" s="541" t="s">
        <v>2287</v>
      </c>
      <c r="J685" s="541" t="str">
        <f>"T8_"&amp;STDLIGHTINEFCAT2[[#This Row],[Ineff DropDown 2]]</f>
        <v>T8_PG 101-175</v>
      </c>
      <c r="K685" s="548" t="str">
        <f>STDLIGHTINEFCAT2[[#This Row],[Match]]&amp;"_"&amp;STDLIGHTINEFCAT2[[#This Row],[Options]]</f>
        <v>T8_PG 101-175_----6 ft Lamps----</v>
      </c>
      <c r="L685" s="542" t="s">
        <v>2406</v>
      </c>
      <c r="M685" s="542"/>
      <c r="N685" s="536"/>
      <c r="O685" s="54">
        <v>661</v>
      </c>
      <c r="P685" s="54"/>
    </row>
    <row r="686" spans="9:16">
      <c r="I686" s="541" t="s">
        <v>2287</v>
      </c>
      <c r="J686" s="541" t="str">
        <f>"T8_"&amp;STDLIGHTINEFCAT2[[#This Row],[Ineff DropDown 2]]</f>
        <v>T8_PG 101-175</v>
      </c>
      <c r="K686" s="548" t="str">
        <f>STDLIGHTINEFCAT2[[#This Row],[Match]]&amp;"_"&amp;STDLIGHTINEFCAT2[[#This Row],[Options]]</f>
        <v>T8_PG 101-175_2L T8 6' 66W</v>
      </c>
      <c r="L686" s="536" t="s">
        <v>2451</v>
      </c>
      <c r="M686" s="536">
        <f>2*66</f>
        <v>132</v>
      </c>
      <c r="N686" s="536">
        <v>150</v>
      </c>
      <c r="O686" s="54">
        <v>662</v>
      </c>
      <c r="P686" s="54"/>
    </row>
    <row r="687" spans="9:16">
      <c r="I687" s="541" t="s">
        <v>2287</v>
      </c>
      <c r="J687" s="541" t="str">
        <f>"T8_"&amp;STDLIGHTINEFCAT2[[#This Row],[Ineff DropDown 2]]</f>
        <v>T8_PG 101-175</v>
      </c>
      <c r="K687" s="548" t="str">
        <f>STDLIGHTINEFCAT2[[#This Row],[Match]]&amp;"_"&amp;STDLIGHTINEFCAT2[[#This Row],[Options]]</f>
        <v>T8_PG 101-175_----8 ft Lamps----</v>
      </c>
      <c r="L687" s="542" t="s">
        <v>2408</v>
      </c>
      <c r="M687" s="542"/>
      <c r="N687" s="536"/>
      <c r="O687" s="54">
        <v>663</v>
      </c>
      <c r="P687" s="54"/>
    </row>
    <row r="688" spans="9:16">
      <c r="I688" s="541" t="s">
        <v>2287</v>
      </c>
      <c r="J688" s="541" t="str">
        <f>"T8_"&amp;STDLIGHTINEFCAT2[[#This Row],[Ineff DropDown 2]]</f>
        <v>T8_PG 101-175</v>
      </c>
      <c r="K688" s="548" t="str">
        <f>STDLIGHTINEFCAT2[[#This Row],[Match]]&amp;"_"&amp;STDLIGHTINEFCAT2[[#This Row],[Options]]</f>
        <v>T8_PG 101-175_2L T8 8' 59W</v>
      </c>
      <c r="L688" s="536" t="s">
        <v>2449</v>
      </c>
      <c r="M688" s="536">
        <f>2*59</f>
        <v>118</v>
      </c>
      <c r="N688" s="536">
        <v>104</v>
      </c>
      <c r="O688" s="54">
        <v>664</v>
      </c>
      <c r="P688" s="54"/>
    </row>
    <row r="689" spans="9:16">
      <c r="I689" s="541" t="s">
        <v>2287</v>
      </c>
      <c r="J689" s="541" t="str">
        <f>"T8_"&amp;STDLIGHTINEFCAT2[[#This Row],[Ineff DropDown 2]]</f>
        <v>T8_PG 101-175</v>
      </c>
      <c r="K689" s="548" t="str">
        <f>STDLIGHTINEFCAT2[[#This Row],[Match]]&amp;"_"&amp;STDLIGHTINEFCAT2[[#This Row],[Options]]</f>
        <v>T8_PG 101-175_2L T8 8' 86W</v>
      </c>
      <c r="L689" s="536" t="s">
        <v>2453</v>
      </c>
      <c r="M689" s="536">
        <f>2*86</f>
        <v>172</v>
      </c>
      <c r="N689" s="536">
        <v>160</v>
      </c>
      <c r="O689" s="54">
        <v>665</v>
      </c>
      <c r="P689" s="54"/>
    </row>
    <row r="690" spans="9:16">
      <c r="I690" s="541" t="s">
        <v>2639</v>
      </c>
      <c r="J690" s="541" t="str">
        <f>"T8_"&amp;STDLIGHTINEFCAT2[[#This Row],[Ineff DropDown 2]]</f>
        <v>T8_Retrofit_2ft</v>
      </c>
      <c r="K690" s="548" t="str">
        <f>STDLIGHTINEFCAT2[[#This Row],[Match]]&amp;"_"&amp;STDLIGHTINEFCAT2[[#This Row],[Options]]</f>
        <v>T8_Retrofit_2ft_1L T8 2' 17W</v>
      </c>
      <c r="L690" s="536" t="s">
        <v>2412</v>
      </c>
      <c r="M690" s="536">
        <v>17</v>
      </c>
      <c r="N690" s="536">
        <v>24</v>
      </c>
      <c r="O690" s="54">
        <v>470</v>
      </c>
      <c r="P690" s="54"/>
    </row>
    <row r="691" spans="9:16">
      <c r="I691" s="541" t="s">
        <v>2639</v>
      </c>
      <c r="J691" s="541" t="str">
        <f>"T8_"&amp;STDLIGHTINEFCAT2[[#This Row],[Ineff DropDown 2]]</f>
        <v>T8_Retrofit_2ft</v>
      </c>
      <c r="K691" s="548" t="str">
        <f>STDLIGHTINEFCAT2[[#This Row],[Match]]&amp;"_"&amp;STDLIGHTINEFCAT2[[#This Row],[Options]]</f>
        <v>T8_Retrofit_2ft_2L T8 2' 17W</v>
      </c>
      <c r="L691" s="536" t="s">
        <v>2413</v>
      </c>
      <c r="M691" s="536">
        <f>17*2</f>
        <v>34</v>
      </c>
      <c r="N691" s="536">
        <v>45</v>
      </c>
      <c r="O691" s="54">
        <v>471</v>
      </c>
      <c r="P691" s="54"/>
    </row>
    <row r="692" spans="9:16">
      <c r="I692" s="541" t="s">
        <v>2639</v>
      </c>
      <c r="J692" s="541" t="str">
        <f>"T8_"&amp;STDLIGHTINEFCAT2[[#This Row],[Ineff DropDown 2]]</f>
        <v>T8_Retrofit_2ft</v>
      </c>
      <c r="K692" s="548" t="str">
        <f>STDLIGHTINEFCAT2[[#This Row],[Match]]&amp;"_"&amp;STDLIGHTINEFCAT2[[#This Row],[Options]]</f>
        <v>T8_Retrofit_2ft_3L T8 2' 17W</v>
      </c>
      <c r="L692" s="536" t="s">
        <v>2414</v>
      </c>
      <c r="M692" s="536">
        <f>3*17</f>
        <v>51</v>
      </c>
      <c r="N692" s="536">
        <v>64</v>
      </c>
      <c r="O692" s="54">
        <v>472</v>
      </c>
      <c r="P692" s="54"/>
    </row>
    <row r="693" spans="9:16">
      <c r="I693" s="541" t="s">
        <v>2639</v>
      </c>
      <c r="J693" s="541" t="str">
        <f>"T8_"&amp;STDLIGHTINEFCAT2[[#This Row],[Ineff DropDown 2]]</f>
        <v>T8_Retrofit_2ft</v>
      </c>
      <c r="K693" s="548" t="str">
        <f>STDLIGHTINEFCAT2[[#This Row],[Match]]&amp;"_"&amp;STDLIGHTINEFCAT2[[#This Row],[Options]]</f>
        <v>T8_Retrofit_2ft_4L T8 2' 17W</v>
      </c>
      <c r="L693" s="536" t="s">
        <v>2415</v>
      </c>
      <c r="M693" s="536">
        <f>4*17</f>
        <v>68</v>
      </c>
      <c r="N693" s="536">
        <v>83</v>
      </c>
      <c r="O693" s="54">
        <v>473</v>
      </c>
      <c r="P693" s="54"/>
    </row>
    <row r="694" spans="9:16">
      <c r="I694" s="541" t="s">
        <v>2639</v>
      </c>
      <c r="J694" s="541" t="str">
        <f>"T8_"&amp;STDLIGHTINEFCAT2[[#This Row],[Ineff DropDown 2]]</f>
        <v>T8_Retrofit_2ft</v>
      </c>
      <c r="K694" s="548" t="str">
        <f>STDLIGHTINEFCAT2[[#This Row],[Match]]&amp;"_"&amp;STDLIGHTINEFCAT2[[#This Row],[Options]]</f>
        <v>T8_Retrofit_2ft_1L T8 Ubend 32W</v>
      </c>
      <c r="L694" s="536" t="s">
        <v>2826</v>
      </c>
      <c r="M694" s="536">
        <v>32</v>
      </c>
      <c r="N694" s="536">
        <v>31</v>
      </c>
      <c r="O694" s="54">
        <v>474</v>
      </c>
      <c r="P694" s="492" t="s">
        <v>2824</v>
      </c>
    </row>
    <row r="695" spans="9:16">
      <c r="I695" s="541" t="s">
        <v>2639</v>
      </c>
      <c r="J695" s="541" t="str">
        <f>"T8_"&amp;STDLIGHTINEFCAT2[[#This Row],[Ineff DropDown 2]]</f>
        <v>T8_Retrofit_2ft</v>
      </c>
      <c r="K695" s="548" t="str">
        <f>STDLIGHTINEFCAT2[[#This Row],[Match]]&amp;"_"&amp;STDLIGHTINEFCAT2[[#This Row],[Options]]</f>
        <v>T8_Retrofit_2ft_2L T8 Ubend 32W</v>
      </c>
      <c r="L695" s="536" t="s">
        <v>2827</v>
      </c>
      <c r="M695" s="536">
        <f>32*2</f>
        <v>64</v>
      </c>
      <c r="N695" s="536">
        <v>59</v>
      </c>
      <c r="O695" s="54">
        <v>475</v>
      </c>
      <c r="P695" s="54" t="s">
        <v>2825</v>
      </c>
    </row>
    <row r="696" spans="9:16">
      <c r="I696" s="496" t="s">
        <v>2638</v>
      </c>
      <c r="J696" s="541" t="str">
        <f>"T8_"&amp;STDLIGHTINEFCAT2[[#This Row],[Ineff DropDown 2]]</f>
        <v>T8_Retrofit_4ft</v>
      </c>
      <c r="K696" s="548" t="str">
        <f>STDLIGHTINEFCAT2[[#This Row],[Match]]&amp;"_"&amp;STDLIGHTINEFCAT2[[#This Row],[Options]]</f>
        <v>T8_Retrofit_4ft_1L T8 4' 25W</v>
      </c>
      <c r="L696" s="536" t="s">
        <v>2420</v>
      </c>
      <c r="M696" s="536">
        <v>25</v>
      </c>
      <c r="N696" s="536">
        <v>26</v>
      </c>
      <c r="O696" s="54">
        <v>476</v>
      </c>
      <c r="P696" s="54"/>
    </row>
    <row r="697" spans="9:16">
      <c r="I697" s="496" t="s">
        <v>2638</v>
      </c>
      <c r="J697" s="541" t="str">
        <f>"T8_"&amp;STDLIGHTINEFCAT2[[#This Row],[Ineff DropDown 2]]</f>
        <v>T8_Retrofit_4ft</v>
      </c>
      <c r="K697" s="548" t="str">
        <f>STDLIGHTINEFCAT2[[#This Row],[Match]]&amp;"_"&amp;STDLIGHTINEFCAT2[[#This Row],[Options]]</f>
        <v>T8_Retrofit_4ft_2L T8 4' 25W</v>
      </c>
      <c r="L697" s="536" t="s">
        <v>2421</v>
      </c>
      <c r="M697" s="536">
        <v>50</v>
      </c>
      <c r="N697" s="536">
        <v>43</v>
      </c>
      <c r="O697" s="54">
        <v>477</v>
      </c>
      <c r="P697" s="54"/>
    </row>
    <row r="698" spans="9:16">
      <c r="I698" s="496" t="s">
        <v>2638</v>
      </c>
      <c r="J698" s="541" t="str">
        <f>"T8_"&amp;STDLIGHTINEFCAT2[[#This Row],[Ineff DropDown 2]]</f>
        <v>T8_Retrofit_4ft</v>
      </c>
      <c r="K698" s="549" t="str">
        <f>STDLIGHTINEFCAT2[[#This Row],[Match]]&amp;"_"&amp;STDLIGHTINEFCAT2[[#This Row],[Options]]</f>
        <v>T8_Retrofit_4ft_3L T8 4' 25W</v>
      </c>
      <c r="L698" s="540" t="s">
        <v>2422</v>
      </c>
      <c r="M698" s="536">
        <v>75</v>
      </c>
      <c r="N698" s="540">
        <v>63</v>
      </c>
      <c r="O698" s="54">
        <v>478</v>
      </c>
      <c r="P698" s="54"/>
    </row>
    <row r="699" spans="9:16">
      <c r="I699" s="496" t="s">
        <v>2638</v>
      </c>
      <c r="J699" s="541" t="str">
        <f>"T8_"&amp;STDLIGHTINEFCAT2[[#This Row],[Ineff DropDown 2]]</f>
        <v>T8_Retrofit_4ft</v>
      </c>
      <c r="K699" s="548" t="str">
        <f>STDLIGHTINEFCAT2[[#This Row],[Match]]&amp;"_"&amp;STDLIGHTINEFCAT2[[#This Row],[Options]]</f>
        <v>T8_Retrofit_4ft_4L T8 4' 25W</v>
      </c>
      <c r="L699" s="536" t="s">
        <v>2423</v>
      </c>
      <c r="M699" s="536">
        <v>100</v>
      </c>
      <c r="N699" s="536">
        <v>85</v>
      </c>
      <c r="O699" s="54">
        <v>479</v>
      </c>
      <c r="P699" s="54"/>
    </row>
    <row r="700" spans="9:16">
      <c r="I700" s="496" t="s">
        <v>2638</v>
      </c>
      <c r="J700" s="541" t="str">
        <f>"T8_"&amp;STDLIGHTINEFCAT2[[#This Row],[Ineff DropDown 2]]</f>
        <v>T8_Retrofit_4ft</v>
      </c>
      <c r="K700" s="549" t="str">
        <f>STDLIGHTINEFCAT2[[#This Row],[Match]]&amp;"_"&amp;STDLIGHTINEFCAT2[[#This Row],[Options]]</f>
        <v>T8_Retrofit_4ft_1L T8 4' 28W</v>
      </c>
      <c r="L700" s="540" t="s">
        <v>2424</v>
      </c>
      <c r="M700" s="540">
        <v>28</v>
      </c>
      <c r="N700" s="540">
        <v>25</v>
      </c>
      <c r="O700" s="54">
        <v>480</v>
      </c>
      <c r="P700" s="54"/>
    </row>
    <row r="701" spans="9:16">
      <c r="I701" s="496" t="s">
        <v>2638</v>
      </c>
      <c r="J701" s="541" t="str">
        <f>"T8_"&amp;STDLIGHTINEFCAT2[[#This Row],[Ineff DropDown 2]]</f>
        <v>T8_Retrofit_4ft</v>
      </c>
      <c r="K701" s="549" t="str">
        <f>STDLIGHTINEFCAT2[[#This Row],[Match]]&amp;"_"&amp;STDLIGHTINEFCAT2[[#This Row],[Options]]</f>
        <v>T8_Retrofit_4ft_2L T8 4' 28W</v>
      </c>
      <c r="L701" s="536" t="s">
        <v>2425</v>
      </c>
      <c r="M701" s="540">
        <f>2*28</f>
        <v>56</v>
      </c>
      <c r="N701" s="540">
        <v>48</v>
      </c>
      <c r="O701" s="54">
        <v>481</v>
      </c>
      <c r="P701" s="54"/>
    </row>
    <row r="702" spans="9:16">
      <c r="I702" s="496" t="s">
        <v>2638</v>
      </c>
      <c r="J702" s="541" t="str">
        <f>"T8_"&amp;STDLIGHTINEFCAT2[[#This Row],[Ineff DropDown 2]]</f>
        <v>T8_Retrofit_4ft</v>
      </c>
      <c r="K702" s="548" t="str">
        <f>STDLIGHTINEFCAT2[[#This Row],[Match]]&amp;"_"&amp;STDLIGHTINEFCAT2[[#This Row],[Options]]</f>
        <v>T8_Retrofit_4ft_3L T8 4' 28W</v>
      </c>
      <c r="L702" s="536" t="s">
        <v>2426</v>
      </c>
      <c r="M702" s="536">
        <f>3*28</f>
        <v>84</v>
      </c>
      <c r="N702" s="536">
        <v>72</v>
      </c>
      <c r="O702" s="54">
        <v>482</v>
      </c>
      <c r="P702" s="492"/>
    </row>
    <row r="703" spans="9:16">
      <c r="I703" s="496" t="s">
        <v>2638</v>
      </c>
      <c r="J703" s="541" t="str">
        <f>"T8_"&amp;STDLIGHTINEFCAT2[[#This Row],[Ineff DropDown 2]]</f>
        <v>T8_Retrofit_4ft</v>
      </c>
      <c r="K703" s="548" t="str">
        <f>STDLIGHTINEFCAT2[[#This Row],[Match]]&amp;"_"&amp;STDLIGHTINEFCAT2[[#This Row],[Options]]</f>
        <v>T8_Retrofit_4ft_4L T8 4' 28W</v>
      </c>
      <c r="L703" s="536" t="s">
        <v>2427</v>
      </c>
      <c r="M703" s="536">
        <f>4*28</f>
        <v>112</v>
      </c>
      <c r="N703" s="536">
        <v>97</v>
      </c>
      <c r="O703" s="54">
        <v>483</v>
      </c>
      <c r="P703" s="54"/>
    </row>
    <row r="704" spans="9:16">
      <c r="I704" s="496" t="s">
        <v>2638</v>
      </c>
      <c r="J704" s="541" t="str">
        <f>"T8_"&amp;STDLIGHTINEFCAT2[[#This Row],[Ineff DropDown 2]]</f>
        <v>T8_Retrofit_4ft</v>
      </c>
      <c r="K704" s="548" t="str">
        <f>STDLIGHTINEFCAT2[[#This Row],[Match]]&amp;"_"&amp;STDLIGHTINEFCAT2[[#This Row],[Options]]</f>
        <v>T8_Retrofit_4ft_1L T8 4' 30W</v>
      </c>
      <c r="L704" s="536" t="s">
        <v>2428</v>
      </c>
      <c r="M704" s="536">
        <v>30</v>
      </c>
      <c r="N704" s="536">
        <v>40</v>
      </c>
      <c r="O704" s="54">
        <v>484</v>
      </c>
      <c r="P704" s="492"/>
    </row>
    <row r="705" spans="9:16">
      <c r="I705" s="496" t="s">
        <v>2638</v>
      </c>
      <c r="J705" s="541" t="str">
        <f>"T8_"&amp;STDLIGHTINEFCAT2[[#This Row],[Ineff DropDown 2]]</f>
        <v>T8_Retrofit_4ft</v>
      </c>
      <c r="K705" s="549" t="str">
        <f>STDLIGHTINEFCAT2[[#This Row],[Match]]&amp;"_"&amp;STDLIGHTINEFCAT2[[#This Row],[Options]]</f>
        <v>T8_Retrofit_4ft_2L T8 4' 30W</v>
      </c>
      <c r="L705" s="540" t="s">
        <v>2429</v>
      </c>
      <c r="M705" s="540">
        <v>60</v>
      </c>
      <c r="N705" s="540">
        <v>82</v>
      </c>
      <c r="O705" s="54">
        <v>485</v>
      </c>
      <c r="P705" s="54"/>
    </row>
    <row r="706" spans="9:16">
      <c r="I706" s="496" t="s">
        <v>2638</v>
      </c>
      <c r="J706" s="541" t="str">
        <f>"T8_"&amp;STDLIGHTINEFCAT2[[#This Row],[Ineff DropDown 2]]</f>
        <v>T8_Retrofit_4ft</v>
      </c>
      <c r="K706" s="549" t="str">
        <f>STDLIGHTINEFCAT2[[#This Row],[Match]]&amp;"_"&amp;STDLIGHTINEFCAT2[[#This Row],[Options]]</f>
        <v>T8_Retrofit_4ft_3L T8 4' 30W</v>
      </c>
      <c r="L706" s="536" t="s">
        <v>2430</v>
      </c>
      <c r="M706" s="540">
        <v>90</v>
      </c>
      <c r="N706" s="540">
        <v>77</v>
      </c>
      <c r="O706" s="54">
        <v>486</v>
      </c>
      <c r="P706" s="54"/>
    </row>
    <row r="707" spans="9:16">
      <c r="I707" s="496" t="s">
        <v>2638</v>
      </c>
      <c r="J707" s="541" t="str">
        <f>"T8_"&amp;STDLIGHTINEFCAT2[[#This Row],[Ineff DropDown 2]]</f>
        <v>T8_Retrofit_4ft</v>
      </c>
      <c r="K707" s="549" t="str">
        <f>STDLIGHTINEFCAT2[[#This Row],[Match]]&amp;"_"&amp;STDLIGHTINEFCAT2[[#This Row],[Options]]</f>
        <v>T8_Retrofit_4ft_4L T8 4' 30W</v>
      </c>
      <c r="L707" s="540" t="s">
        <v>2431</v>
      </c>
      <c r="M707" s="540">
        <f>4*30</f>
        <v>120</v>
      </c>
      <c r="N707" s="540">
        <v>104</v>
      </c>
      <c r="O707" s="54">
        <v>487</v>
      </c>
      <c r="P707" s="54"/>
    </row>
    <row r="708" spans="9:16">
      <c r="I708" s="496" t="s">
        <v>2638</v>
      </c>
      <c r="J708" s="541" t="str">
        <f>"T8_"&amp;STDLIGHTINEFCAT2[[#This Row],[Ineff DropDown 2]]</f>
        <v>T8_Retrofit_4ft</v>
      </c>
      <c r="K708" s="549" t="str">
        <f>STDLIGHTINEFCAT2[[#This Row],[Match]]&amp;"_"&amp;STDLIGHTINEFCAT2[[#This Row],[Options]]</f>
        <v>T8_Retrofit_4ft_1L T8 4' 32W</v>
      </c>
      <c r="L708" s="540" t="s">
        <v>2432</v>
      </c>
      <c r="M708" s="540">
        <v>32</v>
      </c>
      <c r="N708" s="540">
        <v>32</v>
      </c>
      <c r="O708" s="54">
        <v>488</v>
      </c>
      <c r="P708" s="492" t="s">
        <v>2816</v>
      </c>
    </row>
    <row r="709" spans="9:16">
      <c r="I709" s="496" t="s">
        <v>2638</v>
      </c>
      <c r="J709" s="541" t="str">
        <f>"T8_"&amp;STDLIGHTINEFCAT2[[#This Row],[Ineff DropDown 2]]</f>
        <v>T8_Retrofit_4ft</v>
      </c>
      <c r="K709" s="548" t="str">
        <f>STDLIGHTINEFCAT2[[#This Row],[Match]]&amp;"_"&amp;STDLIGHTINEFCAT2[[#This Row],[Options]]</f>
        <v>T8_Retrofit_4ft_2L T8 4' 32W</v>
      </c>
      <c r="L709" s="536" t="s">
        <v>2433</v>
      </c>
      <c r="M709" s="536">
        <f>2*32</f>
        <v>64</v>
      </c>
      <c r="N709" s="536">
        <v>59</v>
      </c>
      <c r="O709" s="54">
        <v>489</v>
      </c>
      <c r="P709" s="54" t="s">
        <v>2816</v>
      </c>
    </row>
    <row r="710" spans="9:16">
      <c r="I710" s="496" t="s">
        <v>2638</v>
      </c>
      <c r="J710" s="541" t="str">
        <f>"T8_"&amp;STDLIGHTINEFCAT2[[#This Row],[Ineff DropDown 2]]</f>
        <v>T8_Retrofit_4ft</v>
      </c>
      <c r="K710" s="548" t="str">
        <f>STDLIGHTINEFCAT2[[#This Row],[Match]]&amp;"_"&amp;STDLIGHTINEFCAT2[[#This Row],[Options]]</f>
        <v>T8_Retrofit_4ft_3L T8 4' 32W</v>
      </c>
      <c r="L710" s="536" t="s">
        <v>2434</v>
      </c>
      <c r="M710" s="536">
        <f>3*32</f>
        <v>96</v>
      </c>
      <c r="N710" s="536">
        <v>88</v>
      </c>
      <c r="O710" s="54">
        <v>490</v>
      </c>
      <c r="P710" s="54" t="s">
        <v>2816</v>
      </c>
    </row>
    <row r="711" spans="9:16">
      <c r="I711" s="496" t="s">
        <v>2638</v>
      </c>
      <c r="J711" s="541" t="str">
        <f>"T8_"&amp;STDLIGHTINEFCAT2[[#This Row],[Ineff DropDown 2]]</f>
        <v>T8_Retrofit_4ft</v>
      </c>
      <c r="K711" s="548" t="str">
        <f>STDLIGHTINEFCAT2[[#This Row],[Match]]&amp;"_"&amp;STDLIGHTINEFCAT2[[#This Row],[Options]]</f>
        <v>T8_Retrofit_4ft_4L T8 4' 32W</v>
      </c>
      <c r="L711" s="536" t="s">
        <v>2435</v>
      </c>
      <c r="M711" s="536">
        <f>4*32</f>
        <v>128</v>
      </c>
      <c r="N711" s="536">
        <v>117</v>
      </c>
      <c r="O711" s="54">
        <v>491</v>
      </c>
      <c r="P711" s="54" t="s">
        <v>2816</v>
      </c>
    </row>
    <row r="712" spans="9:16">
      <c r="I712" s="496" t="s">
        <v>2638</v>
      </c>
      <c r="J712" s="541" t="str">
        <f>"T8_"&amp;STDLIGHTINEFCAT2[[#This Row],[Ineff DropDown 2]]</f>
        <v>T8_Retrofit_4ft</v>
      </c>
      <c r="K712" s="548" t="str">
        <f>STDLIGHTINEFCAT2[[#This Row],[Match]]&amp;"_"&amp;STDLIGHTINEFCAT2[[#This Row],[Options]]</f>
        <v>T8_Retrofit_4ft_6L T8 4' 32W</v>
      </c>
      <c r="L712" s="536" t="s">
        <v>2436</v>
      </c>
      <c r="M712" s="536">
        <f>6*32</f>
        <v>192</v>
      </c>
      <c r="N712" s="536">
        <v>169</v>
      </c>
      <c r="O712" s="54">
        <v>492</v>
      </c>
      <c r="P712" s="54"/>
    </row>
    <row r="713" spans="9:16">
      <c r="I713" s="496" t="s">
        <v>2638</v>
      </c>
      <c r="J713" s="541" t="str">
        <f>"T8_"&amp;STDLIGHTINEFCAT2[[#This Row],[Ineff DropDown 2]]</f>
        <v>T8_Retrofit_4ft</v>
      </c>
      <c r="K713" s="548" t="str">
        <f>STDLIGHTINEFCAT2[[#This Row],[Match]]&amp;"_"&amp;STDLIGHTINEFCAT2[[#This Row],[Options]]</f>
        <v>T8_Retrofit_4ft_2L T8 4' 36W</v>
      </c>
      <c r="L713" s="536" t="s">
        <v>2437</v>
      </c>
      <c r="M713" s="536">
        <f>2*36</f>
        <v>72</v>
      </c>
      <c r="N713" s="536">
        <v>74</v>
      </c>
      <c r="O713" s="54">
        <v>493</v>
      </c>
      <c r="P713" s="54"/>
    </row>
    <row r="714" spans="9:16">
      <c r="I714" s="496" t="s">
        <v>2638</v>
      </c>
      <c r="J714" s="541" t="str">
        <f>"T8_"&amp;STDLIGHTINEFCAT2[[#This Row],[Ineff DropDown 2]]</f>
        <v>T8_Retrofit_4ft</v>
      </c>
      <c r="K714" s="548" t="str">
        <f>STDLIGHTINEFCAT2[[#This Row],[Match]]&amp;"_"&amp;STDLIGHTINEFCAT2[[#This Row],[Options]]</f>
        <v>T8_Retrofit_4ft_1L T8 4' 44W</v>
      </c>
      <c r="L714" s="536" t="s">
        <v>2438</v>
      </c>
      <c r="M714" s="536">
        <v>44</v>
      </c>
      <c r="N714" s="536">
        <v>59</v>
      </c>
      <c r="O714" s="54">
        <v>494</v>
      </c>
      <c r="P714" s="492"/>
    </row>
    <row r="715" spans="9:16">
      <c r="I715" s="496" t="s">
        <v>2638</v>
      </c>
      <c r="J715" s="541" t="str">
        <f>"T8_"&amp;STDLIGHTINEFCAT2[[#This Row],[Ineff DropDown 2]]</f>
        <v>T8_Retrofit_4ft</v>
      </c>
      <c r="K715" s="549" t="str">
        <f>STDLIGHTINEFCAT2[[#This Row],[Match]]&amp;"_"&amp;STDLIGHTINEFCAT2[[#This Row],[Options]]</f>
        <v>T8_Retrofit_4ft_2L T8 4' 44W</v>
      </c>
      <c r="L715" s="540" t="s">
        <v>2439</v>
      </c>
      <c r="M715" s="540">
        <v>88</v>
      </c>
      <c r="N715" s="540">
        <v>120</v>
      </c>
      <c r="O715" s="54">
        <v>495</v>
      </c>
      <c r="P715" s="54"/>
    </row>
    <row r="716" spans="9:16">
      <c r="I716" s="496" t="s">
        <v>2640</v>
      </c>
      <c r="J716" s="541" t="str">
        <f>"T8_"&amp;STDLIGHTINEFCAT2[[#This Row],[Ineff DropDown 2]]</f>
        <v>T8_Retrofit_8ft</v>
      </c>
      <c r="K716" s="549" t="str">
        <f>STDLIGHTINEFCAT2[[#This Row],[Match]]&amp;"_"&amp;STDLIGHTINEFCAT2[[#This Row],[Options]]</f>
        <v>T8_Retrofit_8ft_4L T8 4' 25W</v>
      </c>
      <c r="L716" s="536" t="s">
        <v>2423</v>
      </c>
      <c r="M716" s="540">
        <v>100</v>
      </c>
      <c r="N716" s="540">
        <v>85</v>
      </c>
      <c r="O716" s="54">
        <v>496</v>
      </c>
      <c r="P716" s="54"/>
    </row>
    <row r="717" spans="9:16">
      <c r="I717" s="496" t="s">
        <v>2640</v>
      </c>
      <c r="J717" s="541" t="str">
        <f>"T8_"&amp;STDLIGHTINEFCAT2[[#This Row],[Ineff DropDown 2]]</f>
        <v>T8_Retrofit_8ft</v>
      </c>
      <c r="K717" s="548" t="str">
        <f>STDLIGHTINEFCAT2[[#This Row],[Match]]&amp;"_"&amp;STDLIGHTINEFCAT2[[#This Row],[Options]]</f>
        <v>T8_Retrofit_8ft_4L T8 4' 28W</v>
      </c>
      <c r="L717" s="536" t="s">
        <v>2427</v>
      </c>
      <c r="M717" s="536">
        <f>4*28</f>
        <v>112</v>
      </c>
      <c r="N717" s="536">
        <v>97</v>
      </c>
      <c r="O717" s="54">
        <v>497</v>
      </c>
      <c r="P717" s="54"/>
    </row>
    <row r="718" spans="9:16">
      <c r="I718" s="496" t="s">
        <v>2640</v>
      </c>
      <c r="J718" s="541" t="str">
        <f>"T8_"&amp;STDLIGHTINEFCAT2[[#This Row],[Ineff DropDown 2]]</f>
        <v>T8_Retrofit_8ft</v>
      </c>
      <c r="K718" s="549" t="str">
        <f>STDLIGHTINEFCAT2[[#This Row],[Match]]&amp;"_"&amp;STDLIGHTINEFCAT2[[#This Row],[Options]]</f>
        <v>T8_Retrofit_8ft_4L T8 4' 30W</v>
      </c>
      <c r="L718" s="536" t="s">
        <v>2431</v>
      </c>
      <c r="M718" s="540">
        <f>4*30</f>
        <v>120</v>
      </c>
      <c r="N718" s="540">
        <v>104</v>
      </c>
      <c r="O718" s="54">
        <v>498</v>
      </c>
      <c r="P718" s="54"/>
    </row>
    <row r="719" spans="9:16">
      <c r="I719" s="496" t="s">
        <v>2640</v>
      </c>
      <c r="J719" s="541" t="str">
        <f>"T8_"&amp;STDLIGHTINEFCAT2[[#This Row],[Ineff DropDown 2]]</f>
        <v>T8_Retrofit_8ft</v>
      </c>
      <c r="K719" s="548" t="str">
        <f>STDLIGHTINEFCAT2[[#This Row],[Match]]&amp;"_"&amp;STDLIGHTINEFCAT2[[#This Row],[Options]]</f>
        <v>T8_Retrofit_8ft_4L T8 4' 32W</v>
      </c>
      <c r="L719" s="536" t="s">
        <v>2435</v>
      </c>
      <c r="M719" s="536">
        <f>4*32</f>
        <v>128</v>
      </c>
      <c r="N719" s="536">
        <v>117</v>
      </c>
      <c r="O719" s="54">
        <v>499</v>
      </c>
      <c r="P719" s="54" t="s">
        <v>2816</v>
      </c>
    </row>
    <row r="720" spans="9:16">
      <c r="I720" s="496" t="s">
        <v>2640</v>
      </c>
      <c r="J720" s="541" t="str">
        <f>"T8_"&amp;STDLIGHTINEFCAT2[[#This Row],[Ineff DropDown 2]]</f>
        <v>T8_Retrofit_8ft</v>
      </c>
      <c r="K720" s="548" t="str">
        <f>STDLIGHTINEFCAT2[[#This Row],[Match]]&amp;"_"&amp;STDLIGHTINEFCAT2[[#This Row],[Options]]</f>
        <v>T8_Retrofit_8ft_1L T8 8' 86W</v>
      </c>
      <c r="L720" s="536" t="s">
        <v>2452</v>
      </c>
      <c r="M720" s="536">
        <v>86</v>
      </c>
      <c r="N720" s="536">
        <v>100</v>
      </c>
      <c r="O720" s="54">
        <v>500</v>
      </c>
      <c r="P720" s="54"/>
    </row>
    <row r="721" spans="9:16">
      <c r="I721" s="496" t="s">
        <v>2640</v>
      </c>
      <c r="J721" s="541" t="str">
        <f>"T8_"&amp;STDLIGHTINEFCAT2[[#This Row],[Ineff DropDown 2]]</f>
        <v>T8_Retrofit_8ft</v>
      </c>
      <c r="K721" s="548" t="str">
        <f>STDLIGHTINEFCAT2[[#This Row],[Match]]&amp;"_"&amp;STDLIGHTINEFCAT2[[#This Row],[Options]]</f>
        <v>T8_Retrofit_8ft_2L T8 8' 86W</v>
      </c>
      <c r="L721" s="536" t="s">
        <v>2453</v>
      </c>
      <c r="M721" s="536">
        <f>2*86</f>
        <v>172</v>
      </c>
      <c r="N721" s="536">
        <v>160</v>
      </c>
      <c r="O721" s="54">
        <v>501</v>
      </c>
      <c r="P721" s="54"/>
    </row>
    <row r="722" spans="9:16">
      <c r="I722" s="496" t="s">
        <v>2640</v>
      </c>
      <c r="J722" s="541" t="str">
        <f>"T8_"&amp;STDLIGHTINEFCAT2[[#This Row],[Ineff DropDown 2]]</f>
        <v>T8_Retrofit_8ft</v>
      </c>
      <c r="K722" s="548" t="str">
        <f>STDLIGHTINEFCAT2[[#This Row],[Match]]&amp;"_"&amp;STDLIGHTINEFCAT2[[#This Row],[Options]]</f>
        <v>T8_Retrofit_8ft_1L T8 8' 96W</v>
      </c>
      <c r="L722" s="536" t="s">
        <v>2454</v>
      </c>
      <c r="M722" s="536">
        <v>96</v>
      </c>
      <c r="N722" s="536">
        <v>52</v>
      </c>
      <c r="O722" s="54">
        <v>502</v>
      </c>
      <c r="P722" s="492"/>
    </row>
    <row r="723" spans="9:16">
      <c r="I723" s="496" t="s">
        <v>2640</v>
      </c>
      <c r="J723" s="541" t="str">
        <f>"T8_"&amp;STDLIGHTINEFCAT2[[#This Row],[Ineff DropDown 2]]</f>
        <v>T8_Retrofit_8ft</v>
      </c>
      <c r="K723" s="549" t="str">
        <f>STDLIGHTINEFCAT2[[#This Row],[Match]]&amp;"_"&amp;STDLIGHTINEFCAT2[[#This Row],[Options]]</f>
        <v>T8_Retrofit_8ft_2L T8 8' 96W</v>
      </c>
      <c r="L723" s="540" t="s">
        <v>2455</v>
      </c>
      <c r="M723" s="540">
        <f>2*96</f>
        <v>192</v>
      </c>
      <c r="N723" s="540">
        <v>104</v>
      </c>
      <c r="O723" s="54">
        <v>503</v>
      </c>
      <c r="P723" s="54"/>
    </row>
    <row r="724" spans="9:16">
      <c r="I724"/>
      <c r="J724"/>
      <c r="K724"/>
      <c r="L724"/>
      <c r="M724"/>
      <c r="N724"/>
    </row>
    <row r="725" spans="9:16">
      <c r="I725"/>
      <c r="J725"/>
      <c r="K725"/>
      <c r="L725"/>
      <c r="M725"/>
      <c r="N725"/>
    </row>
    <row r="726" spans="9:16">
      <c r="I726"/>
      <c r="J726"/>
      <c r="K726"/>
      <c r="L726"/>
      <c r="M726"/>
      <c r="N726"/>
    </row>
    <row r="727" spans="9:16">
      <c r="I727"/>
      <c r="J727"/>
      <c r="K727"/>
      <c r="L727"/>
      <c r="M727"/>
      <c r="N727"/>
    </row>
    <row r="728" spans="9:16">
      <c r="I728"/>
      <c r="J728"/>
      <c r="K728"/>
      <c r="L728"/>
      <c r="M728"/>
      <c r="N728"/>
    </row>
    <row r="729" spans="9:16">
      <c r="I729"/>
      <c r="J729"/>
      <c r="K729"/>
      <c r="L729"/>
      <c r="M729"/>
      <c r="N729"/>
    </row>
    <row r="730" spans="9:16">
      <c r="I730"/>
      <c r="J730"/>
      <c r="K730"/>
      <c r="L730"/>
      <c r="M730"/>
      <c r="N730"/>
    </row>
    <row r="731" spans="9:16">
      <c r="I731"/>
      <c r="J731"/>
      <c r="K731"/>
      <c r="L731"/>
      <c r="M731"/>
      <c r="N731"/>
    </row>
    <row r="732" spans="9:16">
      <c r="I732"/>
      <c r="J732"/>
      <c r="K732"/>
      <c r="L732"/>
      <c r="M732"/>
      <c r="N732"/>
    </row>
    <row r="733" spans="9:16">
      <c r="I733"/>
      <c r="J733"/>
      <c r="K733"/>
      <c r="L733"/>
      <c r="M733"/>
      <c r="N733"/>
    </row>
    <row r="734" spans="9:16">
      <c r="I734"/>
      <c r="J734"/>
      <c r="K734"/>
      <c r="L734"/>
      <c r="M734"/>
      <c r="N734"/>
    </row>
    <row r="735" spans="9:16">
      <c r="I735"/>
      <c r="J735"/>
      <c r="K735"/>
      <c r="L735"/>
      <c r="M735"/>
      <c r="N735"/>
    </row>
    <row r="736" spans="9:16">
      <c r="I736"/>
      <c r="J736"/>
      <c r="K736"/>
      <c r="L736"/>
      <c r="M736"/>
      <c r="N736"/>
    </row>
    <row r="737" spans="9:14">
      <c r="I737"/>
      <c r="J737"/>
      <c r="K737"/>
      <c r="L737"/>
      <c r="M737"/>
      <c r="N737"/>
    </row>
    <row r="738" spans="9:14">
      <c r="I738"/>
      <c r="J738"/>
      <c r="K738"/>
      <c r="L738"/>
      <c r="M738"/>
      <c r="N738"/>
    </row>
    <row r="739" spans="9:14">
      <c r="I739"/>
      <c r="J739"/>
      <c r="K739"/>
      <c r="L739"/>
      <c r="M739"/>
      <c r="N739"/>
    </row>
  </sheetData>
  <sheetProtection algorithmName="SHA-512" hashValue="mvs732+n157k3Km30oJkeDp3alJunPXssmc3c8kW/FW4s9ujCJKEKorVcmXfDgfGyoLCaVWkizLU8bHi4Z5W1Q==" saltValue="d3Sux3m/fyLtDVmjPHztMw==" spinCount="100000" sheet="1" objects="1" scenarios="1"/>
  <phoneticPr fontId="139" type="noConversion"/>
  <pageMargins left="0.7" right="0.7" top="0.75" bottom="0.75" header="0.3" footer="0.3"/>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sheetPr>
  <dimension ref="A1:BY232"/>
  <sheetViews>
    <sheetView showGridLines="0" topLeftCell="AH1" zoomScale="70" zoomScaleNormal="70" workbookViewId="0">
      <selection activeCell="AK20" sqref="AK20"/>
    </sheetView>
  </sheetViews>
  <sheetFormatPr defaultColWidth="0" defaultRowHeight="15"/>
  <cols>
    <col min="1" max="1" width="4.7109375" style="180" customWidth="1"/>
    <col min="2" max="2" width="26" style="14" bestFit="1" customWidth="1"/>
    <col min="3" max="3" width="24" style="14" bestFit="1" customWidth="1"/>
    <col min="4" max="4" width="4.7109375" style="14" customWidth="1"/>
    <col min="5" max="5" width="8.140625" style="23" bestFit="1" customWidth="1"/>
    <col min="6" max="6" width="30.7109375" bestFit="1" customWidth="1"/>
    <col min="7" max="7" width="38.85546875" bestFit="1" customWidth="1"/>
    <col min="8" max="9" width="8.140625" bestFit="1" customWidth="1"/>
    <col min="10" max="10" width="33.5703125" style="14" bestFit="1" customWidth="1"/>
    <col min="11" max="11" width="28.28515625" style="14" bestFit="1" customWidth="1"/>
    <col min="12" max="12" width="28.7109375" bestFit="1" customWidth="1"/>
    <col min="13" max="13" width="8.140625" style="14" bestFit="1" customWidth="1"/>
    <col min="14" max="14" width="7.85546875" style="14" bestFit="1" customWidth="1"/>
    <col min="15" max="15" width="10.7109375" style="14" bestFit="1" customWidth="1"/>
    <col min="16" max="16" width="4.7109375" customWidth="1"/>
    <col min="17" max="17" width="8.140625" style="23" bestFit="1" customWidth="1"/>
    <col min="18" max="18" width="30.7109375" bestFit="1" customWidth="1"/>
    <col min="19" max="19" width="29.28515625" bestFit="1" customWidth="1"/>
    <col min="20" max="21" width="8.140625" bestFit="1" customWidth="1"/>
    <col min="22" max="22" width="28.7109375" style="14" bestFit="1" customWidth="1"/>
    <col min="23" max="23" width="24" style="14" bestFit="1" customWidth="1"/>
    <col min="24" max="24" width="9.140625" style="14" bestFit="1" customWidth="1"/>
    <col min="25" max="25" width="8.140625" style="14" bestFit="1" customWidth="1"/>
    <col min="26" max="26" width="8.140625" style="180" bestFit="1" customWidth="1"/>
    <col min="27" max="27" width="7.85546875" style="14" bestFit="1" customWidth="1"/>
    <col min="28" max="28" width="21.42578125" style="14" bestFit="1" customWidth="1"/>
    <col min="29" max="29" width="4.7109375" style="14" customWidth="1"/>
    <col min="30" max="30" width="22.140625" style="180" bestFit="1" customWidth="1"/>
    <col min="31" max="31" width="4.7109375" customWidth="1"/>
    <col min="32" max="32" width="24" style="23" bestFit="1" customWidth="1"/>
    <col min="33" max="33" width="24.28515625" bestFit="1" customWidth="1"/>
    <col min="34" max="34" width="92.85546875" bestFit="1" customWidth="1"/>
    <col min="35" max="35" width="17.85546875" bestFit="1" customWidth="1"/>
    <col min="36" max="36" width="14.42578125" bestFit="1" customWidth="1"/>
    <col min="37" max="37" width="9.5703125" bestFit="1" customWidth="1"/>
    <col min="38" max="38" width="22.42578125" bestFit="1" customWidth="1"/>
    <col min="39" max="39" width="28.28515625" bestFit="1" customWidth="1"/>
    <col min="40" max="40" width="28.7109375" bestFit="1" customWidth="1"/>
    <col min="41" max="41" width="10.7109375" bestFit="1" customWidth="1"/>
    <col min="42" max="42" width="11.42578125" bestFit="1" customWidth="1"/>
    <col min="43" max="43" width="28.140625" style="54" bestFit="1" customWidth="1"/>
    <col min="44" max="44" width="12.42578125" bestFit="1" customWidth="1"/>
    <col min="45" max="45" width="16.85546875" bestFit="1" customWidth="1"/>
    <col min="46" max="46" width="29.28515625" bestFit="1" customWidth="1"/>
    <col min="47" max="47" width="25.7109375" bestFit="1" customWidth="1"/>
    <col min="48" max="48" width="168.85546875" bestFit="1" customWidth="1"/>
    <col min="49" max="49" width="31" bestFit="1" customWidth="1"/>
    <col min="50" max="50" width="24.28515625" bestFit="1" customWidth="1"/>
    <col min="51" max="52" width="14.85546875" bestFit="1" customWidth="1"/>
    <col min="53" max="53" width="4.7109375" hidden="1"/>
    <col min="54" max="54" width="25" bestFit="1" customWidth="1"/>
    <col min="55" max="55" width="24" bestFit="1" customWidth="1"/>
    <col min="56" max="56" width="24.28515625" bestFit="1" customWidth="1"/>
    <col min="57" max="57" width="43.5703125" bestFit="1" customWidth="1"/>
    <col min="58" max="58" width="17.85546875" bestFit="1" customWidth="1"/>
    <col min="59" max="59" width="14.42578125" bestFit="1" customWidth="1"/>
    <col min="60" max="60" width="9.5703125" bestFit="1" customWidth="1"/>
    <col min="61" max="61" width="22.42578125" bestFit="1" customWidth="1"/>
    <col min="62" max="62" width="28.28515625" bestFit="1" customWidth="1"/>
    <col min="63" max="63" width="28.7109375" bestFit="1" customWidth="1"/>
    <col min="64" max="64" width="10.7109375" bestFit="1" customWidth="1"/>
    <col min="65" max="65" width="11.42578125" bestFit="1" customWidth="1"/>
    <col min="66" max="66" width="26.85546875" bestFit="1" customWidth="1"/>
    <col min="67" max="67" width="12.42578125" bestFit="1" customWidth="1"/>
    <col min="68" max="68" width="16.85546875" bestFit="1" customWidth="1"/>
    <col min="69" max="69" width="23" bestFit="1" customWidth="1"/>
    <col min="70" max="70" width="22.85546875" bestFit="1" customWidth="1"/>
    <col min="71" max="77" width="0" hidden="1" customWidth="1"/>
    <col min="78" max="16384" width="4.7109375" hidden="1"/>
  </cols>
  <sheetData>
    <row r="1" spans="1:70" s="14" customFormat="1">
      <c r="A1" s="180"/>
      <c r="E1" s="23"/>
      <c r="Q1" s="23"/>
      <c r="Z1" s="180"/>
      <c r="AD1" s="180"/>
      <c r="AF1" s="23"/>
      <c r="AQ1" s="54"/>
    </row>
    <row r="2" spans="1:70" ht="60">
      <c r="B2" s="14" t="s">
        <v>1419</v>
      </c>
      <c r="C2" s="180" t="s">
        <v>85</v>
      </c>
      <c r="E2" s="51" t="s">
        <v>85</v>
      </c>
      <c r="F2" s="52" t="s">
        <v>99</v>
      </c>
      <c r="G2" s="52" t="s">
        <v>100</v>
      </c>
      <c r="H2" s="52" t="s">
        <v>114</v>
      </c>
      <c r="I2" s="52" t="s">
        <v>142</v>
      </c>
      <c r="J2" s="50" t="s">
        <v>86</v>
      </c>
      <c r="K2" s="50" t="s">
        <v>342</v>
      </c>
      <c r="L2" s="50" t="s">
        <v>343</v>
      </c>
      <c r="M2" s="53" t="s">
        <v>87</v>
      </c>
      <c r="N2" s="53" t="s">
        <v>347</v>
      </c>
      <c r="O2" s="53" t="s">
        <v>555</v>
      </c>
      <c r="P2" s="53"/>
      <c r="Q2" s="51" t="s">
        <v>85</v>
      </c>
      <c r="R2" s="52" t="s">
        <v>101</v>
      </c>
      <c r="S2" s="52" t="s">
        <v>102</v>
      </c>
      <c r="T2" s="52" t="s">
        <v>115</v>
      </c>
      <c r="U2" s="52" t="s">
        <v>116</v>
      </c>
      <c r="V2" s="53" t="s">
        <v>86</v>
      </c>
      <c r="W2" s="53" t="s">
        <v>342</v>
      </c>
      <c r="X2" s="53" t="s">
        <v>343</v>
      </c>
      <c r="Y2" s="53" t="s">
        <v>87</v>
      </c>
      <c r="Z2" s="53" t="s">
        <v>88</v>
      </c>
      <c r="AA2" s="53" t="s">
        <v>347</v>
      </c>
      <c r="AB2" s="53" t="s">
        <v>555</v>
      </c>
      <c r="AC2" s="45"/>
      <c r="AE2" s="46"/>
      <c r="AF2" s="47" t="s">
        <v>85</v>
      </c>
      <c r="AG2" s="47" t="s">
        <v>580</v>
      </c>
      <c r="AH2" s="46" t="s">
        <v>497</v>
      </c>
      <c r="AI2" s="46" t="s">
        <v>498</v>
      </c>
      <c r="AJ2" s="44" t="s">
        <v>591</v>
      </c>
      <c r="AK2" s="44" t="s">
        <v>88</v>
      </c>
      <c r="AL2" s="46" t="s">
        <v>86</v>
      </c>
      <c r="AM2" s="46" t="s">
        <v>342</v>
      </c>
      <c r="AN2" s="46" t="s">
        <v>343</v>
      </c>
      <c r="AO2" s="46" t="s">
        <v>468</v>
      </c>
      <c r="AP2" s="44" t="s">
        <v>347</v>
      </c>
      <c r="AQ2" s="49" t="s">
        <v>467</v>
      </c>
      <c r="AR2" s="46" t="s">
        <v>333</v>
      </c>
      <c r="AS2" s="44" t="s">
        <v>624</v>
      </c>
      <c r="AT2" s="46" t="s">
        <v>466</v>
      </c>
      <c r="AU2" s="102" t="s">
        <v>1195</v>
      </c>
      <c r="AV2" s="44" t="s">
        <v>2401</v>
      </c>
      <c r="AW2" s="44" t="s">
        <v>1351</v>
      </c>
      <c r="AX2" s="44" t="s">
        <v>2409</v>
      </c>
      <c r="AY2" s="44" t="s">
        <v>2410</v>
      </c>
      <c r="AZ2" s="44" t="s">
        <v>2411</v>
      </c>
    </row>
    <row r="3" spans="1:70">
      <c r="B3" s="14" t="s">
        <v>334</v>
      </c>
      <c r="C3" s="180">
        <v>1</v>
      </c>
      <c r="E3" s="75"/>
      <c r="F3" s="76" t="s">
        <v>1463</v>
      </c>
      <c r="G3" s="76"/>
      <c r="H3" s="76" t="str">
        <f>""</f>
        <v/>
      </c>
      <c r="I3" s="76"/>
      <c r="J3" s="76" t="s">
        <v>408</v>
      </c>
      <c r="K3" s="76"/>
      <c r="L3" s="76"/>
      <c r="M3" s="76" t="s">
        <v>91</v>
      </c>
      <c r="N3" s="76">
        <v>1</v>
      </c>
      <c r="O3" s="76"/>
      <c r="P3" s="44"/>
      <c r="Q3" s="43" t="s">
        <v>1867</v>
      </c>
      <c r="R3" s="44" t="s">
        <v>1455</v>
      </c>
      <c r="S3" s="46"/>
      <c r="T3" s="46" t="str">
        <f>""</f>
        <v/>
      </c>
      <c r="U3" s="46"/>
      <c r="V3" s="46" t="s">
        <v>90</v>
      </c>
      <c r="W3" s="46" t="s">
        <v>461</v>
      </c>
      <c r="X3" s="46"/>
      <c r="Y3" s="46" t="s">
        <v>91</v>
      </c>
      <c r="Z3" s="46">
        <v>15</v>
      </c>
      <c r="AA3" s="48">
        <v>1</v>
      </c>
      <c r="AB3" s="46"/>
      <c r="AC3" s="46"/>
      <c r="AE3" s="46"/>
      <c r="AF3" s="419" t="s">
        <v>1751</v>
      </c>
      <c r="AG3" s="23" t="s">
        <v>1434</v>
      </c>
      <c r="AH3" s="44" t="s">
        <v>670</v>
      </c>
      <c r="AI3" s="66"/>
      <c r="AJ3" s="44"/>
      <c r="AK3" s="66">
        <v>15</v>
      </c>
      <c r="AL3" s="66"/>
      <c r="AM3" s="66"/>
      <c r="AN3" s="66"/>
      <c r="AO3" s="66"/>
      <c r="AP3" s="46">
        <v>1</v>
      </c>
      <c r="AQ3" s="49" t="s">
        <v>2510</v>
      </c>
      <c r="AR3" s="65"/>
      <c r="AS3" s="44" t="s">
        <v>570</v>
      </c>
      <c r="AT3" s="46" t="s">
        <v>94</v>
      </c>
      <c r="AU3" s="102" t="s">
        <v>1198</v>
      </c>
      <c r="AV3" s="44"/>
      <c r="AW3" s="44"/>
      <c r="AX3" s="44"/>
      <c r="AY3" s="44"/>
      <c r="AZ3" s="44"/>
    </row>
    <row r="4" spans="1:70">
      <c r="B4" s="14" t="s">
        <v>1420</v>
      </c>
      <c r="C4" s="180">
        <v>2</v>
      </c>
      <c r="E4" s="75"/>
      <c r="F4" s="76" t="s">
        <v>1462</v>
      </c>
      <c r="G4" s="76"/>
      <c r="H4" s="76" t="str">
        <f>""</f>
        <v/>
      </c>
      <c r="I4" s="76"/>
      <c r="J4" s="76" t="s">
        <v>751</v>
      </c>
      <c r="K4" s="76"/>
      <c r="L4" s="76"/>
      <c r="M4" s="76" t="s">
        <v>91</v>
      </c>
      <c r="N4" s="76">
        <v>2</v>
      </c>
      <c r="O4" s="76"/>
      <c r="P4" s="44"/>
      <c r="Q4" s="43" t="s">
        <v>1866</v>
      </c>
      <c r="R4" s="44" t="s">
        <v>1454</v>
      </c>
      <c r="S4" s="46"/>
      <c r="T4" s="46" t="str">
        <f>""</f>
        <v/>
      </c>
      <c r="U4" s="46"/>
      <c r="V4" s="46" t="s">
        <v>90</v>
      </c>
      <c r="W4" s="46" t="s">
        <v>462</v>
      </c>
      <c r="X4" s="46"/>
      <c r="Y4" s="46" t="s">
        <v>91</v>
      </c>
      <c r="Z4" s="46">
        <v>15</v>
      </c>
      <c r="AA4" s="48">
        <v>2</v>
      </c>
      <c r="AB4" s="46"/>
      <c r="AC4" s="46"/>
      <c r="AE4" s="46"/>
      <c r="AF4" s="419" t="s">
        <v>1752</v>
      </c>
      <c r="AG4" s="23" t="s">
        <v>1434</v>
      </c>
      <c r="AH4" s="46" t="s">
        <v>582</v>
      </c>
      <c r="AI4" s="46"/>
      <c r="AJ4" s="44"/>
      <c r="AK4" s="46">
        <v>20</v>
      </c>
      <c r="AL4" s="46"/>
      <c r="AM4" s="46"/>
      <c r="AN4" s="46"/>
      <c r="AO4" s="46"/>
      <c r="AP4" s="46">
        <v>2</v>
      </c>
      <c r="AQ4" s="49" t="s">
        <v>2150</v>
      </c>
      <c r="AR4" s="47"/>
      <c r="AS4" s="44" t="s">
        <v>570</v>
      </c>
      <c r="AT4" s="46" t="s">
        <v>94</v>
      </c>
      <c r="AU4" s="102" t="s">
        <v>1196</v>
      </c>
      <c r="AV4" s="44"/>
      <c r="AW4" s="44"/>
      <c r="AX4" s="44"/>
      <c r="AY4" s="44"/>
      <c r="AZ4" s="44"/>
      <c r="BB4" t="s">
        <v>2028</v>
      </c>
    </row>
    <row r="5" spans="1:70">
      <c r="B5" s="14" t="s">
        <v>335</v>
      </c>
      <c r="C5" s="180">
        <v>3</v>
      </c>
      <c r="E5" s="75"/>
      <c r="F5" s="76" t="s">
        <v>1461</v>
      </c>
      <c r="G5" s="76"/>
      <c r="H5" s="76" t="str">
        <f>""</f>
        <v/>
      </c>
      <c r="I5" s="76"/>
      <c r="J5" s="76" t="s">
        <v>409</v>
      </c>
      <c r="K5" s="76"/>
      <c r="L5" s="76"/>
      <c r="M5" s="76" t="s">
        <v>91</v>
      </c>
      <c r="N5" s="76">
        <v>3</v>
      </c>
      <c r="O5" s="76"/>
      <c r="P5" s="44"/>
      <c r="Q5" s="47"/>
      <c r="R5" s="44" t="s">
        <v>671</v>
      </c>
      <c r="S5" s="46"/>
      <c r="T5" s="46" t="s">
        <v>508</v>
      </c>
      <c r="U5" s="46"/>
      <c r="V5" s="46"/>
      <c r="W5" s="46"/>
      <c r="X5" s="46"/>
      <c r="Y5" s="46"/>
      <c r="Z5" s="46"/>
      <c r="AA5" s="48">
        <v>3</v>
      </c>
      <c r="AB5" s="46"/>
      <c r="AC5" s="46"/>
      <c r="AE5" s="46"/>
      <c r="AF5" s="419" t="s">
        <v>1753</v>
      </c>
      <c r="AG5" s="23" t="s">
        <v>1434</v>
      </c>
      <c r="AH5" s="44" t="s">
        <v>668</v>
      </c>
      <c r="AI5" s="66"/>
      <c r="AJ5" s="44"/>
      <c r="AK5" s="66">
        <v>15</v>
      </c>
      <c r="AL5" s="66"/>
      <c r="AM5" s="66"/>
      <c r="AN5" s="66"/>
      <c r="AO5" s="66"/>
      <c r="AP5" s="46">
        <v>3</v>
      </c>
      <c r="AQ5" s="49" t="s">
        <v>2510</v>
      </c>
      <c r="AR5" s="65"/>
      <c r="AS5" s="44" t="s">
        <v>570</v>
      </c>
      <c r="AT5" s="46" t="s">
        <v>94</v>
      </c>
      <c r="AU5" s="102" t="s">
        <v>1196</v>
      </c>
      <c r="AV5" s="44"/>
      <c r="AW5" s="44"/>
      <c r="AX5" s="44"/>
      <c r="AY5" s="44"/>
      <c r="AZ5" s="44"/>
      <c r="BB5" s="528" t="s">
        <v>2029</v>
      </c>
      <c r="BC5" s="528" t="s">
        <v>85</v>
      </c>
      <c r="BD5" s="529" t="s">
        <v>580</v>
      </c>
      <c r="BE5" s="530" t="s">
        <v>497</v>
      </c>
      <c r="BF5" s="530" t="s">
        <v>498</v>
      </c>
      <c r="BG5" s="530" t="s">
        <v>591</v>
      </c>
      <c r="BH5" s="530" t="s">
        <v>88</v>
      </c>
      <c r="BI5" s="530" t="s">
        <v>86</v>
      </c>
      <c r="BJ5" s="530" t="s">
        <v>342</v>
      </c>
      <c r="BK5" s="530" t="s">
        <v>343</v>
      </c>
      <c r="BL5" s="530" t="s">
        <v>468</v>
      </c>
      <c r="BM5" s="530" t="s">
        <v>347</v>
      </c>
      <c r="BN5" s="530" t="s">
        <v>467</v>
      </c>
      <c r="BO5" s="530" t="s">
        <v>333</v>
      </c>
      <c r="BP5" s="530" t="s">
        <v>624</v>
      </c>
      <c r="BQ5" s="530" t="s">
        <v>466</v>
      </c>
      <c r="BR5" s="530" t="s">
        <v>1195</v>
      </c>
    </row>
    <row r="6" spans="1:70" ht="30">
      <c r="B6" s="14" t="s">
        <v>1452</v>
      </c>
      <c r="C6" s="180">
        <v>4</v>
      </c>
      <c r="E6" s="77"/>
      <c r="F6" s="76" t="s">
        <v>671</v>
      </c>
      <c r="G6" s="76"/>
      <c r="H6" s="76" t="s">
        <v>508</v>
      </c>
      <c r="I6" s="76"/>
      <c r="J6" s="76"/>
      <c r="K6" s="76"/>
      <c r="L6" s="76"/>
      <c r="M6" s="76" t="s">
        <v>91</v>
      </c>
      <c r="N6" s="76">
        <v>4</v>
      </c>
      <c r="O6" s="76"/>
      <c r="P6" s="44"/>
      <c r="Q6" s="43" t="s">
        <v>1880</v>
      </c>
      <c r="R6" s="49" t="s">
        <v>565</v>
      </c>
      <c r="S6" s="49"/>
      <c r="T6" s="49">
        <v>16</v>
      </c>
      <c r="U6" s="49"/>
      <c r="V6" s="49" t="s">
        <v>567</v>
      </c>
      <c r="W6" s="49" t="s">
        <v>341</v>
      </c>
      <c r="X6" s="46" t="s">
        <v>344</v>
      </c>
      <c r="Y6" s="46" t="s">
        <v>91</v>
      </c>
      <c r="Z6" s="46">
        <v>15</v>
      </c>
      <c r="AA6" s="48">
        <v>4</v>
      </c>
      <c r="AB6" s="46" t="s">
        <v>557</v>
      </c>
      <c r="AC6" s="46"/>
      <c r="AE6" s="46"/>
      <c r="AF6" s="419" t="s">
        <v>1755</v>
      </c>
      <c r="AG6" s="23" t="s">
        <v>1434</v>
      </c>
      <c r="AH6" s="46" t="s">
        <v>587</v>
      </c>
      <c r="AI6" s="46"/>
      <c r="AJ6" s="44"/>
      <c r="AK6" s="46">
        <v>15</v>
      </c>
      <c r="AL6" s="46"/>
      <c r="AM6" s="46"/>
      <c r="AN6" s="46"/>
      <c r="AO6" s="46"/>
      <c r="AP6" s="46">
        <v>4</v>
      </c>
      <c r="AQ6" s="49" t="s">
        <v>2150</v>
      </c>
      <c r="AR6" s="47"/>
      <c r="AS6" s="44" t="s">
        <v>570</v>
      </c>
      <c r="AT6" s="46" t="s">
        <v>94</v>
      </c>
      <c r="AU6" s="102" t="s">
        <v>1196</v>
      </c>
      <c r="AV6" s="44"/>
      <c r="AW6" s="44"/>
      <c r="AX6" s="44"/>
      <c r="AY6" s="44"/>
      <c r="AZ6" s="44"/>
      <c r="BB6" t="s">
        <v>1978</v>
      </c>
      <c r="BC6" s="433" t="s">
        <v>1749</v>
      </c>
      <c r="BD6" s="434" t="s">
        <v>131</v>
      </c>
      <c r="BE6" s="432" t="s">
        <v>1444</v>
      </c>
      <c r="BF6" s="431"/>
      <c r="BG6" s="431"/>
      <c r="BH6" s="431">
        <v>15</v>
      </c>
      <c r="BI6" s="431"/>
      <c r="BJ6" s="431"/>
      <c r="BK6" s="431"/>
      <c r="BL6" s="431"/>
      <c r="BM6" s="431">
        <v>4</v>
      </c>
      <c r="BN6" s="431" t="s">
        <v>2150</v>
      </c>
      <c r="BO6" s="434"/>
      <c r="BP6" s="431" t="s">
        <v>570</v>
      </c>
      <c r="BQ6" s="431" t="s">
        <v>94</v>
      </c>
      <c r="BR6" s="431" t="s">
        <v>1196</v>
      </c>
    </row>
    <row r="7" spans="1:70">
      <c r="B7" s="14" t="s">
        <v>1453</v>
      </c>
      <c r="C7" s="180">
        <v>5</v>
      </c>
      <c r="E7" s="75"/>
      <c r="F7" s="76" t="s">
        <v>348</v>
      </c>
      <c r="G7" s="76" t="s">
        <v>716</v>
      </c>
      <c r="H7" s="76">
        <v>28</v>
      </c>
      <c r="I7" s="76"/>
      <c r="J7" s="76" t="s">
        <v>98</v>
      </c>
      <c r="K7" s="76" t="s">
        <v>341</v>
      </c>
      <c r="L7" s="76" t="s">
        <v>344</v>
      </c>
      <c r="M7" s="76" t="s">
        <v>91</v>
      </c>
      <c r="N7" s="76">
        <v>5</v>
      </c>
      <c r="O7" s="76" t="s">
        <v>556</v>
      </c>
      <c r="P7" s="44"/>
      <c r="Q7" s="43" t="s">
        <v>1881</v>
      </c>
      <c r="R7" s="49" t="s">
        <v>566</v>
      </c>
      <c r="S7" s="49"/>
      <c r="T7" s="49">
        <v>32</v>
      </c>
      <c r="U7" s="49"/>
      <c r="V7" s="49" t="s">
        <v>567</v>
      </c>
      <c r="W7" s="49" t="s">
        <v>341</v>
      </c>
      <c r="X7" s="46" t="s">
        <v>410</v>
      </c>
      <c r="Y7" s="46" t="s">
        <v>91</v>
      </c>
      <c r="Z7" s="46">
        <v>15</v>
      </c>
      <c r="AA7" s="48">
        <v>5</v>
      </c>
      <c r="AB7" s="46" t="s">
        <v>557</v>
      </c>
      <c r="AC7" s="46"/>
      <c r="AE7" s="46"/>
      <c r="AF7" s="419" t="s">
        <v>1756</v>
      </c>
      <c r="AG7" s="23" t="s">
        <v>1434</v>
      </c>
      <c r="AH7" s="46" t="s">
        <v>586</v>
      </c>
      <c r="AI7" s="46"/>
      <c r="AJ7" s="44"/>
      <c r="AK7" s="46">
        <v>15</v>
      </c>
      <c r="AL7" s="46"/>
      <c r="AM7" s="46"/>
      <c r="AN7" s="46"/>
      <c r="AO7" s="46"/>
      <c r="AP7" s="46">
        <v>5</v>
      </c>
      <c r="AQ7" s="49" t="s">
        <v>2510</v>
      </c>
      <c r="AR7" s="47"/>
      <c r="AS7" s="44" t="s">
        <v>570</v>
      </c>
      <c r="AT7" s="46" t="s">
        <v>94</v>
      </c>
      <c r="AU7" s="102" t="s">
        <v>1197</v>
      </c>
      <c r="AV7" s="44"/>
      <c r="AW7" s="44"/>
      <c r="AX7" s="44"/>
      <c r="AY7" s="44"/>
      <c r="AZ7" s="44"/>
      <c r="BB7" s="180" t="s">
        <v>1978</v>
      </c>
      <c r="BC7" s="419" t="s">
        <v>1754</v>
      </c>
      <c r="BD7" s="23" t="s">
        <v>1434</v>
      </c>
      <c r="BE7" s="44" t="s">
        <v>675</v>
      </c>
      <c r="BF7" s="68"/>
      <c r="BG7" s="44"/>
      <c r="BH7" s="68">
        <v>15</v>
      </c>
      <c r="BI7" s="68"/>
      <c r="BJ7" s="68"/>
      <c r="BK7" s="68"/>
      <c r="BL7" s="68"/>
      <c r="BM7" s="46">
        <v>21</v>
      </c>
      <c r="BN7" s="49" t="s">
        <v>2150</v>
      </c>
      <c r="BO7" s="67"/>
      <c r="BP7" s="44" t="s">
        <v>570</v>
      </c>
      <c r="BQ7" s="46" t="s">
        <v>94</v>
      </c>
      <c r="BR7" s="102" t="s">
        <v>1196</v>
      </c>
    </row>
    <row r="8" spans="1:70">
      <c r="E8" s="75"/>
      <c r="F8" s="76" t="s">
        <v>349</v>
      </c>
      <c r="G8" s="76" t="s">
        <v>717</v>
      </c>
      <c r="H8" s="76">
        <v>56</v>
      </c>
      <c r="I8" s="76"/>
      <c r="J8" s="76" t="s">
        <v>98</v>
      </c>
      <c r="K8" s="76" t="s">
        <v>341</v>
      </c>
      <c r="L8" s="76" t="s">
        <v>410</v>
      </c>
      <c r="M8" s="76" t="s">
        <v>91</v>
      </c>
      <c r="N8" s="76">
        <v>6</v>
      </c>
      <c r="O8" s="76" t="s">
        <v>557</v>
      </c>
      <c r="P8" s="44"/>
      <c r="Q8" s="43" t="s">
        <v>1882</v>
      </c>
      <c r="R8" s="49" t="s">
        <v>441</v>
      </c>
      <c r="S8" s="49"/>
      <c r="T8" s="49">
        <v>23</v>
      </c>
      <c r="U8" s="49"/>
      <c r="V8" s="49" t="s">
        <v>463</v>
      </c>
      <c r="W8" s="49" t="s">
        <v>411</v>
      </c>
      <c r="X8" s="46" t="s">
        <v>344</v>
      </c>
      <c r="Y8" s="46" t="s">
        <v>91</v>
      </c>
      <c r="Z8" s="46">
        <v>15</v>
      </c>
      <c r="AA8" s="48">
        <v>6</v>
      </c>
      <c r="AB8" s="46" t="s">
        <v>557</v>
      </c>
      <c r="AC8" s="46"/>
      <c r="AE8" s="46"/>
      <c r="AF8" s="419" t="s">
        <v>1757</v>
      </c>
      <c r="AG8" s="23" t="s">
        <v>1434</v>
      </c>
      <c r="AH8" s="44" t="s">
        <v>612</v>
      </c>
      <c r="AI8" s="46"/>
      <c r="AJ8" s="44"/>
      <c r="AK8" s="46">
        <v>15</v>
      </c>
      <c r="AL8" s="46"/>
      <c r="AM8" s="46"/>
      <c r="AN8" s="46"/>
      <c r="AO8" s="46"/>
      <c r="AP8" s="46">
        <v>6</v>
      </c>
      <c r="AQ8" s="49" t="s">
        <v>1229</v>
      </c>
      <c r="AR8" s="47"/>
      <c r="AS8" s="44" t="s">
        <v>570</v>
      </c>
      <c r="AT8" s="46" t="s">
        <v>94</v>
      </c>
      <c r="AU8" s="102" t="s">
        <v>1198</v>
      </c>
      <c r="AV8" s="44"/>
      <c r="AW8" s="44"/>
      <c r="AX8" s="44"/>
      <c r="AY8" s="44"/>
      <c r="AZ8" s="44"/>
      <c r="BB8" s="180" t="s">
        <v>1978</v>
      </c>
      <c r="BC8" s="419" t="s">
        <v>1769</v>
      </c>
      <c r="BD8" s="12" t="s">
        <v>1221</v>
      </c>
      <c r="BE8" s="44" t="s">
        <v>680</v>
      </c>
      <c r="BF8" s="44"/>
      <c r="BG8" s="44"/>
      <c r="BH8" s="44">
        <v>15</v>
      </c>
      <c r="BI8" s="44"/>
      <c r="BJ8" s="44"/>
      <c r="BK8" s="44"/>
      <c r="BL8" s="44"/>
      <c r="BM8" s="46">
        <v>38</v>
      </c>
      <c r="BN8" s="49" t="s">
        <v>2150</v>
      </c>
      <c r="BO8" s="43"/>
      <c r="BP8" s="44" t="s">
        <v>84</v>
      </c>
      <c r="BQ8" s="46" t="s">
        <v>94</v>
      </c>
      <c r="BR8" s="102" t="s">
        <v>1196</v>
      </c>
    </row>
    <row r="9" spans="1:70">
      <c r="E9" s="75"/>
      <c r="F9" s="76" t="s">
        <v>700</v>
      </c>
      <c r="G9" s="76" t="s">
        <v>718</v>
      </c>
      <c r="H9" s="76">
        <v>62</v>
      </c>
      <c r="I9" s="76"/>
      <c r="J9" s="76" t="s">
        <v>98</v>
      </c>
      <c r="K9" s="76" t="s">
        <v>341</v>
      </c>
      <c r="L9" s="76" t="s">
        <v>413</v>
      </c>
      <c r="M9" s="76" t="s">
        <v>91</v>
      </c>
      <c r="N9" s="76">
        <v>7</v>
      </c>
      <c r="O9" s="76" t="s">
        <v>557</v>
      </c>
      <c r="P9" s="44"/>
      <c r="Q9" s="43" t="s">
        <v>1883</v>
      </c>
      <c r="R9" s="49" t="s">
        <v>442</v>
      </c>
      <c r="S9" s="49"/>
      <c r="T9" s="49">
        <v>46</v>
      </c>
      <c r="U9" s="49"/>
      <c r="V9" s="49" t="s">
        <v>463</v>
      </c>
      <c r="W9" s="49" t="s">
        <v>411</v>
      </c>
      <c r="X9" s="46" t="s">
        <v>410</v>
      </c>
      <c r="Y9" s="46" t="s">
        <v>91</v>
      </c>
      <c r="Z9" s="46">
        <v>15</v>
      </c>
      <c r="AA9" s="48">
        <v>7</v>
      </c>
      <c r="AB9" s="46" t="s">
        <v>557</v>
      </c>
      <c r="AC9" s="46"/>
      <c r="AE9" s="46"/>
      <c r="AF9" s="419" t="s">
        <v>2054</v>
      </c>
      <c r="AG9" s="23" t="s">
        <v>1434</v>
      </c>
      <c r="AH9" s="44" t="s">
        <v>2042</v>
      </c>
      <c r="AI9" s="46"/>
      <c r="AJ9" s="44"/>
      <c r="AK9" s="46">
        <v>10</v>
      </c>
      <c r="AL9" s="46"/>
      <c r="AM9" s="46"/>
      <c r="AN9" s="46"/>
      <c r="AO9" s="46"/>
      <c r="AP9" s="46">
        <v>7</v>
      </c>
      <c r="AQ9" s="55" t="s">
        <v>2201</v>
      </c>
      <c r="AR9" s="47"/>
      <c r="AS9" s="44" t="s">
        <v>570</v>
      </c>
      <c r="AT9" s="46" t="s">
        <v>94</v>
      </c>
      <c r="AU9" s="44" t="s">
        <v>2048</v>
      </c>
      <c r="AV9" s="44"/>
      <c r="AW9" s="44"/>
      <c r="AX9" s="44"/>
      <c r="AY9" s="44"/>
      <c r="AZ9" s="44"/>
      <c r="BB9" s="180"/>
      <c r="BC9" s="438"/>
      <c r="BD9" s="439"/>
      <c r="BE9" s="440"/>
      <c r="BF9" s="441"/>
      <c r="BG9" s="441"/>
      <c r="BH9" s="441"/>
      <c r="BI9" s="441"/>
      <c r="BJ9" s="441"/>
      <c r="BK9" s="441"/>
      <c r="BL9" s="441"/>
      <c r="BM9" s="441"/>
      <c r="BN9" s="442"/>
      <c r="BO9" s="439"/>
      <c r="BP9" s="441"/>
      <c r="BQ9" s="441"/>
      <c r="BR9" s="441"/>
    </row>
    <row r="10" spans="1:70" ht="30">
      <c r="E10" s="75"/>
      <c r="F10" s="76" t="s">
        <v>701</v>
      </c>
      <c r="G10" s="76" t="s">
        <v>719</v>
      </c>
      <c r="H10" s="76">
        <v>112</v>
      </c>
      <c r="I10" s="76"/>
      <c r="J10" s="76" t="s">
        <v>98</v>
      </c>
      <c r="K10" s="76" t="s">
        <v>341</v>
      </c>
      <c r="L10" s="76" t="s">
        <v>414</v>
      </c>
      <c r="M10" s="76" t="s">
        <v>91</v>
      </c>
      <c r="N10" s="76">
        <v>8</v>
      </c>
      <c r="O10" s="76" t="s">
        <v>557</v>
      </c>
      <c r="P10" s="44"/>
      <c r="Q10" s="43" t="s">
        <v>1884</v>
      </c>
      <c r="R10" s="46" t="s">
        <v>443</v>
      </c>
      <c r="S10" s="46" t="s">
        <v>117</v>
      </c>
      <c r="T10" s="46">
        <v>24</v>
      </c>
      <c r="U10" s="46"/>
      <c r="V10" s="46" t="s">
        <v>463</v>
      </c>
      <c r="W10" s="46" t="s">
        <v>412</v>
      </c>
      <c r="X10" s="46" t="s">
        <v>344</v>
      </c>
      <c r="Y10" s="46" t="s">
        <v>91</v>
      </c>
      <c r="Z10" s="46">
        <v>15</v>
      </c>
      <c r="AA10" s="48">
        <v>8</v>
      </c>
      <c r="AB10" s="46" t="s">
        <v>557</v>
      </c>
      <c r="AC10" s="46"/>
      <c r="AD10" s="12"/>
      <c r="AE10" s="46"/>
      <c r="AF10" s="655" t="s">
        <v>2875</v>
      </c>
      <c r="AG10" s="23" t="s">
        <v>1434</v>
      </c>
      <c r="AH10" s="44" t="s">
        <v>2874</v>
      </c>
      <c r="AI10" s="44"/>
      <c r="AJ10" s="44"/>
      <c r="AK10" s="44">
        <v>15</v>
      </c>
      <c r="AL10" s="44"/>
      <c r="AM10" s="44"/>
      <c r="AN10" s="44"/>
      <c r="AO10" s="44"/>
      <c r="AP10" s="46">
        <v>8</v>
      </c>
      <c r="AQ10" s="49" t="s">
        <v>2510</v>
      </c>
      <c r="AR10" s="43"/>
      <c r="AS10" s="654" t="s">
        <v>570</v>
      </c>
      <c r="AT10" s="44" t="s">
        <v>94</v>
      </c>
      <c r="AU10" s="44" t="s">
        <v>2873</v>
      </c>
      <c r="AV10" s="44"/>
      <c r="AW10" s="44"/>
      <c r="AX10" s="44"/>
      <c r="AY10" s="44"/>
      <c r="AZ10" s="44"/>
      <c r="BB10" s="180" t="s">
        <v>1978</v>
      </c>
      <c r="BC10" s="438" t="s">
        <v>1823</v>
      </c>
      <c r="BD10" s="439" t="s">
        <v>131</v>
      </c>
      <c r="BE10" s="440" t="s">
        <v>1435</v>
      </c>
      <c r="BF10" s="441"/>
      <c r="BG10" s="441"/>
      <c r="BH10" s="441">
        <v>15</v>
      </c>
      <c r="BI10" s="441"/>
      <c r="BJ10" s="441"/>
      <c r="BK10" s="441"/>
      <c r="BL10" s="441"/>
      <c r="BM10" s="441">
        <v>7</v>
      </c>
      <c r="BN10" s="442" t="s">
        <v>2510</v>
      </c>
      <c r="BO10" s="439"/>
      <c r="BP10" s="441" t="s">
        <v>570</v>
      </c>
      <c r="BQ10" s="441" t="s">
        <v>489</v>
      </c>
      <c r="BR10" s="441" t="s">
        <v>1196</v>
      </c>
    </row>
    <row r="11" spans="1:70" ht="30">
      <c r="E11" s="75"/>
      <c r="F11" s="76" t="s">
        <v>350</v>
      </c>
      <c r="G11" s="76" t="s">
        <v>720</v>
      </c>
      <c r="H11" s="76">
        <v>37</v>
      </c>
      <c r="I11" s="76"/>
      <c r="J11" s="76" t="s">
        <v>98</v>
      </c>
      <c r="K11" s="76" t="s">
        <v>411</v>
      </c>
      <c r="L11" s="76" t="s">
        <v>344</v>
      </c>
      <c r="M11" s="76" t="s">
        <v>91</v>
      </c>
      <c r="N11" s="76">
        <v>9</v>
      </c>
      <c r="O11" s="76" t="s">
        <v>557</v>
      </c>
      <c r="P11" s="44"/>
      <c r="Q11" s="43" t="s">
        <v>1885</v>
      </c>
      <c r="R11" s="46" t="s">
        <v>444</v>
      </c>
      <c r="S11" s="46" t="s">
        <v>119</v>
      </c>
      <c r="T11" s="46">
        <v>44</v>
      </c>
      <c r="U11" s="46"/>
      <c r="V11" s="46" t="s">
        <v>463</v>
      </c>
      <c r="W11" s="46" t="s">
        <v>412</v>
      </c>
      <c r="X11" s="46" t="s">
        <v>410</v>
      </c>
      <c r="Y11" s="46" t="s">
        <v>91</v>
      </c>
      <c r="Z11" s="46">
        <v>15</v>
      </c>
      <c r="AA11" s="48">
        <v>9</v>
      </c>
      <c r="AB11" s="46" t="s">
        <v>557</v>
      </c>
      <c r="AC11" s="46"/>
      <c r="AD11" s="12"/>
      <c r="AE11" s="46"/>
      <c r="AF11" s="419" t="s">
        <v>2055</v>
      </c>
      <c r="AG11" s="23" t="s">
        <v>1434</v>
      </c>
      <c r="AH11" s="44" t="s">
        <v>2030</v>
      </c>
      <c r="AI11" s="46"/>
      <c r="AJ11" s="44"/>
      <c r="AK11" s="46">
        <v>10</v>
      </c>
      <c r="AL11" s="46"/>
      <c r="AM11" s="46"/>
      <c r="AN11" s="46"/>
      <c r="AO11" s="46"/>
      <c r="AP11" s="46">
        <v>9</v>
      </c>
      <c r="AQ11" s="49" t="s">
        <v>2511</v>
      </c>
      <c r="AR11" s="47"/>
      <c r="AS11" s="44"/>
      <c r="AT11" s="46" t="s">
        <v>94</v>
      </c>
      <c r="AU11" s="44" t="s">
        <v>1196</v>
      </c>
      <c r="AV11" s="44"/>
      <c r="AW11" s="44"/>
      <c r="AX11" s="44"/>
      <c r="AY11" s="44"/>
      <c r="AZ11" s="44"/>
      <c r="BB11" s="180" t="s">
        <v>1978</v>
      </c>
      <c r="BC11" s="438" t="s">
        <v>1750</v>
      </c>
      <c r="BD11" s="439" t="s">
        <v>131</v>
      </c>
      <c r="BE11" s="440" t="s">
        <v>1435</v>
      </c>
      <c r="BF11" s="441"/>
      <c r="BG11" s="441"/>
      <c r="BH11" s="441">
        <v>15</v>
      </c>
      <c r="BI11" s="441"/>
      <c r="BJ11" s="441"/>
      <c r="BK11" s="441"/>
      <c r="BL11" s="441"/>
      <c r="BM11" s="441">
        <v>17</v>
      </c>
      <c r="BN11" s="442" t="s">
        <v>2150</v>
      </c>
      <c r="BO11" s="439"/>
      <c r="BP11" s="441" t="s">
        <v>570</v>
      </c>
      <c r="BQ11" s="441" t="s">
        <v>94</v>
      </c>
      <c r="BR11" s="441" t="s">
        <v>1196</v>
      </c>
    </row>
    <row r="12" spans="1:70">
      <c r="E12" s="75"/>
      <c r="F12" s="76" t="s">
        <v>351</v>
      </c>
      <c r="G12" s="76" t="s">
        <v>721</v>
      </c>
      <c r="H12" s="76">
        <v>74</v>
      </c>
      <c r="I12" s="76"/>
      <c r="J12" s="76" t="s">
        <v>98</v>
      </c>
      <c r="K12" s="76" t="s">
        <v>411</v>
      </c>
      <c r="L12" s="76" t="s">
        <v>410</v>
      </c>
      <c r="M12" s="76" t="s">
        <v>91</v>
      </c>
      <c r="N12" s="76">
        <v>10</v>
      </c>
      <c r="O12" s="76" t="s">
        <v>557</v>
      </c>
      <c r="P12" s="44"/>
      <c r="Q12" s="43" t="s">
        <v>1886</v>
      </c>
      <c r="R12" s="46" t="s">
        <v>445</v>
      </c>
      <c r="S12" s="46" t="s">
        <v>121</v>
      </c>
      <c r="T12" s="46">
        <v>66</v>
      </c>
      <c r="U12" s="46"/>
      <c r="V12" s="46" t="s">
        <v>463</v>
      </c>
      <c r="W12" s="46" t="s">
        <v>412</v>
      </c>
      <c r="X12" s="46" t="s">
        <v>413</v>
      </c>
      <c r="Y12" s="46" t="s">
        <v>91</v>
      </c>
      <c r="Z12" s="46">
        <v>15</v>
      </c>
      <c r="AA12" s="48">
        <v>10</v>
      </c>
      <c r="AB12" s="46" t="s">
        <v>557</v>
      </c>
      <c r="AC12" s="46"/>
      <c r="AD12" s="12"/>
      <c r="AE12" s="46"/>
      <c r="AF12" s="419" t="s">
        <v>2056</v>
      </c>
      <c r="AG12" s="23" t="s">
        <v>1434</v>
      </c>
      <c r="AH12" s="44" t="s">
        <v>2043</v>
      </c>
      <c r="AI12" s="46"/>
      <c r="AJ12" s="46"/>
      <c r="AK12" s="46">
        <v>15</v>
      </c>
      <c r="AL12" s="46"/>
      <c r="AM12" s="46"/>
      <c r="AN12" s="46"/>
      <c r="AO12" s="46"/>
      <c r="AP12" s="46">
        <v>10</v>
      </c>
      <c r="AQ12" s="49" t="s">
        <v>1229</v>
      </c>
      <c r="AR12" s="47"/>
      <c r="AS12" s="44" t="s">
        <v>570</v>
      </c>
      <c r="AT12" s="46" t="s">
        <v>94</v>
      </c>
      <c r="AU12" s="44" t="s">
        <v>1198</v>
      </c>
      <c r="AV12" s="44"/>
      <c r="AW12" s="44"/>
      <c r="AX12" s="44"/>
      <c r="AY12" s="44"/>
      <c r="AZ12" s="44"/>
      <c r="BB12" s="180" t="s">
        <v>1978</v>
      </c>
      <c r="BC12" s="438" t="s">
        <v>1763</v>
      </c>
      <c r="BD12" s="439" t="s">
        <v>1434</v>
      </c>
      <c r="BE12" s="440" t="s">
        <v>585</v>
      </c>
      <c r="BF12" s="441"/>
      <c r="BG12" s="441"/>
      <c r="BH12" s="441">
        <v>15</v>
      </c>
      <c r="BI12" s="441"/>
      <c r="BJ12" s="441"/>
      <c r="BK12" s="441"/>
      <c r="BL12" s="441"/>
      <c r="BM12" s="441">
        <v>39</v>
      </c>
      <c r="BN12" s="442" t="s">
        <v>2150</v>
      </c>
      <c r="BO12" s="439"/>
      <c r="BP12" s="441" t="s">
        <v>570</v>
      </c>
      <c r="BQ12" s="441" t="s">
        <v>94</v>
      </c>
      <c r="BR12" s="441" t="s">
        <v>1196</v>
      </c>
    </row>
    <row r="13" spans="1:70">
      <c r="E13" s="75"/>
      <c r="F13" s="76" t="s">
        <v>702</v>
      </c>
      <c r="G13" s="76" t="s">
        <v>722</v>
      </c>
      <c r="H13" s="76">
        <v>111</v>
      </c>
      <c r="I13" s="76"/>
      <c r="J13" s="76" t="s">
        <v>98</v>
      </c>
      <c r="K13" s="76" t="s">
        <v>411</v>
      </c>
      <c r="L13" s="76" t="s">
        <v>413</v>
      </c>
      <c r="M13" s="76" t="s">
        <v>91</v>
      </c>
      <c r="N13" s="76">
        <v>11</v>
      </c>
      <c r="O13" s="76" t="s">
        <v>557</v>
      </c>
      <c r="P13" s="44"/>
      <c r="Q13" s="43" t="s">
        <v>1887</v>
      </c>
      <c r="R13" s="46" t="s">
        <v>446</v>
      </c>
      <c r="S13" s="46" t="s">
        <v>123</v>
      </c>
      <c r="T13" s="46">
        <v>90</v>
      </c>
      <c r="U13" s="46"/>
      <c r="V13" s="46" t="s">
        <v>463</v>
      </c>
      <c r="W13" s="46" t="s">
        <v>412</v>
      </c>
      <c r="X13" s="46" t="s">
        <v>414</v>
      </c>
      <c r="Y13" s="46" t="s">
        <v>91</v>
      </c>
      <c r="Z13" s="46">
        <v>15</v>
      </c>
      <c r="AA13" s="48">
        <v>11</v>
      </c>
      <c r="AB13" s="46" t="s">
        <v>557</v>
      </c>
      <c r="AC13" s="46"/>
      <c r="AD13" s="12"/>
      <c r="AE13" s="46"/>
      <c r="AF13" s="593" t="s">
        <v>2696</v>
      </c>
      <c r="AG13" s="23" t="s">
        <v>1434</v>
      </c>
      <c r="AH13" s="55" t="s">
        <v>2033</v>
      </c>
      <c r="AI13" s="49"/>
      <c r="AJ13" s="55"/>
      <c r="AK13" s="49">
        <v>15</v>
      </c>
      <c r="AL13" s="49"/>
      <c r="AM13" s="49"/>
      <c r="AN13" s="49"/>
      <c r="AO13" s="49"/>
      <c r="AP13" s="46">
        <v>11</v>
      </c>
      <c r="AQ13" s="49" t="s">
        <v>2510</v>
      </c>
      <c r="AR13" s="47"/>
      <c r="AS13" s="44" t="s">
        <v>570</v>
      </c>
      <c r="AT13" s="46" t="s">
        <v>94</v>
      </c>
      <c r="AU13" s="102" t="s">
        <v>1196</v>
      </c>
      <c r="AV13" s="44"/>
      <c r="AW13" s="44"/>
      <c r="AX13" s="44"/>
      <c r="AY13" s="44"/>
      <c r="AZ13" s="44"/>
      <c r="BB13" s="180" t="s">
        <v>1978</v>
      </c>
      <c r="BC13" s="438" t="s">
        <v>1778</v>
      </c>
      <c r="BD13" s="439" t="s">
        <v>1221</v>
      </c>
      <c r="BE13" s="440" t="s">
        <v>505</v>
      </c>
      <c r="BF13" s="441"/>
      <c r="BG13" s="441"/>
      <c r="BH13" s="441">
        <v>15</v>
      </c>
      <c r="BI13" s="441"/>
      <c r="BJ13" s="441"/>
      <c r="BK13" s="441"/>
      <c r="BL13" s="441"/>
      <c r="BM13" s="441">
        <v>61</v>
      </c>
      <c r="BN13" s="442" t="s">
        <v>2150</v>
      </c>
      <c r="BO13" s="439"/>
      <c r="BP13" s="441" t="s">
        <v>84</v>
      </c>
      <c r="BQ13" s="441" t="s">
        <v>94</v>
      </c>
      <c r="BR13" s="441" t="s">
        <v>1196</v>
      </c>
    </row>
    <row r="14" spans="1:70">
      <c r="E14" s="75"/>
      <c r="F14" s="76" t="s">
        <v>703</v>
      </c>
      <c r="G14" s="76" t="s">
        <v>723</v>
      </c>
      <c r="H14" s="76">
        <v>148</v>
      </c>
      <c r="I14" s="76"/>
      <c r="J14" s="76" t="s">
        <v>98</v>
      </c>
      <c r="K14" s="76" t="s">
        <v>411</v>
      </c>
      <c r="L14" s="76" t="s">
        <v>414</v>
      </c>
      <c r="M14" s="76" t="s">
        <v>91</v>
      </c>
      <c r="N14" s="76">
        <v>12</v>
      </c>
      <c r="O14" s="76" t="s">
        <v>557</v>
      </c>
      <c r="P14" s="44"/>
      <c r="Q14" s="43" t="s">
        <v>1888</v>
      </c>
      <c r="R14" s="44" t="s">
        <v>656</v>
      </c>
      <c r="S14" s="44"/>
      <c r="T14" s="44">
        <v>134</v>
      </c>
      <c r="U14" s="44"/>
      <c r="V14" s="46" t="s">
        <v>463</v>
      </c>
      <c r="W14" s="44" t="s">
        <v>412</v>
      </c>
      <c r="X14" s="44" t="s">
        <v>420</v>
      </c>
      <c r="Y14" s="46" t="s">
        <v>91</v>
      </c>
      <c r="Z14" s="46">
        <v>15</v>
      </c>
      <c r="AA14" s="48">
        <v>12</v>
      </c>
      <c r="AB14" s="46" t="s">
        <v>557</v>
      </c>
      <c r="AC14" s="46"/>
      <c r="AD14" s="12"/>
      <c r="AE14" s="46"/>
      <c r="AF14" s="593" t="s">
        <v>2698</v>
      </c>
      <c r="AG14" s="23" t="s">
        <v>1434</v>
      </c>
      <c r="AH14" s="55" t="s">
        <v>2032</v>
      </c>
      <c r="AI14" s="49"/>
      <c r="AJ14" s="55"/>
      <c r="AK14" s="49">
        <v>15</v>
      </c>
      <c r="AL14" s="49"/>
      <c r="AM14" s="49"/>
      <c r="AN14" s="49"/>
      <c r="AO14" s="49"/>
      <c r="AP14" s="46">
        <v>12</v>
      </c>
      <c r="AQ14" s="49" t="s">
        <v>2510</v>
      </c>
      <c r="AR14" s="47"/>
      <c r="AS14" s="44" t="s">
        <v>570</v>
      </c>
      <c r="AT14" s="46" t="s">
        <v>94</v>
      </c>
      <c r="AU14" s="102" t="s">
        <v>1196</v>
      </c>
      <c r="AV14" s="44"/>
      <c r="AW14" s="44"/>
      <c r="AX14" s="44"/>
      <c r="AY14" s="44"/>
      <c r="AZ14" s="44"/>
      <c r="BB14" s="13" t="s">
        <v>2202</v>
      </c>
      <c r="BC14" s="477" t="s">
        <v>1782</v>
      </c>
      <c r="BD14" s="478" t="s">
        <v>1434</v>
      </c>
      <c r="BE14" s="479" t="s">
        <v>592</v>
      </c>
      <c r="BF14" s="476"/>
      <c r="BG14" s="476"/>
      <c r="BH14" s="476">
        <v>10</v>
      </c>
      <c r="BI14" s="476"/>
      <c r="BJ14" s="476"/>
      <c r="BK14" s="476"/>
      <c r="BL14" s="476"/>
      <c r="BM14" s="476">
        <v>6</v>
      </c>
      <c r="BN14" s="476" t="s">
        <v>1205</v>
      </c>
      <c r="BO14" s="478"/>
      <c r="BP14" s="476" t="s">
        <v>570</v>
      </c>
      <c r="BQ14" s="476" t="s">
        <v>331</v>
      </c>
      <c r="BR14" s="476" t="s">
        <v>1380</v>
      </c>
    </row>
    <row r="15" spans="1:70">
      <c r="B15"/>
      <c r="C15"/>
      <c r="E15" s="75"/>
      <c r="F15" s="76" t="s">
        <v>352</v>
      </c>
      <c r="G15" s="76" t="s">
        <v>724</v>
      </c>
      <c r="H15" s="76">
        <v>48</v>
      </c>
      <c r="I15" s="76"/>
      <c r="J15" s="76" t="s">
        <v>98</v>
      </c>
      <c r="K15" s="76" t="s">
        <v>412</v>
      </c>
      <c r="L15" s="76" t="s">
        <v>344</v>
      </c>
      <c r="M15" s="76" t="s">
        <v>91</v>
      </c>
      <c r="N15" s="76">
        <v>13</v>
      </c>
      <c r="O15" s="76" t="s">
        <v>557</v>
      </c>
      <c r="P15" s="44"/>
      <c r="Q15" s="43" t="s">
        <v>1889</v>
      </c>
      <c r="R15" s="46" t="s">
        <v>447</v>
      </c>
      <c r="S15" s="46"/>
      <c r="T15" s="46">
        <v>24</v>
      </c>
      <c r="U15" s="46"/>
      <c r="V15" s="46" t="s">
        <v>463</v>
      </c>
      <c r="W15" s="46" t="s">
        <v>418</v>
      </c>
      <c r="X15" s="46" t="s">
        <v>344</v>
      </c>
      <c r="Y15" s="46" t="s">
        <v>91</v>
      </c>
      <c r="Z15" s="46">
        <v>15</v>
      </c>
      <c r="AA15" s="48">
        <v>13</v>
      </c>
      <c r="AB15" s="46" t="s">
        <v>568</v>
      </c>
      <c r="AC15" s="46"/>
      <c r="AD15" s="12"/>
      <c r="AE15" s="46"/>
      <c r="AF15" s="419" t="s">
        <v>1758</v>
      </c>
      <c r="AG15" s="23" t="s">
        <v>1434</v>
      </c>
      <c r="AH15" s="49" t="s">
        <v>2898</v>
      </c>
      <c r="AI15" s="49"/>
      <c r="AJ15" s="55"/>
      <c r="AK15" s="49">
        <v>15</v>
      </c>
      <c r="AL15" s="49"/>
      <c r="AM15" s="49"/>
      <c r="AN15" s="49"/>
      <c r="AO15" s="49"/>
      <c r="AP15" s="46">
        <v>13</v>
      </c>
      <c r="AQ15" s="49" t="s">
        <v>2511</v>
      </c>
      <c r="AR15" s="47"/>
      <c r="AS15" s="44" t="s">
        <v>570</v>
      </c>
      <c r="AT15" s="46" t="s">
        <v>94</v>
      </c>
      <c r="AU15" s="102" t="s">
        <v>1197</v>
      </c>
      <c r="AV15" s="44"/>
      <c r="AW15" s="44"/>
      <c r="AX15" s="44"/>
      <c r="AY15" s="44"/>
      <c r="AZ15" s="44"/>
      <c r="BB15" s="13" t="s">
        <v>2202</v>
      </c>
      <c r="BC15" s="433" t="s">
        <v>1781</v>
      </c>
      <c r="BD15" s="434" t="s">
        <v>1434</v>
      </c>
      <c r="BE15" s="432" t="s">
        <v>594</v>
      </c>
      <c r="BF15" s="431"/>
      <c r="BG15" s="431"/>
      <c r="BH15" s="431">
        <v>10</v>
      </c>
      <c r="BI15" s="431"/>
      <c r="BJ15" s="431"/>
      <c r="BK15" s="431"/>
      <c r="BL15" s="431"/>
      <c r="BM15" s="431">
        <v>7</v>
      </c>
      <c r="BN15" s="431" t="s">
        <v>1205</v>
      </c>
      <c r="BO15" s="434"/>
      <c r="BP15" s="431" t="s">
        <v>570</v>
      </c>
      <c r="BQ15" s="431" t="s">
        <v>331</v>
      </c>
      <c r="BR15" s="431" t="s">
        <v>1380</v>
      </c>
    </row>
    <row r="16" spans="1:70">
      <c r="E16" s="75"/>
      <c r="F16" s="76" t="s">
        <v>353</v>
      </c>
      <c r="G16" s="76" t="s">
        <v>725</v>
      </c>
      <c r="H16" s="76">
        <v>82</v>
      </c>
      <c r="I16" s="76"/>
      <c r="J16" s="76" t="s">
        <v>98</v>
      </c>
      <c r="K16" s="76" t="s">
        <v>412</v>
      </c>
      <c r="L16" s="76" t="s">
        <v>410</v>
      </c>
      <c r="M16" s="76" t="s">
        <v>91</v>
      </c>
      <c r="N16" s="76">
        <v>14</v>
      </c>
      <c r="O16" s="76" t="s">
        <v>557</v>
      </c>
      <c r="P16" s="44"/>
      <c r="Q16" s="43" t="s">
        <v>1890</v>
      </c>
      <c r="R16" s="46" t="s">
        <v>448</v>
      </c>
      <c r="S16" s="46"/>
      <c r="T16" s="46">
        <v>44</v>
      </c>
      <c r="U16" s="46"/>
      <c r="V16" s="46" t="s">
        <v>463</v>
      </c>
      <c r="W16" s="46" t="s">
        <v>418</v>
      </c>
      <c r="X16" s="46" t="s">
        <v>410</v>
      </c>
      <c r="Y16" s="46" t="s">
        <v>91</v>
      </c>
      <c r="Z16" s="46">
        <v>15</v>
      </c>
      <c r="AA16" s="48">
        <v>14</v>
      </c>
      <c r="AB16" s="46" t="s">
        <v>568</v>
      </c>
      <c r="AC16" s="46"/>
      <c r="AD16" s="12"/>
      <c r="AE16" s="46"/>
      <c r="AF16" s="420" t="s">
        <v>2738</v>
      </c>
      <c r="AG16" s="23" t="s">
        <v>1434</v>
      </c>
      <c r="AH16" s="49" t="s">
        <v>2900</v>
      </c>
      <c r="AI16" s="49"/>
      <c r="AJ16" s="55"/>
      <c r="AK16" s="49">
        <v>15</v>
      </c>
      <c r="AL16" s="49"/>
      <c r="AM16" s="49"/>
      <c r="AN16" s="49"/>
      <c r="AO16" s="49"/>
      <c r="AP16" s="46">
        <v>14</v>
      </c>
      <c r="AQ16" s="49" t="s">
        <v>2510</v>
      </c>
      <c r="AR16" s="47"/>
      <c r="AS16" s="44" t="s">
        <v>570</v>
      </c>
      <c r="AT16" s="46" t="s">
        <v>94</v>
      </c>
      <c r="AU16" s="44" t="s">
        <v>1197</v>
      </c>
      <c r="AV16" s="44"/>
      <c r="AW16" s="44"/>
      <c r="AX16" s="44"/>
      <c r="AY16" s="44"/>
      <c r="AZ16" s="44"/>
      <c r="BB16" s="13" t="s">
        <v>2202</v>
      </c>
      <c r="BC16" s="477" t="s">
        <v>1784</v>
      </c>
      <c r="BD16" s="478" t="s">
        <v>1434</v>
      </c>
      <c r="BE16" s="479" t="s">
        <v>593</v>
      </c>
      <c r="BF16" s="476"/>
      <c r="BG16" s="476"/>
      <c r="BH16" s="476">
        <v>10</v>
      </c>
      <c r="BI16" s="476"/>
      <c r="BJ16" s="476"/>
      <c r="BK16" s="476"/>
      <c r="BL16" s="476"/>
      <c r="BM16" s="476">
        <v>8</v>
      </c>
      <c r="BN16" s="476" t="s">
        <v>1205</v>
      </c>
      <c r="BO16" s="478"/>
      <c r="BP16" s="476" t="s">
        <v>570</v>
      </c>
      <c r="BQ16" s="476" t="s">
        <v>331</v>
      </c>
      <c r="BR16" s="476" t="s">
        <v>1380</v>
      </c>
    </row>
    <row r="17" spans="5:77">
      <c r="E17" s="75"/>
      <c r="F17" s="76" t="s">
        <v>354</v>
      </c>
      <c r="G17" s="76" t="s">
        <v>726</v>
      </c>
      <c r="H17" s="76">
        <v>122</v>
      </c>
      <c r="I17" s="76"/>
      <c r="J17" s="76" t="s">
        <v>98</v>
      </c>
      <c r="K17" s="76" t="s">
        <v>412</v>
      </c>
      <c r="L17" s="76" t="s">
        <v>413</v>
      </c>
      <c r="M17" s="76" t="s">
        <v>91</v>
      </c>
      <c r="N17" s="76">
        <v>15</v>
      </c>
      <c r="O17" s="76" t="s">
        <v>557</v>
      </c>
      <c r="P17" s="44"/>
      <c r="Q17" s="43" t="s">
        <v>1891</v>
      </c>
      <c r="R17" s="46" t="s">
        <v>449</v>
      </c>
      <c r="S17" s="46" t="s">
        <v>118</v>
      </c>
      <c r="T17" s="46">
        <v>26</v>
      </c>
      <c r="U17" s="46"/>
      <c r="V17" s="46" t="s">
        <v>464</v>
      </c>
      <c r="W17" s="46" t="s">
        <v>412</v>
      </c>
      <c r="X17" s="46" t="s">
        <v>344</v>
      </c>
      <c r="Y17" s="46" t="s">
        <v>91</v>
      </c>
      <c r="Z17" s="46">
        <v>15</v>
      </c>
      <c r="AA17" s="48">
        <v>15</v>
      </c>
      <c r="AB17" s="46" t="s">
        <v>557</v>
      </c>
      <c r="AC17" s="46"/>
      <c r="AD17" s="12"/>
      <c r="AE17" s="46"/>
      <c r="AF17" s="419" t="s">
        <v>1759</v>
      </c>
      <c r="AG17" s="23" t="s">
        <v>1434</v>
      </c>
      <c r="AH17" s="55" t="s">
        <v>696</v>
      </c>
      <c r="AI17" s="55"/>
      <c r="AJ17" s="55"/>
      <c r="AK17" s="55">
        <v>15</v>
      </c>
      <c r="AL17" s="55"/>
      <c r="AM17" s="55"/>
      <c r="AN17" s="55"/>
      <c r="AO17" s="55"/>
      <c r="AP17" s="46">
        <v>15</v>
      </c>
      <c r="AQ17" s="49" t="s">
        <v>2510</v>
      </c>
      <c r="AR17" s="43"/>
      <c r="AS17" s="44" t="s">
        <v>570</v>
      </c>
      <c r="AT17" s="44" t="s">
        <v>94</v>
      </c>
      <c r="AU17" s="102" t="s">
        <v>1202</v>
      </c>
      <c r="AV17" s="44"/>
      <c r="AW17" s="44"/>
      <c r="AX17" s="44"/>
      <c r="AY17" s="44"/>
      <c r="AZ17" s="44"/>
      <c r="BB17" s="13" t="s">
        <v>2202</v>
      </c>
      <c r="BC17" s="527" t="s">
        <v>1783</v>
      </c>
      <c r="BD17" s="439" t="s">
        <v>1434</v>
      </c>
      <c r="BE17" s="440" t="s">
        <v>595</v>
      </c>
      <c r="BF17" s="441"/>
      <c r="BG17" s="441"/>
      <c r="BH17" s="441">
        <v>10</v>
      </c>
      <c r="BI17" s="441"/>
      <c r="BJ17" s="441"/>
      <c r="BK17" s="441"/>
      <c r="BL17" s="441"/>
      <c r="BM17" s="441">
        <v>9</v>
      </c>
      <c r="BN17" s="441" t="s">
        <v>1205</v>
      </c>
      <c r="BO17" s="439"/>
      <c r="BP17" s="441" t="s">
        <v>570</v>
      </c>
      <c r="BQ17" s="441" t="s">
        <v>331</v>
      </c>
      <c r="BR17" s="441" t="s">
        <v>1380</v>
      </c>
    </row>
    <row r="18" spans="5:77">
      <c r="E18" s="75"/>
      <c r="F18" s="76" t="s">
        <v>355</v>
      </c>
      <c r="G18" s="76" t="s">
        <v>509</v>
      </c>
      <c r="H18" s="76">
        <v>164</v>
      </c>
      <c r="I18" s="76"/>
      <c r="J18" s="76" t="s">
        <v>98</v>
      </c>
      <c r="K18" s="76" t="s">
        <v>412</v>
      </c>
      <c r="L18" s="76" t="s">
        <v>414</v>
      </c>
      <c r="M18" s="76" t="s">
        <v>91</v>
      </c>
      <c r="N18" s="76">
        <v>16</v>
      </c>
      <c r="O18" s="76" t="s">
        <v>557</v>
      </c>
      <c r="P18" s="44"/>
      <c r="Q18" s="43" t="s">
        <v>1892</v>
      </c>
      <c r="R18" s="46" t="s">
        <v>450</v>
      </c>
      <c r="S18" s="46" t="s">
        <v>120</v>
      </c>
      <c r="T18" s="46">
        <v>50</v>
      </c>
      <c r="U18" s="46"/>
      <c r="V18" s="46" t="s">
        <v>464</v>
      </c>
      <c r="W18" s="46" t="s">
        <v>412</v>
      </c>
      <c r="X18" s="46" t="s">
        <v>410</v>
      </c>
      <c r="Y18" s="46" t="s">
        <v>91</v>
      </c>
      <c r="Z18" s="46">
        <v>15</v>
      </c>
      <c r="AA18" s="48">
        <v>16</v>
      </c>
      <c r="AB18" s="46" t="s">
        <v>557</v>
      </c>
      <c r="AC18" s="46"/>
      <c r="AD18" s="12"/>
      <c r="AE18" s="46"/>
      <c r="AF18" s="655" t="s">
        <v>2904</v>
      </c>
      <c r="AG18" s="23" t="s">
        <v>1434</v>
      </c>
      <c r="AH18" s="55" t="s">
        <v>2890</v>
      </c>
      <c r="AI18" s="55"/>
      <c r="AJ18" s="55"/>
      <c r="AK18" s="55">
        <v>8</v>
      </c>
      <c r="AL18" s="55"/>
      <c r="AM18" s="55"/>
      <c r="AN18" s="55"/>
      <c r="AO18" s="55"/>
      <c r="AP18" s="46">
        <v>16</v>
      </c>
      <c r="AQ18" s="49" t="s">
        <v>2511</v>
      </c>
      <c r="AR18" s="43"/>
      <c r="AS18" s="44" t="s">
        <v>570</v>
      </c>
      <c r="AT18" s="44" t="s">
        <v>94</v>
      </c>
      <c r="AU18" s="44" t="s">
        <v>2906</v>
      </c>
      <c r="AV18" s="44"/>
      <c r="AW18" s="44"/>
      <c r="AX18" s="44"/>
      <c r="AY18" s="44"/>
      <c r="AZ18" s="44"/>
      <c r="BB18" s="13" t="s">
        <v>2202</v>
      </c>
      <c r="BC18" s="531" t="s">
        <v>1787</v>
      </c>
      <c r="BD18" s="434" t="s">
        <v>1221</v>
      </c>
      <c r="BE18" s="432" t="s">
        <v>476</v>
      </c>
      <c r="BF18" s="431"/>
      <c r="BG18" s="431"/>
      <c r="BH18" s="431">
        <v>10</v>
      </c>
      <c r="BI18" s="431"/>
      <c r="BJ18" s="431"/>
      <c r="BK18" s="431"/>
      <c r="BL18" s="431"/>
      <c r="BM18" s="431">
        <v>11</v>
      </c>
      <c r="BN18" s="532" t="s">
        <v>1205</v>
      </c>
      <c r="BO18" s="434"/>
      <c r="BP18" s="431" t="s">
        <v>84</v>
      </c>
      <c r="BQ18" s="431" t="s">
        <v>331</v>
      </c>
      <c r="BR18" s="431" t="s">
        <v>1380</v>
      </c>
    </row>
    <row r="19" spans="5:77">
      <c r="E19" s="75"/>
      <c r="F19" s="76" t="s">
        <v>1382</v>
      </c>
      <c r="G19" s="76" t="s">
        <v>727</v>
      </c>
      <c r="H19" s="76">
        <v>258</v>
      </c>
      <c r="I19" s="76"/>
      <c r="J19" s="76" t="s">
        <v>98</v>
      </c>
      <c r="K19" s="76" t="s">
        <v>412</v>
      </c>
      <c r="L19" s="76" t="s">
        <v>692</v>
      </c>
      <c r="M19" s="76" t="s">
        <v>91</v>
      </c>
      <c r="N19" s="76">
        <v>17</v>
      </c>
      <c r="O19" s="76" t="s">
        <v>557</v>
      </c>
      <c r="P19" s="44"/>
      <c r="Q19" s="43" t="s">
        <v>1893</v>
      </c>
      <c r="R19" s="46" t="s">
        <v>451</v>
      </c>
      <c r="S19" s="46" t="s">
        <v>122</v>
      </c>
      <c r="T19" s="46">
        <v>74</v>
      </c>
      <c r="U19" s="46"/>
      <c r="V19" s="46" t="s">
        <v>464</v>
      </c>
      <c r="W19" s="46" t="s">
        <v>412</v>
      </c>
      <c r="X19" s="46" t="s">
        <v>413</v>
      </c>
      <c r="Y19" s="46" t="s">
        <v>91</v>
      </c>
      <c r="Z19" s="46">
        <v>15</v>
      </c>
      <c r="AA19" s="48">
        <v>17</v>
      </c>
      <c r="AB19" s="46" t="s">
        <v>557</v>
      </c>
      <c r="AC19" s="46"/>
      <c r="AD19" s="12"/>
      <c r="AE19" s="46"/>
      <c r="AF19" s="655" t="s">
        <v>2905</v>
      </c>
      <c r="AG19" s="23" t="s">
        <v>1434</v>
      </c>
      <c r="AH19" s="55" t="s">
        <v>2887</v>
      </c>
      <c r="AI19" s="661"/>
      <c r="AJ19" s="661"/>
      <c r="AK19" s="661">
        <v>2</v>
      </c>
      <c r="AL19" s="661"/>
      <c r="AM19" s="661"/>
      <c r="AN19" s="661"/>
      <c r="AO19" s="661"/>
      <c r="AP19" s="46">
        <v>17</v>
      </c>
      <c r="AQ19" s="49" t="s">
        <v>2511</v>
      </c>
      <c r="AR19" s="660"/>
      <c r="AS19" s="44" t="s">
        <v>570</v>
      </c>
      <c r="AT19" s="44" t="s">
        <v>94</v>
      </c>
      <c r="AU19" s="44" t="s">
        <v>1197</v>
      </c>
      <c r="AV19" s="662"/>
      <c r="AW19" s="662"/>
      <c r="AX19" s="662"/>
      <c r="AY19" s="662"/>
      <c r="AZ19" s="662"/>
      <c r="BB19" s="13" t="s">
        <v>2202</v>
      </c>
      <c r="BC19" s="531" t="s">
        <v>1786</v>
      </c>
      <c r="BD19" s="434" t="s">
        <v>1221</v>
      </c>
      <c r="BE19" s="432" t="s">
        <v>478</v>
      </c>
      <c r="BF19" s="431"/>
      <c r="BG19" s="431"/>
      <c r="BH19" s="431">
        <v>10</v>
      </c>
      <c r="BI19" s="431"/>
      <c r="BJ19" s="431"/>
      <c r="BK19" s="431"/>
      <c r="BL19" s="431"/>
      <c r="BM19" s="431">
        <v>12</v>
      </c>
      <c r="BN19" s="532" t="s">
        <v>1205</v>
      </c>
      <c r="BO19" s="434"/>
      <c r="BP19" s="431" t="s">
        <v>84</v>
      </c>
      <c r="BQ19" s="431" t="s">
        <v>331</v>
      </c>
      <c r="BR19" s="431" t="s">
        <v>1380</v>
      </c>
    </row>
    <row r="20" spans="5:77">
      <c r="E20" s="43"/>
      <c r="F20" s="44" t="s">
        <v>1383</v>
      </c>
      <c r="G20" s="44" t="s">
        <v>1384</v>
      </c>
      <c r="H20" s="44">
        <v>72</v>
      </c>
      <c r="I20" s="44"/>
      <c r="J20" s="44" t="s">
        <v>98</v>
      </c>
      <c r="K20" s="44" t="s">
        <v>1385</v>
      </c>
      <c r="L20" s="44" t="s">
        <v>344</v>
      </c>
      <c r="M20" s="44" t="s">
        <v>91</v>
      </c>
      <c r="N20" s="76">
        <v>18</v>
      </c>
      <c r="O20" s="44" t="s">
        <v>1386</v>
      </c>
      <c r="P20" s="44"/>
      <c r="Q20" s="43" t="s">
        <v>1894</v>
      </c>
      <c r="R20" s="46" t="s">
        <v>452</v>
      </c>
      <c r="S20" s="46" t="s">
        <v>124</v>
      </c>
      <c r="T20" s="46">
        <v>99</v>
      </c>
      <c r="U20" s="46"/>
      <c r="V20" s="46" t="s">
        <v>464</v>
      </c>
      <c r="W20" s="46" t="s">
        <v>412</v>
      </c>
      <c r="X20" s="46" t="s">
        <v>414</v>
      </c>
      <c r="Y20" s="46" t="s">
        <v>91</v>
      </c>
      <c r="Z20" s="46">
        <v>15</v>
      </c>
      <c r="AA20" s="48">
        <v>18</v>
      </c>
      <c r="AB20" s="46" t="s">
        <v>557</v>
      </c>
      <c r="AC20" s="46"/>
      <c r="AD20" s="12"/>
      <c r="AE20" s="46"/>
      <c r="AF20" s="594" t="s">
        <v>2697</v>
      </c>
      <c r="AG20" s="23" t="s">
        <v>1434</v>
      </c>
      <c r="AH20" s="55" t="s">
        <v>585</v>
      </c>
      <c r="AI20" s="55"/>
      <c r="AJ20" s="55"/>
      <c r="AK20" s="55">
        <v>15</v>
      </c>
      <c r="AL20" s="55"/>
      <c r="AM20" s="55"/>
      <c r="AN20" s="55"/>
      <c r="AO20" s="55"/>
      <c r="AP20" s="46">
        <v>18</v>
      </c>
      <c r="AQ20" s="49" t="s">
        <v>2510</v>
      </c>
      <c r="AR20" s="43"/>
      <c r="AS20" s="44" t="s">
        <v>570</v>
      </c>
      <c r="AT20" s="44" t="s">
        <v>94</v>
      </c>
      <c r="AU20" s="102" t="s">
        <v>1196</v>
      </c>
      <c r="AV20" s="44"/>
      <c r="AW20" s="44"/>
      <c r="AX20" s="44"/>
      <c r="AY20" s="44"/>
      <c r="AZ20" s="44"/>
      <c r="BB20" s="13" t="s">
        <v>2202</v>
      </c>
      <c r="BC20" s="531" t="s">
        <v>1789</v>
      </c>
      <c r="BD20" s="434" t="s">
        <v>1221</v>
      </c>
      <c r="BE20" s="432" t="s">
        <v>477</v>
      </c>
      <c r="BF20" s="431"/>
      <c r="BG20" s="431"/>
      <c r="BH20" s="431">
        <v>10</v>
      </c>
      <c r="BI20" s="431"/>
      <c r="BJ20" s="431"/>
      <c r="BK20" s="431"/>
      <c r="BL20" s="431"/>
      <c r="BM20" s="431">
        <v>13</v>
      </c>
      <c r="BN20" s="532" t="s">
        <v>1205</v>
      </c>
      <c r="BO20" s="434"/>
      <c r="BP20" s="431" t="s">
        <v>84</v>
      </c>
      <c r="BQ20" s="431" t="s">
        <v>331</v>
      </c>
      <c r="BR20" s="431" t="s">
        <v>1380</v>
      </c>
    </row>
    <row r="21" spans="5:77">
      <c r="E21" s="43"/>
      <c r="F21" s="44" t="s">
        <v>1387</v>
      </c>
      <c r="G21" s="44" t="s">
        <v>1388</v>
      </c>
      <c r="H21" s="44">
        <v>111</v>
      </c>
      <c r="I21" s="44"/>
      <c r="J21" s="44" t="s">
        <v>98</v>
      </c>
      <c r="K21" s="44" t="s">
        <v>1385</v>
      </c>
      <c r="L21" s="44" t="s">
        <v>410</v>
      </c>
      <c r="M21" s="44" t="s">
        <v>91</v>
      </c>
      <c r="N21" s="76">
        <v>19</v>
      </c>
      <c r="O21" s="44" t="s">
        <v>1386</v>
      </c>
      <c r="P21" s="44"/>
      <c r="Q21" s="43" t="s">
        <v>1895</v>
      </c>
      <c r="R21" s="44" t="s">
        <v>657</v>
      </c>
      <c r="S21" s="44"/>
      <c r="T21" s="44">
        <v>151</v>
      </c>
      <c r="U21" s="44"/>
      <c r="V21" s="46" t="s">
        <v>464</v>
      </c>
      <c r="W21" s="44" t="s">
        <v>412</v>
      </c>
      <c r="X21" s="44" t="s">
        <v>420</v>
      </c>
      <c r="Y21" s="46" t="s">
        <v>91</v>
      </c>
      <c r="Z21" s="46">
        <v>15</v>
      </c>
      <c r="AA21" s="48">
        <v>19</v>
      </c>
      <c r="AB21" s="44" t="s">
        <v>659</v>
      </c>
      <c r="AC21" s="46"/>
      <c r="AD21" s="12"/>
      <c r="AE21" s="46"/>
      <c r="AF21" s="419" t="s">
        <v>1764</v>
      </c>
      <c r="AG21" s="23" t="s">
        <v>1434</v>
      </c>
      <c r="AH21" s="49" t="s">
        <v>584</v>
      </c>
      <c r="AI21" s="49"/>
      <c r="AJ21" s="55"/>
      <c r="AK21" s="49">
        <v>10</v>
      </c>
      <c r="AL21" s="49"/>
      <c r="AM21" s="49"/>
      <c r="AN21" s="49"/>
      <c r="AO21" s="49"/>
      <c r="AP21" s="46">
        <v>19</v>
      </c>
      <c r="AQ21" s="49" t="s">
        <v>1229</v>
      </c>
      <c r="AR21" s="47"/>
      <c r="AS21" s="44" t="s">
        <v>570</v>
      </c>
      <c r="AT21" s="46" t="s">
        <v>94</v>
      </c>
      <c r="AU21" s="102" t="s">
        <v>1198</v>
      </c>
      <c r="AV21" s="44"/>
      <c r="AW21" s="44"/>
      <c r="AX21" s="44"/>
      <c r="AY21" s="44"/>
      <c r="AZ21" s="44"/>
      <c r="BB21" s="13" t="s">
        <v>2202</v>
      </c>
      <c r="BC21" s="438" t="s">
        <v>1788</v>
      </c>
      <c r="BD21" s="439" t="s">
        <v>1221</v>
      </c>
      <c r="BE21" s="440" t="s">
        <v>479</v>
      </c>
      <c r="BF21" s="441"/>
      <c r="BG21" s="441"/>
      <c r="BH21" s="441">
        <v>10</v>
      </c>
      <c r="BI21" s="441"/>
      <c r="BJ21" s="441"/>
      <c r="BK21" s="441"/>
      <c r="BL21" s="441"/>
      <c r="BM21" s="441">
        <v>14</v>
      </c>
      <c r="BN21" s="442" t="s">
        <v>1205</v>
      </c>
      <c r="BO21" s="439"/>
      <c r="BP21" s="441" t="s">
        <v>84</v>
      </c>
      <c r="BQ21" s="441" t="s">
        <v>331</v>
      </c>
      <c r="BR21" s="441" t="s">
        <v>1380</v>
      </c>
    </row>
    <row r="22" spans="5:77">
      <c r="E22" s="47"/>
      <c r="F22" s="46" t="s">
        <v>1389</v>
      </c>
      <c r="G22" s="76" t="s">
        <v>1390</v>
      </c>
      <c r="H22" s="46">
        <v>80</v>
      </c>
      <c r="I22" s="46"/>
      <c r="J22" s="46" t="s">
        <v>98</v>
      </c>
      <c r="K22" s="46" t="s">
        <v>1391</v>
      </c>
      <c r="L22" s="46" t="s">
        <v>344</v>
      </c>
      <c r="M22" s="46" t="s">
        <v>91</v>
      </c>
      <c r="N22" s="76">
        <v>20</v>
      </c>
      <c r="O22" s="46" t="s">
        <v>1386</v>
      </c>
      <c r="P22" s="44"/>
      <c r="Q22" s="43" t="s">
        <v>1896</v>
      </c>
      <c r="R22" s="46" t="s">
        <v>453</v>
      </c>
      <c r="S22" s="46"/>
      <c r="T22" s="46">
        <v>26</v>
      </c>
      <c r="U22" s="46"/>
      <c r="V22" s="46" t="s">
        <v>464</v>
      </c>
      <c r="W22" s="46" t="s">
        <v>418</v>
      </c>
      <c r="X22" s="46" t="s">
        <v>344</v>
      </c>
      <c r="Y22" s="46" t="s">
        <v>91</v>
      </c>
      <c r="Z22" s="46">
        <v>15</v>
      </c>
      <c r="AA22" s="48">
        <v>20</v>
      </c>
      <c r="AB22" s="46" t="s">
        <v>568</v>
      </c>
      <c r="AC22" s="46"/>
      <c r="AD22" s="12"/>
      <c r="AE22" s="46"/>
      <c r="AF22" s="419" t="s">
        <v>2058</v>
      </c>
      <c r="AG22" s="23" t="s">
        <v>1434</v>
      </c>
      <c r="AH22" s="55" t="s">
        <v>2039</v>
      </c>
      <c r="AI22" s="49"/>
      <c r="AJ22" s="55"/>
      <c r="AK22" s="49">
        <v>15</v>
      </c>
      <c r="AL22" s="49"/>
      <c r="AM22" s="49"/>
      <c r="AN22" s="49"/>
      <c r="AO22" s="49"/>
      <c r="AP22" s="46">
        <v>20</v>
      </c>
      <c r="AQ22" s="49" t="s">
        <v>2510</v>
      </c>
      <c r="AR22" s="47"/>
      <c r="AS22" s="44" t="s">
        <v>570</v>
      </c>
      <c r="AT22" s="46" t="s">
        <v>94</v>
      </c>
      <c r="AU22" s="102" t="s">
        <v>1196</v>
      </c>
      <c r="AV22" s="44"/>
      <c r="AW22" s="44"/>
      <c r="AX22" s="44"/>
      <c r="AY22" s="44"/>
      <c r="AZ22" s="44"/>
      <c r="BB22" s="13" t="s">
        <v>2202</v>
      </c>
      <c r="BC22" s="477" t="s">
        <v>1785</v>
      </c>
      <c r="BD22" s="478" t="s">
        <v>1434</v>
      </c>
      <c r="BE22" s="479" t="s">
        <v>597</v>
      </c>
      <c r="BF22" s="476"/>
      <c r="BG22" s="476"/>
      <c r="BH22" s="476"/>
      <c r="BI22" s="476"/>
      <c r="BJ22" s="476"/>
      <c r="BK22" s="476"/>
      <c r="BL22" s="476"/>
      <c r="BM22" s="476">
        <v>10</v>
      </c>
      <c r="BN22" s="476"/>
      <c r="BO22" s="478"/>
      <c r="BP22" s="476" t="s">
        <v>570</v>
      </c>
      <c r="BQ22" s="476" t="s">
        <v>331</v>
      </c>
      <c r="BR22" s="476" t="s">
        <v>651</v>
      </c>
    </row>
    <row r="23" spans="5:77">
      <c r="E23" s="47"/>
      <c r="F23" s="46" t="s">
        <v>1392</v>
      </c>
      <c r="G23" s="76" t="s">
        <v>1393</v>
      </c>
      <c r="H23" s="46">
        <v>122</v>
      </c>
      <c r="I23" s="46"/>
      <c r="J23" s="46" t="s">
        <v>98</v>
      </c>
      <c r="K23" s="46" t="s">
        <v>1391</v>
      </c>
      <c r="L23" s="46" t="s">
        <v>410</v>
      </c>
      <c r="M23" s="46" t="s">
        <v>91</v>
      </c>
      <c r="N23" s="76">
        <v>21</v>
      </c>
      <c r="O23" s="46" t="s">
        <v>1386</v>
      </c>
      <c r="P23" s="44"/>
      <c r="Q23" s="43" t="s">
        <v>1897</v>
      </c>
      <c r="R23" s="46" t="s">
        <v>454</v>
      </c>
      <c r="S23" s="46"/>
      <c r="T23" s="46">
        <v>50</v>
      </c>
      <c r="U23" s="46"/>
      <c r="V23" s="46" t="s">
        <v>464</v>
      </c>
      <c r="W23" s="46" t="s">
        <v>418</v>
      </c>
      <c r="X23" s="46" t="s">
        <v>410</v>
      </c>
      <c r="Y23" s="46" t="s">
        <v>91</v>
      </c>
      <c r="Z23" s="46">
        <v>15</v>
      </c>
      <c r="AA23" s="48">
        <v>21</v>
      </c>
      <c r="AB23" s="46" t="s">
        <v>568</v>
      </c>
      <c r="AC23" s="46"/>
      <c r="AD23" s="12"/>
      <c r="AE23" s="46"/>
      <c r="AF23" s="609" t="s">
        <v>1765</v>
      </c>
      <c r="AG23" s="23" t="s">
        <v>1434</v>
      </c>
      <c r="AH23" s="49" t="s">
        <v>583</v>
      </c>
      <c r="AI23" s="49"/>
      <c r="AJ23" s="55"/>
      <c r="AK23" s="49">
        <v>20</v>
      </c>
      <c r="AL23" s="49"/>
      <c r="AM23" s="49"/>
      <c r="AN23" s="49"/>
      <c r="AO23" s="49"/>
      <c r="AP23" s="46">
        <v>21</v>
      </c>
      <c r="AQ23" s="49" t="s">
        <v>2150</v>
      </c>
      <c r="AR23" s="47"/>
      <c r="AS23" s="44" t="s">
        <v>570</v>
      </c>
      <c r="AT23" s="46" t="s">
        <v>94</v>
      </c>
      <c r="AU23" s="102" t="s">
        <v>1196</v>
      </c>
      <c r="AV23" s="44"/>
      <c r="AW23" s="44"/>
      <c r="AX23" s="44"/>
      <c r="AY23" s="44"/>
      <c r="AZ23" s="44"/>
      <c r="BB23" s="13" t="s">
        <v>2202</v>
      </c>
      <c r="BC23" s="477" t="s">
        <v>1790</v>
      </c>
      <c r="BD23" s="478" t="s">
        <v>1221</v>
      </c>
      <c r="BE23" s="479" t="s">
        <v>596</v>
      </c>
      <c r="BF23" s="476"/>
      <c r="BG23" s="476"/>
      <c r="BH23" s="476"/>
      <c r="BI23" s="476"/>
      <c r="BJ23" s="476"/>
      <c r="BK23" s="476"/>
      <c r="BL23" s="476"/>
      <c r="BM23" s="476">
        <v>15</v>
      </c>
      <c r="BN23" s="476"/>
      <c r="BO23" s="478"/>
      <c r="BP23" s="476" t="s">
        <v>84</v>
      </c>
      <c r="BQ23" s="476" t="s">
        <v>331</v>
      </c>
      <c r="BR23" s="476" t="s">
        <v>651</v>
      </c>
    </row>
    <row r="24" spans="5:77">
      <c r="E24" s="75"/>
      <c r="F24" s="76" t="s">
        <v>356</v>
      </c>
      <c r="G24" s="76" t="s">
        <v>510</v>
      </c>
      <c r="H24" s="76">
        <v>83</v>
      </c>
      <c r="I24" s="76"/>
      <c r="J24" s="76" t="s">
        <v>98</v>
      </c>
      <c r="K24" s="76" t="s">
        <v>415</v>
      </c>
      <c r="L24" s="76" t="s">
        <v>344</v>
      </c>
      <c r="M24" s="76" t="s">
        <v>91</v>
      </c>
      <c r="N24" s="76">
        <v>22</v>
      </c>
      <c r="O24" s="76" t="s">
        <v>556</v>
      </c>
      <c r="P24" s="44"/>
      <c r="Q24" s="23" t="s">
        <v>1898</v>
      </c>
      <c r="R24" s="46" t="s">
        <v>455</v>
      </c>
      <c r="S24" s="46" t="s">
        <v>110</v>
      </c>
      <c r="T24" s="46">
        <v>32</v>
      </c>
      <c r="U24" s="46"/>
      <c r="V24" s="46" t="s">
        <v>465</v>
      </c>
      <c r="W24" s="46" t="s">
        <v>412</v>
      </c>
      <c r="X24" s="46" t="s">
        <v>344</v>
      </c>
      <c r="Y24" s="46" t="s">
        <v>91</v>
      </c>
      <c r="Z24" s="46">
        <v>15</v>
      </c>
      <c r="AA24" s="48">
        <v>22</v>
      </c>
      <c r="AB24" s="46" t="s">
        <v>557</v>
      </c>
      <c r="AC24" s="46"/>
      <c r="AD24" s="12"/>
      <c r="AE24" s="46"/>
      <c r="AF24" s="419" t="s">
        <v>1760</v>
      </c>
      <c r="AG24" s="23" t="s">
        <v>1434</v>
      </c>
      <c r="AH24" s="55" t="s">
        <v>597</v>
      </c>
      <c r="AI24" s="49"/>
      <c r="AJ24" s="55"/>
      <c r="AK24" s="49"/>
      <c r="AL24" s="49"/>
      <c r="AM24" s="49"/>
      <c r="AN24" s="49"/>
      <c r="AO24" s="49"/>
      <c r="AP24" s="46">
        <v>22</v>
      </c>
      <c r="AQ24" s="49"/>
      <c r="AR24" s="47"/>
      <c r="AS24" s="44" t="s">
        <v>570</v>
      </c>
      <c r="AT24" s="46" t="s">
        <v>94</v>
      </c>
      <c r="AU24" s="102" t="s">
        <v>651</v>
      </c>
      <c r="AV24" s="44"/>
      <c r="AW24" s="44"/>
      <c r="AX24" s="44"/>
      <c r="AY24" s="44"/>
      <c r="AZ24" s="44"/>
      <c r="BB24" s="13" t="s">
        <v>2202</v>
      </c>
      <c r="BC24" s="433" t="s">
        <v>2057</v>
      </c>
      <c r="BD24" s="434" t="s">
        <v>1434</v>
      </c>
      <c r="BE24" s="432" t="s">
        <v>2031</v>
      </c>
      <c r="BF24" s="431"/>
      <c r="BG24" s="431"/>
      <c r="BH24" s="431">
        <v>15</v>
      </c>
      <c r="BI24" s="431"/>
      <c r="BJ24" s="431"/>
      <c r="BK24" s="431"/>
      <c r="BL24" s="431"/>
      <c r="BM24" s="431">
        <v>32</v>
      </c>
      <c r="BN24" s="431" t="s">
        <v>2510</v>
      </c>
      <c r="BO24" s="434"/>
      <c r="BP24" s="431" t="s">
        <v>570</v>
      </c>
      <c r="BQ24" s="431" t="s">
        <v>94</v>
      </c>
      <c r="BR24" s="431" t="s">
        <v>1196</v>
      </c>
    </row>
    <row r="25" spans="5:77">
      <c r="E25" s="75"/>
      <c r="F25" s="76" t="s">
        <v>357</v>
      </c>
      <c r="G25" s="76" t="s">
        <v>511</v>
      </c>
      <c r="H25" s="76">
        <v>138</v>
      </c>
      <c r="I25" s="76"/>
      <c r="J25" s="76" t="s">
        <v>98</v>
      </c>
      <c r="K25" s="76" t="s">
        <v>415</v>
      </c>
      <c r="L25" s="76" t="s">
        <v>410</v>
      </c>
      <c r="M25" s="76" t="s">
        <v>91</v>
      </c>
      <c r="N25" s="76">
        <v>23</v>
      </c>
      <c r="O25" s="76" t="s">
        <v>556</v>
      </c>
      <c r="P25" s="44"/>
      <c r="Q25" s="23" t="s">
        <v>1899</v>
      </c>
      <c r="R25" s="46" t="s">
        <v>456</v>
      </c>
      <c r="S25" s="46" t="s">
        <v>111</v>
      </c>
      <c r="T25" s="46">
        <v>59</v>
      </c>
      <c r="U25" s="46"/>
      <c r="V25" s="46" t="s">
        <v>465</v>
      </c>
      <c r="W25" s="46" t="s">
        <v>412</v>
      </c>
      <c r="X25" s="46" t="s">
        <v>410</v>
      </c>
      <c r="Y25" s="46" t="s">
        <v>91</v>
      </c>
      <c r="Z25" s="46">
        <v>15</v>
      </c>
      <c r="AA25" s="48">
        <v>23</v>
      </c>
      <c r="AB25" s="46" t="s">
        <v>557</v>
      </c>
      <c r="AC25" s="46"/>
      <c r="AD25" s="12"/>
      <c r="AE25" s="46"/>
      <c r="AF25" s="419" t="s">
        <v>1766</v>
      </c>
      <c r="AG25" s="12" t="s">
        <v>1221</v>
      </c>
      <c r="AH25" s="561" t="s">
        <v>669</v>
      </c>
      <c r="AI25" s="561"/>
      <c r="AJ25" s="55"/>
      <c r="AK25" s="561">
        <v>15</v>
      </c>
      <c r="AL25" s="561"/>
      <c r="AM25" s="561"/>
      <c r="AN25" s="561"/>
      <c r="AO25" s="561"/>
      <c r="AP25" s="46">
        <v>23</v>
      </c>
      <c r="AQ25" s="49" t="s">
        <v>2510</v>
      </c>
      <c r="AR25" s="65"/>
      <c r="AS25" s="44" t="s">
        <v>84</v>
      </c>
      <c r="AT25" s="46" t="s">
        <v>94</v>
      </c>
      <c r="AU25" s="102" t="s">
        <v>1198</v>
      </c>
      <c r="AV25" s="44"/>
      <c r="AW25" s="44"/>
      <c r="AX25" s="44"/>
      <c r="AY25" s="44"/>
      <c r="AZ25" s="44"/>
      <c r="BB25" s="13" t="s">
        <v>2202</v>
      </c>
      <c r="BC25" s="433" t="s">
        <v>2062</v>
      </c>
      <c r="BD25" s="434" t="s">
        <v>1221</v>
      </c>
      <c r="BE25" s="432" t="s">
        <v>2034</v>
      </c>
      <c r="BF25" s="431"/>
      <c r="BG25" s="431"/>
      <c r="BH25" s="431">
        <v>15</v>
      </c>
      <c r="BI25" s="431"/>
      <c r="BJ25" s="431"/>
      <c r="BK25" s="431"/>
      <c r="BL25" s="431"/>
      <c r="BM25" s="431">
        <v>54</v>
      </c>
      <c r="BN25" s="431" t="s">
        <v>2510</v>
      </c>
      <c r="BO25" s="434"/>
      <c r="BP25" s="431" t="s">
        <v>84</v>
      </c>
      <c r="BQ25" s="431" t="s">
        <v>94</v>
      </c>
      <c r="BR25" s="431" t="s">
        <v>1196</v>
      </c>
      <c r="BT25" s="180"/>
      <c r="BU25" s="180"/>
      <c r="BV25" s="180"/>
      <c r="BW25" s="180"/>
      <c r="BX25" s="180"/>
      <c r="BY25" s="180"/>
    </row>
    <row r="26" spans="5:77">
      <c r="E26" s="75"/>
      <c r="F26" s="76" t="s">
        <v>358</v>
      </c>
      <c r="G26" s="76" t="s">
        <v>512</v>
      </c>
      <c r="H26" s="76">
        <v>221</v>
      </c>
      <c r="I26" s="76"/>
      <c r="J26" s="76" t="s">
        <v>98</v>
      </c>
      <c r="K26" s="76" t="s">
        <v>415</v>
      </c>
      <c r="L26" s="76" t="s">
        <v>413</v>
      </c>
      <c r="M26" s="76" t="s">
        <v>91</v>
      </c>
      <c r="N26" s="76">
        <v>24</v>
      </c>
      <c r="O26" s="76" t="s">
        <v>556</v>
      </c>
      <c r="P26" s="44"/>
      <c r="Q26" s="23" t="s">
        <v>1900</v>
      </c>
      <c r="R26" s="46" t="s">
        <v>457</v>
      </c>
      <c r="S26" s="46" t="s">
        <v>112</v>
      </c>
      <c r="T26" s="46">
        <v>88</v>
      </c>
      <c r="U26" s="46"/>
      <c r="V26" s="46" t="s">
        <v>465</v>
      </c>
      <c r="W26" s="46" t="s">
        <v>412</v>
      </c>
      <c r="X26" s="46" t="s">
        <v>413</v>
      </c>
      <c r="Y26" s="46" t="s">
        <v>91</v>
      </c>
      <c r="Z26" s="46">
        <v>15</v>
      </c>
      <c r="AA26" s="48">
        <v>24</v>
      </c>
      <c r="AB26" s="46" t="s">
        <v>557</v>
      </c>
      <c r="AC26" s="46"/>
      <c r="AD26" s="12"/>
      <c r="AE26" s="46"/>
      <c r="AF26" s="419" t="s">
        <v>1767</v>
      </c>
      <c r="AG26" s="12" t="s">
        <v>1221</v>
      </c>
      <c r="AH26" s="49" t="s">
        <v>471</v>
      </c>
      <c r="AI26" s="49"/>
      <c r="AJ26" s="55"/>
      <c r="AK26" s="49">
        <v>20</v>
      </c>
      <c r="AL26" s="49"/>
      <c r="AM26" s="49"/>
      <c r="AN26" s="49"/>
      <c r="AO26" s="49"/>
      <c r="AP26" s="46">
        <v>24</v>
      </c>
      <c r="AQ26" s="49" t="s">
        <v>2150</v>
      </c>
      <c r="AR26" s="47"/>
      <c r="AS26" s="44" t="s">
        <v>84</v>
      </c>
      <c r="AT26" s="46" t="s">
        <v>94</v>
      </c>
      <c r="AU26" s="102" t="s">
        <v>1196</v>
      </c>
      <c r="AV26" s="44"/>
      <c r="AW26" s="44"/>
      <c r="AX26" s="44"/>
      <c r="AY26" s="44"/>
      <c r="AZ26" s="44"/>
      <c r="BB26" s="13" t="s">
        <v>2202</v>
      </c>
      <c r="BC26" s="477" t="s">
        <v>1761</v>
      </c>
      <c r="BD26" s="478" t="s">
        <v>1434</v>
      </c>
      <c r="BE26" s="479" t="s">
        <v>579</v>
      </c>
      <c r="BF26" s="476"/>
      <c r="BG26" s="476"/>
      <c r="BH26" s="476">
        <v>15</v>
      </c>
      <c r="BI26" s="476"/>
      <c r="BJ26" s="476"/>
      <c r="BK26" s="476"/>
      <c r="BL26" s="476"/>
      <c r="BM26" s="476">
        <v>37</v>
      </c>
      <c r="BN26" s="476" t="s">
        <v>2150</v>
      </c>
      <c r="BO26" s="478"/>
      <c r="BP26" s="476" t="s">
        <v>570</v>
      </c>
      <c r="BQ26" s="476" t="s">
        <v>94</v>
      </c>
      <c r="BR26" s="476" t="s">
        <v>1196</v>
      </c>
      <c r="BS26" s="180"/>
      <c r="BT26" s="180"/>
      <c r="BU26" s="180"/>
      <c r="BV26" s="180"/>
      <c r="BW26" s="180"/>
      <c r="BX26" s="180"/>
      <c r="BY26" s="180"/>
    </row>
    <row r="27" spans="5:77">
      <c r="E27" s="75"/>
      <c r="F27" s="76" t="s">
        <v>359</v>
      </c>
      <c r="G27" s="76" t="s">
        <v>513</v>
      </c>
      <c r="H27" s="76">
        <v>276</v>
      </c>
      <c r="I27" s="76"/>
      <c r="J27" s="76" t="s">
        <v>98</v>
      </c>
      <c r="K27" s="76" t="s">
        <v>415</v>
      </c>
      <c r="L27" s="76" t="s">
        <v>414</v>
      </c>
      <c r="M27" s="76" t="s">
        <v>91</v>
      </c>
      <c r="N27" s="76">
        <v>25</v>
      </c>
      <c r="O27" s="76" t="s">
        <v>556</v>
      </c>
      <c r="P27" s="44"/>
      <c r="Q27" s="23" t="s">
        <v>1901</v>
      </c>
      <c r="R27" s="46" t="s">
        <v>458</v>
      </c>
      <c r="S27" s="46" t="s">
        <v>113</v>
      </c>
      <c r="T27" s="46">
        <v>114</v>
      </c>
      <c r="U27" s="46"/>
      <c r="V27" s="46" t="s">
        <v>465</v>
      </c>
      <c r="W27" s="46" t="s">
        <v>412</v>
      </c>
      <c r="X27" s="46" t="s">
        <v>414</v>
      </c>
      <c r="Y27" s="46" t="s">
        <v>91</v>
      </c>
      <c r="Z27" s="46">
        <v>15</v>
      </c>
      <c r="AA27" s="48">
        <v>25</v>
      </c>
      <c r="AB27" s="46" t="s">
        <v>557</v>
      </c>
      <c r="AC27" s="46"/>
      <c r="AD27" s="12"/>
      <c r="AE27" s="46"/>
      <c r="AF27" s="419" t="s">
        <v>1768</v>
      </c>
      <c r="AG27" s="12" t="s">
        <v>1221</v>
      </c>
      <c r="AH27" s="561" t="s">
        <v>667</v>
      </c>
      <c r="AI27" s="561"/>
      <c r="AJ27" s="55"/>
      <c r="AK27" s="561">
        <v>15</v>
      </c>
      <c r="AL27" s="561"/>
      <c r="AM27" s="561"/>
      <c r="AN27" s="561"/>
      <c r="AO27" s="561"/>
      <c r="AP27" s="46">
        <v>25</v>
      </c>
      <c r="AQ27" s="49" t="s">
        <v>2510</v>
      </c>
      <c r="AR27" s="65"/>
      <c r="AS27" s="44" t="s">
        <v>84</v>
      </c>
      <c r="AT27" s="46" t="s">
        <v>94</v>
      </c>
      <c r="AU27" s="102" t="s">
        <v>1196</v>
      </c>
      <c r="AV27" s="44"/>
      <c r="AW27" s="44"/>
      <c r="AX27" s="44"/>
      <c r="AY27" s="44"/>
      <c r="AZ27" s="44"/>
      <c r="BB27" s="13" t="s">
        <v>2202</v>
      </c>
      <c r="BC27" s="477" t="s">
        <v>1776</v>
      </c>
      <c r="BD27" s="478" t="s">
        <v>1221</v>
      </c>
      <c r="BE27" s="479" t="s">
        <v>506</v>
      </c>
      <c r="BF27" s="476"/>
      <c r="BG27" s="476"/>
      <c r="BH27" s="476">
        <v>15</v>
      </c>
      <c r="BI27" s="476"/>
      <c r="BJ27" s="476"/>
      <c r="BK27" s="476"/>
      <c r="BL27" s="476"/>
      <c r="BM27" s="476">
        <v>59</v>
      </c>
      <c r="BN27" s="476" t="s">
        <v>2150</v>
      </c>
      <c r="BO27" s="478"/>
      <c r="BP27" s="476" t="s">
        <v>84</v>
      </c>
      <c r="BQ27" s="476" t="s">
        <v>94</v>
      </c>
      <c r="BR27" s="476" t="s">
        <v>1196</v>
      </c>
      <c r="BY27" s="180"/>
    </row>
    <row r="28" spans="5:77">
      <c r="E28" s="75"/>
      <c r="F28" s="76" t="s">
        <v>360</v>
      </c>
      <c r="G28" s="76" t="s">
        <v>514</v>
      </c>
      <c r="H28" s="76">
        <v>125</v>
      </c>
      <c r="I28" s="76"/>
      <c r="J28" s="76" t="s">
        <v>416</v>
      </c>
      <c r="K28" s="76" t="s">
        <v>415</v>
      </c>
      <c r="L28" s="76" t="s">
        <v>344</v>
      </c>
      <c r="M28" s="76" t="s">
        <v>91</v>
      </c>
      <c r="N28" s="76">
        <v>26</v>
      </c>
      <c r="O28" s="76" t="s">
        <v>556</v>
      </c>
      <c r="P28" s="44"/>
      <c r="Q28" s="23" t="s">
        <v>1902</v>
      </c>
      <c r="R28" s="44" t="s">
        <v>658</v>
      </c>
      <c r="S28" s="44"/>
      <c r="T28" s="44">
        <v>175</v>
      </c>
      <c r="U28" s="44"/>
      <c r="V28" s="46" t="s">
        <v>465</v>
      </c>
      <c r="W28" s="44" t="s">
        <v>412</v>
      </c>
      <c r="X28" s="44" t="s">
        <v>420</v>
      </c>
      <c r="Y28" s="46" t="s">
        <v>91</v>
      </c>
      <c r="Z28" s="46">
        <v>15</v>
      </c>
      <c r="AA28" s="48">
        <v>26</v>
      </c>
      <c r="AB28" s="46" t="s">
        <v>557</v>
      </c>
      <c r="AC28" s="46"/>
      <c r="AD28" s="12"/>
      <c r="AE28" s="46"/>
      <c r="AF28" s="419" t="s">
        <v>1770</v>
      </c>
      <c r="AG28" s="12" t="s">
        <v>1221</v>
      </c>
      <c r="AH28" s="49" t="s">
        <v>473</v>
      </c>
      <c r="AI28" s="49"/>
      <c r="AJ28" s="55"/>
      <c r="AK28" s="49">
        <v>15</v>
      </c>
      <c r="AL28" s="49"/>
      <c r="AM28" s="49"/>
      <c r="AN28" s="49"/>
      <c r="AO28" s="49"/>
      <c r="AP28" s="46">
        <v>26</v>
      </c>
      <c r="AQ28" s="49" t="s">
        <v>2150</v>
      </c>
      <c r="AR28" s="47"/>
      <c r="AS28" s="44" t="s">
        <v>84</v>
      </c>
      <c r="AT28" s="46" t="s">
        <v>94</v>
      </c>
      <c r="AU28" s="102" t="s">
        <v>1196</v>
      </c>
      <c r="AV28" s="44"/>
      <c r="AW28" s="44"/>
      <c r="AX28" s="44"/>
      <c r="AY28" s="44"/>
      <c r="AZ28" s="44"/>
      <c r="BB28" s="13" t="s">
        <v>2202</v>
      </c>
      <c r="BC28" s="433" t="s">
        <v>1762</v>
      </c>
      <c r="BD28" s="434" t="s">
        <v>1434</v>
      </c>
      <c r="BE28" s="432" t="s">
        <v>581</v>
      </c>
      <c r="BF28" s="431"/>
      <c r="BG28" s="431"/>
      <c r="BH28" s="431">
        <v>15</v>
      </c>
      <c r="BI28" s="431"/>
      <c r="BJ28" s="431"/>
      <c r="BK28" s="431"/>
      <c r="BL28" s="431"/>
      <c r="BM28" s="431">
        <v>38</v>
      </c>
      <c r="BN28" s="431" t="s">
        <v>2150</v>
      </c>
      <c r="BO28" s="434"/>
      <c r="BP28" s="431" t="s">
        <v>570</v>
      </c>
      <c r="BQ28" s="431" t="s">
        <v>94</v>
      </c>
      <c r="BR28" s="431" t="s">
        <v>1196</v>
      </c>
      <c r="BY28" s="180"/>
    </row>
    <row r="29" spans="5:77">
      <c r="E29" s="75"/>
      <c r="F29" s="76" t="s">
        <v>361</v>
      </c>
      <c r="G29" s="76" t="s">
        <v>515</v>
      </c>
      <c r="H29" s="76">
        <v>227</v>
      </c>
      <c r="I29" s="76"/>
      <c r="J29" s="76" t="s">
        <v>416</v>
      </c>
      <c r="K29" s="76" t="s">
        <v>415</v>
      </c>
      <c r="L29" s="76" t="s">
        <v>410</v>
      </c>
      <c r="M29" s="76" t="s">
        <v>91</v>
      </c>
      <c r="N29" s="76">
        <v>27</v>
      </c>
      <c r="O29" s="76" t="s">
        <v>556</v>
      </c>
      <c r="P29" s="44"/>
      <c r="Q29" s="23" t="s">
        <v>1903</v>
      </c>
      <c r="R29" s="46" t="s">
        <v>459</v>
      </c>
      <c r="S29" s="46"/>
      <c r="T29" s="46">
        <v>28</v>
      </c>
      <c r="U29" s="46"/>
      <c r="V29" s="46" t="s">
        <v>465</v>
      </c>
      <c r="W29" s="46" t="s">
        <v>418</v>
      </c>
      <c r="X29" s="46" t="s">
        <v>344</v>
      </c>
      <c r="Y29" s="46" t="s">
        <v>91</v>
      </c>
      <c r="Z29" s="46">
        <v>15</v>
      </c>
      <c r="AA29" s="48">
        <v>27</v>
      </c>
      <c r="AB29" s="46" t="s">
        <v>557</v>
      </c>
      <c r="AC29" s="46"/>
      <c r="AD29" s="12"/>
      <c r="AE29" s="46"/>
      <c r="AF29" s="419" t="s">
        <v>1771</v>
      </c>
      <c r="AG29" s="12" t="s">
        <v>1221</v>
      </c>
      <c r="AH29" s="49" t="s">
        <v>470</v>
      </c>
      <c r="AI29" s="49"/>
      <c r="AJ29" s="55"/>
      <c r="AK29" s="49">
        <v>15</v>
      </c>
      <c r="AL29" s="49"/>
      <c r="AM29" s="49"/>
      <c r="AN29" s="49"/>
      <c r="AO29" s="49"/>
      <c r="AP29" s="46">
        <v>27</v>
      </c>
      <c r="AQ29" s="49" t="s">
        <v>2510</v>
      </c>
      <c r="AR29" s="47"/>
      <c r="AS29" s="44" t="s">
        <v>84</v>
      </c>
      <c r="AT29" s="46" t="s">
        <v>94</v>
      </c>
      <c r="AU29" s="102" t="s">
        <v>1197</v>
      </c>
      <c r="AV29" s="44"/>
      <c r="AW29" s="44"/>
      <c r="AX29" s="44"/>
      <c r="AY29" s="44"/>
      <c r="AZ29" s="44"/>
      <c r="BB29" s="13" t="s">
        <v>2202</v>
      </c>
      <c r="BC29" s="527" t="s">
        <v>1777</v>
      </c>
      <c r="BD29" s="439" t="s">
        <v>1221</v>
      </c>
      <c r="BE29" s="440" t="s">
        <v>469</v>
      </c>
      <c r="BF29" s="441"/>
      <c r="BG29" s="441"/>
      <c r="BH29" s="441">
        <v>15</v>
      </c>
      <c r="BI29" s="441"/>
      <c r="BJ29" s="441"/>
      <c r="BK29" s="441"/>
      <c r="BL29" s="441"/>
      <c r="BM29" s="441">
        <v>60</v>
      </c>
      <c r="BN29" s="441" t="s">
        <v>2150</v>
      </c>
      <c r="BO29" s="439"/>
      <c r="BP29" s="441" t="s">
        <v>84</v>
      </c>
      <c r="BQ29" s="441" t="s">
        <v>94</v>
      </c>
      <c r="BR29" s="441" t="s">
        <v>1196</v>
      </c>
      <c r="BY29" s="180"/>
    </row>
    <row r="30" spans="5:77">
      <c r="E30" s="75"/>
      <c r="F30" s="76" t="s">
        <v>362</v>
      </c>
      <c r="G30" s="76" t="s">
        <v>729</v>
      </c>
      <c r="H30" s="76">
        <v>352</v>
      </c>
      <c r="I30" s="76"/>
      <c r="J30" s="76" t="s">
        <v>416</v>
      </c>
      <c r="K30" s="76" t="s">
        <v>415</v>
      </c>
      <c r="L30" s="76" t="s">
        <v>413</v>
      </c>
      <c r="M30" s="76" t="s">
        <v>91</v>
      </c>
      <c r="N30" s="76">
        <v>28</v>
      </c>
      <c r="O30" s="76" t="s">
        <v>556</v>
      </c>
      <c r="P30" s="44"/>
      <c r="Q30" s="23" t="s">
        <v>1904</v>
      </c>
      <c r="R30" s="46" t="s">
        <v>460</v>
      </c>
      <c r="S30" s="46"/>
      <c r="T30" s="46">
        <v>56</v>
      </c>
      <c r="U30" s="46"/>
      <c r="V30" s="46" t="s">
        <v>465</v>
      </c>
      <c r="W30" s="46" t="s">
        <v>418</v>
      </c>
      <c r="X30" s="46" t="s">
        <v>410</v>
      </c>
      <c r="Y30" s="46" t="s">
        <v>91</v>
      </c>
      <c r="Z30" s="46">
        <v>15</v>
      </c>
      <c r="AA30" s="48">
        <v>28</v>
      </c>
      <c r="AB30" s="46" t="s">
        <v>557</v>
      </c>
      <c r="AC30" s="46"/>
      <c r="AD30" s="12"/>
      <c r="AE30" s="46"/>
      <c r="AF30" s="419" t="s">
        <v>1772</v>
      </c>
      <c r="AG30" s="12" t="s">
        <v>1221</v>
      </c>
      <c r="AH30" s="49" t="s">
        <v>493</v>
      </c>
      <c r="AI30" s="49"/>
      <c r="AJ30" s="55"/>
      <c r="AK30" s="49">
        <v>15</v>
      </c>
      <c r="AL30" s="49"/>
      <c r="AM30" s="49"/>
      <c r="AN30" s="49"/>
      <c r="AO30" s="49"/>
      <c r="AP30" s="46">
        <v>28</v>
      </c>
      <c r="AQ30" s="49" t="s">
        <v>1229</v>
      </c>
      <c r="AR30" s="47"/>
      <c r="AS30" s="44" t="s">
        <v>84</v>
      </c>
      <c r="AT30" s="46" t="s">
        <v>94</v>
      </c>
      <c r="AU30" s="102" t="s">
        <v>1198</v>
      </c>
      <c r="AV30" s="44"/>
      <c r="AW30" s="44"/>
      <c r="AX30" s="44"/>
      <c r="AY30" s="44"/>
      <c r="AZ30" s="44"/>
      <c r="BB30" s="13" t="s">
        <v>2202</v>
      </c>
      <c r="BC30" s="433" t="s">
        <v>1797</v>
      </c>
      <c r="BD30" s="434" t="s">
        <v>1434</v>
      </c>
      <c r="BE30" s="432" t="s">
        <v>1234</v>
      </c>
      <c r="BF30" s="431"/>
      <c r="BG30" s="431"/>
      <c r="BH30" s="431">
        <v>12</v>
      </c>
      <c r="BI30" s="431"/>
      <c r="BJ30" s="431"/>
      <c r="BK30" s="431"/>
      <c r="BL30" s="431"/>
      <c r="BM30" s="431">
        <v>12</v>
      </c>
      <c r="BN30" s="431" t="s">
        <v>2128</v>
      </c>
      <c r="BO30" s="434"/>
      <c r="BP30" s="431" t="s">
        <v>570</v>
      </c>
      <c r="BQ30" s="431" t="s">
        <v>480</v>
      </c>
      <c r="BR30" s="431" t="s">
        <v>87</v>
      </c>
      <c r="BY30" s="180"/>
    </row>
    <row r="31" spans="5:77">
      <c r="E31" s="75"/>
      <c r="F31" s="76" t="s">
        <v>363</v>
      </c>
      <c r="G31" s="76" t="s">
        <v>728</v>
      </c>
      <c r="H31" s="76">
        <v>454</v>
      </c>
      <c r="I31" s="76"/>
      <c r="J31" s="76" t="s">
        <v>416</v>
      </c>
      <c r="K31" s="76" t="s">
        <v>415</v>
      </c>
      <c r="L31" s="76" t="s">
        <v>414</v>
      </c>
      <c r="M31" s="76" t="s">
        <v>91</v>
      </c>
      <c r="N31" s="76">
        <v>29</v>
      </c>
      <c r="O31" s="76" t="s">
        <v>556</v>
      </c>
      <c r="P31" s="44"/>
      <c r="Q31" s="47"/>
      <c r="R31" s="44" t="s">
        <v>671</v>
      </c>
      <c r="S31" s="46"/>
      <c r="T31" s="46" t="s">
        <v>508</v>
      </c>
      <c r="U31" s="46"/>
      <c r="V31" s="46"/>
      <c r="W31" s="46"/>
      <c r="X31" s="46"/>
      <c r="Y31" s="46"/>
      <c r="Z31" s="46"/>
      <c r="AA31" s="48">
        <v>29</v>
      </c>
      <c r="AB31" s="46"/>
      <c r="AC31" s="46"/>
      <c r="AD31" s="12"/>
      <c r="AE31" s="46"/>
      <c r="AF31" s="419" t="s">
        <v>2059</v>
      </c>
      <c r="AG31" s="12" t="s">
        <v>1221</v>
      </c>
      <c r="AH31" s="55" t="s">
        <v>2041</v>
      </c>
      <c r="AI31" s="49"/>
      <c r="AJ31" s="55"/>
      <c r="AK31" s="49">
        <v>10</v>
      </c>
      <c r="AL31" s="49"/>
      <c r="AM31" s="49"/>
      <c r="AN31" s="49"/>
      <c r="AO31" s="49"/>
      <c r="AP31" s="46">
        <v>29</v>
      </c>
      <c r="AQ31" s="55" t="s">
        <v>2201</v>
      </c>
      <c r="AR31" s="47"/>
      <c r="AS31" s="44" t="s">
        <v>84</v>
      </c>
      <c r="AT31" s="46" t="s">
        <v>94</v>
      </c>
      <c r="AU31" s="44" t="s">
        <v>2048</v>
      </c>
      <c r="AV31" s="44"/>
      <c r="AW31" s="44"/>
      <c r="AX31" s="44"/>
      <c r="AY31" s="44"/>
      <c r="AZ31" s="44"/>
      <c r="BB31" s="13" t="s">
        <v>2202</v>
      </c>
      <c r="BC31" s="477" t="s">
        <v>1794</v>
      </c>
      <c r="BD31" s="478" t="s">
        <v>1434</v>
      </c>
      <c r="BE31" s="479" t="s">
        <v>601</v>
      </c>
      <c r="BF31" s="476"/>
      <c r="BG31" s="476"/>
      <c r="BH31" s="476">
        <v>12</v>
      </c>
      <c r="BI31" s="476"/>
      <c r="BJ31" s="476"/>
      <c r="BK31" s="476"/>
      <c r="BL31" s="476"/>
      <c r="BM31" s="476">
        <v>15</v>
      </c>
      <c r="BN31" s="476" t="s">
        <v>2128</v>
      </c>
      <c r="BO31" s="478"/>
      <c r="BP31" s="476" t="s">
        <v>570</v>
      </c>
      <c r="BQ31" s="476" t="s">
        <v>480</v>
      </c>
      <c r="BR31" s="476" t="s">
        <v>87</v>
      </c>
      <c r="BY31" s="180"/>
    </row>
    <row r="32" spans="5:77">
      <c r="E32" s="75"/>
      <c r="F32" s="76" t="s">
        <v>364</v>
      </c>
      <c r="G32" s="76" t="s">
        <v>516</v>
      </c>
      <c r="H32" s="76">
        <v>200</v>
      </c>
      <c r="I32" s="76"/>
      <c r="J32" s="76" t="s">
        <v>417</v>
      </c>
      <c r="K32" s="76" t="s">
        <v>415</v>
      </c>
      <c r="L32" s="76" t="s">
        <v>344</v>
      </c>
      <c r="M32" s="76" t="s">
        <v>91</v>
      </c>
      <c r="N32" s="76">
        <v>30</v>
      </c>
      <c r="O32" s="76" t="s">
        <v>556</v>
      </c>
      <c r="P32" s="44"/>
      <c r="Q32" s="23" t="s">
        <v>1869</v>
      </c>
      <c r="R32" s="46" t="s">
        <v>571</v>
      </c>
      <c r="S32" s="46" t="s">
        <v>740</v>
      </c>
      <c r="T32" s="46">
        <v>32</v>
      </c>
      <c r="U32" s="46"/>
      <c r="V32" s="46" t="s">
        <v>92</v>
      </c>
      <c r="W32" s="46" t="s">
        <v>412</v>
      </c>
      <c r="X32" s="46" t="s">
        <v>344</v>
      </c>
      <c r="Y32" s="46" t="s">
        <v>91</v>
      </c>
      <c r="Z32" s="46">
        <v>15</v>
      </c>
      <c r="AA32" s="48">
        <v>30</v>
      </c>
      <c r="AB32" s="76" t="s">
        <v>556</v>
      </c>
      <c r="AC32" s="46"/>
      <c r="AD32" s="12"/>
      <c r="AE32" s="46"/>
      <c r="AF32" s="655" t="s">
        <v>2876</v>
      </c>
      <c r="AG32" s="12" t="s">
        <v>1221</v>
      </c>
      <c r="AH32" s="44" t="s">
        <v>2872</v>
      </c>
      <c r="AI32" s="55"/>
      <c r="AJ32" s="55"/>
      <c r="AK32" s="55">
        <v>15</v>
      </c>
      <c r="AL32" s="55"/>
      <c r="AM32" s="55"/>
      <c r="AN32" s="55"/>
      <c r="AO32" s="55"/>
      <c r="AP32" s="46">
        <v>30</v>
      </c>
      <c r="AQ32" s="49" t="s">
        <v>2510</v>
      </c>
      <c r="AR32" s="43"/>
      <c r="AS32" s="654" t="s">
        <v>84</v>
      </c>
      <c r="AT32" s="44" t="s">
        <v>94</v>
      </c>
      <c r="AU32" s="44" t="s">
        <v>2873</v>
      </c>
      <c r="AV32" s="44"/>
      <c r="AW32" s="44"/>
      <c r="AX32" s="44"/>
      <c r="AY32" s="44"/>
      <c r="AZ32" s="44"/>
      <c r="BB32" s="13" t="s">
        <v>2202</v>
      </c>
      <c r="BC32" s="433" t="s">
        <v>1805</v>
      </c>
      <c r="BD32" s="434" t="s">
        <v>1221</v>
      </c>
      <c r="BE32" s="432" t="s">
        <v>1235</v>
      </c>
      <c r="BF32" s="431"/>
      <c r="BG32" s="431"/>
      <c r="BH32" s="431">
        <v>12</v>
      </c>
      <c r="BI32" s="431"/>
      <c r="BJ32" s="431"/>
      <c r="BK32" s="431"/>
      <c r="BL32" s="431"/>
      <c r="BM32" s="431">
        <v>20</v>
      </c>
      <c r="BN32" s="431" t="s">
        <v>2128</v>
      </c>
      <c r="BO32" s="434"/>
      <c r="BP32" s="431" t="s">
        <v>84</v>
      </c>
      <c r="BQ32" s="431" t="s">
        <v>480</v>
      </c>
      <c r="BR32" s="431" t="s">
        <v>87</v>
      </c>
      <c r="BY32" s="180"/>
    </row>
    <row r="33" spans="5:77">
      <c r="E33" s="75"/>
      <c r="F33" s="76" t="s">
        <v>365</v>
      </c>
      <c r="G33" s="76" t="s">
        <v>517</v>
      </c>
      <c r="H33" s="76">
        <v>390</v>
      </c>
      <c r="I33" s="76"/>
      <c r="J33" s="76" t="s">
        <v>417</v>
      </c>
      <c r="K33" s="76" t="s">
        <v>415</v>
      </c>
      <c r="L33" s="76" t="s">
        <v>410</v>
      </c>
      <c r="M33" s="76" t="s">
        <v>91</v>
      </c>
      <c r="N33" s="76">
        <v>31</v>
      </c>
      <c r="O33" s="76" t="s">
        <v>556</v>
      </c>
      <c r="P33" s="44"/>
      <c r="Q33" s="23" t="s">
        <v>1870</v>
      </c>
      <c r="R33" s="46" t="s">
        <v>572</v>
      </c>
      <c r="S33" s="46" t="s">
        <v>741</v>
      </c>
      <c r="T33" s="46">
        <v>64</v>
      </c>
      <c r="U33" s="46"/>
      <c r="V33" s="46" t="s">
        <v>92</v>
      </c>
      <c r="W33" s="46" t="s">
        <v>412</v>
      </c>
      <c r="X33" s="46" t="s">
        <v>410</v>
      </c>
      <c r="Y33" s="46" t="s">
        <v>91</v>
      </c>
      <c r="Z33" s="46">
        <v>15</v>
      </c>
      <c r="AA33" s="48">
        <v>31</v>
      </c>
      <c r="AB33" s="76" t="s">
        <v>556</v>
      </c>
      <c r="AC33" s="46"/>
      <c r="AD33" s="12"/>
      <c r="AE33" s="46"/>
      <c r="AF33" s="419" t="s">
        <v>2060</v>
      </c>
      <c r="AG33" s="12" t="s">
        <v>1221</v>
      </c>
      <c r="AH33" s="55" t="s">
        <v>2044</v>
      </c>
      <c r="AI33" s="49"/>
      <c r="AJ33" s="55"/>
      <c r="AK33" s="49">
        <v>10</v>
      </c>
      <c r="AL33" s="49"/>
      <c r="AM33" s="49"/>
      <c r="AN33" s="49"/>
      <c r="AO33" s="49"/>
      <c r="AP33" s="46">
        <v>31</v>
      </c>
      <c r="AQ33" s="49" t="s">
        <v>2511</v>
      </c>
      <c r="AR33" s="47"/>
      <c r="AS33" s="44" t="s">
        <v>84</v>
      </c>
      <c r="AT33" s="46" t="s">
        <v>94</v>
      </c>
      <c r="AU33" s="102" t="s">
        <v>1196</v>
      </c>
      <c r="AV33" s="44"/>
      <c r="AW33" s="44"/>
      <c r="AX33" s="44"/>
      <c r="AY33" s="44"/>
      <c r="AZ33" s="44"/>
      <c r="BB33" s="13" t="s">
        <v>2202</v>
      </c>
      <c r="BC33" s="477" t="s">
        <v>1802</v>
      </c>
      <c r="BD33" s="478" t="s">
        <v>1221</v>
      </c>
      <c r="BE33" s="479" t="s">
        <v>501</v>
      </c>
      <c r="BF33" s="476"/>
      <c r="BG33" s="476"/>
      <c r="BH33" s="476">
        <v>12</v>
      </c>
      <c r="BI33" s="476"/>
      <c r="BJ33" s="476"/>
      <c r="BK33" s="476"/>
      <c r="BL33" s="476"/>
      <c r="BM33" s="476">
        <v>23</v>
      </c>
      <c r="BN33" s="476" t="s">
        <v>2128</v>
      </c>
      <c r="BO33" s="478"/>
      <c r="BP33" s="476" t="s">
        <v>84</v>
      </c>
      <c r="BQ33" s="476" t="s">
        <v>480</v>
      </c>
      <c r="BR33" s="476" t="s">
        <v>87</v>
      </c>
      <c r="BY33" s="180"/>
    </row>
    <row r="34" spans="5:77">
      <c r="E34" s="75"/>
      <c r="F34" s="76" t="s">
        <v>366</v>
      </c>
      <c r="G34" s="76" t="s">
        <v>518</v>
      </c>
      <c r="H34" s="76">
        <v>590</v>
      </c>
      <c r="I34" s="76"/>
      <c r="J34" s="76" t="s">
        <v>417</v>
      </c>
      <c r="K34" s="76" t="s">
        <v>415</v>
      </c>
      <c r="L34" s="76" t="s">
        <v>413</v>
      </c>
      <c r="M34" s="76" t="s">
        <v>91</v>
      </c>
      <c r="N34" s="76">
        <v>32</v>
      </c>
      <c r="O34" s="76" t="s">
        <v>556</v>
      </c>
      <c r="P34" s="44"/>
      <c r="Q34" s="23" t="s">
        <v>1871</v>
      </c>
      <c r="R34" s="46" t="s">
        <v>573</v>
      </c>
      <c r="S34" s="46" t="s">
        <v>742</v>
      </c>
      <c r="T34" s="46">
        <v>128</v>
      </c>
      <c r="U34" s="46"/>
      <c r="V34" s="46" t="s">
        <v>92</v>
      </c>
      <c r="W34" s="46" t="s">
        <v>412</v>
      </c>
      <c r="X34" s="46" t="s">
        <v>414</v>
      </c>
      <c r="Y34" s="46" t="s">
        <v>91</v>
      </c>
      <c r="Z34" s="46">
        <v>15</v>
      </c>
      <c r="AA34" s="48">
        <v>32</v>
      </c>
      <c r="AB34" s="76" t="s">
        <v>556</v>
      </c>
      <c r="AC34" s="46"/>
      <c r="AD34" s="12"/>
      <c r="AE34" s="46"/>
      <c r="AF34" s="419" t="s">
        <v>2061</v>
      </c>
      <c r="AG34" s="12" t="s">
        <v>1221</v>
      </c>
      <c r="AH34" s="55" t="s">
        <v>2045</v>
      </c>
      <c r="AI34" s="49"/>
      <c r="AJ34" s="49"/>
      <c r="AK34" s="49">
        <v>15</v>
      </c>
      <c r="AL34" s="49"/>
      <c r="AM34" s="49"/>
      <c r="AN34" s="49"/>
      <c r="AO34" s="49"/>
      <c r="AP34" s="46">
        <v>32</v>
      </c>
      <c r="AQ34" s="49" t="s">
        <v>1229</v>
      </c>
      <c r="AR34" s="47"/>
      <c r="AS34" s="44" t="s">
        <v>84</v>
      </c>
      <c r="AT34" s="46" t="s">
        <v>94</v>
      </c>
      <c r="AU34" s="44" t="s">
        <v>1198</v>
      </c>
      <c r="AV34" s="44"/>
      <c r="AW34" s="44"/>
      <c r="AX34" s="44"/>
      <c r="AY34" s="44"/>
      <c r="AZ34" s="44"/>
      <c r="BB34" s="13" t="s">
        <v>2202</v>
      </c>
      <c r="BC34" s="477" t="s">
        <v>1845</v>
      </c>
      <c r="BD34" s="478" t="s">
        <v>1434</v>
      </c>
      <c r="BE34" s="479" t="s">
        <v>611</v>
      </c>
      <c r="BF34" s="476"/>
      <c r="BG34" s="476"/>
      <c r="BH34" s="476">
        <v>15</v>
      </c>
      <c r="BI34" s="476"/>
      <c r="BJ34" s="476"/>
      <c r="BK34" s="476"/>
      <c r="BL34" s="476"/>
      <c r="BM34" s="476">
        <v>10</v>
      </c>
      <c r="BN34" s="476" t="s">
        <v>96</v>
      </c>
      <c r="BO34" s="478"/>
      <c r="BP34" s="476" t="s">
        <v>570</v>
      </c>
      <c r="BQ34" s="476" t="s">
        <v>96</v>
      </c>
      <c r="BR34" s="476" t="s">
        <v>1198</v>
      </c>
      <c r="BY34" s="180"/>
    </row>
    <row r="35" spans="5:77">
      <c r="E35" s="75"/>
      <c r="F35" s="76" t="s">
        <v>345</v>
      </c>
      <c r="G35" s="76" t="s">
        <v>730</v>
      </c>
      <c r="H35" s="76">
        <v>780</v>
      </c>
      <c r="I35" s="76"/>
      <c r="J35" s="76" t="s">
        <v>417</v>
      </c>
      <c r="K35" s="76" t="s">
        <v>415</v>
      </c>
      <c r="L35" s="76" t="s">
        <v>414</v>
      </c>
      <c r="M35" s="76" t="s">
        <v>91</v>
      </c>
      <c r="N35" s="76">
        <v>33</v>
      </c>
      <c r="O35" s="76" t="s">
        <v>556</v>
      </c>
      <c r="P35" s="44"/>
      <c r="Q35" s="23" t="s">
        <v>1872</v>
      </c>
      <c r="R35" s="46" t="s">
        <v>574</v>
      </c>
      <c r="S35" s="46" t="s">
        <v>743</v>
      </c>
      <c r="T35" s="46">
        <v>192</v>
      </c>
      <c r="U35" s="46"/>
      <c r="V35" s="46" t="s">
        <v>92</v>
      </c>
      <c r="W35" s="46" t="s">
        <v>412</v>
      </c>
      <c r="X35" s="46" t="s">
        <v>420</v>
      </c>
      <c r="Y35" s="46" t="s">
        <v>91</v>
      </c>
      <c r="Z35" s="46">
        <v>15</v>
      </c>
      <c r="AA35" s="48">
        <v>33</v>
      </c>
      <c r="AB35" s="46" t="s">
        <v>557</v>
      </c>
      <c r="AC35" s="46"/>
      <c r="AD35" s="12"/>
      <c r="AE35" s="46"/>
      <c r="AF35" s="593" t="s">
        <v>2693</v>
      </c>
      <c r="AG35" s="12" t="s">
        <v>1221</v>
      </c>
      <c r="AH35" s="55" t="s">
        <v>2035</v>
      </c>
      <c r="AI35" s="49"/>
      <c r="AJ35" s="55"/>
      <c r="AK35" s="49">
        <v>15</v>
      </c>
      <c r="AL35" s="49"/>
      <c r="AM35" s="49"/>
      <c r="AN35" s="49"/>
      <c r="AO35" s="49"/>
      <c r="AP35" s="46">
        <v>33</v>
      </c>
      <c r="AQ35" s="49" t="s">
        <v>2510</v>
      </c>
      <c r="AR35" s="47"/>
      <c r="AS35" s="44" t="s">
        <v>84</v>
      </c>
      <c r="AT35" s="46" t="s">
        <v>94</v>
      </c>
      <c r="AU35" s="102" t="s">
        <v>1196</v>
      </c>
      <c r="AV35" s="44"/>
      <c r="AW35" s="44"/>
      <c r="AX35" s="44"/>
      <c r="AY35" s="44"/>
      <c r="AZ35" s="44"/>
      <c r="BB35" s="13" t="s">
        <v>2202</v>
      </c>
      <c r="BC35" s="527" t="s">
        <v>1852</v>
      </c>
      <c r="BD35" s="439" t="s">
        <v>1221</v>
      </c>
      <c r="BE35" s="440" t="s">
        <v>492</v>
      </c>
      <c r="BF35" s="441"/>
      <c r="BG35" s="441"/>
      <c r="BH35" s="441">
        <v>15</v>
      </c>
      <c r="BI35" s="441"/>
      <c r="BJ35" s="441"/>
      <c r="BK35" s="441"/>
      <c r="BL35" s="441"/>
      <c r="BM35" s="441">
        <v>17</v>
      </c>
      <c r="BN35" s="441" t="s">
        <v>96</v>
      </c>
      <c r="BO35" s="439"/>
      <c r="BP35" s="441" t="s">
        <v>84</v>
      </c>
      <c r="BQ35" s="441" t="s">
        <v>96</v>
      </c>
      <c r="BR35" s="441" t="s">
        <v>1198</v>
      </c>
      <c r="BY35" s="180"/>
    </row>
    <row r="36" spans="5:77">
      <c r="E36" s="75"/>
      <c r="F36" s="76" t="s">
        <v>108</v>
      </c>
      <c r="G36" s="76" t="s">
        <v>519</v>
      </c>
      <c r="H36" s="76">
        <v>48</v>
      </c>
      <c r="I36" s="76"/>
      <c r="J36" s="76" t="s">
        <v>98</v>
      </c>
      <c r="K36" s="76" t="s">
        <v>412</v>
      </c>
      <c r="L36" s="76" t="s">
        <v>344</v>
      </c>
      <c r="M36" s="76" t="s">
        <v>91</v>
      </c>
      <c r="N36" s="76">
        <v>34</v>
      </c>
      <c r="O36" s="76" t="s">
        <v>556</v>
      </c>
      <c r="P36" s="50"/>
      <c r="Q36" s="23" t="s">
        <v>1873</v>
      </c>
      <c r="R36" s="78" t="s">
        <v>558</v>
      </c>
      <c r="S36" s="78" t="s">
        <v>125</v>
      </c>
      <c r="T36" s="78">
        <v>59</v>
      </c>
      <c r="U36" s="49"/>
      <c r="V36" s="49" t="s">
        <v>564</v>
      </c>
      <c r="W36" s="49" t="s">
        <v>412</v>
      </c>
      <c r="X36" s="46" t="s">
        <v>344</v>
      </c>
      <c r="Y36" s="46" t="s">
        <v>91</v>
      </c>
      <c r="Z36" s="46">
        <v>15</v>
      </c>
      <c r="AA36" s="48">
        <v>34</v>
      </c>
      <c r="AB36" s="76" t="s">
        <v>556</v>
      </c>
      <c r="AC36" s="46"/>
      <c r="AD36" s="12"/>
      <c r="AE36" s="46"/>
      <c r="AF36" s="593" t="s">
        <v>2695</v>
      </c>
      <c r="AG36" s="12" t="s">
        <v>1221</v>
      </c>
      <c r="AH36" s="55" t="s">
        <v>2036</v>
      </c>
      <c r="AI36" s="49"/>
      <c r="AJ36" s="55"/>
      <c r="AK36" s="49">
        <v>15</v>
      </c>
      <c r="AL36" s="49"/>
      <c r="AM36" s="49"/>
      <c r="AN36" s="49"/>
      <c r="AO36" s="49"/>
      <c r="AP36" s="46">
        <v>34</v>
      </c>
      <c r="AQ36" s="49" t="s">
        <v>2510</v>
      </c>
      <c r="AR36" s="47"/>
      <c r="AS36" s="44" t="s">
        <v>84</v>
      </c>
      <c r="AT36" s="46" t="s">
        <v>94</v>
      </c>
      <c r="AU36" s="102" t="s">
        <v>1196</v>
      </c>
      <c r="AV36" s="44"/>
      <c r="AW36" s="44"/>
      <c r="AX36" s="44"/>
      <c r="AY36" s="44"/>
      <c r="AZ36" s="44"/>
    </row>
    <row r="37" spans="5:77">
      <c r="E37" s="75"/>
      <c r="F37" s="76" t="s">
        <v>109</v>
      </c>
      <c r="G37" s="76" t="s">
        <v>520</v>
      </c>
      <c r="H37" s="76">
        <v>72</v>
      </c>
      <c r="I37" s="76"/>
      <c r="J37" s="76" t="s">
        <v>98</v>
      </c>
      <c r="K37" s="76" t="s">
        <v>412</v>
      </c>
      <c r="L37" s="76" t="s">
        <v>410</v>
      </c>
      <c r="M37" s="76" t="s">
        <v>91</v>
      </c>
      <c r="N37" s="76">
        <v>35</v>
      </c>
      <c r="O37" s="76" t="s">
        <v>556</v>
      </c>
      <c r="P37" s="50"/>
      <c r="Q37" s="23" t="s">
        <v>1875</v>
      </c>
      <c r="R37" s="78" t="s">
        <v>559</v>
      </c>
      <c r="S37" s="78" t="s">
        <v>126</v>
      </c>
      <c r="T37" s="78">
        <v>120</v>
      </c>
      <c r="U37" s="49"/>
      <c r="V37" s="49" t="s">
        <v>564</v>
      </c>
      <c r="W37" s="49" t="s">
        <v>412</v>
      </c>
      <c r="X37" s="46" t="s">
        <v>410</v>
      </c>
      <c r="Y37" s="46" t="s">
        <v>91</v>
      </c>
      <c r="Z37" s="46">
        <v>15</v>
      </c>
      <c r="AA37" s="48">
        <v>35</v>
      </c>
      <c r="AB37" s="76" t="s">
        <v>556</v>
      </c>
      <c r="AC37" s="46"/>
      <c r="AD37" s="12"/>
      <c r="AE37" s="46"/>
      <c r="AF37" s="419" t="s">
        <v>1773</v>
      </c>
      <c r="AG37" s="12" t="s">
        <v>1221</v>
      </c>
      <c r="AH37" s="49" t="s">
        <v>2899</v>
      </c>
      <c r="AI37" s="49"/>
      <c r="AJ37" s="55"/>
      <c r="AK37" s="49">
        <v>15</v>
      </c>
      <c r="AL37" s="49"/>
      <c r="AM37" s="49"/>
      <c r="AN37" s="49"/>
      <c r="AO37" s="49"/>
      <c r="AP37" s="46">
        <v>35</v>
      </c>
      <c r="AQ37" s="49" t="s">
        <v>2511</v>
      </c>
      <c r="AR37" s="47"/>
      <c r="AS37" s="44" t="s">
        <v>84</v>
      </c>
      <c r="AT37" s="46" t="s">
        <v>94</v>
      </c>
      <c r="AU37" s="102" t="s">
        <v>1197</v>
      </c>
      <c r="AV37" s="44"/>
      <c r="AW37" s="44"/>
      <c r="AX37" s="44"/>
      <c r="AY37" s="44"/>
      <c r="AZ37" s="44"/>
    </row>
    <row r="38" spans="5:77">
      <c r="E38" s="75"/>
      <c r="F38" s="76" t="s">
        <v>708</v>
      </c>
      <c r="G38" s="76" t="s">
        <v>731</v>
      </c>
      <c r="H38" s="76">
        <v>115</v>
      </c>
      <c r="I38" s="76"/>
      <c r="J38" s="76" t="s">
        <v>98</v>
      </c>
      <c r="K38" s="76" t="s">
        <v>412</v>
      </c>
      <c r="L38" s="76" t="s">
        <v>413</v>
      </c>
      <c r="M38" s="76" t="s">
        <v>91</v>
      </c>
      <c r="N38" s="76">
        <v>36</v>
      </c>
      <c r="O38" s="76" t="s">
        <v>557</v>
      </c>
      <c r="P38" s="50"/>
      <c r="Q38" s="23" t="s">
        <v>1876</v>
      </c>
      <c r="R38" s="78" t="s">
        <v>712</v>
      </c>
      <c r="S38" s="78" t="s">
        <v>746</v>
      </c>
      <c r="T38" s="78">
        <v>180</v>
      </c>
      <c r="U38" s="49"/>
      <c r="V38" s="49" t="s">
        <v>564</v>
      </c>
      <c r="W38" s="49" t="s">
        <v>412</v>
      </c>
      <c r="X38" s="44" t="s">
        <v>413</v>
      </c>
      <c r="Y38" s="46" t="s">
        <v>91</v>
      </c>
      <c r="Z38" s="46">
        <v>15</v>
      </c>
      <c r="AA38" s="48">
        <v>36</v>
      </c>
      <c r="AB38" s="76" t="s">
        <v>556</v>
      </c>
      <c r="AC38" s="46"/>
      <c r="AD38" s="12"/>
      <c r="AE38" s="46"/>
      <c r="AF38" s="420" t="s">
        <v>2737</v>
      </c>
      <c r="AG38" s="12" t="s">
        <v>1221</v>
      </c>
      <c r="AH38" s="49" t="s">
        <v>2901</v>
      </c>
      <c r="AI38" s="49"/>
      <c r="AJ38" s="55"/>
      <c r="AK38" s="49">
        <v>15</v>
      </c>
      <c r="AL38" s="49"/>
      <c r="AM38" s="49"/>
      <c r="AN38" s="49"/>
      <c r="AO38" s="49"/>
      <c r="AP38" s="46">
        <v>36</v>
      </c>
      <c r="AQ38" s="49" t="s">
        <v>2510</v>
      </c>
      <c r="AR38" s="47"/>
      <c r="AS38" s="44" t="s">
        <v>84</v>
      </c>
      <c r="AT38" s="46" t="s">
        <v>94</v>
      </c>
      <c r="AU38" s="44" t="s">
        <v>1197</v>
      </c>
      <c r="AV38" s="44"/>
      <c r="AW38" s="44"/>
      <c r="AX38" s="44"/>
      <c r="AY38" s="44"/>
      <c r="AZ38" s="44"/>
    </row>
    <row r="39" spans="5:77">
      <c r="E39" s="75"/>
      <c r="F39" s="76" t="s">
        <v>671</v>
      </c>
      <c r="G39" s="76"/>
      <c r="H39" s="76" t="s">
        <v>508</v>
      </c>
      <c r="I39" s="76"/>
      <c r="J39" s="76"/>
      <c r="K39" s="76"/>
      <c r="L39" s="76"/>
      <c r="M39" s="76"/>
      <c r="N39" s="76">
        <v>37</v>
      </c>
      <c r="O39" s="76"/>
      <c r="P39" s="50"/>
      <c r="Q39" s="23" t="s">
        <v>1877</v>
      </c>
      <c r="R39" s="78" t="s">
        <v>560</v>
      </c>
      <c r="S39" s="78" t="s">
        <v>127</v>
      </c>
      <c r="T39" s="78">
        <v>234</v>
      </c>
      <c r="U39" s="49"/>
      <c r="V39" s="49" t="s">
        <v>564</v>
      </c>
      <c r="W39" s="49" t="s">
        <v>412</v>
      </c>
      <c r="X39" s="46" t="s">
        <v>414</v>
      </c>
      <c r="Y39" s="46" t="s">
        <v>91</v>
      </c>
      <c r="Z39" s="46">
        <v>15</v>
      </c>
      <c r="AA39" s="48">
        <v>37</v>
      </c>
      <c r="AB39" s="76" t="s">
        <v>556</v>
      </c>
      <c r="AC39" s="46"/>
      <c r="AD39" s="12"/>
      <c r="AE39" s="46"/>
      <c r="AF39" s="419" t="s">
        <v>1774</v>
      </c>
      <c r="AG39" s="12" t="s">
        <v>1221</v>
      </c>
      <c r="AH39" s="55" t="s">
        <v>695</v>
      </c>
      <c r="AI39" s="55"/>
      <c r="AJ39" s="55"/>
      <c r="AK39" s="55">
        <v>15</v>
      </c>
      <c r="AL39" s="55"/>
      <c r="AM39" s="55"/>
      <c r="AN39" s="55"/>
      <c r="AO39" s="55"/>
      <c r="AP39" s="46">
        <v>37</v>
      </c>
      <c r="AQ39" s="49" t="s">
        <v>2510</v>
      </c>
      <c r="AR39" s="43"/>
      <c r="AS39" s="44" t="s">
        <v>84</v>
      </c>
      <c r="AT39" s="44" t="s">
        <v>94</v>
      </c>
      <c r="AU39" s="102" t="s">
        <v>1202</v>
      </c>
      <c r="AV39" s="44"/>
      <c r="AW39" s="44"/>
      <c r="AX39" s="44"/>
      <c r="AY39" s="44"/>
      <c r="AZ39" s="44"/>
    </row>
    <row r="40" spans="5:77">
      <c r="E40" s="75"/>
      <c r="F40" s="76" t="s">
        <v>367</v>
      </c>
      <c r="G40" s="76" t="s">
        <v>521</v>
      </c>
      <c r="H40" s="76">
        <v>16</v>
      </c>
      <c r="I40" s="76"/>
      <c r="J40" s="76" t="s">
        <v>93</v>
      </c>
      <c r="K40" s="76" t="s">
        <v>341</v>
      </c>
      <c r="L40" s="76" t="s">
        <v>344</v>
      </c>
      <c r="M40" s="76" t="s">
        <v>91</v>
      </c>
      <c r="N40" s="76">
        <v>38</v>
      </c>
      <c r="O40" s="76" t="s">
        <v>557</v>
      </c>
      <c r="P40" s="50"/>
      <c r="Q40" s="23" t="s">
        <v>1878</v>
      </c>
      <c r="R40" s="78" t="s">
        <v>561</v>
      </c>
      <c r="S40" s="78" t="s">
        <v>128</v>
      </c>
      <c r="T40" s="78">
        <v>360</v>
      </c>
      <c r="U40" s="49"/>
      <c r="V40" s="49" t="s">
        <v>564</v>
      </c>
      <c r="W40" s="49" t="s">
        <v>412</v>
      </c>
      <c r="X40" s="46" t="s">
        <v>420</v>
      </c>
      <c r="Y40" s="46" t="s">
        <v>91</v>
      </c>
      <c r="Z40" s="46">
        <v>15</v>
      </c>
      <c r="AA40" s="48">
        <v>38</v>
      </c>
      <c r="AB40" s="76" t="s">
        <v>557</v>
      </c>
      <c r="AC40" s="46"/>
      <c r="AD40" s="12"/>
      <c r="AE40" s="46"/>
      <c r="AF40" s="655" t="s">
        <v>2902</v>
      </c>
      <c r="AG40" s="12" t="s">
        <v>1221</v>
      </c>
      <c r="AH40" s="55" t="s">
        <v>2889</v>
      </c>
      <c r="AI40" s="55"/>
      <c r="AJ40" s="55"/>
      <c r="AK40" s="55">
        <v>8</v>
      </c>
      <c r="AL40" s="55"/>
      <c r="AM40" s="55"/>
      <c r="AN40" s="55"/>
      <c r="AO40" s="55"/>
      <c r="AP40" s="46">
        <v>38</v>
      </c>
      <c r="AQ40" s="49" t="s">
        <v>2511</v>
      </c>
      <c r="AR40" s="43"/>
      <c r="AS40" s="44" t="s">
        <v>84</v>
      </c>
      <c r="AT40" s="44" t="s">
        <v>94</v>
      </c>
      <c r="AU40" s="44" t="s">
        <v>2906</v>
      </c>
      <c r="AV40" s="44"/>
      <c r="AW40" s="44"/>
      <c r="AX40" s="44"/>
      <c r="AY40" s="44"/>
      <c r="AZ40" s="44"/>
    </row>
    <row r="41" spans="5:77">
      <c r="E41" s="75"/>
      <c r="F41" s="76" t="s">
        <v>368</v>
      </c>
      <c r="G41" s="76" t="s">
        <v>522</v>
      </c>
      <c r="H41" s="76">
        <v>32</v>
      </c>
      <c r="I41" s="76"/>
      <c r="J41" s="76" t="s">
        <v>93</v>
      </c>
      <c r="K41" s="76" t="s">
        <v>341</v>
      </c>
      <c r="L41" s="76" t="s">
        <v>410</v>
      </c>
      <c r="M41" s="76" t="s">
        <v>91</v>
      </c>
      <c r="N41" s="76">
        <v>39</v>
      </c>
      <c r="O41" s="76" t="s">
        <v>557</v>
      </c>
      <c r="P41" s="50"/>
      <c r="Q41" s="23" t="s">
        <v>1879</v>
      </c>
      <c r="R41" s="78" t="s">
        <v>562</v>
      </c>
      <c r="S41" s="78" t="s">
        <v>129</v>
      </c>
      <c r="T41" s="78">
        <v>468</v>
      </c>
      <c r="U41" s="49"/>
      <c r="V41" s="49" t="s">
        <v>564</v>
      </c>
      <c r="W41" s="49" t="s">
        <v>412</v>
      </c>
      <c r="X41" s="46" t="s">
        <v>421</v>
      </c>
      <c r="Y41" s="46" t="s">
        <v>91</v>
      </c>
      <c r="Z41" s="46">
        <v>15</v>
      </c>
      <c r="AA41" s="48">
        <v>39</v>
      </c>
      <c r="AB41" s="76" t="s">
        <v>557</v>
      </c>
      <c r="AC41" s="46"/>
      <c r="AD41" s="12"/>
      <c r="AE41" s="46"/>
      <c r="AF41" s="655" t="s">
        <v>2903</v>
      </c>
      <c r="AG41" s="12" t="s">
        <v>1221</v>
      </c>
      <c r="AH41" s="55" t="s">
        <v>2888</v>
      </c>
      <c r="AI41" s="55"/>
      <c r="AJ41" s="55"/>
      <c r="AK41" s="55">
        <v>2</v>
      </c>
      <c r="AL41" s="55"/>
      <c r="AM41" s="55"/>
      <c r="AN41" s="55"/>
      <c r="AO41" s="55"/>
      <c r="AP41" s="46">
        <v>39</v>
      </c>
      <c r="AQ41" s="49" t="s">
        <v>2511</v>
      </c>
      <c r="AR41" s="43"/>
      <c r="AS41" s="44" t="s">
        <v>84</v>
      </c>
      <c r="AT41" s="44" t="s">
        <v>94</v>
      </c>
      <c r="AU41" s="44" t="s">
        <v>1197</v>
      </c>
      <c r="AV41" s="44"/>
      <c r="AW41" s="44"/>
      <c r="AX41" s="44"/>
      <c r="AY41" s="44"/>
      <c r="AZ41" s="44"/>
    </row>
    <row r="42" spans="5:77">
      <c r="E42" s="75"/>
      <c r="F42" s="76" t="s">
        <v>704</v>
      </c>
      <c r="G42" s="76" t="s">
        <v>735</v>
      </c>
      <c r="H42" s="76">
        <v>48</v>
      </c>
      <c r="I42" s="76"/>
      <c r="J42" s="76" t="s">
        <v>93</v>
      </c>
      <c r="K42" s="76" t="s">
        <v>341</v>
      </c>
      <c r="L42" s="76" t="s">
        <v>413</v>
      </c>
      <c r="M42" s="76" t="s">
        <v>91</v>
      </c>
      <c r="N42" s="76">
        <v>40</v>
      </c>
      <c r="O42" s="76" t="s">
        <v>557</v>
      </c>
      <c r="P42" s="50"/>
      <c r="Q42" s="23" t="s">
        <v>1874</v>
      </c>
      <c r="R42" s="78" t="s">
        <v>563</v>
      </c>
      <c r="S42" s="78" t="s">
        <v>130</v>
      </c>
      <c r="T42" s="78">
        <v>577</v>
      </c>
      <c r="U42" s="49"/>
      <c r="V42" s="49" t="s">
        <v>564</v>
      </c>
      <c r="W42" s="49" t="s">
        <v>412</v>
      </c>
      <c r="X42" s="46" t="s">
        <v>422</v>
      </c>
      <c r="Y42" s="46" t="s">
        <v>91</v>
      </c>
      <c r="Z42" s="46">
        <v>15</v>
      </c>
      <c r="AA42" s="48">
        <v>40</v>
      </c>
      <c r="AB42" s="76"/>
      <c r="AC42" s="46"/>
      <c r="AD42" s="12"/>
      <c r="AE42" s="46"/>
      <c r="AF42" s="595" t="s">
        <v>2694</v>
      </c>
      <c r="AG42" s="12" t="s">
        <v>1221</v>
      </c>
      <c r="AH42" s="55" t="s">
        <v>505</v>
      </c>
      <c r="AI42" s="55"/>
      <c r="AJ42" s="55"/>
      <c r="AK42" s="55">
        <v>15</v>
      </c>
      <c r="AL42" s="55"/>
      <c r="AM42" s="55"/>
      <c r="AN42" s="55"/>
      <c r="AO42" s="55"/>
      <c r="AP42" s="46">
        <v>40</v>
      </c>
      <c r="AQ42" s="49" t="s">
        <v>2510</v>
      </c>
      <c r="AR42" s="43"/>
      <c r="AS42" s="44" t="s">
        <v>84</v>
      </c>
      <c r="AT42" s="44" t="s">
        <v>94</v>
      </c>
      <c r="AU42" s="102" t="s">
        <v>1196</v>
      </c>
      <c r="AV42" s="44"/>
      <c r="AW42" s="44"/>
      <c r="AX42" s="44"/>
      <c r="AY42" s="44"/>
      <c r="AZ42" s="44"/>
    </row>
    <row r="43" spans="5:77">
      <c r="E43" s="75"/>
      <c r="F43" s="76" t="s">
        <v>705</v>
      </c>
      <c r="G43" s="76" t="s">
        <v>736</v>
      </c>
      <c r="H43" s="76">
        <v>64</v>
      </c>
      <c r="I43" s="76"/>
      <c r="J43" s="76" t="s">
        <v>93</v>
      </c>
      <c r="K43" s="76" t="s">
        <v>341</v>
      </c>
      <c r="L43" s="76" t="s">
        <v>414</v>
      </c>
      <c r="M43" s="76" t="s">
        <v>91</v>
      </c>
      <c r="N43" s="76">
        <v>41</v>
      </c>
      <c r="O43" s="76" t="s">
        <v>557</v>
      </c>
      <c r="P43" s="50"/>
      <c r="Q43" s="47"/>
      <c r="R43" s="44" t="s">
        <v>671</v>
      </c>
      <c r="S43" s="49"/>
      <c r="T43" s="49" t="s">
        <v>508</v>
      </c>
      <c r="U43" s="49"/>
      <c r="V43" s="49"/>
      <c r="W43" s="49"/>
      <c r="X43" s="46"/>
      <c r="Y43" s="46"/>
      <c r="Z43" s="46"/>
      <c r="AA43" s="48">
        <v>41</v>
      </c>
      <c r="AB43" s="46"/>
      <c r="AC43" s="46"/>
      <c r="AD43" s="12"/>
      <c r="AE43" s="46"/>
      <c r="AF43" s="419" t="s">
        <v>1779</v>
      </c>
      <c r="AG43" s="12" t="s">
        <v>1221</v>
      </c>
      <c r="AH43" s="46" t="s">
        <v>490</v>
      </c>
      <c r="AI43" s="46"/>
      <c r="AJ43" s="44"/>
      <c r="AK43" s="46">
        <v>10</v>
      </c>
      <c r="AL43" s="46"/>
      <c r="AM43" s="46"/>
      <c r="AN43" s="46"/>
      <c r="AO43" s="46"/>
      <c r="AP43" s="46">
        <v>41</v>
      </c>
      <c r="AQ43" s="49" t="s">
        <v>1229</v>
      </c>
      <c r="AR43" s="47"/>
      <c r="AS43" s="44" t="s">
        <v>84</v>
      </c>
      <c r="AT43" s="46" t="s">
        <v>94</v>
      </c>
      <c r="AU43" s="102" t="s">
        <v>1198</v>
      </c>
      <c r="AV43" s="44"/>
      <c r="AW43" s="44"/>
      <c r="AX43" s="44"/>
      <c r="AY43" s="44"/>
      <c r="AZ43" s="44"/>
    </row>
    <row r="44" spans="5:77">
      <c r="E44" s="75"/>
      <c r="F44" s="76" t="s">
        <v>369</v>
      </c>
      <c r="G44" s="76" t="s">
        <v>732</v>
      </c>
      <c r="H44" s="76">
        <v>23</v>
      </c>
      <c r="I44" s="76"/>
      <c r="J44" s="76" t="s">
        <v>93</v>
      </c>
      <c r="K44" s="76" t="s">
        <v>411</v>
      </c>
      <c r="L44" s="76" t="s">
        <v>344</v>
      </c>
      <c r="M44" s="76" t="s">
        <v>91</v>
      </c>
      <c r="N44" s="76">
        <v>42</v>
      </c>
      <c r="O44" s="76" t="s">
        <v>557</v>
      </c>
      <c r="P44" s="50"/>
      <c r="Q44" s="23" t="s">
        <v>1865</v>
      </c>
      <c r="R44" s="55" t="s">
        <v>1456</v>
      </c>
      <c r="S44" s="49"/>
      <c r="T44" s="46" t="str">
        <f>""</f>
        <v/>
      </c>
      <c r="U44" s="49"/>
      <c r="V44" s="49" t="s">
        <v>578</v>
      </c>
      <c r="W44" s="49"/>
      <c r="X44" s="46"/>
      <c r="Y44" s="46" t="s">
        <v>91</v>
      </c>
      <c r="Z44" s="46">
        <v>15</v>
      </c>
      <c r="AA44" s="48">
        <v>42</v>
      </c>
      <c r="AB44" s="46"/>
      <c r="AC44" s="46"/>
      <c r="AD44" s="12"/>
      <c r="AE44" s="46"/>
      <c r="AF44" s="419" t="s">
        <v>2063</v>
      </c>
      <c r="AG44" s="12" t="s">
        <v>1221</v>
      </c>
      <c r="AH44" s="44" t="s">
        <v>2040</v>
      </c>
      <c r="AI44" s="46"/>
      <c r="AJ44" s="44"/>
      <c r="AK44" s="46">
        <v>15</v>
      </c>
      <c r="AL44" s="46"/>
      <c r="AM44" s="46"/>
      <c r="AN44" s="46"/>
      <c r="AO44" s="46"/>
      <c r="AP44" s="46">
        <v>42</v>
      </c>
      <c r="AQ44" s="49" t="s">
        <v>2510</v>
      </c>
      <c r="AR44" s="47"/>
      <c r="AS44" s="44" t="s">
        <v>84</v>
      </c>
      <c r="AT44" s="46" t="s">
        <v>94</v>
      </c>
      <c r="AU44" s="102" t="s">
        <v>1196</v>
      </c>
      <c r="AV44" s="44"/>
      <c r="AW44" s="44"/>
      <c r="AX44" s="44"/>
      <c r="AY44" s="44"/>
      <c r="AZ44" s="44"/>
    </row>
    <row r="45" spans="5:77">
      <c r="E45" s="75"/>
      <c r="F45" s="76" t="s">
        <v>370</v>
      </c>
      <c r="G45" s="76" t="s">
        <v>737</v>
      </c>
      <c r="H45" s="76">
        <v>46</v>
      </c>
      <c r="I45" s="76"/>
      <c r="J45" s="76" t="s">
        <v>93</v>
      </c>
      <c r="K45" s="76" t="s">
        <v>411</v>
      </c>
      <c r="L45" s="76" t="s">
        <v>410</v>
      </c>
      <c r="M45" s="76" t="s">
        <v>91</v>
      </c>
      <c r="N45" s="76">
        <v>43</v>
      </c>
      <c r="O45" s="76" t="s">
        <v>557</v>
      </c>
      <c r="P45" s="50"/>
      <c r="Q45" s="23" t="s">
        <v>1864</v>
      </c>
      <c r="R45" s="55" t="s">
        <v>625</v>
      </c>
      <c r="S45" s="55"/>
      <c r="T45" s="46" t="str">
        <f>""</f>
        <v/>
      </c>
      <c r="U45" s="55"/>
      <c r="V45" s="55" t="s">
        <v>625</v>
      </c>
      <c r="W45" s="55"/>
      <c r="X45" s="44"/>
      <c r="Y45" s="46" t="s">
        <v>91</v>
      </c>
      <c r="Z45" s="46">
        <v>15</v>
      </c>
      <c r="AA45" s="48">
        <v>43</v>
      </c>
      <c r="AB45" s="44"/>
      <c r="AC45" s="46"/>
      <c r="AD45" s="12"/>
      <c r="AE45" s="46"/>
      <c r="AF45" s="419" t="s">
        <v>1780</v>
      </c>
      <c r="AG45" s="12" t="s">
        <v>1221</v>
      </c>
      <c r="AH45" s="46" t="s">
        <v>472</v>
      </c>
      <c r="AI45" s="46"/>
      <c r="AJ45" s="44"/>
      <c r="AK45" s="46">
        <v>20</v>
      </c>
      <c r="AL45" s="46"/>
      <c r="AM45" s="46"/>
      <c r="AN45" s="46"/>
      <c r="AO45" s="46"/>
      <c r="AP45" s="46">
        <v>43</v>
      </c>
      <c r="AQ45" s="49" t="s">
        <v>2150</v>
      </c>
      <c r="AR45" s="47"/>
      <c r="AS45" s="44" t="s">
        <v>84</v>
      </c>
      <c r="AT45" s="46" t="s">
        <v>94</v>
      </c>
      <c r="AU45" s="102" t="s">
        <v>1196</v>
      </c>
      <c r="AV45" s="44"/>
      <c r="AW45" s="44"/>
      <c r="AX45" s="44"/>
      <c r="AY45" s="44"/>
      <c r="AZ45" s="44"/>
    </row>
    <row r="46" spans="5:77">
      <c r="E46" s="75"/>
      <c r="F46" s="76" t="s">
        <v>706</v>
      </c>
      <c r="G46" s="76" t="s">
        <v>733</v>
      </c>
      <c r="H46" s="76">
        <v>69</v>
      </c>
      <c r="I46" s="76"/>
      <c r="J46" s="76" t="s">
        <v>93</v>
      </c>
      <c r="K46" s="76" t="s">
        <v>411</v>
      </c>
      <c r="L46" s="76" t="s">
        <v>413</v>
      </c>
      <c r="M46" s="76" t="s">
        <v>91</v>
      </c>
      <c r="N46" s="76">
        <v>44</v>
      </c>
      <c r="O46" s="76" t="s">
        <v>557</v>
      </c>
      <c r="P46" s="50"/>
      <c r="Q46" s="23" t="s">
        <v>1868</v>
      </c>
      <c r="R46" s="44" t="s">
        <v>1457</v>
      </c>
      <c r="S46" s="46"/>
      <c r="T46" s="46" t="str">
        <f>""</f>
        <v/>
      </c>
      <c r="U46" s="46"/>
      <c r="V46" s="44" t="s">
        <v>626</v>
      </c>
      <c r="W46" s="46" t="s">
        <v>97</v>
      </c>
      <c r="X46" s="46"/>
      <c r="Y46" s="46" t="s">
        <v>91</v>
      </c>
      <c r="Z46" s="46">
        <v>15</v>
      </c>
      <c r="AA46" s="48">
        <v>44</v>
      </c>
      <c r="AB46" s="46"/>
      <c r="AC46" s="46"/>
      <c r="AD46" s="12"/>
      <c r="AE46" s="46"/>
      <c r="AF46" s="419" t="s">
        <v>1775</v>
      </c>
      <c r="AG46" s="12" t="s">
        <v>1221</v>
      </c>
      <c r="AH46" s="44" t="s">
        <v>596</v>
      </c>
      <c r="AI46" s="46"/>
      <c r="AJ46" s="44"/>
      <c r="AK46" s="46"/>
      <c r="AL46" s="46"/>
      <c r="AM46" s="46"/>
      <c r="AN46" s="46"/>
      <c r="AO46" s="46"/>
      <c r="AP46" s="46">
        <v>44</v>
      </c>
      <c r="AQ46" s="49"/>
      <c r="AR46" s="47"/>
      <c r="AS46" s="44" t="s">
        <v>84</v>
      </c>
      <c r="AT46" s="46" t="s">
        <v>94</v>
      </c>
      <c r="AU46" s="102" t="s">
        <v>651</v>
      </c>
      <c r="AV46" s="44"/>
      <c r="AW46" s="44"/>
      <c r="AX46" s="44"/>
      <c r="AY46" s="44"/>
      <c r="AZ46" s="44"/>
    </row>
    <row r="47" spans="5:77">
      <c r="E47" s="75"/>
      <c r="F47" s="76" t="s">
        <v>707</v>
      </c>
      <c r="G47" s="76" t="s">
        <v>738</v>
      </c>
      <c r="H47" s="76">
        <v>92</v>
      </c>
      <c r="I47" s="76"/>
      <c r="J47" s="76" t="s">
        <v>93</v>
      </c>
      <c r="K47" s="76" t="s">
        <v>411</v>
      </c>
      <c r="L47" s="76" t="s">
        <v>414</v>
      </c>
      <c r="M47" s="76" t="s">
        <v>91</v>
      </c>
      <c r="N47" s="76">
        <v>45</v>
      </c>
      <c r="O47" s="76" t="s">
        <v>557</v>
      </c>
      <c r="P47" s="50"/>
      <c r="Q47" s="47"/>
      <c r="R47" s="46"/>
      <c r="S47" s="46"/>
      <c r="T47" s="46"/>
      <c r="U47" s="46"/>
      <c r="V47" s="46"/>
      <c r="W47" s="46"/>
      <c r="X47" s="46"/>
      <c r="Y47" s="46"/>
      <c r="Z47" s="46"/>
      <c r="AA47" s="46"/>
      <c r="AB47" s="46"/>
      <c r="AC47" s="46"/>
      <c r="AD47" s="12"/>
      <c r="AE47" s="46"/>
      <c r="AF47" s="43"/>
      <c r="AG47" s="70"/>
      <c r="AH47" s="44"/>
      <c r="AI47" s="44"/>
      <c r="AJ47" s="44"/>
      <c r="AK47" s="44"/>
      <c r="AL47" s="44"/>
      <c r="AM47" s="44"/>
      <c r="AN47" s="44"/>
      <c r="AO47" s="44"/>
      <c r="AP47" s="44"/>
      <c r="AQ47" s="55"/>
      <c r="AR47" s="43"/>
      <c r="AS47" s="44"/>
      <c r="AT47" s="44"/>
      <c r="AU47" s="44"/>
    </row>
    <row r="48" spans="5:77">
      <c r="E48" s="75"/>
      <c r="F48" s="76" t="s">
        <v>371</v>
      </c>
      <c r="G48" s="76" t="s">
        <v>110</v>
      </c>
      <c r="H48" s="76">
        <v>32</v>
      </c>
      <c r="I48" s="76"/>
      <c r="J48" s="76" t="s">
        <v>93</v>
      </c>
      <c r="K48" s="76" t="s">
        <v>412</v>
      </c>
      <c r="L48" s="76" t="s">
        <v>344</v>
      </c>
      <c r="M48" s="76" t="s">
        <v>91</v>
      </c>
      <c r="N48" s="76">
        <v>46</v>
      </c>
      <c r="O48" s="76" t="s">
        <v>557</v>
      </c>
      <c r="P48" s="50"/>
      <c r="Q48" s="47"/>
      <c r="R48" s="46"/>
      <c r="S48" s="46"/>
      <c r="T48" s="46"/>
      <c r="U48" s="46"/>
      <c r="V48" s="46"/>
      <c r="W48" s="46"/>
      <c r="X48" s="46"/>
      <c r="Y48" s="46"/>
      <c r="Z48" s="46"/>
      <c r="AA48" s="46"/>
      <c r="AB48" s="46"/>
      <c r="AC48" s="46"/>
      <c r="AD48" s="12"/>
      <c r="AE48" s="46"/>
      <c r="AF48"/>
      <c r="AQ48"/>
      <c r="AV48" s="46"/>
    </row>
    <row r="49" spans="5:70">
      <c r="E49" s="75"/>
      <c r="F49" s="76" t="s">
        <v>372</v>
      </c>
      <c r="G49" s="76" t="s">
        <v>734</v>
      </c>
      <c r="H49" s="76">
        <v>59</v>
      </c>
      <c r="I49" s="76"/>
      <c r="J49" s="76" t="s">
        <v>93</v>
      </c>
      <c r="K49" s="76" t="s">
        <v>412</v>
      </c>
      <c r="L49" s="76" t="s">
        <v>410</v>
      </c>
      <c r="M49" s="76" t="s">
        <v>91</v>
      </c>
      <c r="N49" s="76">
        <v>47</v>
      </c>
      <c r="O49" s="76" t="s">
        <v>557</v>
      </c>
      <c r="P49" s="50"/>
      <c r="Q49" s="47"/>
      <c r="R49" s="46"/>
      <c r="S49" s="46"/>
      <c r="T49" s="46"/>
      <c r="U49" s="46"/>
      <c r="V49" s="46"/>
      <c r="W49" s="46"/>
      <c r="X49" s="46"/>
      <c r="Y49" s="46"/>
      <c r="Z49" s="46"/>
      <c r="AA49" s="46"/>
      <c r="AB49" s="46"/>
      <c r="AC49" s="46"/>
      <c r="AD49" s="12"/>
      <c r="AE49" s="46"/>
      <c r="AF49" s="47"/>
      <c r="AG49" s="46"/>
      <c r="AH49" s="46"/>
      <c r="AI49" s="46"/>
      <c r="AJ49" s="46"/>
      <c r="AK49" s="46"/>
      <c r="AL49" s="46"/>
      <c r="AM49" s="46"/>
      <c r="AN49" s="46"/>
      <c r="AO49" s="46"/>
      <c r="AP49" s="46"/>
      <c r="AQ49" s="49"/>
      <c r="AR49" s="46"/>
      <c r="AS49" s="46"/>
      <c r="AT49" s="46"/>
      <c r="AU49" s="46"/>
      <c r="AV49" s="46"/>
    </row>
    <row r="50" spans="5:70">
      <c r="E50" s="75"/>
      <c r="F50" s="76" t="s">
        <v>373</v>
      </c>
      <c r="G50" s="76" t="s">
        <v>112</v>
      </c>
      <c r="H50" s="76">
        <v>88</v>
      </c>
      <c r="I50" s="76"/>
      <c r="J50" s="76" t="s">
        <v>93</v>
      </c>
      <c r="K50" s="76" t="s">
        <v>412</v>
      </c>
      <c r="L50" s="76" t="s">
        <v>413</v>
      </c>
      <c r="M50" s="76" t="s">
        <v>91</v>
      </c>
      <c r="N50" s="76">
        <v>48</v>
      </c>
      <c r="O50" s="76" t="s">
        <v>557</v>
      </c>
      <c r="P50" s="50"/>
      <c r="Q50" s="47"/>
      <c r="R50" s="46"/>
      <c r="S50" s="46"/>
      <c r="T50" s="46"/>
      <c r="U50" s="46"/>
      <c r="V50" s="46"/>
      <c r="W50" s="46"/>
      <c r="X50" s="46"/>
      <c r="Y50" s="46"/>
      <c r="Z50" s="46"/>
      <c r="AA50" s="46"/>
      <c r="AB50" s="46"/>
      <c r="AC50" s="46"/>
      <c r="AD50" s="12"/>
      <c r="AE50" s="46"/>
      <c r="AF50" s="47" t="s">
        <v>85</v>
      </c>
      <c r="AG50" s="47" t="s">
        <v>580</v>
      </c>
      <c r="AH50" s="46" t="s">
        <v>497</v>
      </c>
      <c r="AI50" s="46" t="s">
        <v>498</v>
      </c>
      <c r="AJ50" s="44" t="s">
        <v>591</v>
      </c>
      <c r="AK50" s="46" t="s">
        <v>88</v>
      </c>
      <c r="AL50" s="46" t="s">
        <v>86</v>
      </c>
      <c r="AM50" s="46" t="s">
        <v>342</v>
      </c>
      <c r="AN50" s="46" t="s">
        <v>343</v>
      </c>
      <c r="AO50" s="46" t="s">
        <v>468</v>
      </c>
      <c r="AP50" s="44" t="s">
        <v>347</v>
      </c>
      <c r="AQ50" s="49" t="s">
        <v>467</v>
      </c>
      <c r="AR50" s="46" t="s">
        <v>333</v>
      </c>
      <c r="AS50" s="44" t="s">
        <v>624</v>
      </c>
      <c r="AT50" s="46" t="s">
        <v>466</v>
      </c>
      <c r="AU50" s="44" t="s">
        <v>2213</v>
      </c>
      <c r="AV50" s="44" t="s">
        <v>2209</v>
      </c>
      <c r="AW50" s="44" t="s">
        <v>2210</v>
      </c>
      <c r="AX50" s="44" t="s">
        <v>1423</v>
      </c>
      <c r="AY50" s="44" t="s">
        <v>2211</v>
      </c>
      <c r="AZ50" s="44" t="s">
        <v>2212</v>
      </c>
    </row>
    <row r="51" spans="5:70">
      <c r="E51" s="75"/>
      <c r="F51" s="76" t="s">
        <v>2815</v>
      </c>
      <c r="G51" s="76" t="s">
        <v>113</v>
      </c>
      <c r="H51" s="76">
        <v>117</v>
      </c>
      <c r="I51" s="76"/>
      <c r="J51" s="76" t="s">
        <v>93</v>
      </c>
      <c r="K51" s="76" t="s">
        <v>412</v>
      </c>
      <c r="L51" s="76" t="s">
        <v>414</v>
      </c>
      <c r="M51" s="76" t="s">
        <v>91</v>
      </c>
      <c r="N51" s="76">
        <v>49</v>
      </c>
      <c r="O51" s="44" t="s">
        <v>1386</v>
      </c>
      <c r="P51" s="50"/>
      <c r="Q51" s="47"/>
      <c r="R51" s="46"/>
      <c r="S51" s="46"/>
      <c r="T51" s="46"/>
      <c r="U51" s="46"/>
      <c r="V51" s="46"/>
      <c r="W51" s="46"/>
      <c r="X51" s="46"/>
      <c r="Y51" s="46"/>
      <c r="Z51" s="46"/>
      <c r="AA51" s="46"/>
      <c r="AB51" s="46"/>
      <c r="AC51" s="46"/>
      <c r="AD51" s="12"/>
      <c r="AE51" s="46"/>
      <c r="AF51" s="512" t="s">
        <v>2607</v>
      </c>
      <c r="AG51" s="12" t="s">
        <v>1221</v>
      </c>
      <c r="AH51" t="s">
        <v>2203</v>
      </c>
      <c r="AI51" s="46"/>
      <c r="AJ51" s="46"/>
      <c r="AK51" s="46">
        <v>8</v>
      </c>
      <c r="AL51" s="46"/>
      <c r="AM51" s="46"/>
      <c r="AN51" s="46"/>
      <c r="AO51" s="46"/>
      <c r="AP51" s="46">
        <v>1</v>
      </c>
      <c r="AQ51" s="134" t="s">
        <v>1205</v>
      </c>
      <c r="AR51" s="47"/>
      <c r="AS51" s="44" t="s">
        <v>84</v>
      </c>
      <c r="AT51" s="46" t="s">
        <v>331</v>
      </c>
      <c r="AU51" s="44" t="s">
        <v>2219</v>
      </c>
      <c r="AV51" s="44">
        <v>8.1000000000000003E-2</v>
      </c>
      <c r="AW51" s="128">
        <v>0.24</v>
      </c>
      <c r="AX51" s="533">
        <v>67</v>
      </c>
      <c r="AY51" s="44">
        <v>3088</v>
      </c>
      <c r="AZ51" s="44">
        <v>1.41</v>
      </c>
      <c r="BB51" s="180"/>
      <c r="BC51" s="180"/>
      <c r="BD51" s="180"/>
      <c r="BE51" s="180"/>
      <c r="BF51" s="180"/>
      <c r="BG51" s="180"/>
      <c r="BH51" s="180"/>
      <c r="BI51" s="180"/>
      <c r="BJ51" s="180"/>
      <c r="BK51" s="180"/>
      <c r="BL51" s="180"/>
      <c r="BM51" s="180"/>
      <c r="BN51" s="180"/>
      <c r="BO51" s="180"/>
      <c r="BP51" s="180"/>
      <c r="BQ51" s="180"/>
      <c r="BR51" s="180"/>
    </row>
    <row r="52" spans="5:70" s="180" customFormat="1">
      <c r="E52" s="43"/>
      <c r="F52" s="44" t="s">
        <v>1394</v>
      </c>
      <c r="G52" s="44" t="s">
        <v>1395</v>
      </c>
      <c r="H52" s="44">
        <v>75</v>
      </c>
      <c r="I52" s="44"/>
      <c r="J52" s="44" t="s">
        <v>93</v>
      </c>
      <c r="K52" s="44" t="s">
        <v>1385</v>
      </c>
      <c r="L52" s="76" t="s">
        <v>410</v>
      </c>
      <c r="M52" s="76" t="s">
        <v>91</v>
      </c>
      <c r="N52" s="76">
        <v>50</v>
      </c>
      <c r="O52" s="44" t="s">
        <v>1386</v>
      </c>
      <c r="P52" s="50"/>
      <c r="Q52" s="47"/>
      <c r="R52" s="46"/>
      <c r="S52" s="46"/>
      <c r="T52" s="46"/>
      <c r="U52" s="46"/>
      <c r="V52" s="46"/>
      <c r="W52" s="46"/>
      <c r="X52" s="46"/>
      <c r="Y52" s="46"/>
      <c r="Z52" s="46"/>
      <c r="AA52" s="46"/>
      <c r="AB52" s="46"/>
      <c r="AC52" s="46"/>
      <c r="AD52" s="12"/>
      <c r="AE52" s="46"/>
      <c r="AF52" s="512" t="s">
        <v>2608</v>
      </c>
      <c r="AG52" s="12" t="s">
        <v>1221</v>
      </c>
      <c r="AH52" t="s">
        <v>2204</v>
      </c>
      <c r="AI52" s="46"/>
      <c r="AJ52" s="46"/>
      <c r="AK52" s="46">
        <v>8</v>
      </c>
      <c r="AL52" s="46"/>
      <c r="AM52" s="46"/>
      <c r="AN52" s="46"/>
      <c r="AO52" s="46"/>
      <c r="AP52" s="46">
        <v>2</v>
      </c>
      <c r="AQ52" s="134" t="s">
        <v>1205</v>
      </c>
      <c r="AR52" s="47"/>
      <c r="AS52" s="44" t="s">
        <v>84</v>
      </c>
      <c r="AT52" s="46" t="s">
        <v>331</v>
      </c>
      <c r="AU52" s="44" t="s">
        <v>2219</v>
      </c>
      <c r="AV52" s="44">
        <v>9.5000000000000001E-2</v>
      </c>
      <c r="AW52" s="128">
        <v>0.28000000000000003</v>
      </c>
      <c r="AX52" s="533">
        <v>50</v>
      </c>
      <c r="AY52" s="44">
        <v>3088</v>
      </c>
      <c r="AZ52" s="44">
        <v>1.41</v>
      </c>
    </row>
    <row r="53" spans="5:70" s="180" customFormat="1">
      <c r="E53" s="43"/>
      <c r="F53" s="44" t="s">
        <v>1396</v>
      </c>
      <c r="G53" s="44" t="s">
        <v>1397</v>
      </c>
      <c r="H53" s="44">
        <v>107</v>
      </c>
      <c r="I53" s="44"/>
      <c r="J53" s="44" t="s">
        <v>93</v>
      </c>
      <c r="K53" s="44" t="s">
        <v>1385</v>
      </c>
      <c r="L53" s="76" t="s">
        <v>413</v>
      </c>
      <c r="M53" s="76" t="s">
        <v>91</v>
      </c>
      <c r="N53" s="76">
        <v>51</v>
      </c>
      <c r="O53" s="44" t="s">
        <v>1386</v>
      </c>
      <c r="P53" s="50"/>
      <c r="Q53" s="47"/>
      <c r="R53" s="46"/>
      <c r="S53" s="46"/>
      <c r="T53" s="46"/>
      <c r="U53" s="46"/>
      <c r="V53" s="46"/>
      <c r="W53" s="46"/>
      <c r="X53" s="46"/>
      <c r="Y53" s="46"/>
      <c r="Z53" s="46"/>
      <c r="AA53" s="46"/>
      <c r="AB53" s="46"/>
      <c r="AC53" s="46"/>
      <c r="AD53" s="12"/>
      <c r="AE53" s="46"/>
      <c r="AF53" s="512" t="s">
        <v>2609</v>
      </c>
      <c r="AG53" s="12" t="s">
        <v>1221</v>
      </c>
      <c r="AH53" t="s">
        <v>2216</v>
      </c>
      <c r="AI53" s="46"/>
      <c r="AJ53" s="46"/>
      <c r="AK53" s="46">
        <v>8</v>
      </c>
      <c r="AL53" s="46"/>
      <c r="AM53" s="46"/>
      <c r="AN53" s="46"/>
      <c r="AO53" s="46"/>
      <c r="AP53" s="46">
        <v>3</v>
      </c>
      <c r="AQ53" s="134" t="s">
        <v>1205</v>
      </c>
      <c r="AR53" s="47"/>
      <c r="AS53" s="44" t="s">
        <v>84</v>
      </c>
      <c r="AT53" s="46" t="s">
        <v>331</v>
      </c>
      <c r="AU53" s="44" t="s">
        <v>2219</v>
      </c>
      <c r="AV53" s="44">
        <v>3.1E-2</v>
      </c>
      <c r="AW53" s="128">
        <v>0.24</v>
      </c>
      <c r="AX53" s="533">
        <v>40</v>
      </c>
      <c r="AY53" s="44">
        <v>3088</v>
      </c>
      <c r="AZ53" s="44">
        <v>1.41</v>
      </c>
    </row>
    <row r="54" spans="5:70" s="180" customFormat="1">
      <c r="E54" s="43"/>
      <c r="F54" s="44" t="s">
        <v>1398</v>
      </c>
      <c r="G54" s="44" t="s">
        <v>1399</v>
      </c>
      <c r="H54" s="44">
        <v>116</v>
      </c>
      <c r="I54" s="44"/>
      <c r="J54" s="44" t="s">
        <v>93</v>
      </c>
      <c r="K54" s="44" t="s">
        <v>1385</v>
      </c>
      <c r="L54" s="76" t="s">
        <v>414</v>
      </c>
      <c r="M54" s="76" t="s">
        <v>91</v>
      </c>
      <c r="N54" s="76">
        <v>52</v>
      </c>
      <c r="O54" s="44" t="s">
        <v>1386</v>
      </c>
      <c r="P54" s="50"/>
      <c r="Q54" s="47"/>
      <c r="R54" s="46"/>
      <c r="S54" s="46"/>
      <c r="T54" s="46"/>
      <c r="U54" s="46"/>
      <c r="V54" s="46"/>
      <c r="W54" s="46"/>
      <c r="X54" s="46"/>
      <c r="Y54" s="46"/>
      <c r="Z54" s="46"/>
      <c r="AA54" s="46"/>
      <c r="AB54" s="46"/>
      <c r="AC54" s="46"/>
      <c r="AD54" s="12"/>
      <c r="AE54" s="46"/>
      <c r="AF54" s="512" t="s">
        <v>2610</v>
      </c>
      <c r="AG54" s="12" t="s">
        <v>1221</v>
      </c>
      <c r="AH54" t="s">
        <v>2217</v>
      </c>
      <c r="AI54" s="44"/>
      <c r="AJ54" s="44"/>
      <c r="AK54" s="44">
        <v>8</v>
      </c>
      <c r="AL54" s="44"/>
      <c r="AM54" s="44"/>
      <c r="AN54" s="44"/>
      <c r="AO54" s="44"/>
      <c r="AP54" s="46">
        <v>4</v>
      </c>
      <c r="AQ54" s="134" t="s">
        <v>1205</v>
      </c>
      <c r="AR54" s="43"/>
      <c r="AS54" s="44" t="s">
        <v>84</v>
      </c>
      <c r="AT54" s="46" t="s">
        <v>331</v>
      </c>
      <c r="AU54" s="44" t="s">
        <v>2219</v>
      </c>
      <c r="AV54" s="44">
        <v>0.11799999999999999</v>
      </c>
      <c r="AW54" s="128">
        <v>0.24</v>
      </c>
      <c r="AX54" s="533">
        <v>40</v>
      </c>
      <c r="AY54" s="44">
        <v>3088</v>
      </c>
      <c r="AZ54" s="44">
        <v>1.41</v>
      </c>
    </row>
    <row r="55" spans="5:70" s="180" customFormat="1">
      <c r="E55" s="47"/>
      <c r="F55" s="46" t="s">
        <v>1400</v>
      </c>
      <c r="G55" s="76" t="s">
        <v>1401</v>
      </c>
      <c r="H55" s="46">
        <v>50</v>
      </c>
      <c r="I55" s="46"/>
      <c r="J55" s="76" t="s">
        <v>93</v>
      </c>
      <c r="K55" s="46" t="s">
        <v>1391</v>
      </c>
      <c r="L55" s="46" t="s">
        <v>344</v>
      </c>
      <c r="M55" s="46" t="s">
        <v>91</v>
      </c>
      <c r="N55" s="76">
        <v>53</v>
      </c>
      <c r="O55" s="46" t="s">
        <v>1386</v>
      </c>
      <c r="P55" s="50"/>
      <c r="Q55" s="47"/>
      <c r="R55" s="46"/>
      <c r="S55" s="46"/>
      <c r="T55" s="46"/>
      <c r="U55" s="46"/>
      <c r="V55" s="46"/>
      <c r="W55" s="46"/>
      <c r="X55" s="46"/>
      <c r="Y55" s="46"/>
      <c r="Z55" s="46"/>
      <c r="AA55" s="46"/>
      <c r="AB55" s="46"/>
      <c r="AC55" s="46"/>
      <c r="AD55" s="12"/>
      <c r="AE55" s="46"/>
      <c r="AF55" s="512" t="s">
        <v>2611</v>
      </c>
      <c r="AG55" s="12" t="s">
        <v>1221</v>
      </c>
      <c r="AH55" t="s">
        <v>2205</v>
      </c>
      <c r="AI55" s="44"/>
      <c r="AJ55" s="44"/>
      <c r="AK55" s="44">
        <v>8</v>
      </c>
      <c r="AL55" s="44"/>
      <c r="AM55" s="44"/>
      <c r="AN55" s="44"/>
      <c r="AO55" s="44"/>
      <c r="AP55" s="46">
        <v>5</v>
      </c>
      <c r="AQ55" s="134" t="s">
        <v>1205</v>
      </c>
      <c r="AR55" s="43"/>
      <c r="AS55" s="44" t="s">
        <v>84</v>
      </c>
      <c r="AT55" s="46" t="s">
        <v>331</v>
      </c>
      <c r="AU55" s="44" t="s">
        <v>2219</v>
      </c>
      <c r="AV55" s="44">
        <v>3.1E-2</v>
      </c>
      <c r="AW55" s="128">
        <v>0.38</v>
      </c>
      <c r="AX55" s="533">
        <v>50</v>
      </c>
      <c r="AY55" s="44">
        <v>3088</v>
      </c>
      <c r="AZ55" s="44">
        <v>1.41</v>
      </c>
    </row>
    <row r="56" spans="5:70" s="180" customFormat="1">
      <c r="E56" s="47"/>
      <c r="F56" s="46" t="s">
        <v>1402</v>
      </c>
      <c r="G56" s="76" t="s">
        <v>1403</v>
      </c>
      <c r="H56" s="46">
        <v>88</v>
      </c>
      <c r="I56" s="46"/>
      <c r="J56" s="76" t="s">
        <v>93</v>
      </c>
      <c r="K56" s="46" t="s">
        <v>1391</v>
      </c>
      <c r="L56" s="46" t="s">
        <v>410</v>
      </c>
      <c r="M56" s="46" t="s">
        <v>91</v>
      </c>
      <c r="N56" s="76">
        <v>54</v>
      </c>
      <c r="O56" s="46" t="s">
        <v>1386</v>
      </c>
      <c r="P56" s="50"/>
      <c r="Q56" s="47"/>
      <c r="R56" s="46"/>
      <c r="S56" s="46"/>
      <c r="T56" s="46"/>
      <c r="U56" s="46"/>
      <c r="V56" s="46"/>
      <c r="W56" s="46"/>
      <c r="X56" s="46"/>
      <c r="Y56" s="46"/>
      <c r="Z56" s="46"/>
      <c r="AA56" s="46"/>
      <c r="AB56" s="46"/>
      <c r="AC56" s="46"/>
      <c r="AD56" s="12"/>
      <c r="AE56" s="46"/>
      <c r="AF56" s="512" t="s">
        <v>2612</v>
      </c>
      <c r="AG56" s="12" t="s">
        <v>1221</v>
      </c>
      <c r="AH56" t="s">
        <v>2206</v>
      </c>
      <c r="AI56" s="44"/>
      <c r="AJ56" s="44"/>
      <c r="AK56" s="44">
        <v>8</v>
      </c>
      <c r="AL56" s="44"/>
      <c r="AM56" s="44"/>
      <c r="AN56" s="44"/>
      <c r="AO56" s="44"/>
      <c r="AP56" s="46">
        <v>6</v>
      </c>
      <c r="AQ56" s="134" t="s">
        <v>1205</v>
      </c>
      <c r="AR56" s="43"/>
      <c r="AS56" s="44" t="s">
        <v>84</v>
      </c>
      <c r="AT56" s="46" t="s">
        <v>331</v>
      </c>
      <c r="AU56" s="44" t="s">
        <v>2219</v>
      </c>
      <c r="AV56" s="44">
        <v>0.11799999999999999</v>
      </c>
      <c r="AW56" s="128">
        <v>0.38</v>
      </c>
      <c r="AX56" s="533">
        <v>50</v>
      </c>
      <c r="AY56" s="44">
        <v>3088</v>
      </c>
      <c r="AZ56" s="44">
        <v>1.41</v>
      </c>
    </row>
    <row r="57" spans="5:70" s="180" customFormat="1">
      <c r="E57" s="75"/>
      <c r="F57" s="76" t="s">
        <v>374</v>
      </c>
      <c r="G57" s="76" t="s">
        <v>523</v>
      </c>
      <c r="H57" s="76">
        <v>62</v>
      </c>
      <c r="I57" s="76"/>
      <c r="J57" s="76" t="s">
        <v>93</v>
      </c>
      <c r="K57" s="76" t="s">
        <v>415</v>
      </c>
      <c r="L57" s="76" t="s">
        <v>344</v>
      </c>
      <c r="M57" s="76" t="s">
        <v>91</v>
      </c>
      <c r="N57" s="76">
        <v>55</v>
      </c>
      <c r="O57" s="76" t="s">
        <v>557</v>
      </c>
      <c r="P57" s="50"/>
      <c r="Q57" s="47"/>
      <c r="R57" s="46"/>
      <c r="S57" s="46"/>
      <c r="T57" s="46"/>
      <c r="U57" s="46"/>
      <c r="V57" s="46"/>
      <c r="W57" s="46"/>
      <c r="X57" s="46"/>
      <c r="Y57" s="46"/>
      <c r="Z57" s="46"/>
      <c r="AA57" s="46"/>
      <c r="AB57" s="46"/>
      <c r="AC57" s="46"/>
      <c r="AD57" s="12"/>
      <c r="AE57" s="46"/>
      <c r="AF57" s="512" t="s">
        <v>2613</v>
      </c>
      <c r="AG57" s="12" t="s">
        <v>1221</v>
      </c>
      <c r="AH57" t="s">
        <v>2207</v>
      </c>
      <c r="AI57" s="44"/>
      <c r="AJ57" s="44"/>
      <c r="AK57" s="44">
        <v>8</v>
      </c>
      <c r="AL57" s="44"/>
      <c r="AM57" s="44"/>
      <c r="AN57" s="44"/>
      <c r="AO57" s="44"/>
      <c r="AP57" s="46">
        <v>7</v>
      </c>
      <c r="AQ57" s="134" t="s">
        <v>1205</v>
      </c>
      <c r="AR57" s="43"/>
      <c r="AS57" s="44" t="s">
        <v>84</v>
      </c>
      <c r="AT57" s="46" t="s">
        <v>331</v>
      </c>
      <c r="AU57" s="44" t="s">
        <v>2219</v>
      </c>
      <c r="AV57" s="44">
        <v>3.1E-2</v>
      </c>
      <c r="AW57" s="128">
        <v>0.38</v>
      </c>
      <c r="AX57" s="533">
        <v>100</v>
      </c>
      <c r="AY57" s="44">
        <v>3088</v>
      </c>
      <c r="AZ57" s="44">
        <v>1.41</v>
      </c>
      <c r="BB57"/>
      <c r="BC57"/>
      <c r="BD57"/>
      <c r="BE57"/>
      <c r="BF57"/>
      <c r="BG57"/>
      <c r="BH57"/>
      <c r="BI57"/>
      <c r="BJ57"/>
      <c r="BK57"/>
      <c r="BL57"/>
      <c r="BM57"/>
      <c r="BN57"/>
      <c r="BO57"/>
      <c r="BP57"/>
      <c r="BQ57"/>
      <c r="BR57"/>
    </row>
    <row r="58" spans="5:70">
      <c r="E58" s="75"/>
      <c r="F58" s="76" t="s">
        <v>375</v>
      </c>
      <c r="G58" s="76" t="s">
        <v>524</v>
      </c>
      <c r="H58" s="76">
        <v>124</v>
      </c>
      <c r="I58" s="76"/>
      <c r="J58" s="76" t="s">
        <v>93</v>
      </c>
      <c r="K58" s="76" t="s">
        <v>415</v>
      </c>
      <c r="L58" s="76" t="s">
        <v>410</v>
      </c>
      <c r="M58" s="76" t="s">
        <v>91</v>
      </c>
      <c r="N58" s="76">
        <v>56</v>
      </c>
      <c r="O58" s="76" t="s">
        <v>557</v>
      </c>
      <c r="P58" s="50"/>
      <c r="Q58" s="47"/>
      <c r="R58" s="46"/>
      <c r="S58" s="46"/>
      <c r="T58" s="46"/>
      <c r="U58" s="46"/>
      <c r="V58" s="46"/>
      <c r="W58" s="46"/>
      <c r="X58" s="46"/>
      <c r="Y58" s="46"/>
      <c r="Z58" s="46"/>
      <c r="AA58" s="46"/>
      <c r="AB58" s="46"/>
      <c r="AC58" s="46"/>
      <c r="AD58" s="12"/>
      <c r="AE58" s="46"/>
      <c r="AF58" s="512" t="s">
        <v>2614</v>
      </c>
      <c r="AG58" s="12" t="s">
        <v>1221</v>
      </c>
      <c r="AH58" t="s">
        <v>2208</v>
      </c>
      <c r="AI58" s="44"/>
      <c r="AJ58" s="44"/>
      <c r="AK58" s="44">
        <v>8</v>
      </c>
      <c r="AL58" s="44"/>
      <c r="AM58" s="44"/>
      <c r="AN58" s="44"/>
      <c r="AO58" s="44"/>
      <c r="AP58" s="46">
        <v>8</v>
      </c>
      <c r="AQ58" s="134" t="s">
        <v>1205</v>
      </c>
      <c r="AR58" s="43"/>
      <c r="AS58" s="44" t="s">
        <v>84</v>
      </c>
      <c r="AT58" s="46" t="s">
        <v>331</v>
      </c>
      <c r="AU58" s="44" t="s">
        <v>2219</v>
      </c>
      <c r="AV58" s="44">
        <v>0.11799999999999999</v>
      </c>
      <c r="AW58" s="128">
        <v>0.38</v>
      </c>
      <c r="AX58" s="533">
        <v>100</v>
      </c>
      <c r="AY58" s="44">
        <v>3088</v>
      </c>
      <c r="AZ58" s="44">
        <v>1.41</v>
      </c>
    </row>
    <row r="59" spans="5:70">
      <c r="E59" s="75"/>
      <c r="F59" s="76" t="s">
        <v>376</v>
      </c>
      <c r="G59" s="76" t="s">
        <v>525</v>
      </c>
      <c r="H59" s="76">
        <v>186</v>
      </c>
      <c r="I59" s="76"/>
      <c r="J59" s="76" t="s">
        <v>93</v>
      </c>
      <c r="K59" s="76" t="s">
        <v>415</v>
      </c>
      <c r="L59" s="76" t="s">
        <v>413</v>
      </c>
      <c r="M59" s="76" t="s">
        <v>91</v>
      </c>
      <c r="N59" s="76">
        <v>57</v>
      </c>
      <c r="O59" s="76" t="s">
        <v>557</v>
      </c>
      <c r="P59" s="50"/>
      <c r="Q59" s="47"/>
      <c r="R59" s="46"/>
      <c r="S59" s="46"/>
      <c r="T59" s="46"/>
      <c r="U59" s="46"/>
      <c r="V59" s="46"/>
      <c r="W59" s="46"/>
      <c r="X59" s="46"/>
      <c r="Y59" s="46"/>
      <c r="Z59" s="46"/>
      <c r="AA59" s="46"/>
      <c r="AB59" s="46"/>
      <c r="AC59" s="46"/>
      <c r="AD59" s="12"/>
      <c r="AE59" s="46"/>
      <c r="AF59" s="420"/>
      <c r="AG59" s="43"/>
      <c r="AH59" s="44"/>
      <c r="AI59" s="44"/>
      <c r="AJ59" s="44"/>
      <c r="AK59" s="44"/>
      <c r="AL59" s="44"/>
      <c r="AM59" s="44"/>
      <c r="AN59" s="44"/>
      <c r="AO59" s="44"/>
      <c r="AP59" s="44"/>
      <c r="AQ59" s="55"/>
      <c r="AR59" s="43"/>
      <c r="AS59" s="44"/>
      <c r="AT59" s="44"/>
      <c r="AU59" s="44"/>
      <c r="AV59" s="44"/>
      <c r="AW59" s="128"/>
      <c r="AX59" s="533"/>
      <c r="AY59" s="44"/>
      <c r="AZ59" s="44"/>
    </row>
    <row r="60" spans="5:70">
      <c r="E60" s="75"/>
      <c r="F60" s="76" t="s">
        <v>377</v>
      </c>
      <c r="G60" s="76" t="s">
        <v>526</v>
      </c>
      <c r="H60" s="76">
        <v>248</v>
      </c>
      <c r="I60" s="76"/>
      <c r="J60" s="76" t="s">
        <v>93</v>
      </c>
      <c r="K60" s="76" t="s">
        <v>415</v>
      </c>
      <c r="L60" s="76" t="s">
        <v>414</v>
      </c>
      <c r="M60" s="76" t="s">
        <v>91</v>
      </c>
      <c r="N60" s="76">
        <v>58</v>
      </c>
      <c r="O60" s="76" t="s">
        <v>557</v>
      </c>
      <c r="P60" s="50"/>
      <c r="Q60" s="47"/>
      <c r="R60" s="46"/>
      <c r="S60" s="46"/>
      <c r="T60" s="46"/>
      <c r="U60" s="46"/>
      <c r="V60" s="46"/>
      <c r="W60" s="46"/>
      <c r="X60" s="46"/>
      <c r="Y60" s="46"/>
      <c r="Z60" s="46"/>
      <c r="AA60" s="46"/>
      <c r="AB60" s="46"/>
      <c r="AC60" s="46"/>
      <c r="AD60" s="12"/>
      <c r="AE60" s="46"/>
      <c r="AF60" s="420"/>
      <c r="AG60" s="70"/>
      <c r="AH60" s="44"/>
      <c r="AI60" s="44"/>
      <c r="AJ60" s="44"/>
      <c r="AK60" s="44"/>
      <c r="AL60" s="44"/>
      <c r="AM60" s="44"/>
      <c r="AN60" s="44"/>
      <c r="AO60" s="44"/>
      <c r="AP60" s="44"/>
      <c r="AQ60" s="55"/>
      <c r="AR60" s="43"/>
      <c r="AS60" s="44"/>
      <c r="AT60" s="44"/>
      <c r="AU60" s="44"/>
      <c r="AV60" s="44"/>
      <c r="AW60" s="128"/>
      <c r="AX60" s="533"/>
      <c r="AY60" s="44"/>
      <c r="AZ60" s="44"/>
    </row>
    <row r="61" spans="5:70">
      <c r="E61" s="75"/>
      <c r="F61" s="76" t="s">
        <v>1404</v>
      </c>
      <c r="G61" s="76" t="s">
        <v>693</v>
      </c>
      <c r="H61" s="76">
        <v>328</v>
      </c>
      <c r="I61" s="76"/>
      <c r="J61" s="76" t="s">
        <v>93</v>
      </c>
      <c r="K61" s="76" t="s">
        <v>415</v>
      </c>
      <c r="L61" s="76" t="s">
        <v>692</v>
      </c>
      <c r="M61" s="76" t="s">
        <v>91</v>
      </c>
      <c r="N61" s="76">
        <v>59</v>
      </c>
      <c r="O61" s="76" t="s">
        <v>557</v>
      </c>
      <c r="P61" s="44"/>
      <c r="Q61" s="47"/>
      <c r="R61" s="46"/>
      <c r="S61" s="46"/>
      <c r="T61" s="46"/>
      <c r="U61" s="46"/>
      <c r="V61" s="46"/>
      <c r="W61" s="46"/>
      <c r="X61" s="46"/>
      <c r="Y61" s="46"/>
      <c r="Z61" s="46"/>
      <c r="AA61" s="46"/>
      <c r="AB61" s="46"/>
      <c r="AC61" s="46"/>
      <c r="AD61" s="12"/>
      <c r="AE61" s="46"/>
      <c r="AF61" s="47" t="s">
        <v>85</v>
      </c>
      <c r="AG61" s="47" t="s">
        <v>580</v>
      </c>
      <c r="AH61" s="46" t="s">
        <v>497</v>
      </c>
      <c r="AI61" s="46" t="s">
        <v>498</v>
      </c>
      <c r="AJ61" s="44" t="s">
        <v>591</v>
      </c>
      <c r="AK61" s="46" t="s">
        <v>88</v>
      </c>
      <c r="AL61" s="46" t="s">
        <v>86</v>
      </c>
      <c r="AM61" s="46" t="s">
        <v>342</v>
      </c>
      <c r="AN61" s="46" t="s">
        <v>343</v>
      </c>
      <c r="AO61" s="46" t="s">
        <v>468</v>
      </c>
      <c r="AP61" s="44" t="s">
        <v>347</v>
      </c>
      <c r="AQ61" s="49" t="s">
        <v>467</v>
      </c>
      <c r="AR61" s="46" t="s">
        <v>333</v>
      </c>
      <c r="AS61" s="44" t="s">
        <v>624</v>
      </c>
      <c r="AT61" s="46" t="s">
        <v>466</v>
      </c>
      <c r="AU61" s="102" t="s">
        <v>1195</v>
      </c>
      <c r="AV61" s="44" t="s">
        <v>2401</v>
      </c>
      <c r="AW61" s="44" t="s">
        <v>1351</v>
      </c>
      <c r="AX61" s="44" t="s">
        <v>2409</v>
      </c>
      <c r="AY61" s="44" t="s">
        <v>2410</v>
      </c>
      <c r="AZ61" s="44" t="s">
        <v>2411</v>
      </c>
    </row>
    <row r="62" spans="5:70">
      <c r="E62" s="75"/>
      <c r="F62" s="76" t="s">
        <v>378</v>
      </c>
      <c r="G62" s="76" t="s">
        <v>527</v>
      </c>
      <c r="H62" s="76">
        <v>85</v>
      </c>
      <c r="I62" s="76"/>
      <c r="J62" s="76" t="s">
        <v>419</v>
      </c>
      <c r="K62" s="76" t="s">
        <v>415</v>
      </c>
      <c r="L62" s="76" t="s">
        <v>344</v>
      </c>
      <c r="M62" s="76" t="s">
        <v>91</v>
      </c>
      <c r="N62" s="76">
        <v>60</v>
      </c>
      <c r="O62" s="76" t="s">
        <v>557</v>
      </c>
      <c r="P62" s="44"/>
      <c r="Q62" s="47"/>
      <c r="R62" s="46"/>
      <c r="S62" s="46"/>
      <c r="T62" s="46"/>
      <c r="U62" s="46"/>
      <c r="V62" s="46"/>
      <c r="W62" s="46"/>
      <c r="X62" s="46"/>
      <c r="Y62" s="46"/>
      <c r="Z62" s="46"/>
      <c r="AA62" s="46"/>
      <c r="AB62" s="46"/>
      <c r="AC62" s="46"/>
      <c r="AD62" s="12"/>
      <c r="AE62" s="46"/>
      <c r="AF62" s="419" t="s">
        <v>1796</v>
      </c>
      <c r="AG62" s="23" t="s">
        <v>1434</v>
      </c>
      <c r="AH62" s="44" t="s">
        <v>603</v>
      </c>
      <c r="AI62" s="46"/>
      <c r="AJ62" s="46"/>
      <c r="AK62" s="46">
        <v>15</v>
      </c>
      <c r="AL62" s="46"/>
      <c r="AM62" s="46"/>
      <c r="AN62" s="46"/>
      <c r="AO62" s="46"/>
      <c r="AP62" s="46">
        <v>1</v>
      </c>
      <c r="AQ62" s="49" t="s">
        <v>145</v>
      </c>
      <c r="AR62" s="47"/>
      <c r="AS62" s="44" t="s">
        <v>570</v>
      </c>
      <c r="AT62" s="588" t="s">
        <v>2674</v>
      </c>
      <c r="AU62" s="44" t="s">
        <v>87</v>
      </c>
      <c r="AV62" s="44"/>
      <c r="AW62" s="44"/>
      <c r="AX62" s="44"/>
      <c r="AY62" s="44"/>
      <c r="AZ62" s="44"/>
    </row>
    <row r="63" spans="5:70">
      <c r="E63" s="75"/>
      <c r="F63" s="76" t="s">
        <v>379</v>
      </c>
      <c r="G63" s="76" t="s">
        <v>528</v>
      </c>
      <c r="H63" s="76">
        <v>160</v>
      </c>
      <c r="I63" s="76"/>
      <c r="J63" s="76" t="s">
        <v>419</v>
      </c>
      <c r="K63" s="76" t="s">
        <v>415</v>
      </c>
      <c r="L63" s="76" t="s">
        <v>410</v>
      </c>
      <c r="M63" s="76" t="s">
        <v>91</v>
      </c>
      <c r="N63" s="76">
        <v>61</v>
      </c>
      <c r="O63" s="76" t="s">
        <v>557</v>
      </c>
      <c r="P63" s="44"/>
      <c r="Q63" s="47"/>
      <c r="R63" s="46"/>
      <c r="S63" s="46"/>
      <c r="T63" s="46"/>
      <c r="U63" s="46"/>
      <c r="V63" s="46"/>
      <c r="W63" s="46"/>
      <c r="X63" s="46"/>
      <c r="Y63" s="46"/>
      <c r="Z63" s="46"/>
      <c r="AA63" s="46"/>
      <c r="AB63" s="46"/>
      <c r="AC63" s="46"/>
      <c r="AD63" s="12"/>
      <c r="AE63" s="46"/>
      <c r="AF63" s="419" t="s">
        <v>1795</v>
      </c>
      <c r="AG63" s="23" t="s">
        <v>1434</v>
      </c>
      <c r="AH63" s="44" t="s">
        <v>602</v>
      </c>
      <c r="AI63" s="46"/>
      <c r="AJ63" s="46"/>
      <c r="AK63" s="46">
        <v>10</v>
      </c>
      <c r="AL63" s="46"/>
      <c r="AM63" s="46"/>
      <c r="AN63" s="46"/>
      <c r="AO63" s="46"/>
      <c r="AP63" s="46">
        <v>2</v>
      </c>
      <c r="AQ63" s="49" t="s">
        <v>145</v>
      </c>
      <c r="AR63" s="47"/>
      <c r="AS63" s="44" t="s">
        <v>570</v>
      </c>
      <c r="AT63" s="588" t="s">
        <v>2674</v>
      </c>
      <c r="AU63" s="44" t="s">
        <v>87</v>
      </c>
      <c r="AV63" s="44"/>
      <c r="AW63" s="44"/>
      <c r="AX63" s="44"/>
      <c r="AY63" s="44"/>
      <c r="AZ63" s="44"/>
    </row>
    <row r="64" spans="5:70">
      <c r="E64" s="75"/>
      <c r="F64" s="76" t="s">
        <v>380</v>
      </c>
      <c r="G64" s="76" t="s">
        <v>529</v>
      </c>
      <c r="H64" s="76">
        <v>285</v>
      </c>
      <c r="I64" s="76"/>
      <c r="J64" s="76" t="s">
        <v>419</v>
      </c>
      <c r="K64" s="76" t="s">
        <v>415</v>
      </c>
      <c r="L64" s="76" t="s">
        <v>413</v>
      </c>
      <c r="M64" s="76" t="s">
        <v>91</v>
      </c>
      <c r="N64" s="76">
        <v>62</v>
      </c>
      <c r="O64" s="76" t="s">
        <v>569</v>
      </c>
      <c r="P64" s="44"/>
      <c r="Q64" s="47"/>
      <c r="R64" s="46"/>
      <c r="S64" s="46"/>
      <c r="T64" s="46"/>
      <c r="U64" s="46"/>
      <c r="V64" s="46"/>
      <c r="W64" s="46"/>
      <c r="X64" s="46"/>
      <c r="Y64" s="46"/>
      <c r="Z64" s="46"/>
      <c r="AA64" s="46"/>
      <c r="AB64" s="46"/>
      <c r="AC64" s="46"/>
      <c r="AD64" s="12"/>
      <c r="AE64" s="46"/>
      <c r="AF64" s="419" t="s">
        <v>1793</v>
      </c>
      <c r="AG64" s="23" t="s">
        <v>1434</v>
      </c>
      <c r="AH64" s="44" t="s">
        <v>600</v>
      </c>
      <c r="AI64" s="46"/>
      <c r="AJ64" s="46"/>
      <c r="AK64" s="46">
        <v>15</v>
      </c>
      <c r="AL64" s="46"/>
      <c r="AM64" s="46"/>
      <c r="AN64" s="46"/>
      <c r="AO64" s="46"/>
      <c r="AP64" s="46">
        <v>3</v>
      </c>
      <c r="AQ64" s="49" t="s">
        <v>2128</v>
      </c>
      <c r="AR64" s="47"/>
      <c r="AS64" s="44" t="s">
        <v>570</v>
      </c>
      <c r="AT64" s="588" t="s">
        <v>2674</v>
      </c>
      <c r="AU64" s="44" t="s">
        <v>87</v>
      </c>
      <c r="AV64" s="44"/>
      <c r="AW64" s="44"/>
      <c r="AX64" s="44"/>
      <c r="AY64" s="44"/>
      <c r="AZ64" s="44"/>
    </row>
    <row r="65" spans="5:52">
      <c r="E65" s="75"/>
      <c r="F65" s="76" t="s">
        <v>381</v>
      </c>
      <c r="G65" s="76" t="s">
        <v>530</v>
      </c>
      <c r="H65" s="76">
        <v>320</v>
      </c>
      <c r="I65" s="76"/>
      <c r="J65" s="76" t="s">
        <v>419</v>
      </c>
      <c r="K65" s="76" t="s">
        <v>415</v>
      </c>
      <c r="L65" s="76" t="s">
        <v>414</v>
      </c>
      <c r="M65" s="76" t="s">
        <v>91</v>
      </c>
      <c r="N65" s="76">
        <v>63</v>
      </c>
      <c r="O65" s="76" t="s">
        <v>557</v>
      </c>
      <c r="P65" s="44"/>
      <c r="Q65" s="47"/>
      <c r="R65" s="46"/>
      <c r="S65" s="46"/>
      <c r="T65" s="46"/>
      <c r="U65" s="46"/>
      <c r="V65" s="46"/>
      <c r="W65" s="46"/>
      <c r="X65" s="46"/>
      <c r="Y65" s="46"/>
      <c r="Z65" s="46"/>
      <c r="AA65" s="46"/>
      <c r="AB65" s="46"/>
      <c r="AC65" s="46"/>
      <c r="AD65" s="12"/>
      <c r="AE65" s="46"/>
      <c r="AF65" s="419" t="s">
        <v>1791</v>
      </c>
      <c r="AG65" s="23" t="s">
        <v>1434</v>
      </c>
      <c r="AH65" s="44" t="s">
        <v>598</v>
      </c>
      <c r="AI65" s="46"/>
      <c r="AJ65" s="46"/>
      <c r="AK65" s="46">
        <v>12</v>
      </c>
      <c r="AL65" s="46"/>
      <c r="AM65" s="46"/>
      <c r="AN65" s="46"/>
      <c r="AO65" s="46"/>
      <c r="AP65" s="46">
        <v>4</v>
      </c>
      <c r="AQ65" s="49" t="s">
        <v>2128</v>
      </c>
      <c r="AR65" s="47"/>
      <c r="AS65" s="44" t="s">
        <v>570</v>
      </c>
      <c r="AT65" s="588" t="s">
        <v>2674</v>
      </c>
      <c r="AU65" s="44" t="s">
        <v>87</v>
      </c>
      <c r="AV65" s="44"/>
      <c r="AW65" s="44"/>
      <c r="AX65" s="44"/>
      <c r="AY65" s="44"/>
      <c r="AZ65" s="44"/>
    </row>
    <row r="66" spans="5:52">
      <c r="E66" s="75"/>
      <c r="F66" s="76" t="s">
        <v>382</v>
      </c>
      <c r="G66" s="76" t="s">
        <v>531</v>
      </c>
      <c r="H66" s="76">
        <v>28</v>
      </c>
      <c r="I66" s="76"/>
      <c r="J66" s="76" t="s">
        <v>93</v>
      </c>
      <c r="K66" s="76" t="s">
        <v>412</v>
      </c>
      <c r="L66" s="76" t="s">
        <v>344</v>
      </c>
      <c r="M66" s="76" t="s">
        <v>91</v>
      </c>
      <c r="N66" s="76">
        <v>64</v>
      </c>
      <c r="O66" s="76" t="s">
        <v>557</v>
      </c>
      <c r="P66" s="44"/>
      <c r="Q66" s="47"/>
      <c r="R66" s="46"/>
      <c r="S66" s="46"/>
      <c r="T66" s="46"/>
      <c r="U66" s="46"/>
      <c r="V66" s="46"/>
      <c r="W66" s="46"/>
      <c r="X66" s="46"/>
      <c r="Y66" s="46"/>
      <c r="Z66" s="46"/>
      <c r="AA66" s="46"/>
      <c r="AB66" s="46"/>
      <c r="AC66" s="46"/>
      <c r="AD66" s="12"/>
      <c r="AE66" s="46"/>
      <c r="AF66" s="419" t="s">
        <v>1792</v>
      </c>
      <c r="AG66" s="23" t="s">
        <v>1434</v>
      </c>
      <c r="AH66" s="44" t="s">
        <v>599</v>
      </c>
      <c r="AI66" s="46"/>
      <c r="AJ66" s="46"/>
      <c r="AK66" s="46">
        <v>12</v>
      </c>
      <c r="AL66" s="46"/>
      <c r="AM66" s="46"/>
      <c r="AN66" s="46"/>
      <c r="AO66" s="46"/>
      <c r="AP66" s="46">
        <v>5</v>
      </c>
      <c r="AQ66" s="49" t="s">
        <v>2128</v>
      </c>
      <c r="AR66" s="47"/>
      <c r="AS66" s="44" t="s">
        <v>570</v>
      </c>
      <c r="AT66" s="588" t="s">
        <v>2674</v>
      </c>
      <c r="AU66" s="44" t="s">
        <v>87</v>
      </c>
      <c r="AV66" s="44"/>
      <c r="AW66" s="44"/>
      <c r="AX66" s="44"/>
      <c r="AY66" s="44"/>
      <c r="AZ66" s="44"/>
    </row>
    <row r="67" spans="5:52">
      <c r="E67" s="75"/>
      <c r="F67" s="76" t="s">
        <v>383</v>
      </c>
      <c r="G67" s="76" t="s">
        <v>532</v>
      </c>
      <c r="H67" s="76">
        <v>56</v>
      </c>
      <c r="I67" s="76"/>
      <c r="J67" s="76" t="s">
        <v>93</v>
      </c>
      <c r="K67" s="76" t="s">
        <v>412</v>
      </c>
      <c r="L67" s="76" t="s">
        <v>410</v>
      </c>
      <c r="M67" s="76" t="s">
        <v>91</v>
      </c>
      <c r="N67" s="76">
        <v>65</v>
      </c>
      <c r="O67" s="76" t="s">
        <v>557</v>
      </c>
      <c r="P67" s="44"/>
      <c r="Q67" s="47"/>
      <c r="R67" s="46"/>
      <c r="S67" s="46"/>
      <c r="T67" s="46"/>
      <c r="U67" s="46"/>
      <c r="V67" s="46"/>
      <c r="W67" s="46"/>
      <c r="X67" s="46"/>
      <c r="Y67" s="46"/>
      <c r="Z67" s="46"/>
      <c r="AA67" s="46"/>
      <c r="AB67" s="46"/>
      <c r="AC67" s="46"/>
      <c r="AD67" s="12"/>
      <c r="AE67" s="46"/>
      <c r="AF67" s="419" t="s">
        <v>1798</v>
      </c>
      <c r="AG67" s="23" t="s">
        <v>1434</v>
      </c>
      <c r="AH67" s="44" t="s">
        <v>597</v>
      </c>
      <c r="AI67" s="46"/>
      <c r="AJ67" s="46"/>
      <c r="AK67" s="46"/>
      <c r="AL67" s="46"/>
      <c r="AM67" s="46"/>
      <c r="AN67" s="46"/>
      <c r="AO67" s="46"/>
      <c r="AP67" s="46">
        <v>6</v>
      </c>
      <c r="AQ67" s="49"/>
      <c r="AR67" s="47"/>
      <c r="AS67" s="44" t="s">
        <v>570</v>
      </c>
      <c r="AT67" s="588" t="s">
        <v>2674</v>
      </c>
      <c r="AU67" s="102" t="s">
        <v>651</v>
      </c>
      <c r="AV67" s="44"/>
      <c r="AW67" s="44"/>
      <c r="AX67" s="44"/>
      <c r="AY67" s="44"/>
      <c r="AZ67" s="44"/>
    </row>
    <row r="68" spans="5:52">
      <c r="E68" s="75"/>
      <c r="F68" s="76" t="s">
        <v>709</v>
      </c>
      <c r="G68" s="76" t="s">
        <v>739</v>
      </c>
      <c r="H68" s="76">
        <v>89</v>
      </c>
      <c r="I68" s="76"/>
      <c r="J68" s="76" t="s">
        <v>93</v>
      </c>
      <c r="K68" s="76" t="s">
        <v>412</v>
      </c>
      <c r="L68" s="76" t="s">
        <v>413</v>
      </c>
      <c r="M68" s="76" t="s">
        <v>91</v>
      </c>
      <c r="N68" s="76">
        <v>66</v>
      </c>
      <c r="O68" s="76" t="s">
        <v>557</v>
      </c>
      <c r="P68" s="44"/>
      <c r="Q68" s="47"/>
      <c r="R68" s="46"/>
      <c r="S68" s="46"/>
      <c r="T68" s="46"/>
      <c r="U68" s="46"/>
      <c r="V68" s="46"/>
      <c r="W68" s="46"/>
      <c r="X68" s="46"/>
      <c r="Y68" s="46"/>
      <c r="Z68" s="46"/>
      <c r="AA68" s="46"/>
      <c r="AB68" s="46"/>
      <c r="AC68" s="46"/>
      <c r="AD68" s="12"/>
      <c r="AE68" s="46"/>
      <c r="AF68" s="419" t="s">
        <v>1804</v>
      </c>
      <c r="AG68" s="12" t="s">
        <v>1221</v>
      </c>
      <c r="AH68" s="44" t="s">
        <v>481</v>
      </c>
      <c r="AI68" s="46"/>
      <c r="AJ68" s="46"/>
      <c r="AK68" s="46">
        <v>15</v>
      </c>
      <c r="AL68" s="46"/>
      <c r="AM68" s="46"/>
      <c r="AN68" s="46"/>
      <c r="AO68" s="46"/>
      <c r="AP68" s="46">
        <v>7</v>
      </c>
      <c r="AQ68" s="49" t="s">
        <v>145</v>
      </c>
      <c r="AR68" s="47"/>
      <c r="AS68" s="44" t="s">
        <v>84</v>
      </c>
      <c r="AT68" s="588" t="s">
        <v>2674</v>
      </c>
      <c r="AU68" s="44" t="s">
        <v>87</v>
      </c>
      <c r="AV68" s="44"/>
      <c r="AW68" s="44"/>
      <c r="AX68" s="44"/>
      <c r="AY68" s="44"/>
      <c r="AZ68" s="44"/>
    </row>
    <row r="69" spans="5:52">
      <c r="E69" s="75"/>
      <c r="F69" s="76" t="s">
        <v>671</v>
      </c>
      <c r="G69" s="76"/>
      <c r="H69" s="76" t="s">
        <v>508</v>
      </c>
      <c r="I69" s="76"/>
      <c r="J69" s="76"/>
      <c r="K69" s="76"/>
      <c r="L69" s="76"/>
      <c r="M69" s="76"/>
      <c r="N69" s="76">
        <v>67</v>
      </c>
      <c r="O69" s="76"/>
      <c r="P69" s="44"/>
      <c r="Q69" s="47"/>
      <c r="R69" s="46"/>
      <c r="S69" s="46"/>
      <c r="T69" s="46"/>
      <c r="U69" s="46"/>
      <c r="V69" s="46"/>
      <c r="W69" s="46"/>
      <c r="X69" s="46"/>
      <c r="Y69" s="46"/>
      <c r="Z69" s="46"/>
      <c r="AA69" s="46"/>
      <c r="AB69" s="46"/>
      <c r="AC69" s="46"/>
      <c r="AD69" s="12"/>
      <c r="AE69" s="46"/>
      <c r="AF69" s="419" t="s">
        <v>1803</v>
      </c>
      <c r="AG69" s="12" t="s">
        <v>1221</v>
      </c>
      <c r="AH69" s="44" t="s">
        <v>482</v>
      </c>
      <c r="AI69" s="46"/>
      <c r="AJ69" s="46"/>
      <c r="AK69" s="46">
        <v>10</v>
      </c>
      <c r="AL69" s="46"/>
      <c r="AM69" s="46"/>
      <c r="AN69" s="46"/>
      <c r="AO69" s="46"/>
      <c r="AP69" s="46">
        <v>8</v>
      </c>
      <c r="AQ69" s="49" t="s">
        <v>145</v>
      </c>
      <c r="AR69" s="47"/>
      <c r="AS69" s="44" t="s">
        <v>84</v>
      </c>
      <c r="AT69" s="588" t="s">
        <v>2674</v>
      </c>
      <c r="AU69" s="44" t="s">
        <v>87</v>
      </c>
      <c r="AV69" s="44"/>
      <c r="AW69" s="44"/>
      <c r="AX69" s="44"/>
      <c r="AY69" s="44"/>
      <c r="AZ69" s="44"/>
    </row>
    <row r="70" spans="5:52">
      <c r="E70" s="43"/>
      <c r="F70" s="46" t="s">
        <v>1405</v>
      </c>
      <c r="G70" s="78" t="s">
        <v>1406</v>
      </c>
      <c r="H70" s="46">
        <v>28</v>
      </c>
      <c r="I70" s="46"/>
      <c r="J70" s="46" t="s">
        <v>92</v>
      </c>
      <c r="K70" s="46" t="s">
        <v>341</v>
      </c>
      <c r="L70" s="46" t="s">
        <v>344</v>
      </c>
      <c r="M70" s="46" t="s">
        <v>91</v>
      </c>
      <c r="N70" s="76">
        <v>68</v>
      </c>
      <c r="O70" s="46" t="s">
        <v>556</v>
      </c>
      <c r="P70" s="44"/>
      <c r="Q70" s="47"/>
      <c r="R70" s="46"/>
      <c r="S70" s="46"/>
      <c r="T70" s="46"/>
      <c r="U70" s="46"/>
      <c r="V70" s="46"/>
      <c r="W70" s="46"/>
      <c r="X70" s="46"/>
      <c r="Y70" s="46"/>
      <c r="Z70" s="46"/>
      <c r="AA70" s="46"/>
      <c r="AB70" s="46"/>
      <c r="AC70" s="46"/>
      <c r="AD70" s="12"/>
      <c r="AE70" s="46"/>
      <c r="AF70" s="419" t="s">
        <v>1801</v>
      </c>
      <c r="AG70" s="12" t="s">
        <v>1221</v>
      </c>
      <c r="AH70" s="44" t="s">
        <v>502</v>
      </c>
      <c r="AI70" s="46"/>
      <c r="AJ70" s="46"/>
      <c r="AK70" s="46">
        <v>15</v>
      </c>
      <c r="AL70" s="46"/>
      <c r="AM70" s="46"/>
      <c r="AN70" s="46"/>
      <c r="AO70" s="46"/>
      <c r="AP70" s="46">
        <v>9</v>
      </c>
      <c r="AQ70" s="49" t="s">
        <v>2128</v>
      </c>
      <c r="AR70" s="47"/>
      <c r="AS70" s="44" t="s">
        <v>84</v>
      </c>
      <c r="AT70" s="588" t="s">
        <v>2674</v>
      </c>
      <c r="AU70" s="44" t="s">
        <v>87</v>
      </c>
      <c r="AV70" s="44"/>
      <c r="AW70" s="44"/>
      <c r="AX70" s="44"/>
      <c r="AY70" s="44"/>
      <c r="AZ70" s="44"/>
    </row>
    <row r="71" spans="5:52">
      <c r="E71" s="43"/>
      <c r="F71" s="46" t="s">
        <v>1407</v>
      </c>
      <c r="G71" s="78" t="s">
        <v>1408</v>
      </c>
      <c r="H71" s="46">
        <v>54</v>
      </c>
      <c r="I71" s="46"/>
      <c r="J71" s="46" t="s">
        <v>92</v>
      </c>
      <c r="K71" s="46" t="s">
        <v>341</v>
      </c>
      <c r="L71" s="46" t="s">
        <v>410</v>
      </c>
      <c r="M71" s="46" t="s">
        <v>91</v>
      </c>
      <c r="N71" s="76">
        <v>69</v>
      </c>
      <c r="O71" s="46" t="s">
        <v>556</v>
      </c>
      <c r="P71" s="44"/>
      <c r="Q71" s="47"/>
      <c r="R71" s="46"/>
      <c r="S71" s="46"/>
      <c r="T71" s="46"/>
      <c r="U71" s="46"/>
      <c r="V71" s="46"/>
      <c r="W71" s="46"/>
      <c r="X71" s="46"/>
      <c r="Y71" s="46"/>
      <c r="Z71" s="46"/>
      <c r="AA71" s="46"/>
      <c r="AB71" s="46"/>
      <c r="AC71" s="46"/>
      <c r="AD71" s="12"/>
      <c r="AE71" s="46"/>
      <c r="AF71" s="419" t="s">
        <v>1799</v>
      </c>
      <c r="AG71" s="12" t="s">
        <v>1221</v>
      </c>
      <c r="AH71" s="44" t="s">
        <v>499</v>
      </c>
      <c r="AI71" s="46"/>
      <c r="AJ71" s="46"/>
      <c r="AK71" s="46">
        <v>12</v>
      </c>
      <c r="AL71" s="46"/>
      <c r="AM71" s="46"/>
      <c r="AN71" s="46"/>
      <c r="AO71" s="46"/>
      <c r="AP71" s="46">
        <v>10</v>
      </c>
      <c r="AQ71" s="49" t="s">
        <v>2128</v>
      </c>
      <c r="AR71" s="47"/>
      <c r="AS71" s="44" t="s">
        <v>84</v>
      </c>
      <c r="AT71" s="588" t="s">
        <v>2674</v>
      </c>
      <c r="AU71" s="44" t="s">
        <v>87</v>
      </c>
      <c r="AV71" s="44"/>
      <c r="AW71" s="44"/>
      <c r="AX71" s="44"/>
      <c r="AY71" s="44"/>
      <c r="AZ71" s="44"/>
    </row>
    <row r="72" spans="5:52">
      <c r="E72" s="75"/>
      <c r="F72" s="76" t="s">
        <v>571</v>
      </c>
      <c r="G72" s="78" t="s">
        <v>740</v>
      </c>
      <c r="H72" s="76">
        <v>32</v>
      </c>
      <c r="I72" s="76"/>
      <c r="J72" s="76" t="s">
        <v>92</v>
      </c>
      <c r="K72" s="76" t="s">
        <v>412</v>
      </c>
      <c r="L72" s="76" t="s">
        <v>344</v>
      </c>
      <c r="M72" s="76" t="s">
        <v>91</v>
      </c>
      <c r="N72" s="76">
        <v>70</v>
      </c>
      <c r="O72" s="76" t="s">
        <v>556</v>
      </c>
      <c r="P72" s="44"/>
      <c r="Q72" s="47"/>
      <c r="R72" s="46"/>
      <c r="S72" s="46"/>
      <c r="T72" s="46"/>
      <c r="U72" s="46"/>
      <c r="V72" s="46"/>
      <c r="W72" s="46"/>
      <c r="X72" s="46"/>
      <c r="Y72" s="46"/>
      <c r="Z72" s="46"/>
      <c r="AA72" s="46"/>
      <c r="AB72" s="46"/>
      <c r="AC72" s="46"/>
      <c r="AD72" s="12"/>
      <c r="AE72" s="46"/>
      <c r="AF72" s="419" t="s">
        <v>1800</v>
      </c>
      <c r="AG72" s="12" t="s">
        <v>1221</v>
      </c>
      <c r="AH72" s="44" t="s">
        <v>500</v>
      </c>
      <c r="AI72" s="46"/>
      <c r="AJ72" s="46"/>
      <c r="AK72" s="46">
        <v>12</v>
      </c>
      <c r="AL72" s="46"/>
      <c r="AM72" s="46"/>
      <c r="AN72" s="46"/>
      <c r="AO72" s="46"/>
      <c r="AP72" s="46">
        <v>11</v>
      </c>
      <c r="AQ72" s="49" t="s">
        <v>2128</v>
      </c>
      <c r="AR72" s="47"/>
      <c r="AS72" s="44" t="s">
        <v>84</v>
      </c>
      <c r="AT72" s="588" t="s">
        <v>2674</v>
      </c>
      <c r="AU72" s="44" t="s">
        <v>87</v>
      </c>
      <c r="AV72" s="44"/>
      <c r="AW72" s="44"/>
      <c r="AX72" s="44"/>
      <c r="AY72" s="44"/>
      <c r="AZ72" s="44"/>
    </row>
    <row r="73" spans="5:52">
      <c r="E73" s="75"/>
      <c r="F73" s="76" t="s">
        <v>572</v>
      </c>
      <c r="G73" s="78" t="s">
        <v>741</v>
      </c>
      <c r="H73" s="76">
        <v>64</v>
      </c>
      <c r="I73" s="76"/>
      <c r="J73" s="76" t="s">
        <v>92</v>
      </c>
      <c r="K73" s="76" t="s">
        <v>412</v>
      </c>
      <c r="L73" s="76" t="s">
        <v>410</v>
      </c>
      <c r="M73" s="76" t="s">
        <v>91</v>
      </c>
      <c r="N73" s="76">
        <v>71</v>
      </c>
      <c r="O73" s="76" t="s">
        <v>556</v>
      </c>
      <c r="P73" s="44"/>
      <c r="Q73" s="47"/>
      <c r="R73" s="46"/>
      <c r="S73" s="46"/>
      <c r="T73" s="46"/>
      <c r="U73" s="46"/>
      <c r="V73" s="46"/>
      <c r="W73" s="46"/>
      <c r="X73" s="46"/>
      <c r="Y73" s="46"/>
      <c r="Z73" s="46"/>
      <c r="AA73" s="46"/>
      <c r="AB73" s="46"/>
      <c r="AC73" s="46"/>
      <c r="AD73" s="12"/>
      <c r="AE73" s="46"/>
      <c r="AF73" s="419" t="s">
        <v>1806</v>
      </c>
      <c r="AG73" s="12" t="s">
        <v>1221</v>
      </c>
      <c r="AH73" s="44" t="s">
        <v>596</v>
      </c>
      <c r="AI73" s="44"/>
      <c r="AJ73" s="44"/>
      <c r="AK73" s="44"/>
      <c r="AL73" s="44"/>
      <c r="AM73" s="44"/>
      <c r="AN73" s="44"/>
      <c r="AO73" s="44"/>
      <c r="AP73" s="46">
        <v>12</v>
      </c>
      <c r="AQ73" s="55"/>
      <c r="AR73" s="43"/>
      <c r="AS73" s="44" t="s">
        <v>84</v>
      </c>
      <c r="AT73" s="588" t="s">
        <v>2674</v>
      </c>
      <c r="AU73" s="102" t="s">
        <v>651</v>
      </c>
      <c r="AV73" s="44"/>
      <c r="AW73" s="44"/>
      <c r="AX73" s="44"/>
      <c r="AY73" s="44"/>
      <c r="AZ73" s="44"/>
    </row>
    <row r="74" spans="5:52">
      <c r="E74" s="75"/>
      <c r="F74" s="76" t="s">
        <v>710</v>
      </c>
      <c r="G74" s="78" t="s">
        <v>744</v>
      </c>
      <c r="H74" s="76">
        <v>96</v>
      </c>
      <c r="I74" s="76"/>
      <c r="J74" s="76" t="s">
        <v>92</v>
      </c>
      <c r="K74" s="76" t="s">
        <v>412</v>
      </c>
      <c r="L74" s="76" t="s">
        <v>413</v>
      </c>
      <c r="M74" s="76" t="s">
        <v>91</v>
      </c>
      <c r="N74" s="76">
        <v>72</v>
      </c>
      <c r="O74" s="76" t="s">
        <v>556</v>
      </c>
      <c r="P74" s="44"/>
      <c r="Q74" s="47"/>
      <c r="R74" s="46"/>
      <c r="S74" s="46"/>
      <c r="T74" s="46"/>
      <c r="U74" s="46"/>
      <c r="V74" s="46"/>
      <c r="W74" s="46"/>
      <c r="X74" s="46"/>
      <c r="Y74" s="46"/>
      <c r="Z74" s="46"/>
      <c r="AA74" s="46"/>
      <c r="AB74" s="46"/>
      <c r="AC74" s="46"/>
      <c r="AD74" s="12"/>
      <c r="AE74" s="46"/>
      <c r="AF74" s="47"/>
      <c r="AG74" s="46"/>
      <c r="AH74" s="46"/>
      <c r="AI74" s="46"/>
      <c r="AJ74" s="46"/>
      <c r="AK74" s="46"/>
      <c r="AL74" s="46"/>
      <c r="AM74" s="46"/>
      <c r="AN74" s="46"/>
      <c r="AO74" s="46"/>
      <c r="AP74" s="46"/>
      <c r="AQ74" s="49"/>
      <c r="AR74" s="46"/>
      <c r="AS74" s="46"/>
      <c r="AT74" s="46"/>
      <c r="AU74" s="46"/>
      <c r="AV74" s="46"/>
    </row>
    <row r="75" spans="5:52">
      <c r="E75" s="75"/>
      <c r="F75" s="76" t="s">
        <v>573</v>
      </c>
      <c r="G75" s="78" t="s">
        <v>742</v>
      </c>
      <c r="H75" s="76">
        <v>128</v>
      </c>
      <c r="I75" s="76"/>
      <c r="J75" s="76" t="s">
        <v>92</v>
      </c>
      <c r="K75" s="76" t="s">
        <v>412</v>
      </c>
      <c r="L75" s="76" t="s">
        <v>414</v>
      </c>
      <c r="M75" s="76" t="s">
        <v>91</v>
      </c>
      <c r="N75" s="76">
        <v>73</v>
      </c>
      <c r="O75" s="76" t="s">
        <v>556</v>
      </c>
      <c r="P75" s="44"/>
      <c r="Q75" s="47"/>
      <c r="R75" s="46"/>
      <c r="S75" s="46"/>
      <c r="T75" s="46"/>
      <c r="U75" s="46"/>
      <c r="V75" s="46"/>
      <c r="W75" s="46"/>
      <c r="X75" s="46"/>
      <c r="Y75" s="46"/>
      <c r="Z75" s="46"/>
      <c r="AA75" s="46"/>
      <c r="AB75" s="46"/>
      <c r="AC75" s="46"/>
      <c r="AD75" s="12"/>
      <c r="AE75" s="46"/>
      <c r="AF75" s="47" t="s">
        <v>85</v>
      </c>
      <c r="AG75" s="47" t="s">
        <v>580</v>
      </c>
      <c r="AH75" s="46" t="s">
        <v>497</v>
      </c>
      <c r="AI75" s="46" t="s">
        <v>498</v>
      </c>
      <c r="AJ75" s="44" t="s">
        <v>591</v>
      </c>
      <c r="AK75" s="46" t="s">
        <v>88</v>
      </c>
      <c r="AL75" s="46" t="s">
        <v>86</v>
      </c>
      <c r="AM75" s="46" t="s">
        <v>342</v>
      </c>
      <c r="AN75" s="46" t="s">
        <v>343</v>
      </c>
      <c r="AO75" s="46" t="s">
        <v>468</v>
      </c>
      <c r="AP75" s="44" t="s">
        <v>347</v>
      </c>
      <c r="AQ75" s="49" t="s">
        <v>467</v>
      </c>
      <c r="AR75" s="46" t="s">
        <v>333</v>
      </c>
      <c r="AS75" s="44" t="s">
        <v>624</v>
      </c>
      <c r="AT75" s="46" t="s">
        <v>466</v>
      </c>
      <c r="AU75" s="102" t="s">
        <v>1195</v>
      </c>
      <c r="AV75" s="44" t="s">
        <v>2401</v>
      </c>
      <c r="AW75" s="44" t="s">
        <v>1351</v>
      </c>
      <c r="AX75" s="44" t="s">
        <v>2409</v>
      </c>
      <c r="AY75" s="44" t="s">
        <v>2410</v>
      </c>
      <c r="AZ75" s="44" t="s">
        <v>2411</v>
      </c>
    </row>
    <row r="76" spans="5:52">
      <c r="E76" s="75"/>
      <c r="F76" s="76" t="s">
        <v>574</v>
      </c>
      <c r="G76" s="78" t="s">
        <v>743</v>
      </c>
      <c r="H76" s="76">
        <v>192</v>
      </c>
      <c r="I76" s="76"/>
      <c r="J76" s="76" t="s">
        <v>92</v>
      </c>
      <c r="K76" s="76" t="s">
        <v>412</v>
      </c>
      <c r="L76" s="76" t="s">
        <v>420</v>
      </c>
      <c r="M76" s="76" t="s">
        <v>91</v>
      </c>
      <c r="N76" s="76">
        <v>74</v>
      </c>
      <c r="O76" s="76" t="s">
        <v>557</v>
      </c>
      <c r="P76" s="44"/>
      <c r="Q76" s="47"/>
      <c r="R76" s="46"/>
      <c r="S76" s="46"/>
      <c r="T76" s="46"/>
      <c r="U76" s="46"/>
      <c r="V76" s="46"/>
      <c r="W76" s="46"/>
      <c r="X76" s="46"/>
      <c r="Y76" s="46"/>
      <c r="Z76" s="46"/>
      <c r="AA76" s="46"/>
      <c r="AB76" s="46"/>
      <c r="AC76" s="46"/>
      <c r="AD76" s="12"/>
      <c r="AE76" s="46"/>
      <c r="AF76" s="419" t="s">
        <v>1810</v>
      </c>
      <c r="AG76" s="23" t="s">
        <v>1434</v>
      </c>
      <c r="AH76" s="44" t="s">
        <v>654</v>
      </c>
      <c r="AI76" s="44"/>
      <c r="AJ76" s="44"/>
      <c r="AK76" s="44">
        <v>15</v>
      </c>
      <c r="AL76" s="44"/>
      <c r="AM76" s="44"/>
      <c r="AN76" s="44"/>
      <c r="AO76" s="44"/>
      <c r="AP76" s="46">
        <v>1</v>
      </c>
      <c r="AQ76" s="49" t="s">
        <v>2138</v>
      </c>
      <c r="AR76" s="43"/>
      <c r="AS76" s="44" t="s">
        <v>570</v>
      </c>
      <c r="AT76" s="46" t="s">
        <v>483</v>
      </c>
      <c r="AU76" s="44" t="s">
        <v>1198</v>
      </c>
      <c r="AV76" s="44"/>
      <c r="AW76" s="44"/>
      <c r="AX76" s="44"/>
      <c r="AY76" s="44"/>
      <c r="AZ76" s="44"/>
    </row>
    <row r="77" spans="5:52">
      <c r="E77" s="75"/>
      <c r="F77" s="76" t="s">
        <v>711</v>
      </c>
      <c r="G77" s="78" t="s">
        <v>745</v>
      </c>
      <c r="H77" s="76">
        <v>256</v>
      </c>
      <c r="I77" s="76"/>
      <c r="J77" s="76" t="s">
        <v>92</v>
      </c>
      <c r="K77" s="76" t="s">
        <v>412</v>
      </c>
      <c r="L77" s="76" t="s">
        <v>421</v>
      </c>
      <c r="M77" s="76" t="s">
        <v>91</v>
      </c>
      <c r="N77" s="76">
        <v>75</v>
      </c>
      <c r="O77" s="76" t="s">
        <v>557</v>
      </c>
      <c r="P77" s="44"/>
      <c r="Q77" s="47"/>
      <c r="R77" s="46"/>
      <c r="S77" s="46"/>
      <c r="T77" s="46"/>
      <c r="U77" s="46"/>
      <c r="V77" s="46"/>
      <c r="W77" s="46"/>
      <c r="X77" s="46"/>
      <c r="Y77" s="46"/>
      <c r="Z77" s="46"/>
      <c r="AA77" s="46"/>
      <c r="AB77" s="46"/>
      <c r="AC77" s="46"/>
      <c r="AD77" s="12"/>
      <c r="AE77" s="46"/>
      <c r="AF77" s="419" t="s">
        <v>1808</v>
      </c>
      <c r="AG77" s="23" t="s">
        <v>1434</v>
      </c>
      <c r="AH77" s="44" t="s">
        <v>605</v>
      </c>
      <c r="AI77" s="46"/>
      <c r="AJ77" s="46"/>
      <c r="AK77" s="46">
        <v>10</v>
      </c>
      <c r="AL77" s="46"/>
      <c r="AM77" s="46"/>
      <c r="AN77" s="46"/>
      <c r="AO77" s="46"/>
      <c r="AP77" s="44">
        <v>2</v>
      </c>
      <c r="AQ77" s="49" t="s">
        <v>2138</v>
      </c>
      <c r="AR77" s="47"/>
      <c r="AS77" s="44" t="s">
        <v>570</v>
      </c>
      <c r="AT77" s="46" t="s">
        <v>483</v>
      </c>
      <c r="AU77" s="44" t="s">
        <v>1198</v>
      </c>
      <c r="AV77" s="44"/>
      <c r="AW77" s="44"/>
      <c r="AX77" s="44"/>
      <c r="AY77" s="44"/>
      <c r="AZ77" s="44"/>
    </row>
    <row r="78" spans="5:52">
      <c r="E78" s="47"/>
      <c r="F78" s="44" t="s">
        <v>1409</v>
      </c>
      <c r="G78" s="78" t="s">
        <v>1410</v>
      </c>
      <c r="H78" s="46">
        <v>40</v>
      </c>
      <c r="I78" s="46"/>
      <c r="J78" s="46" t="s">
        <v>92</v>
      </c>
      <c r="K78" s="46" t="s">
        <v>1385</v>
      </c>
      <c r="L78" s="46" t="s">
        <v>344</v>
      </c>
      <c r="M78" s="46" t="s">
        <v>91</v>
      </c>
      <c r="N78" s="76">
        <v>76</v>
      </c>
      <c r="O78" s="46" t="s">
        <v>1386</v>
      </c>
      <c r="P78" s="44"/>
      <c r="Q78" s="47"/>
      <c r="R78" s="46"/>
      <c r="S78" s="46"/>
      <c r="T78" s="46"/>
      <c r="U78" s="46"/>
      <c r="V78" s="46"/>
      <c r="W78" s="46"/>
      <c r="X78" s="46"/>
      <c r="Y78" s="46"/>
      <c r="Z78" s="46"/>
      <c r="AA78" s="46"/>
      <c r="AB78" s="46"/>
      <c r="AC78" s="46"/>
      <c r="AD78" s="12"/>
      <c r="AE78" s="46"/>
      <c r="AF78" s="419" t="s">
        <v>1809</v>
      </c>
      <c r="AG78" s="23" t="s">
        <v>1434</v>
      </c>
      <c r="AH78" s="44" t="s">
        <v>606</v>
      </c>
      <c r="AI78" s="46"/>
      <c r="AJ78" s="46"/>
      <c r="AK78" s="46">
        <v>15</v>
      </c>
      <c r="AL78" s="46"/>
      <c r="AM78" s="46"/>
      <c r="AN78" s="46"/>
      <c r="AO78" s="46"/>
      <c r="AP78" s="46">
        <v>3</v>
      </c>
      <c r="AQ78" s="49" t="s">
        <v>143</v>
      </c>
      <c r="AR78" s="47"/>
      <c r="AS78" s="44" t="s">
        <v>570</v>
      </c>
      <c r="AT78" s="46" t="s">
        <v>483</v>
      </c>
      <c r="AU78" s="44" t="s">
        <v>1198</v>
      </c>
      <c r="AV78" s="44"/>
      <c r="AW78" s="44"/>
      <c r="AX78" s="44"/>
      <c r="AY78" s="44"/>
      <c r="AZ78" s="44"/>
    </row>
    <row r="79" spans="5:52">
      <c r="E79" s="47"/>
      <c r="F79" s="44" t="s">
        <v>1411</v>
      </c>
      <c r="G79" s="78" t="s">
        <v>1412</v>
      </c>
      <c r="H79" s="46">
        <v>77</v>
      </c>
      <c r="I79" s="46"/>
      <c r="J79" s="46" t="s">
        <v>92</v>
      </c>
      <c r="K79" s="46" t="s">
        <v>1385</v>
      </c>
      <c r="L79" s="46" t="s">
        <v>410</v>
      </c>
      <c r="M79" s="46" t="s">
        <v>91</v>
      </c>
      <c r="N79" s="76">
        <v>77</v>
      </c>
      <c r="O79" s="46" t="s">
        <v>1386</v>
      </c>
      <c r="P79" s="74"/>
      <c r="Q79" s="47"/>
      <c r="R79" s="46"/>
      <c r="S79" s="46"/>
      <c r="T79" s="46"/>
      <c r="U79" s="46"/>
      <c r="V79" s="46"/>
      <c r="W79" s="46"/>
      <c r="X79" s="46"/>
      <c r="Y79" s="46"/>
      <c r="Z79" s="46"/>
      <c r="AA79" s="46"/>
      <c r="AB79" s="46"/>
      <c r="AC79" s="46"/>
      <c r="AD79" s="12"/>
      <c r="AE79" s="46"/>
      <c r="AF79" s="419" t="s">
        <v>1814</v>
      </c>
      <c r="AG79" s="23" t="s">
        <v>1434</v>
      </c>
      <c r="AH79" s="44" t="s">
        <v>2507</v>
      </c>
      <c r="AI79" s="46"/>
      <c r="AJ79" s="46"/>
      <c r="AK79" s="46">
        <v>15</v>
      </c>
      <c r="AL79" s="46"/>
      <c r="AM79" s="46"/>
      <c r="AN79" s="46"/>
      <c r="AO79" s="46"/>
      <c r="AP79" s="44">
        <v>4</v>
      </c>
      <c r="AQ79" s="49" t="s">
        <v>2138</v>
      </c>
      <c r="AR79" s="47"/>
      <c r="AS79" s="44" t="s">
        <v>570</v>
      </c>
      <c r="AT79" s="46" t="s">
        <v>483</v>
      </c>
      <c r="AU79" s="44" t="s">
        <v>1198</v>
      </c>
      <c r="AV79" s="44"/>
      <c r="AW79" s="44"/>
      <c r="AX79" s="44"/>
      <c r="AY79" s="44"/>
      <c r="AZ79" s="44"/>
    </row>
    <row r="80" spans="5:52">
      <c r="E80" s="75"/>
      <c r="F80" s="78" t="s">
        <v>558</v>
      </c>
      <c r="G80" s="78" t="s">
        <v>125</v>
      </c>
      <c r="H80" s="78">
        <v>59</v>
      </c>
      <c r="I80" s="78"/>
      <c r="J80" s="78" t="s">
        <v>564</v>
      </c>
      <c r="K80" s="78" t="s">
        <v>412</v>
      </c>
      <c r="L80" s="78" t="s">
        <v>344</v>
      </c>
      <c r="M80" s="78" t="s">
        <v>91</v>
      </c>
      <c r="N80" s="76">
        <v>78</v>
      </c>
      <c r="O80" s="76" t="s">
        <v>556</v>
      </c>
      <c r="P80" s="50"/>
      <c r="Q80" s="47"/>
      <c r="R80" s="46"/>
      <c r="S80" s="46"/>
      <c r="T80" s="46"/>
      <c r="U80" s="46"/>
      <c r="V80" s="46"/>
      <c r="W80" s="46"/>
      <c r="X80" s="46"/>
      <c r="Y80" s="46"/>
      <c r="Z80" s="46"/>
      <c r="AA80" s="46"/>
      <c r="AB80" s="46"/>
      <c r="AC80" s="46"/>
      <c r="AD80" s="12"/>
      <c r="AE80" s="46"/>
      <c r="AF80" s="512" t="s">
        <v>2616</v>
      </c>
      <c r="AG80" s="23" t="s">
        <v>1434</v>
      </c>
      <c r="AH80" s="44" t="s">
        <v>2615</v>
      </c>
      <c r="AI80" s="46"/>
      <c r="AJ80" s="46"/>
      <c r="AK80" s="49">
        <v>20</v>
      </c>
      <c r="AL80" s="46"/>
      <c r="AM80" s="46"/>
      <c r="AN80" s="46"/>
      <c r="AO80" s="46"/>
      <c r="AP80" s="46">
        <v>5</v>
      </c>
      <c r="AQ80" s="55" t="s">
        <v>143</v>
      </c>
      <c r="AR80" s="47"/>
      <c r="AS80" s="44" t="s">
        <v>570</v>
      </c>
      <c r="AT80" s="46" t="s">
        <v>483</v>
      </c>
      <c r="AU80" s="44" t="s">
        <v>1196</v>
      </c>
      <c r="AV80" s="44"/>
      <c r="AW80" s="44"/>
      <c r="AX80" s="44"/>
      <c r="AY80" s="44"/>
      <c r="AZ80" s="44"/>
    </row>
    <row r="81" spans="5:52">
      <c r="E81" s="75"/>
      <c r="F81" s="78" t="s">
        <v>559</v>
      </c>
      <c r="G81" s="78" t="s">
        <v>126</v>
      </c>
      <c r="H81" s="78">
        <v>120</v>
      </c>
      <c r="I81" s="78"/>
      <c r="J81" s="78" t="s">
        <v>564</v>
      </c>
      <c r="K81" s="78" t="s">
        <v>412</v>
      </c>
      <c r="L81" s="78" t="s">
        <v>410</v>
      </c>
      <c r="M81" s="78" t="s">
        <v>91</v>
      </c>
      <c r="N81" s="76">
        <v>79</v>
      </c>
      <c r="O81" s="76" t="s">
        <v>556</v>
      </c>
      <c r="P81" s="50"/>
      <c r="Q81" s="47"/>
      <c r="R81" s="46"/>
      <c r="S81" s="46"/>
      <c r="T81" s="46"/>
      <c r="U81" s="46"/>
      <c r="V81" s="46"/>
      <c r="W81" s="46"/>
      <c r="X81" s="46"/>
      <c r="Y81" s="46"/>
      <c r="Z81" s="46"/>
      <c r="AA81" s="46"/>
      <c r="AB81" s="46"/>
      <c r="AC81" s="46"/>
      <c r="AD81" s="12"/>
      <c r="AE81" s="46"/>
      <c r="AF81" s="419" t="s">
        <v>1811</v>
      </c>
      <c r="AG81" s="23" t="s">
        <v>1434</v>
      </c>
      <c r="AH81" s="44" t="s">
        <v>607</v>
      </c>
      <c r="AI81" s="46"/>
      <c r="AJ81" s="46"/>
      <c r="AK81" s="46">
        <v>15</v>
      </c>
      <c r="AL81" s="46"/>
      <c r="AM81" s="46"/>
      <c r="AN81" s="46"/>
      <c r="AO81" s="46"/>
      <c r="AP81" s="44">
        <v>6</v>
      </c>
      <c r="AQ81" s="49" t="s">
        <v>143</v>
      </c>
      <c r="AR81" s="47"/>
      <c r="AS81" s="44" t="s">
        <v>570</v>
      </c>
      <c r="AT81" s="46" t="s">
        <v>483</v>
      </c>
      <c r="AU81" s="44" t="s">
        <v>1196</v>
      </c>
      <c r="AV81" s="44"/>
      <c r="AW81" s="44"/>
      <c r="AX81" s="44"/>
      <c r="AY81" s="44"/>
      <c r="AZ81" s="44"/>
    </row>
    <row r="82" spans="5:52">
      <c r="E82" s="75"/>
      <c r="F82" s="78" t="s">
        <v>712</v>
      </c>
      <c r="G82" s="78" t="s">
        <v>746</v>
      </c>
      <c r="H82" s="78">
        <v>180</v>
      </c>
      <c r="I82" s="78"/>
      <c r="J82" s="78" t="s">
        <v>564</v>
      </c>
      <c r="K82" s="78" t="s">
        <v>412</v>
      </c>
      <c r="L82" s="78" t="s">
        <v>413</v>
      </c>
      <c r="M82" s="78" t="s">
        <v>91</v>
      </c>
      <c r="N82" s="76">
        <v>80</v>
      </c>
      <c r="O82" s="76" t="s">
        <v>556</v>
      </c>
      <c r="P82" s="74"/>
      <c r="Q82" s="47"/>
      <c r="R82" s="46"/>
      <c r="S82" s="46"/>
      <c r="T82" s="46"/>
      <c r="U82" s="46"/>
      <c r="V82" s="46"/>
      <c r="W82" s="46"/>
      <c r="X82" s="46"/>
      <c r="Y82" s="46"/>
      <c r="Z82" s="46"/>
      <c r="AA82" s="46"/>
      <c r="AB82" s="46"/>
      <c r="AC82" s="46"/>
      <c r="AD82" s="12"/>
      <c r="AE82" s="46"/>
      <c r="AF82" s="419" t="s">
        <v>1812</v>
      </c>
      <c r="AG82" s="23" t="s">
        <v>1434</v>
      </c>
      <c r="AH82" s="44" t="s">
        <v>608</v>
      </c>
      <c r="AI82" s="46"/>
      <c r="AJ82" s="46"/>
      <c r="AK82" s="46">
        <v>15</v>
      </c>
      <c r="AL82" s="46"/>
      <c r="AM82" s="46"/>
      <c r="AN82" s="46"/>
      <c r="AO82" s="46"/>
      <c r="AP82" s="46">
        <v>7</v>
      </c>
      <c r="AQ82" s="49" t="s">
        <v>143</v>
      </c>
      <c r="AR82" s="47"/>
      <c r="AS82" s="44" t="s">
        <v>570</v>
      </c>
      <c r="AT82" s="46" t="s">
        <v>483</v>
      </c>
      <c r="AU82" s="44" t="s">
        <v>1196</v>
      </c>
      <c r="AV82" s="44"/>
      <c r="AW82" s="44"/>
      <c r="AX82" s="44"/>
      <c r="AY82" s="44"/>
      <c r="AZ82" s="44"/>
    </row>
    <row r="83" spans="5:52">
      <c r="E83" s="75"/>
      <c r="F83" s="78" t="s">
        <v>560</v>
      </c>
      <c r="G83" s="78" t="s">
        <v>127</v>
      </c>
      <c r="H83" s="78">
        <v>234</v>
      </c>
      <c r="I83" s="78"/>
      <c r="J83" s="78" t="s">
        <v>564</v>
      </c>
      <c r="K83" s="78" t="s">
        <v>412</v>
      </c>
      <c r="L83" s="78" t="s">
        <v>414</v>
      </c>
      <c r="M83" s="78" t="s">
        <v>91</v>
      </c>
      <c r="N83" s="76">
        <v>81</v>
      </c>
      <c r="O83" s="76" t="s">
        <v>556</v>
      </c>
      <c r="P83" s="50"/>
      <c r="Q83" s="47"/>
      <c r="R83" s="46"/>
      <c r="S83" s="46"/>
      <c r="T83" s="46"/>
      <c r="U83" s="46"/>
      <c r="V83" s="46"/>
      <c r="W83" s="46"/>
      <c r="X83" s="46"/>
      <c r="Y83" s="46"/>
      <c r="Z83" s="46"/>
      <c r="AA83" s="46"/>
      <c r="AB83" s="46"/>
      <c r="AC83" s="46"/>
      <c r="AD83" s="12"/>
      <c r="AE83" s="46"/>
      <c r="AF83" s="419" t="s">
        <v>1807</v>
      </c>
      <c r="AG83" s="23" t="s">
        <v>1434</v>
      </c>
      <c r="AH83" s="44" t="s">
        <v>604</v>
      </c>
      <c r="AI83" s="46"/>
      <c r="AJ83" s="46"/>
      <c r="AK83" s="46">
        <v>15</v>
      </c>
      <c r="AL83" s="46"/>
      <c r="AM83" s="46"/>
      <c r="AN83" s="46"/>
      <c r="AO83" s="46"/>
      <c r="AP83" s="44">
        <v>8</v>
      </c>
      <c r="AQ83" s="49" t="s">
        <v>2138</v>
      </c>
      <c r="AR83" s="47"/>
      <c r="AS83" s="44" t="s">
        <v>570</v>
      </c>
      <c r="AT83" s="46" t="s">
        <v>483</v>
      </c>
      <c r="AU83" s="44" t="s">
        <v>87</v>
      </c>
      <c r="AV83" s="44"/>
      <c r="AW83" s="44"/>
      <c r="AX83" s="44"/>
      <c r="AY83" s="44"/>
      <c r="AZ83" s="44"/>
    </row>
    <row r="84" spans="5:52">
      <c r="E84" s="75"/>
      <c r="F84" s="78" t="s">
        <v>561</v>
      </c>
      <c r="G84" s="78" t="s">
        <v>128</v>
      </c>
      <c r="H84" s="78">
        <v>360</v>
      </c>
      <c r="I84" s="78"/>
      <c r="J84" s="78" t="s">
        <v>564</v>
      </c>
      <c r="K84" s="78" t="s">
        <v>412</v>
      </c>
      <c r="L84" s="78" t="s">
        <v>420</v>
      </c>
      <c r="M84" s="78" t="s">
        <v>91</v>
      </c>
      <c r="N84" s="76">
        <v>82</v>
      </c>
      <c r="O84" s="76" t="s">
        <v>557</v>
      </c>
      <c r="P84" s="50"/>
      <c r="Q84" s="47"/>
      <c r="R84" s="46"/>
      <c r="S84" s="46"/>
      <c r="T84" s="46"/>
      <c r="U84" s="46"/>
      <c r="V84" s="46"/>
      <c r="W84" s="46"/>
      <c r="X84" s="46"/>
      <c r="Y84" s="46"/>
      <c r="Z84" s="46"/>
      <c r="AA84" s="46"/>
      <c r="AB84" s="46"/>
      <c r="AC84" s="46"/>
      <c r="AD84" s="12"/>
      <c r="AE84" s="46"/>
      <c r="AF84" s="419" t="s">
        <v>1813</v>
      </c>
      <c r="AG84" s="23" t="s">
        <v>1434</v>
      </c>
      <c r="AH84" s="44" t="s">
        <v>597</v>
      </c>
      <c r="AI84" s="46"/>
      <c r="AJ84" s="46"/>
      <c r="AK84" s="46"/>
      <c r="AL84" s="46"/>
      <c r="AM84" s="46"/>
      <c r="AN84" s="46"/>
      <c r="AO84" s="46"/>
      <c r="AP84" s="46">
        <v>9</v>
      </c>
      <c r="AQ84" s="49"/>
      <c r="AR84" s="47"/>
      <c r="AS84" s="44" t="s">
        <v>570</v>
      </c>
      <c r="AT84" s="46" t="s">
        <v>483</v>
      </c>
      <c r="AU84" s="102" t="s">
        <v>651</v>
      </c>
      <c r="AV84" s="44"/>
      <c r="AW84" s="44"/>
      <c r="AX84" s="44"/>
      <c r="AY84" s="44"/>
      <c r="AZ84" s="44"/>
    </row>
    <row r="85" spans="5:52">
      <c r="E85" s="75"/>
      <c r="F85" s="78" t="s">
        <v>562</v>
      </c>
      <c r="G85" s="78" t="s">
        <v>129</v>
      </c>
      <c r="H85" s="78">
        <v>468</v>
      </c>
      <c r="I85" s="78"/>
      <c r="J85" s="78" t="s">
        <v>564</v>
      </c>
      <c r="K85" s="78" t="s">
        <v>412</v>
      </c>
      <c r="L85" s="78" t="s">
        <v>421</v>
      </c>
      <c r="M85" s="78" t="s">
        <v>91</v>
      </c>
      <c r="N85" s="76">
        <v>83</v>
      </c>
      <c r="O85" s="76" t="s">
        <v>557</v>
      </c>
      <c r="P85" s="50"/>
      <c r="Q85" s="47"/>
      <c r="R85" s="46"/>
      <c r="S85" s="46"/>
      <c r="T85" s="46"/>
      <c r="U85" s="46"/>
      <c r="V85" s="46"/>
      <c r="W85" s="46"/>
      <c r="X85" s="46"/>
      <c r="Y85" s="46"/>
      <c r="Z85" s="46"/>
      <c r="AA85" s="46"/>
      <c r="AB85" s="46"/>
      <c r="AC85" s="46"/>
      <c r="AD85" s="12"/>
      <c r="AE85" s="46"/>
      <c r="AF85" s="419" t="s">
        <v>1818</v>
      </c>
      <c r="AG85" s="12" t="s">
        <v>1221</v>
      </c>
      <c r="AH85" s="44" t="s">
        <v>653</v>
      </c>
      <c r="AI85" s="44"/>
      <c r="AJ85" s="44"/>
      <c r="AK85" s="44">
        <v>15</v>
      </c>
      <c r="AL85" s="44"/>
      <c r="AM85" s="44"/>
      <c r="AN85" s="44"/>
      <c r="AO85" s="44"/>
      <c r="AP85" s="44">
        <v>10</v>
      </c>
      <c r="AQ85" s="49" t="s">
        <v>2138</v>
      </c>
      <c r="AR85" s="43"/>
      <c r="AS85" s="44" t="s">
        <v>84</v>
      </c>
      <c r="AT85" s="46" t="s">
        <v>483</v>
      </c>
      <c r="AU85" s="44" t="s">
        <v>1198</v>
      </c>
      <c r="AV85" s="44"/>
      <c r="AW85" s="44"/>
      <c r="AX85" s="44"/>
      <c r="AY85" s="44"/>
      <c r="AZ85" s="44"/>
    </row>
    <row r="86" spans="5:52">
      <c r="E86" s="75"/>
      <c r="F86" s="78" t="s">
        <v>563</v>
      </c>
      <c r="G86" s="78" t="s">
        <v>130</v>
      </c>
      <c r="H86" s="78">
        <v>577</v>
      </c>
      <c r="I86" s="78"/>
      <c r="J86" s="78" t="s">
        <v>564</v>
      </c>
      <c r="K86" s="78" t="s">
        <v>412</v>
      </c>
      <c r="L86" s="78" t="s">
        <v>422</v>
      </c>
      <c r="M86" s="78" t="s">
        <v>91</v>
      </c>
      <c r="N86" s="76">
        <v>84</v>
      </c>
      <c r="O86" s="76"/>
      <c r="P86" s="50"/>
      <c r="Q86" s="47"/>
      <c r="R86" s="46"/>
      <c r="S86" s="46"/>
      <c r="T86" s="46"/>
      <c r="U86" s="46"/>
      <c r="V86" s="46"/>
      <c r="W86" s="46"/>
      <c r="X86" s="46"/>
      <c r="Y86" s="46"/>
      <c r="Z86" s="46"/>
      <c r="AA86" s="46"/>
      <c r="AB86" s="46"/>
      <c r="AC86" s="46"/>
      <c r="AD86" s="46"/>
      <c r="AE86" s="46"/>
      <c r="AF86" s="419" t="s">
        <v>1816</v>
      </c>
      <c r="AG86" s="12" t="s">
        <v>1221</v>
      </c>
      <c r="AH86" s="46" t="s">
        <v>484</v>
      </c>
      <c r="AI86" s="46"/>
      <c r="AJ86" s="46"/>
      <c r="AK86" s="46">
        <v>10</v>
      </c>
      <c r="AL86" s="46"/>
      <c r="AM86" s="46"/>
      <c r="AN86" s="46"/>
      <c r="AO86" s="46"/>
      <c r="AP86" s="46">
        <v>11</v>
      </c>
      <c r="AQ86" s="49" t="s">
        <v>2138</v>
      </c>
      <c r="AR86" s="47"/>
      <c r="AS86" s="44" t="s">
        <v>84</v>
      </c>
      <c r="AT86" s="46" t="s">
        <v>483</v>
      </c>
      <c r="AU86" s="44" t="s">
        <v>1198</v>
      </c>
      <c r="AV86" s="44"/>
      <c r="AW86" s="44"/>
      <c r="AX86" s="44"/>
      <c r="AY86" s="44"/>
      <c r="AZ86" s="44"/>
    </row>
    <row r="87" spans="5:52">
      <c r="E87" s="75"/>
      <c r="F87" s="76" t="s">
        <v>671</v>
      </c>
      <c r="G87" s="78"/>
      <c r="H87" s="78" t="s">
        <v>508</v>
      </c>
      <c r="I87" s="78"/>
      <c r="J87" s="78"/>
      <c r="K87" s="78"/>
      <c r="L87" s="78"/>
      <c r="M87" s="78"/>
      <c r="N87" s="76">
        <v>85</v>
      </c>
      <c r="O87" s="76"/>
      <c r="P87" s="74"/>
      <c r="Q87" s="47"/>
      <c r="R87" s="46"/>
      <c r="S87" s="46"/>
      <c r="T87" s="46"/>
      <c r="U87" s="46"/>
      <c r="V87" s="46"/>
      <c r="W87" s="46"/>
      <c r="X87" s="46"/>
      <c r="Y87" s="46"/>
      <c r="Z87" s="46"/>
      <c r="AA87" s="46"/>
      <c r="AB87" s="46"/>
      <c r="AC87" s="46"/>
      <c r="AD87" s="46"/>
      <c r="AE87" s="46"/>
      <c r="AF87" s="419" t="s">
        <v>1817</v>
      </c>
      <c r="AG87" s="12" t="s">
        <v>1221</v>
      </c>
      <c r="AH87" s="46" t="s">
        <v>486</v>
      </c>
      <c r="AI87" s="46"/>
      <c r="AJ87" s="46"/>
      <c r="AK87" s="46">
        <v>15</v>
      </c>
      <c r="AL87" s="46"/>
      <c r="AM87" s="46"/>
      <c r="AN87" s="46"/>
      <c r="AO87" s="46"/>
      <c r="AP87" s="44">
        <v>12</v>
      </c>
      <c r="AQ87" s="49" t="s">
        <v>143</v>
      </c>
      <c r="AR87" s="47"/>
      <c r="AS87" s="44" t="s">
        <v>84</v>
      </c>
      <c r="AT87" s="46" t="s">
        <v>483</v>
      </c>
      <c r="AU87" s="44" t="s">
        <v>1198</v>
      </c>
      <c r="AV87" s="44"/>
      <c r="AW87" s="44"/>
      <c r="AX87" s="44"/>
      <c r="AY87" s="44"/>
      <c r="AZ87" s="44"/>
    </row>
    <row r="88" spans="5:52">
      <c r="E88" s="75"/>
      <c r="F88" s="76" t="s">
        <v>713</v>
      </c>
      <c r="G88" s="78" t="s">
        <v>747</v>
      </c>
      <c r="H88" s="78">
        <v>72</v>
      </c>
      <c r="I88" s="78"/>
      <c r="J88" s="78" t="s">
        <v>423</v>
      </c>
      <c r="K88" s="78" t="s">
        <v>435</v>
      </c>
      <c r="L88" s="78"/>
      <c r="M88" s="78" t="s">
        <v>91</v>
      </c>
      <c r="N88" s="76">
        <v>86</v>
      </c>
      <c r="O88" s="76" t="s">
        <v>557</v>
      </c>
      <c r="P88" s="50"/>
      <c r="Q88" s="47"/>
      <c r="R88" s="46"/>
      <c r="S88" s="46"/>
      <c r="T88" s="46"/>
      <c r="U88" s="46"/>
      <c r="V88" s="46"/>
      <c r="W88" s="46"/>
      <c r="X88" s="46"/>
      <c r="Y88" s="46"/>
      <c r="Z88" s="46"/>
      <c r="AA88" s="46"/>
      <c r="AB88" s="46"/>
      <c r="AC88" s="46"/>
      <c r="AD88" s="46"/>
      <c r="AE88" s="46"/>
      <c r="AF88" s="419" t="s">
        <v>1822</v>
      </c>
      <c r="AG88" s="12" t="s">
        <v>1221</v>
      </c>
      <c r="AH88" s="44" t="s">
        <v>2501</v>
      </c>
      <c r="AI88" s="46"/>
      <c r="AJ88" s="46"/>
      <c r="AK88" s="46">
        <v>15</v>
      </c>
      <c r="AL88" s="46"/>
      <c r="AM88" s="46"/>
      <c r="AN88" s="46"/>
      <c r="AO88" s="46"/>
      <c r="AP88" s="46">
        <v>13</v>
      </c>
      <c r="AQ88" s="49" t="s">
        <v>2138</v>
      </c>
      <c r="AR88" s="47"/>
      <c r="AS88" s="44" t="s">
        <v>84</v>
      </c>
      <c r="AT88" s="46" t="s">
        <v>483</v>
      </c>
      <c r="AU88" s="44" t="s">
        <v>1198</v>
      </c>
      <c r="AV88" s="44"/>
      <c r="AW88" s="44"/>
      <c r="AX88" s="44"/>
      <c r="AY88" s="44"/>
      <c r="AZ88" s="44"/>
    </row>
    <row r="89" spans="5:52">
      <c r="E89" s="75"/>
      <c r="F89" s="76" t="s">
        <v>384</v>
      </c>
      <c r="G89" s="76" t="s">
        <v>549</v>
      </c>
      <c r="H89" s="76">
        <v>95</v>
      </c>
      <c r="I89" s="76"/>
      <c r="J89" s="76" t="s">
        <v>423</v>
      </c>
      <c r="K89" s="76" t="s">
        <v>424</v>
      </c>
      <c r="L89" s="76"/>
      <c r="M89" s="76" t="s">
        <v>91</v>
      </c>
      <c r="N89" s="76">
        <v>87</v>
      </c>
      <c r="O89" s="76" t="s">
        <v>556</v>
      </c>
      <c r="P89" s="74"/>
      <c r="Q89" s="47"/>
      <c r="R89" s="46"/>
      <c r="S89" s="46"/>
      <c r="T89" s="46"/>
      <c r="U89" s="46"/>
      <c r="V89" s="46"/>
      <c r="W89" s="46"/>
      <c r="X89" s="46"/>
      <c r="Y89" s="46"/>
      <c r="Z89" s="46"/>
      <c r="AA89" s="46"/>
      <c r="AB89" s="46"/>
      <c r="AC89" s="46"/>
      <c r="AD89" s="46"/>
      <c r="AE89" s="46"/>
      <c r="AF89" s="512" t="s">
        <v>2617</v>
      </c>
      <c r="AG89" s="12" t="s">
        <v>1221</v>
      </c>
      <c r="AH89" s="44" t="s">
        <v>2509</v>
      </c>
      <c r="AI89" s="46"/>
      <c r="AJ89" s="46"/>
      <c r="AK89" s="49">
        <v>20</v>
      </c>
      <c r="AL89" s="46"/>
      <c r="AM89" s="46"/>
      <c r="AN89" s="46"/>
      <c r="AO89" s="46"/>
      <c r="AP89" s="44">
        <v>14</v>
      </c>
      <c r="AQ89" s="55" t="s">
        <v>143</v>
      </c>
      <c r="AR89" s="47"/>
      <c r="AS89" s="44" t="s">
        <v>84</v>
      </c>
      <c r="AT89" s="46" t="s">
        <v>483</v>
      </c>
      <c r="AU89" s="44" t="s">
        <v>1196</v>
      </c>
      <c r="AV89" s="44"/>
      <c r="AW89" s="44"/>
      <c r="AX89" s="44"/>
      <c r="AY89" s="44"/>
      <c r="AZ89" s="44"/>
    </row>
    <row r="90" spans="5:52">
      <c r="E90" s="75"/>
      <c r="F90" s="76" t="s">
        <v>385</v>
      </c>
      <c r="G90" s="76" t="s">
        <v>550</v>
      </c>
      <c r="H90" s="76">
        <v>114</v>
      </c>
      <c r="I90" s="76"/>
      <c r="J90" s="76" t="s">
        <v>423</v>
      </c>
      <c r="K90" s="76" t="s">
        <v>425</v>
      </c>
      <c r="L90" s="76"/>
      <c r="M90" s="76" t="s">
        <v>91</v>
      </c>
      <c r="N90" s="76">
        <v>88</v>
      </c>
      <c r="O90" s="76" t="s">
        <v>556</v>
      </c>
      <c r="P90" s="50"/>
      <c r="Q90" s="47"/>
      <c r="R90" s="46"/>
      <c r="S90" s="46"/>
      <c r="T90" s="46"/>
      <c r="U90" s="46"/>
      <c r="V90" s="46"/>
      <c r="W90" s="46"/>
      <c r="X90" s="46"/>
      <c r="Y90" s="46"/>
      <c r="Z90" s="46"/>
      <c r="AA90" s="46"/>
      <c r="AB90" s="46"/>
      <c r="AC90" s="46"/>
      <c r="AD90" s="46"/>
      <c r="AE90" s="46"/>
      <c r="AF90" s="419" t="s">
        <v>1819</v>
      </c>
      <c r="AG90" s="12" t="s">
        <v>1221</v>
      </c>
      <c r="AH90" s="46" t="s">
        <v>487</v>
      </c>
      <c r="AI90" s="46"/>
      <c r="AJ90" s="46"/>
      <c r="AK90" s="46">
        <v>15</v>
      </c>
      <c r="AL90" s="46"/>
      <c r="AM90" s="46"/>
      <c r="AN90" s="46"/>
      <c r="AO90" s="46"/>
      <c r="AP90" s="46">
        <v>15</v>
      </c>
      <c r="AQ90" s="49" t="s">
        <v>143</v>
      </c>
      <c r="AR90" s="47"/>
      <c r="AS90" s="44" t="s">
        <v>84</v>
      </c>
      <c r="AT90" s="46" t="s">
        <v>483</v>
      </c>
      <c r="AU90" s="44" t="s">
        <v>1196</v>
      </c>
      <c r="AV90" s="44"/>
      <c r="AW90" s="44"/>
      <c r="AX90" s="44"/>
      <c r="AY90" s="44"/>
      <c r="AZ90" s="44"/>
    </row>
    <row r="91" spans="5:52">
      <c r="E91" s="75"/>
      <c r="F91" s="76" t="s">
        <v>697</v>
      </c>
      <c r="G91" s="76" t="s">
        <v>748</v>
      </c>
      <c r="H91" s="76">
        <v>190</v>
      </c>
      <c r="I91" s="76"/>
      <c r="J91" s="76" t="s">
        <v>423</v>
      </c>
      <c r="K91" s="76" t="s">
        <v>437</v>
      </c>
      <c r="L91" s="76"/>
      <c r="M91" s="76" t="s">
        <v>91</v>
      </c>
      <c r="N91" s="76">
        <v>89</v>
      </c>
      <c r="O91" s="76" t="s">
        <v>557</v>
      </c>
      <c r="P91" s="74"/>
      <c r="Q91" s="47"/>
      <c r="R91" s="46"/>
      <c r="S91" s="46"/>
      <c r="T91" s="46"/>
      <c r="U91" s="46"/>
      <c r="V91" s="46"/>
      <c r="W91" s="46"/>
      <c r="X91" s="46"/>
      <c r="Y91" s="46"/>
      <c r="Z91" s="46"/>
      <c r="AA91" s="46"/>
      <c r="AB91" s="46"/>
      <c r="AC91" s="46"/>
      <c r="AD91" s="46"/>
      <c r="AE91" s="46"/>
      <c r="AF91" s="419" t="s">
        <v>1820</v>
      </c>
      <c r="AG91" s="12" t="s">
        <v>1221</v>
      </c>
      <c r="AH91" s="46" t="s">
        <v>488</v>
      </c>
      <c r="AI91" s="46"/>
      <c r="AJ91" s="46"/>
      <c r="AK91" s="46">
        <v>15</v>
      </c>
      <c r="AL91" s="46"/>
      <c r="AM91" s="46"/>
      <c r="AN91" s="46"/>
      <c r="AO91" s="46"/>
      <c r="AP91" s="44">
        <v>16</v>
      </c>
      <c r="AQ91" s="49" t="s">
        <v>143</v>
      </c>
      <c r="AR91" s="47"/>
      <c r="AS91" s="44" t="s">
        <v>84</v>
      </c>
      <c r="AT91" s="46" t="s">
        <v>483</v>
      </c>
      <c r="AU91" s="44" t="s">
        <v>1196</v>
      </c>
      <c r="AV91" s="44"/>
      <c r="AW91" s="44"/>
      <c r="AX91" s="44"/>
      <c r="AY91" s="44"/>
      <c r="AZ91" s="44"/>
    </row>
    <row r="92" spans="5:52">
      <c r="E92" s="75"/>
      <c r="F92" s="76" t="s">
        <v>386</v>
      </c>
      <c r="G92" s="76" t="s">
        <v>551</v>
      </c>
      <c r="H92" s="76">
        <v>199</v>
      </c>
      <c r="I92" s="76"/>
      <c r="J92" s="76" t="s">
        <v>423</v>
      </c>
      <c r="K92" s="76" t="s">
        <v>426</v>
      </c>
      <c r="L92" s="76"/>
      <c r="M92" s="76" t="s">
        <v>91</v>
      </c>
      <c r="N92" s="76">
        <v>90</v>
      </c>
      <c r="O92" s="76" t="s">
        <v>556</v>
      </c>
      <c r="P92" s="50"/>
      <c r="Q92" s="47"/>
      <c r="R92" s="46"/>
      <c r="S92" s="46"/>
      <c r="T92" s="46"/>
      <c r="U92" s="46"/>
      <c r="V92" s="46"/>
      <c r="W92" s="46"/>
      <c r="X92" s="46"/>
      <c r="Y92" s="46"/>
      <c r="Z92" s="46"/>
      <c r="AA92" s="46"/>
      <c r="AB92" s="46"/>
      <c r="AC92" s="46"/>
      <c r="AD92" s="46"/>
      <c r="AE92" s="46"/>
      <c r="AF92" s="419" t="s">
        <v>1815</v>
      </c>
      <c r="AG92" s="12" t="s">
        <v>1221</v>
      </c>
      <c r="AH92" s="46" t="s">
        <v>485</v>
      </c>
      <c r="AI92" s="46"/>
      <c r="AJ92" s="46"/>
      <c r="AK92" s="46">
        <v>15</v>
      </c>
      <c r="AL92" s="46"/>
      <c r="AM92" s="46"/>
      <c r="AN92" s="46"/>
      <c r="AO92" s="46"/>
      <c r="AP92" s="46">
        <v>17</v>
      </c>
      <c r="AQ92" s="49" t="s">
        <v>2138</v>
      </c>
      <c r="AR92" s="47"/>
      <c r="AS92" s="44" t="s">
        <v>84</v>
      </c>
      <c r="AT92" s="46" t="s">
        <v>483</v>
      </c>
      <c r="AU92" s="44" t="s">
        <v>87</v>
      </c>
      <c r="AV92" s="44"/>
      <c r="AW92" s="44"/>
      <c r="AX92" s="44"/>
      <c r="AY92" s="44"/>
      <c r="AZ92" s="44"/>
    </row>
    <row r="93" spans="5:52">
      <c r="E93" s="75"/>
      <c r="F93" s="76" t="s">
        <v>387</v>
      </c>
      <c r="G93" s="76" t="s">
        <v>552</v>
      </c>
      <c r="H93" s="76">
        <v>284</v>
      </c>
      <c r="I93" s="76"/>
      <c r="J93" s="76" t="s">
        <v>423</v>
      </c>
      <c r="K93" s="76" t="s">
        <v>427</v>
      </c>
      <c r="L93" s="76"/>
      <c r="M93" s="76" t="s">
        <v>91</v>
      </c>
      <c r="N93" s="76">
        <v>91</v>
      </c>
      <c r="O93" s="76" t="s">
        <v>556</v>
      </c>
      <c r="P93" s="50"/>
      <c r="Q93" s="47"/>
      <c r="R93" s="46"/>
      <c r="S93" s="46"/>
      <c r="T93" s="46"/>
      <c r="U93" s="46"/>
      <c r="V93" s="46"/>
      <c r="W93" s="46"/>
      <c r="X93" s="46"/>
      <c r="Y93" s="46"/>
      <c r="Z93" s="46"/>
      <c r="AA93" s="46"/>
      <c r="AB93" s="46"/>
      <c r="AC93" s="46"/>
      <c r="AD93" s="46"/>
      <c r="AE93" s="46"/>
      <c r="AF93" s="419" t="s">
        <v>1821</v>
      </c>
      <c r="AG93" s="12" t="s">
        <v>1221</v>
      </c>
      <c r="AH93" s="44" t="s">
        <v>596</v>
      </c>
      <c r="AI93" s="46"/>
      <c r="AJ93" s="46"/>
      <c r="AK93" s="46"/>
      <c r="AL93" s="46"/>
      <c r="AM93" s="46"/>
      <c r="AN93" s="46"/>
      <c r="AO93" s="46"/>
      <c r="AP93" s="44">
        <v>18</v>
      </c>
      <c r="AQ93" s="49"/>
      <c r="AR93" s="43"/>
      <c r="AS93" s="44" t="s">
        <v>84</v>
      </c>
      <c r="AT93" s="46" t="s">
        <v>483</v>
      </c>
      <c r="AU93" s="102" t="s">
        <v>651</v>
      </c>
      <c r="AV93" s="44"/>
      <c r="AW93" s="44"/>
      <c r="AX93" s="44"/>
      <c r="AY93" s="44"/>
      <c r="AZ93" s="44"/>
    </row>
    <row r="94" spans="5:52">
      <c r="E94" s="75"/>
      <c r="F94" s="76" t="s">
        <v>388</v>
      </c>
      <c r="G94" s="76" t="s">
        <v>553</v>
      </c>
      <c r="H94" s="76">
        <v>455</v>
      </c>
      <c r="I94" s="76"/>
      <c r="J94" s="76" t="s">
        <v>423</v>
      </c>
      <c r="K94" s="76" t="s">
        <v>428</v>
      </c>
      <c r="L94" s="76"/>
      <c r="M94" s="76" t="s">
        <v>91</v>
      </c>
      <c r="N94" s="76">
        <v>92</v>
      </c>
      <c r="O94" s="76" t="s">
        <v>556</v>
      </c>
      <c r="P94" s="50"/>
      <c r="R94" s="14"/>
      <c r="S94" s="14"/>
      <c r="T94" s="14"/>
      <c r="U94" s="14"/>
      <c r="AC94" s="46"/>
      <c r="AD94" s="46"/>
      <c r="AE94" s="46"/>
      <c r="AF94" s="47"/>
      <c r="AG94" s="46"/>
      <c r="AH94" s="46"/>
      <c r="AI94" s="46"/>
      <c r="AJ94" s="46"/>
      <c r="AK94" s="46"/>
      <c r="AL94" s="46"/>
      <c r="AM94" s="46"/>
      <c r="AN94" s="46"/>
      <c r="AO94" s="46"/>
      <c r="AP94" s="46"/>
      <c r="AQ94" s="49"/>
      <c r="AR94" s="46"/>
      <c r="AS94" s="46"/>
      <c r="AT94" s="46"/>
      <c r="AU94" s="46"/>
      <c r="AV94" s="46"/>
    </row>
    <row r="95" spans="5:52">
      <c r="E95" s="75"/>
      <c r="F95" s="76" t="s">
        <v>389</v>
      </c>
      <c r="G95" s="76" t="s">
        <v>554</v>
      </c>
      <c r="H95" s="76">
        <v>1080</v>
      </c>
      <c r="I95" s="76"/>
      <c r="J95" s="76" t="s">
        <v>423</v>
      </c>
      <c r="K95" s="76" t="s">
        <v>429</v>
      </c>
      <c r="L95" s="76"/>
      <c r="M95" s="76" t="s">
        <v>91</v>
      </c>
      <c r="N95" s="76">
        <v>93</v>
      </c>
      <c r="O95" s="76" t="s">
        <v>556</v>
      </c>
      <c r="P95" s="50"/>
      <c r="T95" s="14"/>
      <c r="V95"/>
      <c r="W95"/>
      <c r="X95"/>
      <c r="Y95"/>
      <c r="AC95" s="46"/>
      <c r="AD95" s="46"/>
      <c r="AE95" s="46"/>
      <c r="AF95" s="47" t="s">
        <v>85</v>
      </c>
      <c r="AG95" s="47" t="s">
        <v>580</v>
      </c>
      <c r="AH95" s="46" t="s">
        <v>497</v>
      </c>
      <c r="AI95" s="46" t="s">
        <v>498</v>
      </c>
      <c r="AJ95" s="44" t="s">
        <v>591</v>
      </c>
      <c r="AK95" s="46" t="s">
        <v>88</v>
      </c>
      <c r="AL95" s="46" t="s">
        <v>86</v>
      </c>
      <c r="AM95" s="46" t="s">
        <v>342</v>
      </c>
      <c r="AN95" s="46" t="s">
        <v>343</v>
      </c>
      <c r="AO95" s="46" t="s">
        <v>468</v>
      </c>
      <c r="AP95" s="44" t="s">
        <v>347</v>
      </c>
      <c r="AQ95" s="49" t="s">
        <v>467</v>
      </c>
      <c r="AR95" s="46" t="s">
        <v>333</v>
      </c>
      <c r="AS95" s="44" t="s">
        <v>624</v>
      </c>
      <c r="AT95" s="46" t="s">
        <v>466</v>
      </c>
      <c r="AU95" s="102" t="s">
        <v>1195</v>
      </c>
      <c r="AV95" s="44" t="s">
        <v>2401</v>
      </c>
      <c r="AW95" s="44" t="s">
        <v>1351</v>
      </c>
      <c r="AX95" s="44" t="s">
        <v>2409</v>
      </c>
      <c r="AY95" s="44" t="s">
        <v>2410</v>
      </c>
      <c r="AZ95" s="44" t="s">
        <v>2411</v>
      </c>
    </row>
    <row r="96" spans="5:52">
      <c r="E96" s="47"/>
      <c r="F96" s="46" t="s">
        <v>1413</v>
      </c>
      <c r="G96" s="46" t="s">
        <v>1414</v>
      </c>
      <c r="H96" s="46">
        <v>1610</v>
      </c>
      <c r="I96" s="46"/>
      <c r="J96" s="46" t="s">
        <v>423</v>
      </c>
      <c r="K96" s="46" t="s">
        <v>1415</v>
      </c>
      <c r="L96" s="46"/>
      <c r="M96" s="46" t="s">
        <v>91</v>
      </c>
      <c r="N96" s="76">
        <v>94</v>
      </c>
      <c r="O96" s="46" t="s">
        <v>557</v>
      </c>
      <c r="P96" s="50"/>
      <c r="T96" s="14"/>
      <c r="V96"/>
      <c r="W96"/>
      <c r="X96"/>
      <c r="Y96"/>
      <c r="AF96" s="419" t="s">
        <v>1824</v>
      </c>
      <c r="AG96" s="23" t="s">
        <v>1434</v>
      </c>
      <c r="AH96" s="44" t="s">
        <v>612</v>
      </c>
      <c r="AI96" s="46"/>
      <c r="AJ96" s="46"/>
      <c r="AK96" s="46">
        <v>15</v>
      </c>
      <c r="AL96" s="46"/>
      <c r="AM96" s="46"/>
      <c r="AN96" s="46"/>
      <c r="AO96" s="46"/>
      <c r="AP96" s="46">
        <v>1</v>
      </c>
      <c r="AQ96" s="49" t="s">
        <v>1229</v>
      </c>
      <c r="AR96" s="47"/>
      <c r="AS96" s="44" t="s">
        <v>570</v>
      </c>
      <c r="AT96" s="46" t="s">
        <v>489</v>
      </c>
      <c r="AU96" s="44" t="s">
        <v>1198</v>
      </c>
      <c r="AV96" s="44"/>
      <c r="AW96" s="44"/>
      <c r="AX96" s="44"/>
      <c r="AY96" s="44"/>
      <c r="AZ96" s="44"/>
    </row>
    <row r="97" spans="1:70">
      <c r="E97" s="43"/>
      <c r="F97" s="46" t="s">
        <v>1416</v>
      </c>
      <c r="G97" s="46" t="s">
        <v>1417</v>
      </c>
      <c r="H97" s="46">
        <v>2140</v>
      </c>
      <c r="I97" s="46"/>
      <c r="J97" s="46" t="s">
        <v>423</v>
      </c>
      <c r="K97" s="46" t="s">
        <v>1418</v>
      </c>
      <c r="L97" s="46"/>
      <c r="M97" s="46" t="s">
        <v>91</v>
      </c>
      <c r="N97" s="76">
        <v>95</v>
      </c>
      <c r="O97" s="46" t="s">
        <v>1386</v>
      </c>
      <c r="P97" s="50"/>
      <c r="T97" s="14"/>
      <c r="V97"/>
      <c r="W97"/>
      <c r="X97"/>
      <c r="Y97"/>
      <c r="AF97" s="419" t="s">
        <v>1825</v>
      </c>
      <c r="AG97" s="23" t="s">
        <v>1434</v>
      </c>
      <c r="AH97" s="44" t="s">
        <v>611</v>
      </c>
      <c r="AI97" s="46"/>
      <c r="AJ97" s="46"/>
      <c r="AK97" s="46">
        <v>15</v>
      </c>
      <c r="AL97" s="46"/>
      <c r="AM97" s="46"/>
      <c r="AN97" s="46"/>
      <c r="AO97" s="46"/>
      <c r="AP97" s="46">
        <v>2</v>
      </c>
      <c r="AQ97" s="49" t="s">
        <v>96</v>
      </c>
      <c r="AR97" s="47"/>
      <c r="AS97" s="44" t="s">
        <v>570</v>
      </c>
      <c r="AT97" s="46" t="s">
        <v>489</v>
      </c>
      <c r="AU97" s="44" t="s">
        <v>1198</v>
      </c>
      <c r="AV97" s="44"/>
      <c r="AW97" s="44"/>
      <c r="AX97" s="44"/>
      <c r="AY97" s="44"/>
      <c r="AZ97" s="44"/>
    </row>
    <row r="98" spans="1:70">
      <c r="E98" s="75"/>
      <c r="F98" s="76" t="s">
        <v>346</v>
      </c>
      <c r="G98" s="76"/>
      <c r="H98" s="76">
        <v>227</v>
      </c>
      <c r="I98" s="76"/>
      <c r="J98" s="76" t="s">
        <v>430</v>
      </c>
      <c r="K98" s="76" t="s">
        <v>431</v>
      </c>
      <c r="L98" s="76"/>
      <c r="M98" s="76" t="s">
        <v>91</v>
      </c>
      <c r="N98" s="76">
        <v>96</v>
      </c>
      <c r="O98" s="76" t="s">
        <v>556</v>
      </c>
      <c r="P98" s="50"/>
      <c r="T98" s="14"/>
      <c r="V98"/>
      <c r="W98"/>
      <c r="X98"/>
      <c r="Y98"/>
      <c r="AF98" s="419" t="s">
        <v>1826</v>
      </c>
      <c r="AG98" s="23" t="s">
        <v>1434</v>
      </c>
      <c r="AH98" s="44" t="s">
        <v>618</v>
      </c>
      <c r="AI98" s="46"/>
      <c r="AJ98" s="46"/>
      <c r="AK98" s="46">
        <v>15</v>
      </c>
      <c r="AL98" s="46"/>
      <c r="AM98" s="46"/>
      <c r="AN98" s="46"/>
      <c r="AO98" s="46"/>
      <c r="AP98" s="46">
        <v>3</v>
      </c>
      <c r="AQ98" s="49" t="s">
        <v>1229</v>
      </c>
      <c r="AR98" s="47"/>
      <c r="AS98" s="44" t="s">
        <v>570</v>
      </c>
      <c r="AT98" s="46" t="s">
        <v>489</v>
      </c>
      <c r="AU98" s="44" t="s">
        <v>1198</v>
      </c>
      <c r="AV98" s="44"/>
      <c r="AW98" s="44"/>
      <c r="AX98" s="44"/>
      <c r="AY98" s="44"/>
      <c r="AZ98" s="44"/>
    </row>
    <row r="99" spans="1:70">
      <c r="E99" s="75"/>
      <c r="F99" s="76" t="s">
        <v>390</v>
      </c>
      <c r="G99" s="76"/>
      <c r="H99" s="76">
        <v>364</v>
      </c>
      <c r="I99" s="76"/>
      <c r="J99" s="76" t="s">
        <v>430</v>
      </c>
      <c r="K99" s="76" t="s">
        <v>432</v>
      </c>
      <c r="L99" s="76"/>
      <c r="M99" s="76" t="s">
        <v>91</v>
      </c>
      <c r="N99" s="76">
        <v>97</v>
      </c>
      <c r="O99" s="76" t="s">
        <v>556</v>
      </c>
      <c r="P99" s="50"/>
      <c r="T99" s="14"/>
      <c r="V99"/>
      <c r="W99"/>
      <c r="X99"/>
      <c r="Y99"/>
      <c r="AF99" s="419" t="s">
        <v>1827</v>
      </c>
      <c r="AG99" s="23" t="s">
        <v>1434</v>
      </c>
      <c r="AH99" s="44" t="s">
        <v>620</v>
      </c>
      <c r="AI99" s="46"/>
      <c r="AJ99" s="46"/>
      <c r="AK99" s="46">
        <v>15</v>
      </c>
      <c r="AL99" s="46"/>
      <c r="AM99" s="46"/>
      <c r="AN99" s="46"/>
      <c r="AO99" s="46"/>
      <c r="AP99" s="46">
        <v>4</v>
      </c>
      <c r="AQ99" s="49" t="s">
        <v>1229</v>
      </c>
      <c r="AR99" s="47"/>
      <c r="AS99" s="44" t="s">
        <v>570</v>
      </c>
      <c r="AT99" s="46" t="s">
        <v>489</v>
      </c>
      <c r="AU99" s="44" t="s">
        <v>1198</v>
      </c>
      <c r="AV99" s="44"/>
      <c r="AW99" s="44"/>
      <c r="AX99" s="44"/>
      <c r="AY99" s="44"/>
      <c r="AZ99" s="44"/>
      <c r="BB99" s="14"/>
      <c r="BC99" s="14"/>
      <c r="BD99" s="14"/>
      <c r="BE99" s="14"/>
      <c r="BF99" s="14"/>
      <c r="BG99" s="14"/>
      <c r="BH99" s="14"/>
      <c r="BI99" s="14"/>
      <c r="BJ99" s="14"/>
      <c r="BK99" s="14"/>
      <c r="BL99" s="14"/>
      <c r="BM99" s="14"/>
      <c r="BN99" s="14"/>
      <c r="BO99" s="14"/>
      <c r="BP99" s="14"/>
      <c r="BQ99" s="14"/>
      <c r="BR99" s="14"/>
    </row>
    <row r="100" spans="1:70" s="14" customFormat="1">
      <c r="A100" s="180"/>
      <c r="E100" s="75"/>
      <c r="F100" s="76" t="s">
        <v>714</v>
      </c>
      <c r="G100" s="76"/>
      <c r="H100" s="76">
        <v>398</v>
      </c>
      <c r="I100" s="76"/>
      <c r="J100" s="76" t="s">
        <v>430</v>
      </c>
      <c r="K100" s="76" t="s">
        <v>749</v>
      </c>
      <c r="L100" s="76"/>
      <c r="M100" s="76" t="s">
        <v>91</v>
      </c>
      <c r="N100" s="76">
        <v>98</v>
      </c>
      <c r="O100" s="76" t="s">
        <v>556</v>
      </c>
      <c r="P100" s="50"/>
      <c r="Q100" s="23"/>
      <c r="Z100" s="180"/>
      <c r="AD100" s="180"/>
      <c r="AF100" s="419" t="s">
        <v>2056</v>
      </c>
      <c r="AG100" s="23" t="s">
        <v>1434</v>
      </c>
      <c r="AH100" s="44" t="s">
        <v>2037</v>
      </c>
      <c r="AI100" s="46"/>
      <c r="AJ100" s="46"/>
      <c r="AK100" s="46">
        <v>15</v>
      </c>
      <c r="AL100" s="46"/>
      <c r="AM100" s="46"/>
      <c r="AN100" s="46"/>
      <c r="AO100" s="46"/>
      <c r="AP100" s="46">
        <v>5</v>
      </c>
      <c r="AQ100" s="49" t="s">
        <v>1229</v>
      </c>
      <c r="AR100" s="47"/>
      <c r="AS100" s="44" t="s">
        <v>570</v>
      </c>
      <c r="AT100" s="46" t="s">
        <v>489</v>
      </c>
      <c r="AU100" s="44" t="s">
        <v>1198</v>
      </c>
      <c r="AV100" s="44"/>
      <c r="AW100" s="44"/>
      <c r="AX100" s="44"/>
      <c r="AY100" s="44"/>
      <c r="AZ100" s="44"/>
    </row>
    <row r="101" spans="1:70" s="14" customFormat="1">
      <c r="A101" s="180"/>
      <c r="E101" s="75"/>
      <c r="F101" s="76" t="s">
        <v>391</v>
      </c>
      <c r="G101" s="76"/>
      <c r="H101" s="76">
        <v>456</v>
      </c>
      <c r="I101" s="76"/>
      <c r="J101" s="76" t="s">
        <v>430</v>
      </c>
      <c r="K101" s="76" t="s">
        <v>428</v>
      </c>
      <c r="L101" s="76"/>
      <c r="M101" s="76" t="s">
        <v>91</v>
      </c>
      <c r="N101" s="76">
        <v>99</v>
      </c>
      <c r="O101" s="76" t="s">
        <v>557</v>
      </c>
      <c r="P101" s="50"/>
      <c r="Q101" s="23"/>
      <c r="Z101" s="180"/>
      <c r="AD101" s="180"/>
      <c r="AF101" s="419" t="s">
        <v>1829</v>
      </c>
      <c r="AG101" s="23" t="s">
        <v>1434</v>
      </c>
      <c r="AH101" s="44" t="s">
        <v>610</v>
      </c>
      <c r="AI101" s="46"/>
      <c r="AJ101" s="46"/>
      <c r="AK101" s="46">
        <v>15</v>
      </c>
      <c r="AL101" s="46"/>
      <c r="AM101" s="46"/>
      <c r="AN101" s="46"/>
      <c r="AO101" s="46"/>
      <c r="AP101" s="46">
        <v>6</v>
      </c>
      <c r="AQ101" s="49" t="s">
        <v>2138</v>
      </c>
      <c r="AR101" s="47"/>
      <c r="AS101" s="44" t="s">
        <v>570</v>
      </c>
      <c r="AT101" s="46" t="s">
        <v>489</v>
      </c>
      <c r="AU101" s="44" t="s">
        <v>1198</v>
      </c>
      <c r="AV101" s="44"/>
      <c r="AW101" s="44"/>
      <c r="AX101" s="44"/>
      <c r="AY101" s="44"/>
      <c r="AZ101" s="44"/>
      <c r="BB101"/>
      <c r="BC101"/>
      <c r="BD101"/>
      <c r="BE101"/>
      <c r="BF101"/>
      <c r="BG101"/>
      <c r="BH101"/>
      <c r="BI101"/>
      <c r="BJ101"/>
      <c r="BK101"/>
      <c r="BL101"/>
      <c r="BM101"/>
      <c r="BN101"/>
      <c r="BO101"/>
      <c r="BP101"/>
      <c r="BQ101"/>
      <c r="BR101"/>
    </row>
    <row r="102" spans="1:70">
      <c r="E102" s="75"/>
      <c r="F102" s="76" t="s">
        <v>698</v>
      </c>
      <c r="G102" s="76"/>
      <c r="H102" s="76">
        <v>1080</v>
      </c>
      <c r="I102" s="76"/>
      <c r="J102" s="76" t="s">
        <v>430</v>
      </c>
      <c r="K102" s="76" t="s">
        <v>429</v>
      </c>
      <c r="L102" s="76"/>
      <c r="M102" s="76" t="s">
        <v>91</v>
      </c>
      <c r="N102" s="76">
        <v>100</v>
      </c>
      <c r="O102" s="76" t="s">
        <v>557</v>
      </c>
      <c r="P102" s="50"/>
      <c r="T102" s="14"/>
      <c r="V102"/>
      <c r="W102"/>
      <c r="X102"/>
      <c r="Y102"/>
      <c r="AF102" s="419" t="s">
        <v>1830</v>
      </c>
      <c r="AG102" s="23" t="s">
        <v>1434</v>
      </c>
      <c r="AH102" s="44" t="s">
        <v>584</v>
      </c>
      <c r="AI102" s="46"/>
      <c r="AJ102" s="46"/>
      <c r="AK102" s="46">
        <v>10</v>
      </c>
      <c r="AL102" s="46"/>
      <c r="AM102" s="46"/>
      <c r="AN102" s="46"/>
      <c r="AO102" s="46"/>
      <c r="AP102" s="46">
        <v>7</v>
      </c>
      <c r="AQ102" s="49" t="s">
        <v>1229</v>
      </c>
      <c r="AR102" s="47"/>
      <c r="AS102" s="44" t="s">
        <v>570</v>
      </c>
      <c r="AT102" s="46" t="s">
        <v>489</v>
      </c>
      <c r="AU102" s="44" t="s">
        <v>1198</v>
      </c>
      <c r="AV102" s="44"/>
      <c r="AW102" s="44"/>
      <c r="AX102" s="44"/>
      <c r="AY102" s="44"/>
      <c r="AZ102" s="44"/>
    </row>
    <row r="103" spans="1:70">
      <c r="E103" s="75"/>
      <c r="F103" s="76" t="s">
        <v>671</v>
      </c>
      <c r="G103" s="76"/>
      <c r="H103" s="76" t="s">
        <v>508</v>
      </c>
      <c r="I103" s="76"/>
      <c r="J103" s="76"/>
      <c r="K103" s="76"/>
      <c r="L103" s="76"/>
      <c r="M103" s="76"/>
      <c r="N103" s="76">
        <v>101</v>
      </c>
      <c r="O103" s="76"/>
      <c r="P103" s="50"/>
      <c r="T103" s="14"/>
      <c r="V103"/>
      <c r="W103"/>
      <c r="X103"/>
      <c r="Y103"/>
      <c r="AF103" s="419" t="s">
        <v>1831</v>
      </c>
      <c r="AG103" s="23" t="s">
        <v>1434</v>
      </c>
      <c r="AH103" s="44" t="s">
        <v>681</v>
      </c>
      <c r="AI103" s="44"/>
      <c r="AJ103" s="44"/>
      <c r="AK103" s="44">
        <v>15</v>
      </c>
      <c r="AL103" s="44"/>
      <c r="AM103" s="44"/>
      <c r="AN103" s="44"/>
      <c r="AO103" s="44"/>
      <c r="AP103" s="46">
        <v>8</v>
      </c>
      <c r="AQ103" s="55" t="s">
        <v>1229</v>
      </c>
      <c r="AR103" s="43"/>
      <c r="AS103" s="44" t="s">
        <v>570</v>
      </c>
      <c r="AT103" s="46" t="s">
        <v>489</v>
      </c>
      <c r="AU103" s="44" t="s">
        <v>1198</v>
      </c>
      <c r="AV103" s="44"/>
      <c r="AW103" s="44"/>
      <c r="AX103" s="44"/>
      <c r="AY103" s="44"/>
      <c r="AZ103" s="44"/>
    </row>
    <row r="104" spans="1:70">
      <c r="E104" s="75"/>
      <c r="F104" s="76" t="s">
        <v>392</v>
      </c>
      <c r="G104" s="76" t="s">
        <v>540</v>
      </c>
      <c r="H104" s="76">
        <v>46</v>
      </c>
      <c r="I104" s="76"/>
      <c r="J104" s="76" t="s">
        <v>433</v>
      </c>
      <c r="K104" s="76" t="s">
        <v>434</v>
      </c>
      <c r="L104" s="76"/>
      <c r="M104" s="76" t="s">
        <v>91</v>
      </c>
      <c r="N104" s="76">
        <v>102</v>
      </c>
      <c r="O104" s="76" t="s">
        <v>556</v>
      </c>
      <c r="P104" s="50"/>
      <c r="T104" s="14"/>
      <c r="V104"/>
      <c r="W104"/>
      <c r="X104"/>
      <c r="Y104"/>
      <c r="AF104" s="419" t="s">
        <v>1832</v>
      </c>
      <c r="AG104" s="23" t="s">
        <v>1434</v>
      </c>
      <c r="AH104" s="44" t="s">
        <v>609</v>
      </c>
      <c r="AI104" s="46"/>
      <c r="AJ104" s="46"/>
      <c r="AK104" s="46">
        <v>15</v>
      </c>
      <c r="AL104" s="46"/>
      <c r="AM104" s="46"/>
      <c r="AN104" s="46"/>
      <c r="AO104" s="46"/>
      <c r="AP104" s="46">
        <v>9</v>
      </c>
      <c r="AQ104" s="49" t="s">
        <v>1229</v>
      </c>
      <c r="AR104" s="47"/>
      <c r="AS104" s="44" t="s">
        <v>570</v>
      </c>
      <c r="AT104" s="46" t="s">
        <v>489</v>
      </c>
      <c r="AU104" s="44" t="s">
        <v>1198</v>
      </c>
      <c r="AV104" s="44"/>
      <c r="AW104" s="44"/>
      <c r="AX104" s="44"/>
      <c r="AY104" s="44"/>
      <c r="AZ104" s="44"/>
    </row>
    <row r="105" spans="1:70">
      <c r="E105" s="75"/>
      <c r="F105" s="76" t="s">
        <v>393</v>
      </c>
      <c r="G105" s="76" t="s">
        <v>541</v>
      </c>
      <c r="H105" s="76">
        <v>66</v>
      </c>
      <c r="I105" s="76"/>
      <c r="J105" s="76" t="s">
        <v>433</v>
      </c>
      <c r="K105" s="76" t="s">
        <v>435</v>
      </c>
      <c r="L105" s="76"/>
      <c r="M105" s="76" t="s">
        <v>91</v>
      </c>
      <c r="N105" s="76">
        <v>103</v>
      </c>
      <c r="O105" s="76" t="s">
        <v>556</v>
      </c>
      <c r="P105" s="50"/>
      <c r="T105" s="14"/>
      <c r="V105"/>
      <c r="W105"/>
      <c r="X105"/>
      <c r="Y105"/>
      <c r="AF105" s="419" t="s">
        <v>1828</v>
      </c>
      <c r="AG105" s="23" t="s">
        <v>1434</v>
      </c>
      <c r="AH105" s="44" t="s">
        <v>597</v>
      </c>
      <c r="AI105" s="46"/>
      <c r="AJ105" s="46"/>
      <c r="AK105" s="46"/>
      <c r="AL105" s="46"/>
      <c r="AM105" s="46"/>
      <c r="AN105" s="46"/>
      <c r="AO105" s="46"/>
      <c r="AP105" s="46">
        <v>10</v>
      </c>
      <c r="AQ105" s="49"/>
      <c r="AR105" s="47"/>
      <c r="AS105" s="44" t="s">
        <v>570</v>
      </c>
      <c r="AT105" s="46" t="s">
        <v>489</v>
      </c>
      <c r="AU105" s="102" t="s">
        <v>651</v>
      </c>
      <c r="AV105" s="44"/>
      <c r="AW105" s="44"/>
      <c r="AX105" s="44"/>
      <c r="AY105" s="44"/>
      <c r="AZ105" s="44"/>
    </row>
    <row r="106" spans="1:70">
      <c r="E106" s="75"/>
      <c r="F106" s="76" t="s">
        <v>394</v>
      </c>
      <c r="G106" s="76" t="s">
        <v>542</v>
      </c>
      <c r="H106" s="76">
        <v>95</v>
      </c>
      <c r="I106" s="76"/>
      <c r="J106" s="76" t="s">
        <v>433</v>
      </c>
      <c r="K106" s="76" t="s">
        <v>436</v>
      </c>
      <c r="L106" s="76"/>
      <c r="M106" s="76" t="s">
        <v>91</v>
      </c>
      <c r="N106" s="76">
        <v>104</v>
      </c>
      <c r="O106" s="76" t="s">
        <v>556</v>
      </c>
      <c r="P106" s="50"/>
      <c r="R106" s="14"/>
      <c r="S106" s="14"/>
      <c r="T106" s="14"/>
      <c r="U106" s="14"/>
      <c r="AF106" s="419" t="s">
        <v>1833</v>
      </c>
      <c r="AG106" s="12" t="s">
        <v>1221</v>
      </c>
      <c r="AH106" s="46" t="s">
        <v>493</v>
      </c>
      <c r="AI106" s="46"/>
      <c r="AJ106" s="46"/>
      <c r="AK106" s="46">
        <v>15</v>
      </c>
      <c r="AL106" s="46"/>
      <c r="AM106" s="46"/>
      <c r="AN106" s="46"/>
      <c r="AO106" s="46"/>
      <c r="AP106" s="46">
        <v>11</v>
      </c>
      <c r="AQ106" s="49" t="s">
        <v>1229</v>
      </c>
      <c r="AR106" s="47"/>
      <c r="AS106" s="44" t="s">
        <v>84</v>
      </c>
      <c r="AT106" s="46" t="s">
        <v>489</v>
      </c>
      <c r="AU106" s="44" t="s">
        <v>1198</v>
      </c>
      <c r="AV106" s="44"/>
      <c r="AW106" s="44"/>
      <c r="AX106" s="44"/>
      <c r="AY106" s="44"/>
      <c r="AZ106" s="44"/>
    </row>
    <row r="107" spans="1:70">
      <c r="E107" s="75"/>
      <c r="F107" s="76" t="s">
        <v>395</v>
      </c>
      <c r="G107" s="76" t="s">
        <v>543</v>
      </c>
      <c r="H107" s="76">
        <v>138</v>
      </c>
      <c r="I107" s="76"/>
      <c r="J107" s="76" t="s">
        <v>433</v>
      </c>
      <c r="K107" s="76" t="s">
        <v>425</v>
      </c>
      <c r="L107" s="76"/>
      <c r="M107" s="76" t="s">
        <v>91</v>
      </c>
      <c r="N107" s="76">
        <v>105</v>
      </c>
      <c r="O107" s="76" t="s">
        <v>556</v>
      </c>
      <c r="P107" s="50"/>
      <c r="R107" s="14"/>
      <c r="S107" s="14"/>
      <c r="T107" s="14"/>
      <c r="U107" s="14"/>
      <c r="AF107" s="419" t="s">
        <v>1834</v>
      </c>
      <c r="AG107" s="12" t="s">
        <v>1221</v>
      </c>
      <c r="AH107" s="46" t="s">
        <v>492</v>
      </c>
      <c r="AI107" s="46"/>
      <c r="AJ107" s="46"/>
      <c r="AK107" s="46">
        <v>15</v>
      </c>
      <c r="AL107" s="46"/>
      <c r="AM107" s="46"/>
      <c r="AN107" s="46"/>
      <c r="AO107" s="46"/>
      <c r="AP107" s="46">
        <v>12</v>
      </c>
      <c r="AQ107" s="49" t="s">
        <v>96</v>
      </c>
      <c r="AR107" s="47"/>
      <c r="AS107" s="44" t="s">
        <v>84</v>
      </c>
      <c r="AT107" s="46" t="s">
        <v>489</v>
      </c>
      <c r="AU107" s="44" t="s">
        <v>1198</v>
      </c>
      <c r="AV107" s="44"/>
      <c r="AW107" s="44"/>
      <c r="AX107" s="44"/>
      <c r="AY107" s="44"/>
      <c r="AZ107" s="44"/>
    </row>
    <row r="108" spans="1:70">
      <c r="E108" s="75"/>
      <c r="F108" s="76" t="s">
        <v>396</v>
      </c>
      <c r="G108" s="76" t="s">
        <v>544</v>
      </c>
      <c r="H108" s="76">
        <v>188</v>
      </c>
      <c r="I108" s="76"/>
      <c r="J108" s="76" t="s">
        <v>433</v>
      </c>
      <c r="K108" s="76" t="s">
        <v>437</v>
      </c>
      <c r="L108" s="76"/>
      <c r="M108" s="76" t="s">
        <v>91</v>
      </c>
      <c r="N108" s="76">
        <v>106</v>
      </c>
      <c r="O108" s="76" t="s">
        <v>556</v>
      </c>
      <c r="P108" s="50"/>
      <c r="R108" s="14"/>
      <c r="S108" s="14"/>
      <c r="T108" s="14"/>
      <c r="U108" s="14"/>
      <c r="AF108" s="419" t="s">
        <v>1835</v>
      </c>
      <c r="AG108" s="12" t="s">
        <v>1221</v>
      </c>
      <c r="AH108" s="44" t="s">
        <v>617</v>
      </c>
      <c r="AI108" s="46"/>
      <c r="AJ108" s="46"/>
      <c r="AK108" s="46">
        <v>15</v>
      </c>
      <c r="AL108" s="46"/>
      <c r="AM108" s="46"/>
      <c r="AN108" s="46"/>
      <c r="AO108" s="46"/>
      <c r="AP108" s="46">
        <v>13</v>
      </c>
      <c r="AQ108" s="49" t="s">
        <v>1229</v>
      </c>
      <c r="AR108" s="47"/>
      <c r="AS108" s="44" t="s">
        <v>84</v>
      </c>
      <c r="AT108" s="46" t="s">
        <v>489</v>
      </c>
      <c r="AU108" s="44" t="s">
        <v>1198</v>
      </c>
      <c r="AV108" s="44"/>
      <c r="AW108" s="44"/>
      <c r="AX108" s="44"/>
      <c r="AY108" s="44"/>
      <c r="AZ108" s="44"/>
    </row>
    <row r="109" spans="1:70">
      <c r="E109" s="75"/>
      <c r="F109" s="76" t="s">
        <v>397</v>
      </c>
      <c r="G109" s="76" t="s">
        <v>545</v>
      </c>
      <c r="H109" s="76">
        <v>250</v>
      </c>
      <c r="I109" s="76"/>
      <c r="J109" s="76" t="s">
        <v>433</v>
      </c>
      <c r="K109" s="76" t="s">
        <v>431</v>
      </c>
      <c r="L109" s="76"/>
      <c r="M109" s="76" t="s">
        <v>91</v>
      </c>
      <c r="N109" s="76">
        <v>107</v>
      </c>
      <c r="O109" s="76" t="s">
        <v>556</v>
      </c>
      <c r="P109" s="50"/>
      <c r="T109" s="14"/>
      <c r="V109"/>
      <c r="W109"/>
      <c r="X109"/>
      <c r="Y109"/>
      <c r="AF109" s="419" t="s">
        <v>1836</v>
      </c>
      <c r="AG109" s="12" t="s">
        <v>1221</v>
      </c>
      <c r="AH109" s="44" t="s">
        <v>619</v>
      </c>
      <c r="AI109" s="46"/>
      <c r="AJ109" s="46"/>
      <c r="AK109" s="46">
        <v>15</v>
      </c>
      <c r="AL109" s="46"/>
      <c r="AM109" s="46"/>
      <c r="AN109" s="46"/>
      <c r="AO109" s="46"/>
      <c r="AP109" s="46">
        <v>14</v>
      </c>
      <c r="AQ109" s="49" t="s">
        <v>1229</v>
      </c>
      <c r="AR109" s="47"/>
      <c r="AS109" s="44" t="s">
        <v>84</v>
      </c>
      <c r="AT109" s="46" t="s">
        <v>489</v>
      </c>
      <c r="AU109" s="44" t="s">
        <v>1198</v>
      </c>
      <c r="AV109" s="44"/>
      <c r="AW109" s="44"/>
      <c r="AX109" s="44"/>
      <c r="AY109" s="44"/>
      <c r="AZ109" s="44"/>
    </row>
    <row r="110" spans="1:70">
      <c r="E110" s="75"/>
      <c r="F110" s="76" t="s">
        <v>398</v>
      </c>
      <c r="G110" s="76" t="s">
        <v>546</v>
      </c>
      <c r="H110" s="76">
        <v>295</v>
      </c>
      <c r="I110" s="76"/>
      <c r="J110" s="76" t="s">
        <v>433</v>
      </c>
      <c r="K110" s="76" t="s">
        <v>427</v>
      </c>
      <c r="L110" s="76"/>
      <c r="M110" s="76" t="s">
        <v>91</v>
      </c>
      <c r="N110" s="76">
        <v>108</v>
      </c>
      <c r="O110" s="76" t="s">
        <v>556</v>
      </c>
      <c r="P110" s="50"/>
      <c r="T110" s="14"/>
      <c r="V110"/>
      <c r="W110"/>
      <c r="X110"/>
      <c r="Y110"/>
      <c r="AF110" s="419" t="s">
        <v>2061</v>
      </c>
      <c r="AG110" s="12" t="s">
        <v>1221</v>
      </c>
      <c r="AH110" s="44" t="s">
        <v>2038</v>
      </c>
      <c r="AI110" s="46"/>
      <c r="AJ110" s="46"/>
      <c r="AK110" s="46">
        <v>15</v>
      </c>
      <c r="AL110" s="46"/>
      <c r="AM110" s="46"/>
      <c r="AN110" s="46"/>
      <c r="AO110" s="46"/>
      <c r="AP110" s="46">
        <v>15</v>
      </c>
      <c r="AQ110" s="49" t="s">
        <v>1229</v>
      </c>
      <c r="AR110" s="47"/>
      <c r="AS110" s="44" t="s">
        <v>84</v>
      </c>
      <c r="AT110" s="46" t="s">
        <v>489</v>
      </c>
      <c r="AU110" s="44" t="s">
        <v>1198</v>
      </c>
      <c r="AV110" s="44"/>
      <c r="AW110" s="44"/>
      <c r="AX110" s="44"/>
      <c r="AY110" s="44"/>
      <c r="AZ110" s="44"/>
    </row>
    <row r="111" spans="1:70">
      <c r="E111" s="75"/>
      <c r="F111" s="76" t="s">
        <v>399</v>
      </c>
      <c r="G111" s="76" t="s">
        <v>547</v>
      </c>
      <c r="H111" s="76">
        <v>465</v>
      </c>
      <c r="I111" s="76"/>
      <c r="J111" s="76" t="s">
        <v>433</v>
      </c>
      <c r="K111" s="76" t="s">
        <v>428</v>
      </c>
      <c r="L111" s="76"/>
      <c r="M111" s="76" t="s">
        <v>91</v>
      </c>
      <c r="N111" s="76">
        <v>109</v>
      </c>
      <c r="O111" s="76" t="s">
        <v>556</v>
      </c>
      <c r="P111" s="44"/>
      <c r="T111" s="14"/>
      <c r="V111"/>
      <c r="W111"/>
      <c r="X111"/>
      <c r="Y111"/>
      <c r="AF111" s="419" t="s">
        <v>1838</v>
      </c>
      <c r="AG111" s="12" t="s">
        <v>1221</v>
      </c>
      <c r="AH111" s="46" t="s">
        <v>507</v>
      </c>
      <c r="AI111" s="46"/>
      <c r="AJ111" s="46"/>
      <c r="AK111" s="46">
        <v>15</v>
      </c>
      <c r="AL111" s="46"/>
      <c r="AM111" s="46"/>
      <c r="AN111" s="46"/>
      <c r="AO111" s="46"/>
      <c r="AP111" s="46">
        <v>16</v>
      </c>
      <c r="AQ111" s="49" t="s">
        <v>2138</v>
      </c>
      <c r="AR111" s="47"/>
      <c r="AS111" s="44" t="s">
        <v>84</v>
      </c>
      <c r="AT111" s="46" t="s">
        <v>489</v>
      </c>
      <c r="AU111" s="44" t="s">
        <v>1198</v>
      </c>
      <c r="AV111" s="44"/>
      <c r="AW111" s="44"/>
      <c r="AX111" s="44"/>
      <c r="AY111" s="44"/>
      <c r="AZ111" s="44"/>
    </row>
    <row r="112" spans="1:70">
      <c r="E112" s="75"/>
      <c r="F112" s="76" t="s">
        <v>400</v>
      </c>
      <c r="G112" s="76" t="s">
        <v>548</v>
      </c>
      <c r="H112" s="76">
        <v>1100</v>
      </c>
      <c r="I112" s="76"/>
      <c r="J112" s="76" t="s">
        <v>433</v>
      </c>
      <c r="K112" s="76" t="s">
        <v>429</v>
      </c>
      <c r="L112" s="76"/>
      <c r="M112" s="76" t="s">
        <v>91</v>
      </c>
      <c r="N112" s="76">
        <v>110</v>
      </c>
      <c r="O112" s="76" t="s">
        <v>556</v>
      </c>
      <c r="P112" s="44"/>
      <c r="T112" s="14"/>
      <c r="V112"/>
      <c r="W112"/>
      <c r="X112"/>
      <c r="Y112"/>
      <c r="AF112" s="419" t="s">
        <v>1839</v>
      </c>
      <c r="AG112" s="12" t="s">
        <v>1221</v>
      </c>
      <c r="AH112" s="46" t="s">
        <v>490</v>
      </c>
      <c r="AI112" s="46"/>
      <c r="AJ112" s="46"/>
      <c r="AK112" s="46">
        <v>10</v>
      </c>
      <c r="AL112" s="46"/>
      <c r="AM112" s="46"/>
      <c r="AN112" s="46"/>
      <c r="AO112" s="46"/>
      <c r="AP112" s="46">
        <v>17</v>
      </c>
      <c r="AQ112" s="49" t="s">
        <v>1229</v>
      </c>
      <c r="AR112" s="47"/>
      <c r="AS112" s="44" t="s">
        <v>84</v>
      </c>
      <c r="AT112" s="46" t="s">
        <v>489</v>
      </c>
      <c r="AU112" s="44" t="s">
        <v>1198</v>
      </c>
      <c r="AV112" s="44"/>
      <c r="AW112" s="44"/>
      <c r="AX112" s="44"/>
      <c r="AY112" s="44"/>
      <c r="AZ112" s="44"/>
      <c r="BB112" s="14"/>
      <c r="BC112" s="14"/>
      <c r="BD112" s="14"/>
      <c r="BE112" s="14"/>
      <c r="BF112" s="14"/>
      <c r="BG112" s="14"/>
      <c r="BH112" s="14"/>
      <c r="BI112" s="14"/>
      <c r="BJ112" s="14"/>
      <c r="BK112" s="14"/>
      <c r="BL112" s="14"/>
      <c r="BM112" s="14"/>
      <c r="BN112" s="14"/>
      <c r="BO112" s="14"/>
      <c r="BP112" s="14"/>
      <c r="BQ112" s="14"/>
      <c r="BR112" s="14"/>
    </row>
    <row r="113" spans="1:70" s="14" customFormat="1">
      <c r="A113" s="180"/>
      <c r="E113" s="75"/>
      <c r="F113" s="76" t="s">
        <v>671</v>
      </c>
      <c r="G113" s="76"/>
      <c r="H113" s="76" t="s">
        <v>508</v>
      </c>
      <c r="I113" s="76"/>
      <c r="J113" s="76"/>
      <c r="K113" s="76"/>
      <c r="L113" s="76"/>
      <c r="M113" s="76" t="s">
        <v>91</v>
      </c>
      <c r="N113" s="76">
        <v>111</v>
      </c>
      <c r="O113" s="76"/>
      <c r="P113" s="44"/>
      <c r="Q113" s="23"/>
      <c r="R113"/>
      <c r="S113"/>
      <c r="U113"/>
      <c r="V113"/>
      <c r="W113"/>
      <c r="X113"/>
      <c r="Y113"/>
      <c r="Z113" s="180"/>
      <c r="AD113" s="180"/>
      <c r="AF113" s="419" t="s">
        <v>1840</v>
      </c>
      <c r="AG113" s="12" t="s">
        <v>1221</v>
      </c>
      <c r="AH113" s="44" t="s">
        <v>676</v>
      </c>
      <c r="AI113" s="44"/>
      <c r="AJ113" s="44"/>
      <c r="AK113" s="44">
        <v>15</v>
      </c>
      <c r="AL113" s="44"/>
      <c r="AM113" s="44"/>
      <c r="AN113" s="44"/>
      <c r="AO113" s="44"/>
      <c r="AP113" s="46">
        <v>18</v>
      </c>
      <c r="AQ113" s="55" t="s">
        <v>1229</v>
      </c>
      <c r="AR113" s="43"/>
      <c r="AS113" s="44" t="s">
        <v>84</v>
      </c>
      <c r="AT113" s="46" t="s">
        <v>489</v>
      </c>
      <c r="AU113" s="44" t="s">
        <v>1198</v>
      </c>
      <c r="AV113" s="44"/>
      <c r="AW113" s="44"/>
      <c r="AX113" s="44"/>
      <c r="AY113" s="44"/>
      <c r="AZ113" s="44"/>
      <c r="BB113"/>
      <c r="BC113"/>
      <c r="BD113"/>
      <c r="BE113"/>
      <c r="BF113"/>
      <c r="BG113"/>
      <c r="BH113"/>
      <c r="BI113"/>
      <c r="BJ113"/>
      <c r="BK113"/>
      <c r="BL113"/>
      <c r="BM113"/>
      <c r="BN113"/>
      <c r="BO113"/>
      <c r="BP113"/>
      <c r="BQ113"/>
      <c r="BR113"/>
    </row>
    <row r="114" spans="1:70">
      <c r="E114" s="75"/>
      <c r="F114" s="76" t="s">
        <v>401</v>
      </c>
      <c r="G114" s="76" t="s">
        <v>533</v>
      </c>
      <c r="H114" s="76">
        <v>50</v>
      </c>
      <c r="I114" s="76"/>
      <c r="J114" s="76" t="s">
        <v>438</v>
      </c>
      <c r="K114" s="76" t="s">
        <v>439</v>
      </c>
      <c r="L114" s="76"/>
      <c r="M114" s="76" t="s">
        <v>91</v>
      </c>
      <c r="N114" s="76">
        <v>112</v>
      </c>
      <c r="O114" s="76" t="s">
        <v>556</v>
      </c>
      <c r="P114" s="44"/>
      <c r="T114" s="14"/>
      <c r="V114"/>
      <c r="W114"/>
      <c r="X114"/>
      <c r="Y114"/>
      <c r="AF114" s="419" t="s">
        <v>1841</v>
      </c>
      <c r="AG114" s="12" t="s">
        <v>1221</v>
      </c>
      <c r="AH114" s="46" t="s">
        <v>491</v>
      </c>
      <c r="AI114" s="46"/>
      <c r="AJ114" s="46"/>
      <c r="AK114" s="46">
        <v>15</v>
      </c>
      <c r="AL114" s="46"/>
      <c r="AM114" s="46"/>
      <c r="AN114" s="46"/>
      <c r="AO114" s="46"/>
      <c r="AP114" s="46">
        <v>19</v>
      </c>
      <c r="AQ114" s="49" t="s">
        <v>1229</v>
      </c>
      <c r="AR114" s="47"/>
      <c r="AS114" s="44" t="s">
        <v>84</v>
      </c>
      <c r="AT114" s="46" t="s">
        <v>489</v>
      </c>
      <c r="AU114" s="44" t="s">
        <v>1198</v>
      </c>
      <c r="AV114" s="44"/>
      <c r="AW114" s="44"/>
      <c r="AX114" s="44"/>
      <c r="AY114" s="44"/>
      <c r="AZ114" s="44"/>
    </row>
    <row r="115" spans="1:70">
      <c r="E115" s="75"/>
      <c r="F115" s="76" t="s">
        <v>402</v>
      </c>
      <c r="G115" s="76" t="s">
        <v>534</v>
      </c>
      <c r="H115" s="76">
        <v>74</v>
      </c>
      <c r="I115" s="76"/>
      <c r="J115" s="76" t="s">
        <v>438</v>
      </c>
      <c r="K115" s="76" t="s">
        <v>435</v>
      </c>
      <c r="L115" s="76"/>
      <c r="M115" s="76" t="s">
        <v>91</v>
      </c>
      <c r="N115" s="76">
        <v>113</v>
      </c>
      <c r="O115" s="76" t="s">
        <v>556</v>
      </c>
      <c r="P115" s="44"/>
      <c r="T115" s="14"/>
      <c r="V115"/>
      <c r="W115"/>
      <c r="X115"/>
      <c r="Y115"/>
      <c r="AF115" s="419" t="s">
        <v>1837</v>
      </c>
      <c r="AG115" s="12" t="s">
        <v>1221</v>
      </c>
      <c r="AH115" s="44" t="s">
        <v>596</v>
      </c>
      <c r="AI115" s="46"/>
      <c r="AJ115" s="46"/>
      <c r="AK115" s="46"/>
      <c r="AL115" s="46"/>
      <c r="AM115" s="46"/>
      <c r="AN115" s="46"/>
      <c r="AO115" s="46"/>
      <c r="AP115" s="46">
        <v>20</v>
      </c>
      <c r="AQ115" s="49"/>
      <c r="AR115" s="43"/>
      <c r="AS115" s="44" t="s">
        <v>84</v>
      </c>
      <c r="AT115" s="46" t="s">
        <v>489</v>
      </c>
      <c r="AU115" s="102" t="s">
        <v>651</v>
      </c>
      <c r="AV115" s="44"/>
      <c r="AW115" s="44"/>
      <c r="AX115" s="44"/>
      <c r="AY115" s="44"/>
      <c r="AZ115" s="44"/>
      <c r="BB115" s="14"/>
      <c r="BC115" s="14"/>
      <c r="BD115" s="14"/>
      <c r="BE115" s="14"/>
      <c r="BF115" s="14"/>
      <c r="BG115" s="14"/>
      <c r="BH115" s="14"/>
      <c r="BI115" s="14"/>
      <c r="BJ115" s="14"/>
      <c r="BK115" s="14"/>
      <c r="BL115" s="14"/>
      <c r="BM115" s="14"/>
      <c r="BN115" s="14"/>
      <c r="BO115" s="14"/>
      <c r="BP115" s="14"/>
      <c r="BQ115" s="14"/>
      <c r="BR115" s="14"/>
    </row>
    <row r="116" spans="1:70" s="14" customFormat="1">
      <c r="A116" s="180"/>
      <c r="E116" s="75"/>
      <c r="F116" s="76" t="s">
        <v>403</v>
      </c>
      <c r="G116" s="76" t="s">
        <v>535</v>
      </c>
      <c r="H116" s="76">
        <v>93</v>
      </c>
      <c r="I116" s="76"/>
      <c r="J116" s="76" t="s">
        <v>438</v>
      </c>
      <c r="K116" s="76" t="s">
        <v>440</v>
      </c>
      <c r="L116" s="76"/>
      <c r="M116" s="76" t="s">
        <v>91</v>
      </c>
      <c r="N116" s="76">
        <v>114</v>
      </c>
      <c r="O116" s="76" t="s">
        <v>556</v>
      </c>
      <c r="Q116" s="23"/>
      <c r="Z116" s="180"/>
      <c r="AD116" s="180"/>
      <c r="AF116" s="47"/>
      <c r="AG116" s="46"/>
      <c r="AH116" s="46"/>
      <c r="AI116" s="46"/>
      <c r="AJ116" s="46"/>
      <c r="AK116" s="46"/>
      <c r="AL116" s="46"/>
      <c r="AM116" s="46"/>
      <c r="AN116" s="46"/>
      <c r="AO116" s="46"/>
      <c r="AP116" s="46"/>
      <c r="AQ116" s="49"/>
      <c r="AR116" s="46"/>
      <c r="AS116" s="46"/>
      <c r="AT116"/>
      <c r="AU116"/>
      <c r="AV116" s="44"/>
    </row>
    <row r="117" spans="1:70" s="14" customFormat="1">
      <c r="A117" s="180"/>
      <c r="E117" s="75"/>
      <c r="F117" s="76" t="s">
        <v>404</v>
      </c>
      <c r="G117" s="76" t="s">
        <v>536</v>
      </c>
      <c r="H117" s="76">
        <v>125</v>
      </c>
      <c r="I117" s="76"/>
      <c r="J117" s="76" t="s">
        <v>438</v>
      </c>
      <c r="K117" s="76" t="s">
        <v>425</v>
      </c>
      <c r="L117" s="76"/>
      <c r="M117" s="76" t="s">
        <v>91</v>
      </c>
      <c r="N117" s="76">
        <v>115</v>
      </c>
      <c r="O117" s="76" t="s">
        <v>556</v>
      </c>
      <c r="P117"/>
      <c r="Q117" s="23"/>
      <c r="Z117" s="180"/>
      <c r="AD117" s="180"/>
      <c r="AF117" s="47" t="s">
        <v>85</v>
      </c>
      <c r="AG117" s="47" t="s">
        <v>580</v>
      </c>
      <c r="AH117" s="46" t="s">
        <v>497</v>
      </c>
      <c r="AI117" s="46" t="s">
        <v>498</v>
      </c>
      <c r="AJ117" s="44" t="s">
        <v>591</v>
      </c>
      <c r="AK117" s="46" t="s">
        <v>88</v>
      </c>
      <c r="AL117" s="46" t="s">
        <v>86</v>
      </c>
      <c r="AM117" s="46" t="s">
        <v>342</v>
      </c>
      <c r="AN117" s="46" t="s">
        <v>343</v>
      </c>
      <c r="AO117" s="46" t="s">
        <v>468</v>
      </c>
      <c r="AP117" s="44" t="s">
        <v>347</v>
      </c>
      <c r="AQ117" s="49" t="s">
        <v>467</v>
      </c>
      <c r="AR117" s="46" t="s">
        <v>333</v>
      </c>
      <c r="AS117" s="44" t="s">
        <v>624</v>
      </c>
      <c r="AT117" s="46" t="s">
        <v>466</v>
      </c>
      <c r="AU117" s="102" t="s">
        <v>1195</v>
      </c>
      <c r="AV117" s="44" t="s">
        <v>2401</v>
      </c>
      <c r="AW117" s="44" t="s">
        <v>1351</v>
      </c>
      <c r="AX117" s="44" t="s">
        <v>2409</v>
      </c>
      <c r="AY117" s="44" t="s">
        <v>2410</v>
      </c>
      <c r="AZ117" s="44" t="s">
        <v>2411</v>
      </c>
    </row>
    <row r="118" spans="1:70" s="14" customFormat="1">
      <c r="A118" s="180"/>
      <c r="E118" s="75"/>
      <c r="F118" s="76" t="s">
        <v>405</v>
      </c>
      <c r="G118" s="76" t="s">
        <v>537</v>
      </c>
      <c r="H118" s="76">
        <v>205</v>
      </c>
      <c r="I118" s="76"/>
      <c r="J118" s="76" t="s">
        <v>438</v>
      </c>
      <c r="K118" s="76" t="s">
        <v>426</v>
      </c>
      <c r="L118" s="76"/>
      <c r="M118" s="76" t="s">
        <v>91</v>
      </c>
      <c r="N118" s="76">
        <v>116</v>
      </c>
      <c r="O118" s="76" t="s">
        <v>556</v>
      </c>
      <c r="P118"/>
      <c r="Q118" s="23"/>
      <c r="Z118" s="180"/>
      <c r="AD118" s="180"/>
      <c r="AF118" s="419" t="s">
        <v>1842</v>
      </c>
      <c r="AG118" s="23" t="s">
        <v>1434</v>
      </c>
      <c r="AH118" s="44" t="s">
        <v>614</v>
      </c>
      <c r="AI118" s="46"/>
      <c r="AJ118" s="46"/>
      <c r="AK118" s="46">
        <v>12</v>
      </c>
      <c r="AL118" s="46"/>
      <c r="AM118" s="46"/>
      <c r="AN118" s="46"/>
      <c r="AO118" s="46"/>
      <c r="AP118" s="46">
        <v>1</v>
      </c>
      <c r="AQ118" s="49" t="s">
        <v>96</v>
      </c>
      <c r="AR118" s="47"/>
      <c r="AS118" s="44" t="s">
        <v>570</v>
      </c>
      <c r="AT118" s="46" t="s">
        <v>96</v>
      </c>
      <c r="AU118" s="44" t="s">
        <v>1199</v>
      </c>
      <c r="AV118" s="44"/>
      <c r="AW118" s="44"/>
      <c r="AX118" s="44"/>
      <c r="AY118" s="44"/>
      <c r="AZ118" s="44"/>
    </row>
    <row r="119" spans="1:70" s="14" customFormat="1">
      <c r="A119" s="180"/>
      <c r="E119" s="75"/>
      <c r="F119" s="76" t="s">
        <v>406</v>
      </c>
      <c r="G119" s="76" t="s">
        <v>538</v>
      </c>
      <c r="H119" s="76">
        <v>290</v>
      </c>
      <c r="I119" s="76"/>
      <c r="J119" s="76" t="s">
        <v>438</v>
      </c>
      <c r="K119" s="76" t="s">
        <v>427</v>
      </c>
      <c r="L119" s="76"/>
      <c r="M119" s="76" t="s">
        <v>91</v>
      </c>
      <c r="N119" s="76">
        <v>117</v>
      </c>
      <c r="O119" s="76" t="s">
        <v>556</v>
      </c>
      <c r="P119"/>
      <c r="Q119" s="23"/>
      <c r="R119"/>
      <c r="S119"/>
      <c r="U119"/>
      <c r="V119"/>
      <c r="W119"/>
      <c r="X119"/>
      <c r="Y119"/>
      <c r="Z119" s="180"/>
      <c r="AD119" s="180"/>
      <c r="AF119" s="419" t="s">
        <v>1843</v>
      </c>
      <c r="AG119" s="23" t="s">
        <v>1434</v>
      </c>
      <c r="AH119" s="44" t="s">
        <v>613</v>
      </c>
      <c r="AI119" s="46"/>
      <c r="AJ119" s="46"/>
      <c r="AK119" s="46">
        <v>12</v>
      </c>
      <c r="AL119" s="46"/>
      <c r="AM119" s="46"/>
      <c r="AN119" s="46"/>
      <c r="AO119" s="46"/>
      <c r="AP119" s="46">
        <v>2</v>
      </c>
      <c r="AQ119" s="49" t="s">
        <v>96</v>
      </c>
      <c r="AR119" s="47"/>
      <c r="AS119" s="44" t="s">
        <v>570</v>
      </c>
      <c r="AT119" s="46" t="s">
        <v>96</v>
      </c>
      <c r="AU119" s="44" t="s">
        <v>1199</v>
      </c>
      <c r="AV119" s="44"/>
      <c r="AW119" s="44"/>
      <c r="AX119" s="44"/>
      <c r="AY119" s="44"/>
      <c r="AZ119" s="44"/>
    </row>
    <row r="120" spans="1:70" s="14" customFormat="1">
      <c r="A120" s="180"/>
      <c r="E120" s="75"/>
      <c r="F120" s="76" t="s">
        <v>407</v>
      </c>
      <c r="G120" s="76" t="s">
        <v>539</v>
      </c>
      <c r="H120" s="76">
        <v>455</v>
      </c>
      <c r="I120" s="76"/>
      <c r="J120" s="76" t="s">
        <v>438</v>
      </c>
      <c r="K120" s="76" t="s">
        <v>428</v>
      </c>
      <c r="L120" s="76"/>
      <c r="M120" s="76" t="s">
        <v>91</v>
      </c>
      <c r="N120" s="76">
        <v>118</v>
      </c>
      <c r="O120" s="76" t="s">
        <v>556</v>
      </c>
      <c r="P120"/>
      <c r="Q120" s="23"/>
      <c r="R120"/>
      <c r="S120"/>
      <c r="U120"/>
      <c r="V120"/>
      <c r="W120"/>
      <c r="X120"/>
      <c r="Y120"/>
      <c r="Z120" s="180"/>
      <c r="AD120" s="180"/>
      <c r="AF120" s="419" t="s">
        <v>1846</v>
      </c>
      <c r="AG120" s="23" t="s">
        <v>1434</v>
      </c>
      <c r="AH120" s="44" t="s">
        <v>616</v>
      </c>
      <c r="AI120" s="46"/>
      <c r="AJ120" s="46"/>
      <c r="AK120" s="46">
        <v>12</v>
      </c>
      <c r="AL120" s="46"/>
      <c r="AM120" s="46"/>
      <c r="AN120" s="46"/>
      <c r="AO120" s="46"/>
      <c r="AP120" s="46">
        <v>3</v>
      </c>
      <c r="AQ120" s="49" t="s">
        <v>96</v>
      </c>
      <c r="AR120" s="47"/>
      <c r="AS120" s="44" t="s">
        <v>570</v>
      </c>
      <c r="AT120" s="46" t="s">
        <v>96</v>
      </c>
      <c r="AU120" s="102" t="s">
        <v>1197</v>
      </c>
      <c r="AV120" s="44"/>
      <c r="AW120" s="44"/>
      <c r="AX120" s="44"/>
      <c r="AY120" s="44"/>
      <c r="AZ120" s="44"/>
      <c r="BB120"/>
      <c r="BC120"/>
      <c r="BD120"/>
      <c r="BE120"/>
      <c r="BF120"/>
      <c r="BG120"/>
      <c r="BH120"/>
      <c r="BI120"/>
      <c r="BJ120"/>
      <c r="BK120"/>
      <c r="BL120"/>
      <c r="BM120"/>
      <c r="BN120"/>
      <c r="BO120"/>
      <c r="BP120"/>
      <c r="BQ120"/>
      <c r="BR120"/>
    </row>
    <row r="121" spans="1:70">
      <c r="E121" s="75"/>
      <c r="F121" s="76" t="s">
        <v>715</v>
      </c>
      <c r="G121" s="76" t="s">
        <v>750</v>
      </c>
      <c r="H121" s="76">
        <v>1075</v>
      </c>
      <c r="I121" s="76"/>
      <c r="J121" s="76" t="s">
        <v>438</v>
      </c>
      <c r="K121" s="76" t="s">
        <v>429</v>
      </c>
      <c r="L121" s="76"/>
      <c r="M121" s="76" t="s">
        <v>91</v>
      </c>
      <c r="N121" s="76">
        <v>119</v>
      </c>
      <c r="O121" s="76" t="s">
        <v>557</v>
      </c>
      <c r="T121" s="14"/>
      <c r="V121"/>
      <c r="W121"/>
      <c r="X121"/>
      <c r="Y121"/>
      <c r="AF121" s="419" t="s">
        <v>1848</v>
      </c>
      <c r="AG121" s="23" t="s">
        <v>1434</v>
      </c>
      <c r="AH121" s="44" t="s">
        <v>615</v>
      </c>
      <c r="AI121" s="46"/>
      <c r="AJ121" s="46"/>
      <c r="AK121" s="46">
        <v>12</v>
      </c>
      <c r="AL121" s="46"/>
      <c r="AM121" s="46"/>
      <c r="AN121" s="46"/>
      <c r="AO121" s="46"/>
      <c r="AP121" s="46">
        <v>4</v>
      </c>
      <c r="AQ121" s="49" t="s">
        <v>96</v>
      </c>
      <c r="AR121" s="47"/>
      <c r="AS121" s="44" t="s">
        <v>570</v>
      </c>
      <c r="AT121" s="46" t="s">
        <v>96</v>
      </c>
      <c r="AU121" s="102" t="s">
        <v>1197</v>
      </c>
      <c r="AV121" s="44"/>
      <c r="AW121" s="44"/>
      <c r="AX121" s="44"/>
      <c r="AY121" s="44"/>
      <c r="AZ121" s="44"/>
    </row>
    <row r="122" spans="1:70">
      <c r="E122" s="47"/>
      <c r="F122" s="44" t="s">
        <v>671</v>
      </c>
      <c r="G122" s="46"/>
      <c r="H122" s="46" t="s">
        <v>508</v>
      </c>
      <c r="I122" s="46"/>
      <c r="J122" s="46"/>
      <c r="K122" s="46"/>
      <c r="L122" s="46"/>
      <c r="M122" s="46"/>
      <c r="N122" s="76">
        <v>120</v>
      </c>
      <c r="O122" s="46"/>
      <c r="T122" s="14"/>
      <c r="V122"/>
      <c r="W122"/>
      <c r="X122"/>
      <c r="Y122"/>
      <c r="AF122" s="419" t="s">
        <v>1844</v>
      </c>
      <c r="AG122" s="23" t="s">
        <v>1434</v>
      </c>
      <c r="AH122" s="44" t="s">
        <v>687</v>
      </c>
      <c r="AI122" s="46"/>
      <c r="AJ122" s="46"/>
      <c r="AK122" s="46">
        <v>15</v>
      </c>
      <c r="AL122" s="46"/>
      <c r="AM122" s="46"/>
      <c r="AN122" s="46"/>
      <c r="AO122" s="46"/>
      <c r="AP122" s="46">
        <v>5</v>
      </c>
      <c r="AQ122" s="49" t="s">
        <v>96</v>
      </c>
      <c r="AR122" s="47"/>
      <c r="AS122" s="44" t="s">
        <v>570</v>
      </c>
      <c r="AT122" s="46" t="s">
        <v>96</v>
      </c>
      <c r="AU122" s="44" t="s">
        <v>1198</v>
      </c>
      <c r="AV122" s="44"/>
      <c r="AW122" s="44"/>
      <c r="AX122" s="44"/>
      <c r="AY122" s="44"/>
      <c r="AZ122" s="44"/>
    </row>
    <row r="123" spans="1:70">
      <c r="E123" s="47"/>
      <c r="F123" s="44" t="s">
        <v>1458</v>
      </c>
      <c r="G123" s="46"/>
      <c r="H123" s="46" t="str">
        <f>""</f>
        <v/>
      </c>
      <c r="I123" s="46"/>
      <c r="J123" s="46" t="s">
        <v>575</v>
      </c>
      <c r="K123" s="46"/>
      <c r="L123" s="46"/>
      <c r="M123" s="46" t="s">
        <v>91</v>
      </c>
      <c r="N123" s="76">
        <v>121</v>
      </c>
      <c r="O123" s="46"/>
      <c r="T123" s="14"/>
      <c r="V123"/>
      <c r="W123"/>
      <c r="X123"/>
      <c r="Y123"/>
      <c r="AF123" s="419" t="s">
        <v>1847</v>
      </c>
      <c r="AG123" s="23" t="s">
        <v>1434</v>
      </c>
      <c r="AH123" s="44" t="s">
        <v>597</v>
      </c>
      <c r="AI123" s="46"/>
      <c r="AJ123" s="46"/>
      <c r="AK123" s="46"/>
      <c r="AL123" s="46"/>
      <c r="AM123" s="46"/>
      <c r="AN123" s="46"/>
      <c r="AO123" s="46"/>
      <c r="AP123" s="46">
        <v>6</v>
      </c>
      <c r="AQ123" s="49"/>
      <c r="AR123" s="47"/>
      <c r="AS123" s="44" t="s">
        <v>570</v>
      </c>
      <c r="AT123" s="46" t="s">
        <v>96</v>
      </c>
      <c r="AU123" s="102" t="s">
        <v>651</v>
      </c>
      <c r="AV123" s="44"/>
      <c r="AW123" s="44"/>
      <c r="AX123" s="44"/>
      <c r="AY123" s="44"/>
      <c r="AZ123" s="44"/>
    </row>
    <row r="124" spans="1:70">
      <c r="E124" s="47"/>
      <c r="F124" s="44" t="s">
        <v>1459</v>
      </c>
      <c r="G124" s="46"/>
      <c r="H124" s="46" t="str">
        <f>""</f>
        <v/>
      </c>
      <c r="I124" s="46"/>
      <c r="J124" s="46" t="s">
        <v>576</v>
      </c>
      <c r="K124" s="46"/>
      <c r="L124" s="46"/>
      <c r="M124" s="46" t="s">
        <v>91</v>
      </c>
      <c r="N124" s="76">
        <v>122</v>
      </c>
      <c r="O124" s="46"/>
      <c r="R124" s="14"/>
      <c r="S124" s="14"/>
      <c r="T124" s="14"/>
      <c r="U124" s="14"/>
      <c r="AF124" s="419" t="s">
        <v>1849</v>
      </c>
      <c r="AG124" s="12" t="s">
        <v>1221</v>
      </c>
      <c r="AH124" s="46" t="s">
        <v>504</v>
      </c>
      <c r="AI124" s="46"/>
      <c r="AJ124" s="46"/>
      <c r="AK124" s="46">
        <v>12</v>
      </c>
      <c r="AL124" s="46"/>
      <c r="AM124" s="46"/>
      <c r="AN124" s="46"/>
      <c r="AO124" s="46"/>
      <c r="AP124" s="46">
        <v>7</v>
      </c>
      <c r="AQ124" s="49" t="s">
        <v>96</v>
      </c>
      <c r="AR124" s="47"/>
      <c r="AS124" s="44" t="s">
        <v>84</v>
      </c>
      <c r="AT124" s="46" t="s">
        <v>96</v>
      </c>
      <c r="AU124" s="44" t="s">
        <v>1199</v>
      </c>
      <c r="AV124" s="44"/>
      <c r="AW124" s="44"/>
      <c r="AX124" s="44"/>
      <c r="AY124" s="44"/>
      <c r="AZ124" s="44"/>
    </row>
    <row r="125" spans="1:70">
      <c r="E125" s="47"/>
      <c r="F125" s="44" t="s">
        <v>1460</v>
      </c>
      <c r="G125" s="46"/>
      <c r="H125" s="46" t="str">
        <f>""</f>
        <v/>
      </c>
      <c r="I125" s="46"/>
      <c r="J125" s="46" t="s">
        <v>577</v>
      </c>
      <c r="K125" s="46"/>
      <c r="L125" s="46"/>
      <c r="M125" s="46" t="s">
        <v>91</v>
      </c>
      <c r="N125" s="76">
        <v>123</v>
      </c>
      <c r="O125" s="46"/>
      <c r="R125" s="14"/>
      <c r="S125" s="14"/>
      <c r="T125" s="14"/>
      <c r="U125" s="14"/>
      <c r="AF125" s="419" t="s">
        <v>1850</v>
      </c>
      <c r="AG125" s="12" t="s">
        <v>1221</v>
      </c>
      <c r="AH125" s="46" t="s">
        <v>503</v>
      </c>
      <c r="AI125" s="46"/>
      <c r="AJ125" s="46"/>
      <c r="AK125" s="46">
        <v>12</v>
      </c>
      <c r="AL125" s="46"/>
      <c r="AM125" s="46"/>
      <c r="AN125" s="46"/>
      <c r="AO125" s="46"/>
      <c r="AP125" s="46">
        <v>8</v>
      </c>
      <c r="AQ125" s="49" t="s">
        <v>96</v>
      </c>
      <c r="AR125" s="47"/>
      <c r="AS125" s="44" t="s">
        <v>84</v>
      </c>
      <c r="AT125" s="46" t="s">
        <v>96</v>
      </c>
      <c r="AU125" s="44" t="s">
        <v>1199</v>
      </c>
      <c r="AV125" s="44"/>
      <c r="AW125" s="44"/>
      <c r="AX125" s="44"/>
      <c r="AY125" s="44"/>
      <c r="AZ125" s="44"/>
      <c r="BB125" s="14"/>
      <c r="BC125" s="14"/>
      <c r="BD125" s="14"/>
      <c r="BE125" s="14"/>
      <c r="BF125" s="14"/>
      <c r="BG125" s="14"/>
      <c r="BH125" s="14"/>
      <c r="BI125" s="14"/>
      <c r="BJ125" s="14"/>
      <c r="BK125" s="14"/>
      <c r="BL125" s="14"/>
      <c r="BM125" s="14"/>
      <c r="BN125" s="14"/>
      <c r="BO125" s="14"/>
      <c r="BP125" s="14"/>
      <c r="BQ125" s="14"/>
      <c r="BR125" s="14"/>
    </row>
    <row r="126" spans="1:70" s="14" customFormat="1">
      <c r="A126" s="180"/>
      <c r="E126" s="47"/>
      <c r="F126" s="44" t="s">
        <v>1457</v>
      </c>
      <c r="G126" s="46"/>
      <c r="H126" s="46" t="str">
        <f>""</f>
        <v/>
      </c>
      <c r="I126" s="46"/>
      <c r="J126" s="44" t="s">
        <v>627</v>
      </c>
      <c r="K126" s="46" t="s">
        <v>97</v>
      </c>
      <c r="L126" s="46"/>
      <c r="M126" s="46" t="s">
        <v>91</v>
      </c>
      <c r="N126" s="76">
        <v>124</v>
      </c>
      <c r="O126" s="46"/>
      <c r="P126"/>
      <c r="Q126" s="23"/>
      <c r="Z126" s="180"/>
      <c r="AD126" s="180"/>
      <c r="AF126" s="419" t="s">
        <v>1853</v>
      </c>
      <c r="AG126" s="12" t="s">
        <v>1221</v>
      </c>
      <c r="AH126" s="46" t="s">
        <v>495</v>
      </c>
      <c r="AI126" s="46"/>
      <c r="AJ126" s="46"/>
      <c r="AK126" s="46">
        <v>12</v>
      </c>
      <c r="AL126" s="46"/>
      <c r="AM126" s="46"/>
      <c r="AN126" s="46"/>
      <c r="AO126" s="46"/>
      <c r="AP126" s="46">
        <v>9</v>
      </c>
      <c r="AQ126" s="49" t="s">
        <v>96</v>
      </c>
      <c r="AR126" s="47"/>
      <c r="AS126" s="44" t="s">
        <v>84</v>
      </c>
      <c r="AT126" s="46" t="s">
        <v>96</v>
      </c>
      <c r="AU126" s="102" t="s">
        <v>1197</v>
      </c>
      <c r="AV126" s="44"/>
      <c r="AW126" s="44"/>
      <c r="AX126" s="44"/>
      <c r="AY126" s="44"/>
      <c r="AZ126" s="44"/>
    </row>
    <row r="127" spans="1:70" s="14" customFormat="1">
      <c r="A127" s="180"/>
      <c r="E127" s="23"/>
      <c r="P127"/>
      <c r="Q127" s="23"/>
      <c r="Z127" s="180"/>
      <c r="AD127" s="180"/>
      <c r="AF127" s="419" t="s">
        <v>1855</v>
      </c>
      <c r="AG127" s="12" t="s">
        <v>1221</v>
      </c>
      <c r="AH127" s="46" t="s">
        <v>494</v>
      </c>
      <c r="AI127" s="46"/>
      <c r="AJ127" s="46"/>
      <c r="AK127" s="46">
        <v>12</v>
      </c>
      <c r="AL127" s="46"/>
      <c r="AM127" s="46"/>
      <c r="AN127" s="46"/>
      <c r="AO127" s="46"/>
      <c r="AP127" s="46">
        <v>10</v>
      </c>
      <c r="AQ127" s="49" t="s">
        <v>96</v>
      </c>
      <c r="AR127" s="47"/>
      <c r="AS127" s="44" t="s">
        <v>84</v>
      </c>
      <c r="AT127" s="46" t="s">
        <v>96</v>
      </c>
      <c r="AU127" s="102" t="s">
        <v>1197</v>
      </c>
      <c r="AV127" s="44"/>
      <c r="AW127" s="44"/>
      <c r="AX127" s="44"/>
      <c r="AY127" s="44"/>
      <c r="AZ127" s="44"/>
      <c r="BB127"/>
      <c r="BC127"/>
      <c r="BD127"/>
      <c r="BE127"/>
      <c r="BF127"/>
      <c r="BG127"/>
      <c r="BH127"/>
      <c r="BI127"/>
      <c r="BJ127"/>
      <c r="BK127"/>
      <c r="BL127"/>
      <c r="BM127"/>
      <c r="BN127"/>
      <c r="BO127"/>
      <c r="BP127"/>
      <c r="BQ127"/>
      <c r="BR127"/>
    </row>
    <row r="128" spans="1:70">
      <c r="F128" s="14"/>
      <c r="G128" s="14"/>
      <c r="H128" s="14"/>
      <c r="I128" s="14"/>
      <c r="L128" s="14"/>
      <c r="P128" s="14"/>
      <c r="T128" s="14"/>
      <c r="V128"/>
      <c r="W128"/>
      <c r="X128"/>
      <c r="Y128"/>
      <c r="AF128" s="419" t="s">
        <v>1851</v>
      </c>
      <c r="AG128" s="12" t="s">
        <v>1221</v>
      </c>
      <c r="AH128" s="44" t="s">
        <v>690</v>
      </c>
      <c r="AI128" s="46"/>
      <c r="AJ128" s="46"/>
      <c r="AK128" s="46">
        <v>15</v>
      </c>
      <c r="AL128" s="46"/>
      <c r="AM128" s="46"/>
      <c r="AN128" s="46"/>
      <c r="AO128" s="46"/>
      <c r="AP128" s="46">
        <v>11</v>
      </c>
      <c r="AQ128" s="49" t="s">
        <v>96</v>
      </c>
      <c r="AR128" s="47"/>
      <c r="AS128" s="44" t="s">
        <v>84</v>
      </c>
      <c r="AT128" s="46" t="s">
        <v>96</v>
      </c>
      <c r="AU128" s="44" t="s">
        <v>1198</v>
      </c>
      <c r="AV128" s="44"/>
      <c r="AW128" s="44"/>
      <c r="AX128" s="44"/>
      <c r="AY128" s="44"/>
      <c r="AZ128" s="44"/>
    </row>
    <row r="129" spans="1:70">
      <c r="F129" s="14"/>
      <c r="G129" s="14"/>
      <c r="H129" s="14"/>
      <c r="I129" s="14"/>
      <c r="L129" s="14"/>
      <c r="T129" s="14"/>
      <c r="V129"/>
      <c r="W129"/>
      <c r="X129"/>
      <c r="Y129"/>
      <c r="AF129" s="419" t="s">
        <v>1854</v>
      </c>
      <c r="AG129" s="12" t="s">
        <v>1221</v>
      </c>
      <c r="AH129" s="44" t="s">
        <v>596</v>
      </c>
      <c r="AI129" s="46"/>
      <c r="AJ129" s="46"/>
      <c r="AK129" s="46"/>
      <c r="AL129" s="46"/>
      <c r="AM129" s="46"/>
      <c r="AN129" s="46"/>
      <c r="AO129" s="46"/>
      <c r="AP129" s="46">
        <v>12</v>
      </c>
      <c r="AQ129" s="49"/>
      <c r="AR129" s="43"/>
      <c r="AS129" s="44" t="s">
        <v>84</v>
      </c>
      <c r="AT129" s="46" t="s">
        <v>96</v>
      </c>
      <c r="AU129" s="102" t="s">
        <v>651</v>
      </c>
      <c r="AV129" s="44"/>
      <c r="AW129" s="44"/>
      <c r="AX129" s="44"/>
      <c r="AY129" s="44"/>
      <c r="AZ129" s="44"/>
    </row>
    <row r="130" spans="1:70">
      <c r="T130" s="14"/>
      <c r="V130"/>
      <c r="W130"/>
      <c r="X130"/>
      <c r="Y130"/>
      <c r="AF130" s="47"/>
      <c r="AG130" s="46"/>
      <c r="AH130" s="46"/>
      <c r="AI130" s="46"/>
      <c r="AJ130" s="46"/>
      <c r="AK130" s="46"/>
      <c r="AL130" s="46"/>
      <c r="AM130" s="46"/>
      <c r="AN130" s="46"/>
      <c r="AO130" s="46"/>
      <c r="AP130" s="46"/>
      <c r="AQ130" s="49"/>
      <c r="AR130" s="46"/>
      <c r="AS130" s="46"/>
      <c r="AV130" s="44"/>
      <c r="AW130" s="14"/>
      <c r="AX130" s="14"/>
      <c r="AY130" s="14"/>
      <c r="AZ130" s="14"/>
    </row>
    <row r="131" spans="1:70">
      <c r="P131" s="14"/>
      <c r="R131" s="14"/>
      <c r="S131" s="14"/>
      <c r="T131" s="14"/>
      <c r="U131" s="14"/>
      <c r="AF131" s="47" t="s">
        <v>85</v>
      </c>
      <c r="AG131" s="47" t="s">
        <v>580</v>
      </c>
      <c r="AH131" s="46" t="s">
        <v>497</v>
      </c>
      <c r="AI131" s="46" t="s">
        <v>498</v>
      </c>
      <c r="AJ131" s="44" t="s">
        <v>591</v>
      </c>
      <c r="AK131" s="46" t="s">
        <v>88</v>
      </c>
      <c r="AL131" s="46" t="s">
        <v>86</v>
      </c>
      <c r="AM131" s="46" t="s">
        <v>342</v>
      </c>
      <c r="AN131" s="46" t="s">
        <v>343</v>
      </c>
      <c r="AO131" s="46" t="s">
        <v>468</v>
      </c>
      <c r="AP131" s="44" t="s">
        <v>347</v>
      </c>
      <c r="AQ131" s="49" t="s">
        <v>467</v>
      </c>
      <c r="AR131" s="46" t="s">
        <v>333</v>
      </c>
      <c r="AS131" s="44" t="s">
        <v>624</v>
      </c>
      <c r="AT131" s="46" t="s">
        <v>466</v>
      </c>
      <c r="AU131" s="102" t="s">
        <v>1195</v>
      </c>
      <c r="AV131" s="44" t="s">
        <v>2401</v>
      </c>
      <c r="AW131" s="44" t="s">
        <v>1351</v>
      </c>
      <c r="AX131" s="44" t="s">
        <v>2409</v>
      </c>
      <c r="AY131" s="44" t="s">
        <v>2410</v>
      </c>
      <c r="AZ131" s="44" t="s">
        <v>2411</v>
      </c>
      <c r="BB131" s="14"/>
      <c r="BC131" s="14"/>
      <c r="BD131" s="14"/>
      <c r="BE131" s="14"/>
      <c r="BF131" s="14"/>
      <c r="BG131" s="14"/>
      <c r="BH131" s="14"/>
      <c r="BI131" s="14"/>
      <c r="BJ131" s="14"/>
      <c r="BK131" s="14"/>
      <c r="BL131" s="14"/>
      <c r="BM131" s="14"/>
      <c r="BN131" s="14"/>
      <c r="BO131" s="14"/>
      <c r="BP131" s="14"/>
      <c r="BQ131" s="14"/>
      <c r="BR131" s="14"/>
    </row>
    <row r="132" spans="1:70" s="14" customFormat="1">
      <c r="A132" s="180"/>
      <c r="E132" s="23"/>
      <c r="F132"/>
      <c r="G132"/>
      <c r="H132"/>
      <c r="I132"/>
      <c r="L132"/>
      <c r="Q132" s="23"/>
      <c r="R132"/>
      <c r="S132"/>
      <c r="U132"/>
      <c r="V132"/>
      <c r="W132"/>
      <c r="X132"/>
      <c r="Y132"/>
      <c r="Z132" s="180"/>
      <c r="AD132" s="180"/>
      <c r="AF132" s="419" t="s">
        <v>1857</v>
      </c>
      <c r="AG132" s="23" t="s">
        <v>1434</v>
      </c>
      <c r="AH132" s="44" t="s">
        <v>588</v>
      </c>
      <c r="AI132" s="46"/>
      <c r="AJ132" s="46"/>
      <c r="AK132" s="46">
        <v>20</v>
      </c>
      <c r="AL132" s="46"/>
      <c r="AM132" s="46"/>
      <c r="AN132" s="46"/>
      <c r="AO132" s="46"/>
      <c r="AP132" s="46">
        <v>1</v>
      </c>
      <c r="AQ132" s="49" t="s">
        <v>329</v>
      </c>
      <c r="AR132" s="47"/>
      <c r="AS132" s="44" t="s">
        <v>570</v>
      </c>
      <c r="AT132" s="46" t="s">
        <v>330</v>
      </c>
      <c r="AU132" s="102" t="s">
        <v>1200</v>
      </c>
      <c r="AV132" s="44"/>
      <c r="AW132" s="44"/>
      <c r="AX132" s="44"/>
      <c r="AY132" s="44"/>
      <c r="AZ132" s="44"/>
    </row>
    <row r="133" spans="1:70" s="14" customFormat="1">
      <c r="A133" s="180"/>
      <c r="E133" s="23"/>
      <c r="F133"/>
      <c r="G133"/>
      <c r="H133"/>
      <c r="I133"/>
      <c r="L133"/>
      <c r="Q133" s="23"/>
      <c r="Z133" s="180"/>
      <c r="AD133" s="180"/>
      <c r="AF133" s="419" t="s">
        <v>1858</v>
      </c>
      <c r="AG133" s="23" t="s">
        <v>1434</v>
      </c>
      <c r="AH133" s="44" t="s">
        <v>589</v>
      </c>
      <c r="AI133" s="46"/>
      <c r="AJ133" s="46"/>
      <c r="AK133" s="46">
        <v>10</v>
      </c>
      <c r="AL133" s="46"/>
      <c r="AM133" s="46"/>
      <c r="AN133" s="46"/>
      <c r="AO133" s="46"/>
      <c r="AP133" s="46">
        <v>2</v>
      </c>
      <c r="AQ133" s="49" t="s">
        <v>329</v>
      </c>
      <c r="AR133" s="47"/>
      <c r="AS133" s="44" t="s">
        <v>570</v>
      </c>
      <c r="AT133" s="46" t="s">
        <v>330</v>
      </c>
      <c r="AU133" s="102" t="s">
        <v>1201</v>
      </c>
      <c r="AV133" s="44"/>
      <c r="AW133" s="44"/>
      <c r="AX133" s="44"/>
      <c r="AY133" s="44"/>
      <c r="AZ133" s="44"/>
    </row>
    <row r="134" spans="1:70" s="14" customFormat="1">
      <c r="A134" s="180"/>
      <c r="E134" s="23"/>
      <c r="F134"/>
      <c r="G134"/>
      <c r="H134"/>
      <c r="I134"/>
      <c r="L134"/>
      <c r="Q134" s="23"/>
      <c r="R134"/>
      <c r="S134"/>
      <c r="U134"/>
      <c r="V134"/>
      <c r="W134"/>
      <c r="X134"/>
      <c r="Y134"/>
      <c r="Z134" s="180"/>
      <c r="AD134" s="180"/>
      <c r="AF134" s="419" t="s">
        <v>1859</v>
      </c>
      <c r="AG134" s="23" t="s">
        <v>1434</v>
      </c>
      <c r="AH134" s="44" t="s">
        <v>590</v>
      </c>
      <c r="AI134" s="46"/>
      <c r="AJ134" s="46"/>
      <c r="AK134" s="46">
        <v>15</v>
      </c>
      <c r="AL134" s="46"/>
      <c r="AM134" s="46"/>
      <c r="AN134" s="46"/>
      <c r="AO134" s="46"/>
      <c r="AP134" s="46">
        <v>3</v>
      </c>
      <c r="AQ134" s="49" t="s">
        <v>329</v>
      </c>
      <c r="AR134" s="47"/>
      <c r="AS134" s="44" t="s">
        <v>570</v>
      </c>
      <c r="AT134" s="46" t="s">
        <v>330</v>
      </c>
      <c r="AU134" s="102" t="s">
        <v>1201</v>
      </c>
      <c r="AV134" s="44"/>
      <c r="AW134" s="44"/>
      <c r="AX134" s="44"/>
      <c r="AY134" s="44"/>
      <c r="AZ134" s="44"/>
      <c r="BB134"/>
      <c r="BC134"/>
      <c r="BD134"/>
      <c r="BE134"/>
      <c r="BF134"/>
      <c r="BG134"/>
      <c r="BH134"/>
      <c r="BI134"/>
      <c r="BJ134"/>
      <c r="BK134"/>
      <c r="BL134"/>
      <c r="BM134"/>
      <c r="BN134"/>
      <c r="BO134"/>
      <c r="BP134"/>
      <c r="BQ134"/>
      <c r="BR134"/>
    </row>
    <row r="135" spans="1:70">
      <c r="F135" s="14"/>
      <c r="G135" s="14"/>
      <c r="H135" s="14"/>
      <c r="I135" s="14"/>
      <c r="L135" s="14"/>
      <c r="P135" s="14"/>
      <c r="T135" s="14"/>
      <c r="V135"/>
      <c r="W135"/>
      <c r="X135"/>
      <c r="Y135"/>
      <c r="AF135" s="419" t="s">
        <v>1856</v>
      </c>
      <c r="AG135" s="23" t="s">
        <v>1434</v>
      </c>
      <c r="AH135" s="44" t="s">
        <v>597</v>
      </c>
      <c r="AI135" s="46"/>
      <c r="AJ135" s="46"/>
      <c r="AK135" s="46"/>
      <c r="AL135" s="46"/>
      <c r="AM135" s="46"/>
      <c r="AN135" s="46"/>
      <c r="AO135" s="46"/>
      <c r="AP135" s="46">
        <v>4</v>
      </c>
      <c r="AQ135" s="49"/>
      <c r="AR135" s="47"/>
      <c r="AS135" s="44" t="s">
        <v>570</v>
      </c>
      <c r="AT135" s="46" t="s">
        <v>330</v>
      </c>
      <c r="AU135" s="102" t="s">
        <v>651</v>
      </c>
      <c r="AV135" s="44"/>
      <c r="AW135" s="44"/>
      <c r="AX135" s="44"/>
      <c r="AY135" s="44"/>
      <c r="AZ135" s="44"/>
    </row>
    <row r="136" spans="1:70">
      <c r="F136" s="14"/>
      <c r="G136" s="14"/>
      <c r="H136" s="14"/>
      <c r="I136" s="14"/>
      <c r="L136" s="14"/>
      <c r="R136" s="14"/>
      <c r="S136" s="14"/>
      <c r="T136" s="14"/>
      <c r="U136" s="14"/>
      <c r="AF136" s="419" t="s">
        <v>1861</v>
      </c>
      <c r="AG136" s="12" t="s">
        <v>1221</v>
      </c>
      <c r="AH136" s="46" t="s">
        <v>496</v>
      </c>
      <c r="AI136" s="46"/>
      <c r="AJ136" s="46"/>
      <c r="AK136" s="46">
        <v>20</v>
      </c>
      <c r="AL136" s="46"/>
      <c r="AM136" s="46"/>
      <c r="AN136" s="46"/>
      <c r="AO136" s="46"/>
      <c r="AP136" s="46">
        <v>5</v>
      </c>
      <c r="AQ136" s="49" t="s">
        <v>329</v>
      </c>
      <c r="AR136" s="47"/>
      <c r="AS136" s="44" t="s">
        <v>84</v>
      </c>
      <c r="AT136" s="46" t="s">
        <v>330</v>
      </c>
      <c r="AU136" s="102" t="s">
        <v>1200</v>
      </c>
      <c r="AV136" s="44"/>
      <c r="AW136" s="44"/>
      <c r="AX136" s="44"/>
      <c r="AY136" s="44"/>
      <c r="AZ136" s="44"/>
    </row>
    <row r="137" spans="1:70">
      <c r="R137" s="14"/>
      <c r="S137" s="14"/>
      <c r="T137" s="14"/>
      <c r="U137" s="14"/>
      <c r="AF137" s="419" t="s">
        <v>1862</v>
      </c>
      <c r="AG137" s="12" t="s">
        <v>1221</v>
      </c>
      <c r="AH137" s="46" t="s">
        <v>474</v>
      </c>
      <c r="AI137" s="46"/>
      <c r="AJ137" s="46"/>
      <c r="AK137" s="46">
        <v>10</v>
      </c>
      <c r="AL137" s="46"/>
      <c r="AM137" s="46"/>
      <c r="AN137" s="46"/>
      <c r="AO137" s="46"/>
      <c r="AP137" s="46">
        <v>6</v>
      </c>
      <c r="AQ137" s="49" t="s">
        <v>329</v>
      </c>
      <c r="AR137" s="47"/>
      <c r="AS137" s="44" t="s">
        <v>84</v>
      </c>
      <c r="AT137" s="46" t="s">
        <v>330</v>
      </c>
      <c r="AU137" s="102" t="s">
        <v>1201</v>
      </c>
      <c r="AV137" s="44"/>
      <c r="AW137" s="44"/>
      <c r="AX137" s="44"/>
      <c r="AY137" s="44"/>
      <c r="AZ137" s="44"/>
    </row>
    <row r="138" spans="1:70">
      <c r="R138" s="14"/>
      <c r="S138" s="14"/>
      <c r="T138" s="14"/>
      <c r="U138" s="14"/>
      <c r="AF138" s="419" t="s">
        <v>1863</v>
      </c>
      <c r="AG138" s="12" t="s">
        <v>1221</v>
      </c>
      <c r="AH138" s="46" t="s">
        <v>475</v>
      </c>
      <c r="AI138" s="46"/>
      <c r="AJ138" s="46"/>
      <c r="AK138" s="46">
        <v>15</v>
      </c>
      <c r="AL138" s="46"/>
      <c r="AM138" s="46"/>
      <c r="AN138" s="46"/>
      <c r="AO138" s="46"/>
      <c r="AP138" s="46">
        <v>7</v>
      </c>
      <c r="AQ138" s="49" t="s">
        <v>329</v>
      </c>
      <c r="AR138" s="47"/>
      <c r="AS138" s="44" t="s">
        <v>84</v>
      </c>
      <c r="AT138" s="46" t="s">
        <v>330</v>
      </c>
      <c r="AU138" s="102" t="s">
        <v>1201</v>
      </c>
      <c r="AV138" s="44"/>
      <c r="AW138" s="44"/>
      <c r="AX138" s="44"/>
      <c r="AY138" s="44"/>
      <c r="AZ138" s="44"/>
    </row>
    <row r="139" spans="1:70">
      <c r="T139" s="14"/>
      <c r="V139"/>
      <c r="W139"/>
      <c r="X139"/>
      <c r="Y139"/>
      <c r="AF139" s="419" t="s">
        <v>1860</v>
      </c>
      <c r="AG139" s="12" t="s">
        <v>1221</v>
      </c>
      <c r="AH139" s="44" t="s">
        <v>596</v>
      </c>
      <c r="AI139" s="46"/>
      <c r="AJ139" s="46"/>
      <c r="AK139" s="46"/>
      <c r="AL139" s="46"/>
      <c r="AM139" s="46"/>
      <c r="AN139" s="46"/>
      <c r="AO139" s="46"/>
      <c r="AP139" s="46">
        <v>8</v>
      </c>
      <c r="AQ139" s="49"/>
      <c r="AR139" s="43"/>
      <c r="AS139" s="44" t="s">
        <v>84</v>
      </c>
      <c r="AT139" s="46" t="s">
        <v>330</v>
      </c>
      <c r="AU139" s="102" t="s">
        <v>651</v>
      </c>
      <c r="AV139" s="44"/>
      <c r="AW139" s="44"/>
      <c r="AX139" s="44"/>
      <c r="AY139" s="44"/>
      <c r="AZ139" s="44"/>
    </row>
    <row r="140" spans="1:70">
      <c r="T140" s="14"/>
      <c r="V140"/>
      <c r="W140"/>
      <c r="X140"/>
      <c r="Y140"/>
      <c r="AF140" s="75"/>
      <c r="AV140" s="14"/>
      <c r="AW140" s="14"/>
      <c r="AX140" s="14"/>
      <c r="AY140" s="14"/>
      <c r="AZ140" s="14"/>
    </row>
    <row r="141" spans="1:70">
      <c r="F141" s="14"/>
      <c r="G141" s="14"/>
      <c r="H141" s="14"/>
      <c r="I141" s="14"/>
      <c r="L141" s="14"/>
      <c r="P141" s="14"/>
      <c r="T141" s="14"/>
      <c r="V141"/>
      <c r="W141"/>
      <c r="X141"/>
      <c r="Y141"/>
      <c r="AV141" s="14"/>
      <c r="AW141" s="14"/>
      <c r="AX141" s="14"/>
      <c r="AY141" s="14"/>
      <c r="AZ141" s="14"/>
      <c r="BB141" s="14"/>
      <c r="BC141" s="14"/>
      <c r="BD141" s="14"/>
      <c r="BE141" s="14"/>
      <c r="BF141" s="14"/>
      <c r="BG141" s="14"/>
      <c r="BH141" s="14"/>
      <c r="BI141" s="14"/>
      <c r="BJ141" s="14"/>
      <c r="BK141" s="14"/>
      <c r="BL141" s="14"/>
      <c r="BM141" s="14"/>
      <c r="BN141" s="14"/>
      <c r="BO141" s="14"/>
      <c r="BP141" s="14"/>
      <c r="BQ141" s="14"/>
      <c r="BR141" s="14"/>
    </row>
    <row r="142" spans="1:70" s="14" customFormat="1">
      <c r="A142" s="180"/>
      <c r="E142" s="23"/>
      <c r="Q142" s="23"/>
      <c r="R142"/>
      <c r="S142"/>
      <c r="U142"/>
      <c r="V142"/>
      <c r="W142"/>
      <c r="X142"/>
      <c r="Y142"/>
      <c r="Z142" s="180"/>
      <c r="AD142" s="180"/>
      <c r="AF142" s="583" t="s">
        <v>85</v>
      </c>
      <c r="AG142" s="583" t="s">
        <v>580</v>
      </c>
      <c r="AH142" s="584" t="s">
        <v>497</v>
      </c>
      <c r="AI142" s="584" t="s">
        <v>498</v>
      </c>
      <c r="AJ142" s="584" t="s">
        <v>591</v>
      </c>
      <c r="AK142" s="584" t="s">
        <v>88</v>
      </c>
      <c r="AL142" s="584" t="s">
        <v>86</v>
      </c>
      <c r="AM142" s="584" t="s">
        <v>342</v>
      </c>
      <c r="AN142" s="584" t="s">
        <v>343</v>
      </c>
      <c r="AO142" s="584" t="s">
        <v>468</v>
      </c>
      <c r="AP142" s="584" t="s">
        <v>347</v>
      </c>
      <c r="AQ142" s="584" t="s">
        <v>467</v>
      </c>
      <c r="AR142" s="584" t="s">
        <v>333</v>
      </c>
      <c r="AS142" s="584" t="s">
        <v>624</v>
      </c>
      <c r="AT142" s="584" t="s">
        <v>466</v>
      </c>
      <c r="AU142" s="584" t="s">
        <v>1195</v>
      </c>
      <c r="AV142" s="584" t="s">
        <v>2401</v>
      </c>
      <c r="AW142" s="584" t="s">
        <v>1351</v>
      </c>
      <c r="AX142" s="584" t="s">
        <v>2409</v>
      </c>
      <c r="AY142" s="584" t="s">
        <v>2410</v>
      </c>
      <c r="AZ142" s="584" t="s">
        <v>2411</v>
      </c>
    </row>
    <row r="143" spans="1:70" s="14" customFormat="1">
      <c r="A143" s="180"/>
      <c r="E143" s="23"/>
      <c r="P143"/>
      <c r="Q143" s="23"/>
      <c r="R143"/>
      <c r="S143"/>
      <c r="U143"/>
      <c r="V143"/>
      <c r="W143"/>
      <c r="X143"/>
      <c r="Y143"/>
      <c r="Z143" s="180"/>
      <c r="AD143" s="180"/>
      <c r="AF143" s="587" t="s">
        <v>2673</v>
      </c>
      <c r="AG143" s="585" t="s">
        <v>1434</v>
      </c>
      <c r="AH143" s="586" t="s">
        <v>2672</v>
      </c>
      <c r="AI143" s="586"/>
      <c r="AJ143" s="586"/>
      <c r="AK143" s="586">
        <v>15</v>
      </c>
      <c r="AL143" s="586"/>
      <c r="AM143" s="586"/>
      <c r="AN143" s="586"/>
      <c r="AO143" s="586"/>
      <c r="AP143" s="586">
        <v>1</v>
      </c>
      <c r="AQ143" s="586"/>
      <c r="AR143" s="585"/>
      <c r="AS143" s="586" t="s">
        <v>570</v>
      </c>
      <c r="AT143" s="586" t="s">
        <v>330</v>
      </c>
      <c r="AU143" s="586" t="s">
        <v>651</v>
      </c>
      <c r="AV143" s="586"/>
      <c r="AW143" s="586"/>
      <c r="AX143" s="586"/>
      <c r="AY143" s="586"/>
      <c r="AZ143" s="586"/>
    </row>
    <row r="144" spans="1:70" s="14" customFormat="1">
      <c r="A144" s="180"/>
      <c r="E144" s="23"/>
      <c r="F144"/>
      <c r="G144"/>
      <c r="H144"/>
      <c r="I144"/>
      <c r="L144"/>
      <c r="P144"/>
      <c r="Q144" s="23"/>
      <c r="Z144" s="180"/>
      <c r="AD144" s="180"/>
      <c r="AF144" s="23"/>
      <c r="AG144"/>
      <c r="AH144"/>
      <c r="AI144"/>
      <c r="AJ144"/>
      <c r="AK144"/>
      <c r="AL144"/>
      <c r="AM144"/>
      <c r="AN144"/>
      <c r="AO144"/>
      <c r="AP144"/>
      <c r="AQ144" s="54"/>
      <c r="AR144"/>
      <c r="AU144"/>
      <c r="AV144"/>
      <c r="AW144"/>
      <c r="AX144"/>
      <c r="AY144"/>
      <c r="AZ144"/>
      <c r="BB144"/>
      <c r="BC144"/>
      <c r="BD144"/>
      <c r="BE144"/>
      <c r="BF144"/>
      <c r="BG144"/>
      <c r="BH144"/>
      <c r="BI144"/>
      <c r="BJ144"/>
      <c r="BK144"/>
      <c r="BL144"/>
      <c r="BM144"/>
      <c r="BN144"/>
      <c r="BO144"/>
      <c r="BP144"/>
      <c r="BQ144"/>
      <c r="BR144"/>
    </row>
    <row r="145" spans="1:70">
      <c r="R145" s="14"/>
      <c r="S145" s="14"/>
      <c r="T145" s="14"/>
      <c r="U145" s="14"/>
      <c r="AT145" s="14"/>
      <c r="AU145" s="14"/>
    </row>
    <row r="146" spans="1:70">
      <c r="R146" s="14"/>
      <c r="S146" s="14"/>
      <c r="T146" s="14"/>
      <c r="U146" s="14"/>
      <c r="AU146" s="14"/>
    </row>
    <row r="147" spans="1:70">
      <c r="P147" s="14"/>
      <c r="T147" s="14"/>
      <c r="V147"/>
      <c r="W147"/>
      <c r="X147"/>
      <c r="Y147"/>
      <c r="AU147" s="14"/>
    </row>
    <row r="148" spans="1:70">
      <c r="P148" s="14"/>
      <c r="R148" s="14"/>
      <c r="S148" s="14"/>
      <c r="T148" s="14"/>
      <c r="U148" s="14"/>
      <c r="AU148" s="14"/>
      <c r="AV148" s="14"/>
      <c r="AW148" s="14"/>
      <c r="AX148" s="14"/>
      <c r="AY148" s="14"/>
      <c r="AZ148" s="14"/>
    </row>
    <row r="149" spans="1:70">
      <c r="P149" s="14"/>
      <c r="R149" s="14"/>
      <c r="S149" s="14"/>
      <c r="T149" s="14"/>
      <c r="U149" s="14"/>
      <c r="AV149" s="14"/>
      <c r="AW149" s="14"/>
      <c r="AX149" s="14"/>
      <c r="AY149" s="14"/>
      <c r="AZ149" s="14"/>
      <c r="BB149" s="14"/>
      <c r="BC149" s="14"/>
      <c r="BD149" s="14"/>
      <c r="BE149" s="14"/>
      <c r="BF149" s="14"/>
      <c r="BG149" s="14"/>
      <c r="BH149" s="14"/>
      <c r="BI149" s="14"/>
      <c r="BJ149" s="14"/>
      <c r="BK149" s="14"/>
      <c r="BL149" s="14"/>
      <c r="BM149" s="14"/>
      <c r="BN149" s="14"/>
      <c r="BO149" s="14"/>
      <c r="BP149" s="14"/>
      <c r="BQ149" s="14"/>
      <c r="BR149" s="14"/>
    </row>
    <row r="150" spans="1:70" s="14" customFormat="1">
      <c r="A150" s="180"/>
      <c r="E150" s="23"/>
      <c r="F150"/>
      <c r="G150"/>
      <c r="H150"/>
      <c r="I150"/>
      <c r="L150"/>
      <c r="P150"/>
      <c r="Q150" s="23"/>
      <c r="R150"/>
      <c r="S150"/>
      <c r="U150"/>
      <c r="V150"/>
      <c r="W150"/>
      <c r="X150"/>
      <c r="Y150"/>
      <c r="Z150" s="180"/>
      <c r="AD150" s="180"/>
      <c r="AF150" s="23"/>
      <c r="AG150"/>
      <c r="AH150"/>
      <c r="AI150"/>
      <c r="AJ150"/>
      <c r="AK150"/>
      <c r="AL150"/>
      <c r="AM150"/>
      <c r="AN150"/>
      <c r="AO150"/>
      <c r="AP150"/>
      <c r="AQ150" s="54"/>
      <c r="AR150"/>
      <c r="AS150"/>
      <c r="AT150"/>
      <c r="AU150"/>
    </row>
    <row r="151" spans="1:70" s="14" customFormat="1">
      <c r="A151" s="180"/>
      <c r="E151" s="23"/>
      <c r="P151"/>
      <c r="Q151" s="23"/>
      <c r="R151"/>
      <c r="S151"/>
      <c r="U151"/>
      <c r="V151"/>
      <c r="W151"/>
      <c r="X151"/>
      <c r="Y151"/>
      <c r="Z151" s="180"/>
      <c r="AD151" s="180"/>
      <c r="AF151" s="23"/>
      <c r="AG151"/>
      <c r="AH151"/>
      <c r="AI151"/>
      <c r="AJ151"/>
      <c r="AK151"/>
      <c r="AL151"/>
      <c r="AM151"/>
      <c r="AN151"/>
      <c r="AO151"/>
      <c r="AP151"/>
      <c r="AQ151" s="54"/>
      <c r="AR151"/>
      <c r="AS151"/>
      <c r="AU151"/>
    </row>
    <row r="152" spans="1:70" s="14" customFormat="1">
      <c r="A152" s="180"/>
      <c r="E152" s="23"/>
      <c r="P152"/>
      <c r="Q152" s="23"/>
      <c r="R152"/>
      <c r="S152"/>
      <c r="T152"/>
      <c r="U152"/>
      <c r="Z152" s="180"/>
      <c r="AD152" s="180"/>
      <c r="AF152" s="23"/>
      <c r="AG152"/>
      <c r="AH152"/>
      <c r="AI152"/>
      <c r="AJ152"/>
      <c r="AK152"/>
      <c r="AL152"/>
      <c r="AM152"/>
      <c r="AN152"/>
      <c r="AO152"/>
      <c r="AP152"/>
      <c r="AQ152" s="54"/>
      <c r="AR152"/>
      <c r="AS152"/>
      <c r="AV152"/>
      <c r="AW152"/>
      <c r="AX152"/>
      <c r="AY152"/>
      <c r="AZ152"/>
    </row>
    <row r="153" spans="1:70" s="14" customFormat="1">
      <c r="A153" s="180"/>
      <c r="E153" s="23"/>
      <c r="P153"/>
      <c r="Q153" s="23"/>
      <c r="R153"/>
      <c r="S153"/>
      <c r="T153"/>
      <c r="U153"/>
      <c r="Z153" s="180"/>
      <c r="AD153" s="180"/>
      <c r="AF153" s="23"/>
      <c r="AG153"/>
      <c r="AH153"/>
      <c r="AI153"/>
      <c r="AJ153"/>
      <c r="AK153"/>
      <c r="AL153"/>
      <c r="AM153"/>
      <c r="AN153"/>
      <c r="AO153"/>
      <c r="AP153"/>
      <c r="AQ153" s="54"/>
      <c r="AR153"/>
      <c r="AS153"/>
      <c r="AU153"/>
      <c r="AV153"/>
      <c r="AW153"/>
      <c r="AX153"/>
      <c r="AY153"/>
      <c r="AZ153"/>
      <c r="BB153"/>
      <c r="BC153"/>
      <c r="BD153"/>
      <c r="BE153"/>
      <c r="BF153"/>
      <c r="BG153"/>
      <c r="BH153"/>
      <c r="BI153"/>
      <c r="BJ153"/>
      <c r="BK153"/>
      <c r="BL153"/>
      <c r="BM153"/>
      <c r="BN153"/>
      <c r="BO153"/>
      <c r="BP153"/>
      <c r="BQ153"/>
      <c r="BR153"/>
    </row>
    <row r="154" spans="1:70">
      <c r="AT154" s="14"/>
      <c r="AU154" s="14"/>
    </row>
    <row r="155" spans="1:70">
      <c r="AV155" s="14"/>
      <c r="AW155" s="14"/>
      <c r="AX155" s="14"/>
      <c r="AY155" s="14"/>
      <c r="AZ155" s="14"/>
    </row>
    <row r="156" spans="1:70">
      <c r="AS156" s="14"/>
      <c r="BB156" s="14"/>
      <c r="BC156" s="14"/>
      <c r="BD156" s="14"/>
      <c r="BE156" s="14"/>
      <c r="BF156" s="14"/>
      <c r="BG156" s="14"/>
      <c r="BH156" s="14"/>
      <c r="BI156" s="14"/>
      <c r="BJ156" s="14"/>
      <c r="BK156" s="14"/>
      <c r="BL156" s="14"/>
      <c r="BM156" s="14"/>
      <c r="BN156" s="14"/>
      <c r="BO156" s="14"/>
      <c r="BP156" s="14"/>
      <c r="BQ156" s="14"/>
      <c r="BR156" s="14"/>
    </row>
    <row r="157" spans="1:70" s="14" customFormat="1">
      <c r="A157" s="180"/>
      <c r="E157" s="23"/>
      <c r="F157"/>
      <c r="G157"/>
      <c r="H157"/>
      <c r="I157"/>
      <c r="L157"/>
      <c r="Q157" s="23"/>
      <c r="R157"/>
      <c r="S157"/>
      <c r="T157"/>
      <c r="U157"/>
      <c r="Z157" s="180"/>
      <c r="AD157" s="180"/>
      <c r="AF157" s="23"/>
      <c r="AQ157" s="54"/>
      <c r="AS157"/>
      <c r="AT157"/>
      <c r="BB157"/>
      <c r="BC157"/>
      <c r="BD157"/>
      <c r="BE157"/>
      <c r="BF157"/>
      <c r="BG157"/>
      <c r="BH157"/>
      <c r="BI157"/>
      <c r="BJ157"/>
      <c r="BK157"/>
      <c r="BL157"/>
      <c r="BM157"/>
      <c r="BN157"/>
      <c r="BO157"/>
      <c r="BP157"/>
      <c r="BQ157"/>
      <c r="BR157"/>
    </row>
    <row r="158" spans="1:70">
      <c r="P158" s="14"/>
      <c r="AG158" s="14"/>
      <c r="AH158" s="14"/>
      <c r="AI158" s="14"/>
      <c r="AJ158" s="14"/>
      <c r="AK158" s="14"/>
      <c r="AL158" s="14"/>
      <c r="AM158" s="14"/>
      <c r="AN158" s="14"/>
      <c r="AO158" s="14"/>
      <c r="AP158" s="14"/>
      <c r="AR158" s="14"/>
      <c r="AT158" s="14"/>
      <c r="AU158" s="14"/>
      <c r="BB158" s="14"/>
      <c r="BC158" s="14"/>
      <c r="BD158" s="14"/>
      <c r="BE158" s="14"/>
      <c r="BF158" s="14"/>
      <c r="BG158" s="14"/>
      <c r="BH158" s="14"/>
      <c r="BI158" s="14"/>
      <c r="BJ158" s="14"/>
      <c r="BK158" s="14"/>
      <c r="BL158" s="14"/>
      <c r="BM158" s="14"/>
      <c r="BN158" s="14"/>
      <c r="BO158" s="14"/>
      <c r="BP158" s="14"/>
      <c r="BQ158" s="14"/>
      <c r="BR158" s="14"/>
    </row>
    <row r="159" spans="1:70" s="14" customFormat="1">
      <c r="A159" s="180"/>
      <c r="E159" s="23"/>
      <c r="Q159" s="23"/>
      <c r="R159"/>
      <c r="S159"/>
      <c r="T159"/>
      <c r="U159"/>
      <c r="Z159" s="180"/>
      <c r="AD159" s="180"/>
      <c r="AF159" s="23"/>
      <c r="AG159"/>
      <c r="AH159"/>
      <c r="AI159"/>
      <c r="AJ159"/>
      <c r="AK159"/>
      <c r="AL159"/>
      <c r="AM159"/>
      <c r="AN159"/>
      <c r="AO159"/>
      <c r="AP159"/>
      <c r="AQ159" s="54"/>
      <c r="AR159"/>
      <c r="AT159"/>
      <c r="AV159"/>
      <c r="AW159"/>
      <c r="AX159"/>
      <c r="AY159"/>
      <c r="AZ159"/>
      <c r="BB159"/>
      <c r="BC159"/>
      <c r="BD159"/>
      <c r="BE159"/>
      <c r="BF159"/>
      <c r="BG159"/>
      <c r="BH159"/>
      <c r="BI159"/>
      <c r="BJ159"/>
      <c r="BK159"/>
      <c r="BL159"/>
      <c r="BM159"/>
      <c r="BN159"/>
      <c r="BO159"/>
      <c r="BP159"/>
      <c r="BQ159"/>
      <c r="BR159"/>
    </row>
    <row r="160" spans="1:70">
      <c r="F160" s="14"/>
      <c r="G160" s="14"/>
      <c r="H160" s="14"/>
      <c r="I160" s="14"/>
      <c r="L160" s="14"/>
      <c r="AS160" s="14"/>
      <c r="AT160" s="14"/>
      <c r="AV160" s="14"/>
      <c r="AW160" s="14"/>
      <c r="AX160" s="14"/>
      <c r="AY160" s="14"/>
      <c r="AZ160" s="14"/>
    </row>
    <row r="161" spans="1:70">
      <c r="F161" s="14"/>
      <c r="G161" s="14"/>
      <c r="H161" s="14"/>
      <c r="I161" s="14"/>
      <c r="L161" s="14"/>
      <c r="AS161" s="14"/>
      <c r="AV161" s="14"/>
      <c r="AW161" s="14"/>
      <c r="AX161" s="14"/>
      <c r="AY161" s="14"/>
      <c r="AZ161" s="14"/>
      <c r="BB161" s="14"/>
      <c r="BC161" s="14"/>
      <c r="BD161" s="14"/>
      <c r="BE161" s="14"/>
      <c r="BF161" s="14"/>
      <c r="BG161" s="14"/>
      <c r="BH161" s="14"/>
      <c r="BI161" s="14"/>
      <c r="BJ161" s="14"/>
      <c r="BK161" s="14"/>
      <c r="BL161" s="14"/>
      <c r="BM161" s="14"/>
      <c r="BN161" s="14"/>
      <c r="BO161" s="14"/>
      <c r="BP161" s="14"/>
      <c r="BQ161" s="14"/>
      <c r="BR161" s="14"/>
    </row>
    <row r="162" spans="1:70" s="14" customFormat="1">
      <c r="A162" s="180"/>
      <c r="E162" s="23"/>
      <c r="P162"/>
      <c r="Q162" s="23"/>
      <c r="R162"/>
      <c r="S162"/>
      <c r="T162"/>
      <c r="U162"/>
      <c r="Z162" s="180"/>
      <c r="AD162" s="180"/>
      <c r="AF162" s="23"/>
      <c r="AG162"/>
      <c r="AH162"/>
      <c r="AI162"/>
      <c r="AJ162"/>
      <c r="AK162"/>
      <c r="AL162"/>
      <c r="AM162"/>
      <c r="AN162"/>
      <c r="AO162"/>
      <c r="AP162"/>
      <c r="AQ162" s="54"/>
      <c r="AR162"/>
      <c r="AT162"/>
      <c r="AU162"/>
    </row>
    <row r="163" spans="1:70" s="14" customFormat="1">
      <c r="A163" s="180"/>
      <c r="E163" s="23"/>
      <c r="F163"/>
      <c r="G163"/>
      <c r="H163"/>
      <c r="I163"/>
      <c r="L163"/>
      <c r="P163"/>
      <c r="Q163" s="23"/>
      <c r="R163"/>
      <c r="S163"/>
      <c r="T163"/>
      <c r="U163"/>
      <c r="Z163" s="180"/>
      <c r="AD163" s="180"/>
      <c r="AF163" s="23"/>
      <c r="AG163"/>
      <c r="AH163"/>
      <c r="AI163"/>
      <c r="AJ163"/>
      <c r="AK163"/>
      <c r="AL163"/>
      <c r="AM163"/>
      <c r="AN163"/>
      <c r="AO163"/>
      <c r="AP163"/>
      <c r="AQ163" s="54"/>
      <c r="AR163"/>
      <c r="AU163"/>
      <c r="AV163"/>
      <c r="AW163"/>
      <c r="AX163"/>
      <c r="AY163"/>
      <c r="AZ163"/>
    </row>
    <row r="164" spans="1:70" s="14" customFormat="1">
      <c r="A164" s="180"/>
      <c r="E164" s="23"/>
      <c r="F164"/>
      <c r="G164"/>
      <c r="H164"/>
      <c r="I164"/>
      <c r="L164"/>
      <c r="P164"/>
      <c r="Q164" s="23"/>
      <c r="R164"/>
      <c r="S164"/>
      <c r="T164"/>
      <c r="U164"/>
      <c r="Z164" s="180"/>
      <c r="AD164" s="180"/>
      <c r="AF164" s="23"/>
      <c r="AG164"/>
      <c r="AH164"/>
      <c r="AI164"/>
      <c r="AJ164"/>
      <c r="AK164"/>
      <c r="AL164"/>
      <c r="AM164"/>
      <c r="AN164"/>
      <c r="AO164"/>
      <c r="AP164"/>
      <c r="AQ164" s="54"/>
      <c r="AR164"/>
      <c r="AS164"/>
      <c r="AU164"/>
      <c r="AV164"/>
      <c r="AW164"/>
      <c r="AX164"/>
      <c r="AY164"/>
      <c r="AZ164"/>
      <c r="BB164"/>
      <c r="BC164"/>
      <c r="BD164"/>
      <c r="BE164"/>
      <c r="BF164"/>
      <c r="BG164"/>
      <c r="BH164"/>
      <c r="BI164"/>
      <c r="BJ164"/>
      <c r="BK164"/>
      <c r="BL164"/>
      <c r="BM164"/>
      <c r="BN164"/>
      <c r="BO164"/>
      <c r="BP164"/>
      <c r="BQ164"/>
      <c r="BR164"/>
    </row>
    <row r="165" spans="1:70">
      <c r="P165" s="14"/>
      <c r="AT165" s="14"/>
      <c r="AU165" s="14"/>
    </row>
    <row r="166" spans="1:70">
      <c r="F166" s="14"/>
      <c r="G166" s="14"/>
      <c r="H166" s="14"/>
      <c r="I166" s="14"/>
      <c r="L166" s="14"/>
      <c r="P166" s="14"/>
      <c r="AU166" s="14"/>
    </row>
    <row r="167" spans="1:70">
      <c r="P167" s="14"/>
      <c r="AU167" s="14"/>
    </row>
    <row r="168" spans="1:70">
      <c r="F168" s="14"/>
      <c r="G168" s="14"/>
      <c r="H168" s="14"/>
      <c r="I168" s="14"/>
      <c r="L168" s="14"/>
      <c r="P168" s="14"/>
      <c r="AV168" s="14"/>
      <c r="AW168" s="14"/>
      <c r="AX168" s="14"/>
      <c r="AY168" s="14"/>
      <c r="AZ168" s="14"/>
    </row>
    <row r="169" spans="1:70">
      <c r="AS169" s="14"/>
      <c r="AU169" s="14"/>
      <c r="AV169" s="14"/>
      <c r="AW169" s="14"/>
      <c r="AX169" s="14"/>
      <c r="AY169" s="14"/>
      <c r="AZ169" s="14"/>
      <c r="BB169" s="14"/>
      <c r="BC169" s="14"/>
      <c r="BD169" s="14"/>
      <c r="BE169" s="14"/>
      <c r="BF169" s="14"/>
      <c r="BG169" s="14"/>
      <c r="BH169" s="14"/>
      <c r="BI169" s="14"/>
      <c r="BJ169" s="14"/>
      <c r="BK169" s="14"/>
      <c r="BL169" s="14"/>
      <c r="BM169" s="14"/>
      <c r="BN169" s="14"/>
      <c r="BO169" s="14"/>
      <c r="BP169" s="14"/>
      <c r="BQ169" s="14"/>
      <c r="BR169" s="14"/>
    </row>
    <row r="170" spans="1:70" s="14" customFormat="1">
      <c r="A170" s="180"/>
      <c r="E170" s="23"/>
      <c r="F170"/>
      <c r="G170"/>
      <c r="H170"/>
      <c r="I170"/>
      <c r="L170"/>
      <c r="P170"/>
      <c r="Q170" s="23"/>
      <c r="R170"/>
      <c r="S170"/>
      <c r="T170"/>
      <c r="U170"/>
      <c r="Z170" s="180"/>
      <c r="AD170" s="180"/>
      <c r="AF170" s="23"/>
      <c r="AQ170" s="54"/>
      <c r="AT170"/>
    </row>
    <row r="171" spans="1:70" s="14" customFormat="1">
      <c r="A171" s="180"/>
      <c r="E171" s="23"/>
      <c r="P171"/>
      <c r="Q171" s="23"/>
      <c r="R171"/>
      <c r="S171"/>
      <c r="T171"/>
      <c r="U171"/>
      <c r="Z171" s="180"/>
      <c r="AD171" s="180"/>
      <c r="AF171" s="23"/>
      <c r="AG171"/>
      <c r="AH171"/>
      <c r="AI171"/>
      <c r="AJ171"/>
      <c r="AK171"/>
      <c r="AL171"/>
      <c r="AM171"/>
      <c r="AN171"/>
      <c r="AO171"/>
      <c r="AP171"/>
      <c r="AQ171" s="54"/>
      <c r="AR171"/>
      <c r="AS171"/>
      <c r="AU171"/>
      <c r="AV171"/>
      <c r="AW171"/>
      <c r="AX171"/>
      <c r="AY171"/>
      <c r="AZ171"/>
    </row>
    <row r="172" spans="1:70" s="14" customFormat="1">
      <c r="A172" s="180"/>
      <c r="E172" s="23"/>
      <c r="Q172" s="23"/>
      <c r="R172"/>
      <c r="S172"/>
      <c r="T172"/>
      <c r="U172"/>
      <c r="Z172" s="180"/>
      <c r="AD172" s="180"/>
      <c r="AF172" s="23"/>
      <c r="AG172"/>
      <c r="AH172"/>
      <c r="AI172"/>
      <c r="AJ172"/>
      <c r="AK172"/>
      <c r="AL172"/>
      <c r="AM172"/>
      <c r="AN172"/>
      <c r="AO172"/>
      <c r="AP172"/>
      <c r="AQ172" s="54"/>
      <c r="AR172"/>
      <c r="AS172"/>
      <c r="AU172"/>
      <c r="BB172"/>
      <c r="BC172"/>
      <c r="BD172"/>
      <c r="BE172"/>
      <c r="BF172"/>
      <c r="BG172"/>
      <c r="BH172"/>
      <c r="BI172"/>
      <c r="BJ172"/>
      <c r="BK172"/>
      <c r="BL172"/>
      <c r="BM172"/>
      <c r="BN172"/>
      <c r="BO172"/>
      <c r="BP172"/>
      <c r="BQ172"/>
      <c r="BR172"/>
    </row>
    <row r="173" spans="1:70">
      <c r="F173" s="14"/>
      <c r="G173" s="14"/>
      <c r="H173" s="14"/>
      <c r="I173" s="14"/>
      <c r="L173" s="14"/>
      <c r="AG173" s="14"/>
      <c r="AH173" s="14"/>
      <c r="AI173" s="14"/>
      <c r="AJ173" s="14"/>
      <c r="AK173" s="14"/>
      <c r="AL173" s="14"/>
      <c r="AM173" s="14"/>
      <c r="AN173" s="14"/>
      <c r="AO173" s="14"/>
      <c r="AP173" s="14"/>
      <c r="AR173" s="14"/>
      <c r="AT173" s="14"/>
      <c r="AV173" s="14"/>
      <c r="AW173" s="14"/>
      <c r="AX173" s="14"/>
      <c r="AY173" s="14"/>
      <c r="AZ173" s="14"/>
      <c r="BB173" s="14"/>
      <c r="BC173" s="14"/>
      <c r="BD173" s="14"/>
      <c r="BE173" s="14"/>
      <c r="BF173" s="14"/>
      <c r="BG173" s="14"/>
      <c r="BH173" s="14"/>
      <c r="BI173" s="14"/>
      <c r="BJ173" s="14"/>
      <c r="BK173" s="14"/>
      <c r="BL173" s="14"/>
      <c r="BM173" s="14"/>
      <c r="BN173" s="14"/>
      <c r="BO173" s="14"/>
      <c r="BP173" s="14"/>
      <c r="BQ173" s="14"/>
      <c r="BR173" s="14"/>
    </row>
    <row r="174" spans="1:70" s="14" customFormat="1">
      <c r="A174" s="180"/>
      <c r="E174" s="23"/>
      <c r="F174"/>
      <c r="G174"/>
      <c r="H174"/>
      <c r="I174"/>
      <c r="L174"/>
      <c r="Q174" s="23"/>
      <c r="R174"/>
      <c r="S174"/>
      <c r="T174"/>
      <c r="U174"/>
      <c r="Z174" s="180"/>
      <c r="AD174" s="180"/>
      <c r="AF174" s="23"/>
      <c r="AQ174" s="54"/>
      <c r="AS174"/>
      <c r="AT174"/>
      <c r="AU174"/>
      <c r="AV174"/>
      <c r="AW174"/>
      <c r="AX174"/>
      <c r="AY174"/>
      <c r="AZ174"/>
    </row>
    <row r="175" spans="1:70" s="14" customFormat="1">
      <c r="A175" s="180"/>
      <c r="E175" s="23"/>
      <c r="F175"/>
      <c r="G175"/>
      <c r="H175"/>
      <c r="I175"/>
      <c r="L175"/>
      <c r="P175"/>
      <c r="Q175" s="23"/>
      <c r="R175"/>
      <c r="S175"/>
      <c r="T175"/>
      <c r="U175"/>
      <c r="Z175" s="180"/>
      <c r="AD175" s="180"/>
      <c r="AF175" s="23"/>
      <c r="AQ175" s="54"/>
      <c r="AU175"/>
      <c r="AV175"/>
      <c r="AW175"/>
      <c r="AX175"/>
      <c r="AY175"/>
      <c r="AZ175"/>
      <c r="BB175"/>
      <c r="BC175"/>
      <c r="BD175"/>
      <c r="BE175"/>
      <c r="BF175"/>
      <c r="BG175"/>
      <c r="BH175"/>
      <c r="BI175"/>
      <c r="BJ175"/>
      <c r="BK175"/>
      <c r="BL175"/>
      <c r="BM175"/>
      <c r="BN175"/>
      <c r="BO175"/>
      <c r="BP175"/>
      <c r="BQ175"/>
      <c r="BR175"/>
    </row>
    <row r="176" spans="1:70">
      <c r="AG176" s="14"/>
      <c r="AH176" s="14"/>
      <c r="AI176" s="14"/>
      <c r="AJ176" s="14"/>
      <c r="AK176" s="14"/>
      <c r="AL176" s="14"/>
      <c r="AM176" s="14"/>
      <c r="AN176" s="14"/>
      <c r="AO176" s="14"/>
      <c r="AP176" s="14"/>
      <c r="AR176" s="14"/>
      <c r="AS176" s="14"/>
      <c r="AT176" s="14"/>
    </row>
    <row r="177" spans="6:48">
      <c r="P177" s="14"/>
      <c r="AG177" s="14"/>
      <c r="AH177" s="14"/>
      <c r="AI177" s="14"/>
      <c r="AJ177" s="14"/>
      <c r="AK177" s="14"/>
      <c r="AL177" s="14"/>
      <c r="AM177" s="14"/>
      <c r="AN177" s="14"/>
      <c r="AO177" s="14"/>
      <c r="AP177" s="14"/>
      <c r="AR177" s="14"/>
      <c r="AS177" s="14"/>
    </row>
    <row r="178" spans="6:48">
      <c r="P178" s="14"/>
    </row>
    <row r="179" spans="6:48">
      <c r="F179" s="14"/>
      <c r="G179" s="14"/>
      <c r="H179" s="14"/>
      <c r="I179" s="14"/>
      <c r="L179" s="14"/>
      <c r="P179" s="14"/>
    </row>
    <row r="180" spans="6:48">
      <c r="F180" s="14"/>
      <c r="G180" s="14"/>
      <c r="H180" s="14"/>
      <c r="I180" s="14"/>
      <c r="L180" s="14"/>
      <c r="AV180" t="s">
        <v>1436</v>
      </c>
    </row>
    <row r="181" spans="6:48">
      <c r="F181" s="14"/>
      <c r="G181" s="14"/>
      <c r="H181" s="14"/>
      <c r="I181" s="14"/>
      <c r="L181" s="14"/>
    </row>
    <row r="183" spans="6:48">
      <c r="F183" s="14"/>
      <c r="G183" s="14"/>
      <c r="H183" s="14"/>
      <c r="I183" s="14"/>
      <c r="L183" s="14"/>
      <c r="AG183" s="14"/>
      <c r="AH183" s="14"/>
      <c r="AI183" s="14"/>
      <c r="AJ183" s="14"/>
      <c r="AK183" s="14"/>
      <c r="AL183" s="14"/>
      <c r="AM183" s="14"/>
      <c r="AN183" s="14"/>
      <c r="AO183" s="14"/>
      <c r="AP183" s="14"/>
      <c r="AR183" s="14"/>
    </row>
    <row r="184" spans="6:48">
      <c r="F184" s="14"/>
      <c r="G184" s="14"/>
      <c r="H184" s="14"/>
      <c r="I184" s="14"/>
      <c r="L184" s="14"/>
      <c r="AG184" s="14"/>
      <c r="AH184" s="14"/>
      <c r="AI184" s="14"/>
      <c r="AJ184" s="14"/>
      <c r="AK184" s="14"/>
      <c r="AL184" s="14"/>
      <c r="AM184" s="14"/>
      <c r="AN184" s="14"/>
      <c r="AO184" s="14"/>
      <c r="AP184" s="14"/>
      <c r="AR184" s="14"/>
    </row>
    <row r="185" spans="6:48">
      <c r="P185" s="14"/>
      <c r="AS185" s="14"/>
    </row>
    <row r="186" spans="6:48">
      <c r="P186" s="14"/>
      <c r="AS186" s="14"/>
    </row>
    <row r="187" spans="6:48">
      <c r="P187" s="14"/>
      <c r="AS187" s="14"/>
    </row>
    <row r="189" spans="6:48">
      <c r="P189" s="14"/>
      <c r="AG189" s="14"/>
      <c r="AH189" s="14"/>
      <c r="AI189" s="14"/>
      <c r="AJ189" s="14"/>
      <c r="AK189" s="14"/>
      <c r="AL189" s="14"/>
      <c r="AM189" s="14"/>
      <c r="AN189" s="14"/>
      <c r="AO189" s="14"/>
      <c r="AP189" s="14"/>
      <c r="AR189" s="14"/>
    </row>
    <row r="190" spans="6:48">
      <c r="P190" s="14"/>
      <c r="AG190" s="14"/>
      <c r="AH190" s="14"/>
      <c r="AI190" s="14"/>
      <c r="AJ190" s="14"/>
      <c r="AK190" s="14"/>
      <c r="AL190" s="14"/>
      <c r="AM190" s="14"/>
      <c r="AN190" s="14"/>
      <c r="AO190" s="14"/>
      <c r="AP190" s="14"/>
      <c r="AR190" s="14"/>
    </row>
    <row r="191" spans="6:48">
      <c r="AG191" s="14"/>
      <c r="AH191" s="14"/>
      <c r="AI191" s="14"/>
      <c r="AJ191" s="14"/>
      <c r="AK191" s="14"/>
      <c r="AL191" s="14"/>
      <c r="AM191" s="14"/>
      <c r="AN191" s="14"/>
      <c r="AO191" s="14"/>
      <c r="AP191" s="14"/>
      <c r="AR191" s="14"/>
    </row>
    <row r="193" spans="33:45">
      <c r="AS193" s="14"/>
    </row>
    <row r="194" spans="33:45">
      <c r="AS194" s="14"/>
    </row>
    <row r="195" spans="33:45">
      <c r="AS195" s="14"/>
    </row>
    <row r="196" spans="33:45">
      <c r="AS196" s="14"/>
    </row>
    <row r="199" spans="33:45">
      <c r="AG199" s="14"/>
      <c r="AH199" s="14"/>
      <c r="AI199" s="14"/>
      <c r="AJ199" s="14"/>
      <c r="AK199" s="14"/>
      <c r="AL199" s="14"/>
      <c r="AM199" s="14"/>
      <c r="AN199" s="14"/>
      <c r="AO199" s="14"/>
      <c r="AP199" s="14"/>
      <c r="AR199" s="14"/>
    </row>
    <row r="200" spans="33:45">
      <c r="AG200" s="14"/>
      <c r="AH200" s="14"/>
      <c r="AI200" s="14"/>
      <c r="AJ200" s="14"/>
      <c r="AK200" s="14"/>
      <c r="AL200" s="14"/>
      <c r="AM200" s="14"/>
      <c r="AN200" s="14"/>
      <c r="AO200" s="14"/>
      <c r="AP200" s="14"/>
      <c r="AR200" s="14"/>
      <c r="AS200" s="14"/>
    </row>
    <row r="201" spans="33:45">
      <c r="AG201" s="14"/>
      <c r="AH201" s="14"/>
      <c r="AI201" s="14"/>
      <c r="AJ201" s="14"/>
      <c r="AK201" s="14"/>
      <c r="AL201" s="14"/>
      <c r="AM201" s="14"/>
      <c r="AN201" s="14"/>
      <c r="AO201" s="14"/>
      <c r="AP201" s="14"/>
      <c r="AR201" s="14"/>
    </row>
    <row r="202" spans="33:45">
      <c r="AS202" s="14"/>
    </row>
    <row r="205" spans="33:45">
      <c r="AS205" s="14"/>
    </row>
    <row r="206" spans="33:45">
      <c r="AS206" s="14"/>
    </row>
    <row r="207" spans="33:45">
      <c r="AG207" s="14"/>
      <c r="AH207" s="14"/>
      <c r="AI207" s="14"/>
      <c r="AJ207" s="14"/>
      <c r="AK207" s="14"/>
      <c r="AL207" s="14"/>
      <c r="AM207" s="14"/>
      <c r="AN207" s="14"/>
      <c r="AO207" s="14"/>
      <c r="AP207" s="14"/>
      <c r="AR207" s="14"/>
      <c r="AS207" s="14"/>
    </row>
    <row r="208" spans="33:45">
      <c r="AG208" s="14"/>
      <c r="AH208" s="14"/>
      <c r="AI208" s="14"/>
      <c r="AJ208" s="14"/>
      <c r="AK208" s="14"/>
      <c r="AL208" s="14"/>
      <c r="AM208" s="14"/>
      <c r="AN208" s="14"/>
      <c r="AO208" s="14"/>
      <c r="AP208" s="14"/>
      <c r="AR208" s="14"/>
    </row>
    <row r="209" spans="33:45">
      <c r="AG209" s="14"/>
      <c r="AH209" s="14"/>
      <c r="AI209" s="14"/>
      <c r="AJ209" s="14"/>
      <c r="AK209" s="14"/>
      <c r="AL209" s="14"/>
      <c r="AM209" s="14"/>
      <c r="AN209" s="14"/>
      <c r="AO209" s="14"/>
      <c r="AP209" s="14"/>
      <c r="AR209" s="14"/>
    </row>
    <row r="210" spans="33:45">
      <c r="AG210" s="14"/>
      <c r="AH210" s="14"/>
      <c r="AI210" s="14"/>
      <c r="AJ210" s="14"/>
      <c r="AK210" s="14"/>
      <c r="AL210" s="14"/>
      <c r="AM210" s="14"/>
      <c r="AN210" s="14"/>
      <c r="AO210" s="14"/>
      <c r="AP210" s="14"/>
      <c r="AR210" s="14"/>
    </row>
    <row r="213" spans="33:45">
      <c r="AS213" s="14"/>
    </row>
    <row r="214" spans="33:45">
      <c r="AG214" s="14"/>
      <c r="AH214" s="14"/>
      <c r="AI214" s="14"/>
      <c r="AJ214" s="14"/>
      <c r="AK214" s="14"/>
      <c r="AL214" s="14"/>
      <c r="AM214" s="14"/>
      <c r="AN214" s="14"/>
      <c r="AO214" s="14"/>
      <c r="AP214" s="14"/>
      <c r="AR214" s="14"/>
      <c r="AS214" s="14"/>
    </row>
    <row r="215" spans="33:45">
      <c r="AS215" s="14"/>
    </row>
    <row r="216" spans="33:45">
      <c r="AG216" s="14"/>
      <c r="AH216" s="14"/>
      <c r="AI216" s="14"/>
      <c r="AJ216" s="14"/>
      <c r="AK216" s="14"/>
      <c r="AL216" s="14"/>
      <c r="AM216" s="14"/>
      <c r="AN216" s="14"/>
      <c r="AO216" s="14"/>
      <c r="AP216" s="14"/>
      <c r="AR216" s="14"/>
    </row>
    <row r="217" spans="33:45">
      <c r="AS217" s="14"/>
    </row>
    <row r="218" spans="33:45">
      <c r="AS218" s="14"/>
    </row>
    <row r="219" spans="33:45">
      <c r="AG219" s="14"/>
      <c r="AH219" s="14"/>
      <c r="AI219" s="14"/>
      <c r="AJ219" s="14"/>
      <c r="AK219" s="14"/>
      <c r="AL219" s="14"/>
      <c r="AM219" s="14"/>
      <c r="AN219" s="14"/>
      <c r="AO219" s="14"/>
      <c r="AP219" s="14"/>
      <c r="AR219" s="14"/>
    </row>
    <row r="220" spans="33:45">
      <c r="AG220" s="14"/>
      <c r="AH220" s="14"/>
      <c r="AI220" s="14"/>
      <c r="AJ220" s="14"/>
      <c r="AK220" s="14"/>
      <c r="AL220" s="14"/>
      <c r="AM220" s="14"/>
      <c r="AN220" s="14"/>
      <c r="AO220" s="14"/>
      <c r="AP220" s="14"/>
      <c r="AR220" s="14"/>
    </row>
    <row r="221" spans="33:45">
      <c r="AG221" s="14"/>
      <c r="AH221" s="14"/>
      <c r="AI221" s="14"/>
      <c r="AJ221" s="14"/>
      <c r="AK221" s="14"/>
      <c r="AL221" s="14"/>
      <c r="AM221" s="14"/>
      <c r="AN221" s="14"/>
      <c r="AO221" s="14"/>
      <c r="AP221" s="14"/>
      <c r="AR221" s="14"/>
    </row>
    <row r="227" spans="33:44">
      <c r="AG227" s="14"/>
      <c r="AH227" s="14"/>
      <c r="AI227" s="14"/>
      <c r="AJ227" s="14"/>
      <c r="AK227" s="14"/>
      <c r="AL227" s="14"/>
      <c r="AM227" s="14"/>
      <c r="AN227" s="14"/>
      <c r="AO227" s="14"/>
      <c r="AP227" s="14"/>
      <c r="AR227" s="14"/>
    </row>
    <row r="228" spans="33:44">
      <c r="AG228" s="14"/>
      <c r="AH228" s="14"/>
      <c r="AI228" s="14"/>
      <c r="AJ228" s="14"/>
      <c r="AK228" s="14"/>
      <c r="AL228" s="14"/>
      <c r="AM228" s="14"/>
      <c r="AN228" s="14"/>
      <c r="AO228" s="14"/>
      <c r="AP228" s="14"/>
      <c r="AR228" s="14"/>
    </row>
    <row r="229" spans="33:44">
      <c r="AG229" s="14"/>
      <c r="AH229" s="14"/>
      <c r="AI229" s="14"/>
      <c r="AJ229" s="14"/>
      <c r="AK229" s="14"/>
      <c r="AL229" s="14"/>
      <c r="AM229" s="14"/>
      <c r="AN229" s="14"/>
      <c r="AO229" s="14"/>
      <c r="AP229" s="14"/>
      <c r="AR229" s="14"/>
    </row>
    <row r="231" spans="33:44">
      <c r="AG231" s="14"/>
      <c r="AH231" s="14"/>
      <c r="AI231" s="14"/>
      <c r="AJ231" s="14"/>
      <c r="AK231" s="14"/>
      <c r="AL231" s="14"/>
      <c r="AM231" s="14"/>
      <c r="AN231" s="14"/>
      <c r="AO231" s="14"/>
      <c r="AP231" s="14"/>
      <c r="AR231" s="14"/>
    </row>
    <row r="232" spans="33:44">
      <c r="AG232" s="14"/>
      <c r="AH232" s="14"/>
      <c r="AI232" s="14"/>
      <c r="AJ232" s="14"/>
      <c r="AK232" s="14"/>
      <c r="AL232" s="14"/>
      <c r="AM232" s="14"/>
      <c r="AN232" s="14"/>
      <c r="AO232" s="14"/>
      <c r="AP232" s="14"/>
      <c r="AR232" s="14"/>
    </row>
  </sheetData>
  <sheetProtection algorithmName="SHA-512" hashValue="MduKs1vqhaK+O074MKmqXeQePby3GWub1FgGXvBlrO26YksEdDEYpuYMhrIyzFqxxAmaApwn6PfENpBr+2oF2g==" saltValue="bo0pC/HeAQMkh8jAAPu6mA==" spinCount="100000" sheet="1" objects="1" scenarios="1"/>
  <phoneticPr fontId="139" type="noConversion"/>
  <conditionalFormatting sqref="AQ51:AQ58">
    <cfRule type="containsBlanks" dxfId="381" priority="1">
      <formula>LEN(TRIM(AQ51))=0</formula>
    </cfRule>
  </conditionalFormatting>
  <dataValidations count="1">
    <dataValidation type="list" allowBlank="1" showInputMessage="1" showErrorMessage="1" sqref="AQ51:AQ53 AQ58 BN14:BN23 AQ60" xr:uid="{B57342AC-D75B-40F4-BFB5-E20F4C565251}">
      <formula1>ENDUSECAT</formula1>
    </dataValidation>
  </dataValidations>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theme="7" tint="0.39997558519241921"/>
  </sheetPr>
  <dimension ref="A1:AP80"/>
  <sheetViews>
    <sheetView workbookViewId="0"/>
  </sheetViews>
  <sheetFormatPr defaultColWidth="1.7109375" defaultRowHeight="15"/>
  <cols>
    <col min="1" max="1" width="3.28515625" customWidth="1"/>
    <col min="2" max="2" width="2.7109375" customWidth="1"/>
    <col min="3" max="3" width="5" bestFit="1" customWidth="1"/>
    <col min="4" max="4" width="5.140625" customWidth="1"/>
    <col min="5" max="5" width="3.7109375" customWidth="1"/>
    <col min="6" max="6" width="3.42578125" customWidth="1"/>
    <col min="7" max="7" width="4" bestFit="1" customWidth="1"/>
    <col min="8" max="8" width="2.42578125" bestFit="1" customWidth="1"/>
    <col min="9" max="9" width="3.85546875" bestFit="1" customWidth="1"/>
    <col min="10" max="10" width="3.28515625" bestFit="1" customWidth="1"/>
    <col min="11" max="11" width="4" bestFit="1" customWidth="1"/>
    <col min="13" max="13" width="3.140625" customWidth="1"/>
    <col min="14" max="17" width="1.7109375" customWidth="1"/>
    <col min="21" max="21" width="1.7109375" bestFit="1" customWidth="1"/>
    <col min="22" max="22" width="2" bestFit="1" customWidth="1"/>
  </cols>
  <sheetData>
    <row r="1" spans="1:22">
      <c r="A1" t="s">
        <v>135</v>
      </c>
      <c r="H1" s="10"/>
      <c r="I1" s="10"/>
      <c r="J1" s="10"/>
      <c r="K1" s="10"/>
      <c r="N1" s="28"/>
      <c r="O1" s="28"/>
      <c r="P1" s="29"/>
      <c r="Q1" s="29"/>
      <c r="R1" s="29"/>
      <c r="U1" s="73">
        <f>NPV(EDR,$E$76:$E77)/1000</f>
        <v>0</v>
      </c>
      <c r="V1" s="72">
        <f>NPV(EDR,$G$76:$G77)+NPV(EDR,$I$1:$I2)</f>
        <v>0</v>
      </c>
    </row>
    <row r="2" spans="1:22">
      <c r="A2" t="s">
        <v>136</v>
      </c>
      <c r="H2" s="10"/>
      <c r="I2" s="10"/>
      <c r="J2" s="10"/>
      <c r="K2" s="10"/>
      <c r="N2" s="28"/>
      <c r="O2" s="28"/>
      <c r="P2" s="29"/>
      <c r="Q2" s="29"/>
      <c r="R2" s="29"/>
      <c r="U2" s="73" t="e">
        <f>NPV(EDR,#REF!)/1000</f>
        <v>#REF!</v>
      </c>
      <c r="V2" s="72" t="e">
        <f>NPV(EDR,#REF!)+NPV(EDR,#REF!)</f>
        <v>#REF!</v>
      </c>
    </row>
    <row r="3" spans="1:22">
      <c r="A3" t="s">
        <v>1706</v>
      </c>
    </row>
    <row r="4" spans="1:22">
      <c r="A4" t="s">
        <v>1705</v>
      </c>
    </row>
    <row r="5" spans="1:22">
      <c r="E5" t="s">
        <v>339</v>
      </c>
    </row>
    <row r="6" spans="1:22">
      <c r="A6" s="180" t="s">
        <v>137</v>
      </c>
      <c r="B6">
        <v>0</v>
      </c>
      <c r="E6" t="s">
        <v>787</v>
      </c>
    </row>
    <row r="7" spans="1:22">
      <c r="A7" s="114" t="s">
        <v>139</v>
      </c>
      <c r="B7" s="332">
        <v>6.5840999999999997E-2</v>
      </c>
      <c r="C7" s="180" t="s">
        <v>1206</v>
      </c>
      <c r="E7" s="117" t="s">
        <v>1222</v>
      </c>
    </row>
    <row r="8" spans="1:22">
      <c r="A8" s="180" t="s">
        <v>337</v>
      </c>
      <c r="B8">
        <v>1</v>
      </c>
      <c r="D8" s="14"/>
      <c r="E8" s="14"/>
      <c r="F8" s="14"/>
      <c r="G8" s="14"/>
    </row>
    <row r="9" spans="1:22">
      <c r="A9" s="14"/>
      <c r="B9" s="9"/>
      <c r="C9" s="14"/>
      <c r="D9" s="14"/>
      <c r="E9" s="14"/>
      <c r="F9" s="14"/>
      <c r="G9" s="14"/>
    </row>
    <row r="10" spans="1:22">
      <c r="C10" s="10"/>
      <c r="D10" s="10"/>
      <c r="E10" s="10"/>
      <c r="F10" s="10"/>
      <c r="G10" s="10"/>
    </row>
    <row r="11" spans="1:22">
      <c r="A11" s="114" t="s">
        <v>132</v>
      </c>
      <c r="B11" s="114" t="s">
        <v>138</v>
      </c>
      <c r="C11" s="180" t="s">
        <v>338</v>
      </c>
      <c r="D11" s="116" t="s">
        <v>133</v>
      </c>
      <c r="E11" s="10" t="s">
        <v>134</v>
      </c>
      <c r="F11" s="114" t="s">
        <v>140</v>
      </c>
      <c r="G11" s="114" t="s">
        <v>1207</v>
      </c>
    </row>
    <row r="12" spans="1:22">
      <c r="A12" s="14">
        <v>2019</v>
      </c>
      <c r="B12" s="14">
        <v>0</v>
      </c>
      <c r="C12" s="180"/>
      <c r="D12" s="180"/>
      <c r="E12" s="180"/>
      <c r="F12" s="324">
        <f>K53</f>
        <v>0.10281323260661911</v>
      </c>
      <c r="G12" s="94">
        <f>L53</f>
        <v>439.25140746510084</v>
      </c>
    </row>
    <row r="13" spans="1:22">
      <c r="A13" s="14">
        <v>2020</v>
      </c>
      <c r="B13" s="14">
        <v>1</v>
      </c>
      <c r="C13" s="180"/>
      <c r="D13" s="180"/>
      <c r="E13" s="180"/>
      <c r="F13" s="324">
        <f t="shared" ref="F13:F32" si="0">K54</f>
        <v>0.12819805935457237</v>
      </c>
      <c r="G13" s="94">
        <f t="shared" ref="G13:G32" si="1">L54</f>
        <v>538.75012894205452</v>
      </c>
    </row>
    <row r="14" spans="1:22">
      <c r="A14" s="180">
        <v>2021</v>
      </c>
      <c r="B14" s="14">
        <v>2</v>
      </c>
      <c r="C14" s="180"/>
      <c r="D14" s="180"/>
      <c r="E14" s="180"/>
      <c r="F14" s="324">
        <f t="shared" si="0"/>
        <v>0.15449385990331274</v>
      </c>
      <c r="G14" s="94">
        <f t="shared" si="1"/>
        <v>634.43624864834987</v>
      </c>
    </row>
    <row r="15" spans="1:22">
      <c r="A15" s="180">
        <v>2022</v>
      </c>
      <c r="B15" s="14">
        <v>3</v>
      </c>
      <c r="C15" s="180"/>
      <c r="D15" s="180"/>
      <c r="E15" s="180"/>
      <c r="F15" s="324">
        <f t="shared" si="0"/>
        <v>0.18027708651695706</v>
      </c>
      <c r="G15" s="94">
        <f t="shared" si="1"/>
        <v>726.45585823266185</v>
      </c>
    </row>
    <row r="16" spans="1:22">
      <c r="A16" s="180">
        <v>2023</v>
      </c>
      <c r="B16" s="14">
        <v>4</v>
      </c>
      <c r="C16" s="180"/>
      <c r="D16" s="180"/>
      <c r="E16" s="180"/>
      <c r="F16" s="324">
        <f t="shared" si="0"/>
        <v>0.20539552888291612</v>
      </c>
      <c r="G16" s="94">
        <f t="shared" si="1"/>
        <v>814.94945138953949</v>
      </c>
    </row>
    <row r="17" spans="1:7">
      <c r="A17" s="180">
        <v>2024</v>
      </c>
      <c r="B17" s="14">
        <v>5</v>
      </c>
      <c r="C17" s="180"/>
      <c r="D17" s="180"/>
      <c r="E17" s="180"/>
      <c r="F17" s="324">
        <f t="shared" si="0"/>
        <v>0.23044536684575306</v>
      </c>
      <c r="G17" s="94">
        <f t="shared" si="1"/>
        <v>900.05213836236157</v>
      </c>
    </row>
    <row r="18" spans="1:7">
      <c r="A18" s="180">
        <v>2025</v>
      </c>
      <c r="B18" s="14">
        <v>6</v>
      </c>
      <c r="C18" s="180"/>
      <c r="D18" s="180"/>
      <c r="E18" s="180"/>
      <c r="F18" s="324">
        <f t="shared" si="0"/>
        <v>0.25518149008328728</v>
      </c>
      <c r="G18" s="94">
        <f t="shared" si="1"/>
        <v>981.89385222694614</v>
      </c>
    </row>
    <row r="19" spans="1:7">
      <c r="A19" s="180">
        <v>2026</v>
      </c>
      <c r="B19" s="14">
        <v>7</v>
      </c>
      <c r="C19" s="180"/>
      <c r="D19" s="180"/>
      <c r="E19" s="180"/>
      <c r="F19" s="324">
        <f t="shared" si="0"/>
        <v>0.27942021817752721</v>
      </c>
      <c r="G19" s="94">
        <f t="shared" si="1"/>
        <v>1060.5995472707652</v>
      </c>
    </row>
    <row r="20" spans="1:7">
      <c r="A20" s="180">
        <v>2027</v>
      </c>
      <c r="B20" s="14">
        <v>8</v>
      </c>
      <c r="C20" s="180"/>
      <c r="D20" s="180"/>
      <c r="E20" s="180"/>
      <c r="F20" s="324">
        <f t="shared" si="0"/>
        <v>0.30335175956839949</v>
      </c>
      <c r="G20" s="94">
        <f t="shared" si="1"/>
        <v>1136.2893897706451</v>
      </c>
    </row>
    <row r="21" spans="1:7">
      <c r="A21" s="180">
        <v>2028</v>
      </c>
      <c r="B21" s="14">
        <v>9</v>
      </c>
      <c r="C21" s="180"/>
      <c r="D21" s="180"/>
      <c r="E21" s="180"/>
      <c r="F21" s="324">
        <f t="shared" si="0"/>
        <v>0.32682386797738966</v>
      </c>
      <c r="G21" s="94">
        <f t="shared" si="1"/>
        <v>1209.078941460228</v>
      </c>
    </row>
    <row r="22" spans="1:7">
      <c r="A22" s="180">
        <v>2029</v>
      </c>
      <c r="B22" s="14">
        <v>10</v>
      </c>
      <c r="C22" s="180"/>
      <c r="D22" s="180"/>
      <c r="E22" s="180"/>
      <c r="F22" s="324">
        <f t="shared" si="0"/>
        <v>0.35003770026181036</v>
      </c>
      <c r="G22" s="94">
        <f t="shared" si="1"/>
        <v>1279.0793359673098</v>
      </c>
    </row>
    <row r="23" spans="1:7">
      <c r="A23" s="180">
        <v>2030</v>
      </c>
      <c r="B23" s="14">
        <v>11</v>
      </c>
      <c r="C23" s="180"/>
      <c r="D23" s="180"/>
      <c r="E23" s="180"/>
      <c r="F23" s="324">
        <f t="shared" si="0"/>
        <v>0.37321818525614692</v>
      </c>
      <c r="G23" s="94">
        <f t="shared" si="1"/>
        <v>1346.3974484904338</v>
      </c>
    </row>
    <row r="24" spans="1:7">
      <c r="A24" s="180">
        <v>2031</v>
      </c>
      <c r="B24" s="14">
        <v>12</v>
      </c>
      <c r="C24" s="180"/>
      <c r="D24" s="180"/>
      <c r="E24" s="180"/>
      <c r="F24" s="324">
        <f t="shared" si="0"/>
        <v>0.39625011904226071</v>
      </c>
      <c r="G24" s="94">
        <f t="shared" si="1"/>
        <v>1411.1360589738003</v>
      </c>
    </row>
    <row r="25" spans="1:7">
      <c r="A25" s="180">
        <v>2032</v>
      </c>
      <c r="B25" s="14">
        <v>13</v>
      </c>
      <c r="C25" s="180"/>
      <c r="D25" s="180"/>
      <c r="E25" s="180"/>
      <c r="F25" s="324">
        <f t="shared" si="0"/>
        <v>0.41921841879879346</v>
      </c>
      <c r="G25" s="94">
        <f t="shared" si="1"/>
        <v>1473.3940090296255</v>
      </c>
    </row>
    <row r="26" spans="1:7">
      <c r="A26" s="180">
        <v>2033</v>
      </c>
      <c r="B26" s="14">
        <v>14</v>
      </c>
      <c r="C26" s="180"/>
      <c r="D26" s="180"/>
      <c r="E26" s="180"/>
      <c r="F26" s="324">
        <f t="shared" si="0"/>
        <v>0.44235424012967722</v>
      </c>
      <c r="G26" s="94">
        <f t="shared" si="1"/>
        <v>1533.2663528475316</v>
      </c>
    </row>
    <row r="27" spans="1:7">
      <c r="A27" s="180">
        <v>2034</v>
      </c>
      <c r="B27" s="14">
        <v>15</v>
      </c>
      <c r="C27" s="180"/>
      <c r="D27" s="180"/>
      <c r="E27" s="180"/>
      <c r="F27" s="324">
        <f t="shared" si="0"/>
        <v>0.46470191881228468</v>
      </c>
      <c r="G27" s="94">
        <f t="shared" si="1"/>
        <v>1590.8445023213778</v>
      </c>
    </row>
    <row r="28" spans="1:7">
      <c r="A28" s="180">
        <v>2035</v>
      </c>
      <c r="B28" s="14">
        <v>16</v>
      </c>
      <c r="C28" s="180"/>
      <c r="D28" s="180"/>
      <c r="E28" s="180"/>
      <c r="F28" s="324">
        <f t="shared" si="0"/>
        <v>0.48716377565681629</v>
      </c>
      <c r="G28" s="94">
        <f t="shared" si="1"/>
        <v>1646.2163666151068</v>
      </c>
    </row>
    <row r="29" spans="1:7">
      <c r="A29" s="180">
        <v>2036</v>
      </c>
      <c r="B29" s="14">
        <v>17</v>
      </c>
      <c r="C29" s="180"/>
      <c r="D29" s="180"/>
      <c r="E29" s="180"/>
      <c r="F29" s="324">
        <f t="shared" si="0"/>
        <v>0.50942253112385205</v>
      </c>
      <c r="G29" s="94">
        <f t="shared" si="1"/>
        <v>1699.4664863806931</v>
      </c>
    </row>
    <row r="30" spans="1:7">
      <c r="A30" s="180">
        <v>2037</v>
      </c>
      <c r="B30" s="14">
        <v>18</v>
      </c>
      <c r="C30" s="180"/>
      <c r="D30" s="180"/>
      <c r="E30" s="180"/>
      <c r="F30" s="324">
        <f t="shared" si="0"/>
        <v>0.53113187970105025</v>
      </c>
      <c r="G30" s="94">
        <f t="shared" si="1"/>
        <v>1750.6761628331151</v>
      </c>
    </row>
    <row r="31" spans="1:7">
      <c r="A31" s="180">
        <v>2038</v>
      </c>
      <c r="B31" s="14">
        <v>19</v>
      </c>
      <c r="C31" s="180"/>
      <c r="D31" s="180"/>
      <c r="E31" s="180"/>
      <c r="F31" s="324">
        <f t="shared" si="0"/>
        <v>0.55213951235585235</v>
      </c>
      <c r="G31" s="94">
        <f t="shared" si="1"/>
        <v>1799.92358187942</v>
      </c>
    </row>
    <row r="32" spans="1:7">
      <c r="A32" s="180">
        <v>2039</v>
      </c>
      <c r="B32" s="14">
        <v>20</v>
      </c>
      <c r="C32" s="180"/>
      <c r="D32" s="180"/>
      <c r="E32" s="180"/>
      <c r="F32" s="324">
        <f t="shared" si="0"/>
        <v>0.57289686704670706</v>
      </c>
      <c r="G32" s="94">
        <f t="shared" si="1"/>
        <v>1847.2839334913981</v>
      </c>
    </row>
    <row r="33" spans="1:42">
      <c r="A33" s="180"/>
      <c r="B33" s="14"/>
      <c r="C33" s="129"/>
      <c r="D33" s="10"/>
    </row>
    <row r="34" spans="1:42">
      <c r="A34" s="14"/>
      <c r="B34" s="14"/>
      <c r="C34" s="14"/>
      <c r="D34" s="10"/>
      <c r="E34" s="10"/>
      <c r="F34" s="10"/>
      <c r="G34" s="10"/>
    </row>
    <row r="35" spans="1:42">
      <c r="A35" s="14"/>
      <c r="B35" s="14"/>
      <c r="C35" s="14"/>
      <c r="D35" s="10"/>
      <c r="E35" s="10"/>
      <c r="F35" s="10"/>
      <c r="G35" s="10"/>
    </row>
    <row r="36" spans="1:42">
      <c r="A36" s="118" t="s">
        <v>1698</v>
      </c>
      <c r="B36" s="118"/>
      <c r="C36" s="118"/>
      <c r="D36" s="120"/>
      <c r="E36" s="119"/>
      <c r="F36" s="119"/>
      <c r="G36" s="180" t="s">
        <v>782</v>
      </c>
      <c r="H36" s="180"/>
      <c r="I36" s="180"/>
      <c r="J36" s="180"/>
      <c r="K36" s="180"/>
      <c r="L36" s="180"/>
      <c r="M36" s="180"/>
      <c r="N36" s="180"/>
    </row>
    <row r="37" spans="1:42">
      <c r="A37" s="118"/>
      <c r="B37" s="118"/>
      <c r="C37" s="118"/>
      <c r="D37" s="120"/>
      <c r="E37" s="119"/>
      <c r="F37" s="119"/>
      <c r="G37" s="180"/>
      <c r="H37" s="180"/>
      <c r="I37" s="180"/>
      <c r="J37" s="180"/>
      <c r="K37" s="180"/>
      <c r="L37" s="180"/>
      <c r="M37" s="180"/>
      <c r="N37" s="180"/>
      <c r="AP37" t="s">
        <v>1232</v>
      </c>
    </row>
    <row r="38" spans="1:42" ht="15.75">
      <c r="A38" s="118" t="s">
        <v>1208</v>
      </c>
      <c r="B38" s="118" t="s">
        <v>1209</v>
      </c>
      <c r="C38" s="288">
        <v>6.5840999999999997E-2</v>
      </c>
      <c r="D38" s="120"/>
      <c r="E38" s="302"/>
      <c r="F38" s="303"/>
      <c r="G38" s="180"/>
      <c r="H38" s="180"/>
      <c r="I38" s="180"/>
      <c r="J38" s="180"/>
      <c r="K38" s="180"/>
      <c r="L38" s="180"/>
      <c r="M38" s="180"/>
      <c r="N38" s="180"/>
      <c r="AP38" s="136"/>
    </row>
    <row r="39" spans="1:42">
      <c r="A39" s="118"/>
      <c r="B39" s="118" t="s">
        <v>1210</v>
      </c>
      <c r="C39" s="288">
        <v>6.5840999999999997E-2</v>
      </c>
      <c r="D39" s="120"/>
      <c r="E39" s="119"/>
      <c r="F39" s="119"/>
      <c r="G39" s="180"/>
      <c r="H39" s="180"/>
      <c r="I39" s="180"/>
      <c r="J39" s="180"/>
      <c r="K39" s="180"/>
      <c r="L39" s="180"/>
      <c r="M39" s="180"/>
      <c r="N39" s="180"/>
    </row>
    <row r="40" spans="1:42">
      <c r="A40" s="120"/>
      <c r="B40" s="120"/>
      <c r="C40" s="304"/>
      <c r="D40" s="120"/>
      <c r="E40" s="120"/>
      <c r="F40" s="120"/>
      <c r="G40" s="119"/>
      <c r="H40" s="180"/>
      <c r="I40" s="180"/>
      <c r="J40" s="180"/>
      <c r="K40" s="180"/>
      <c r="L40" s="180"/>
      <c r="M40" s="180"/>
      <c r="N40" s="180"/>
    </row>
    <row r="41" spans="1:42" ht="115.5">
      <c r="A41" s="121" t="s">
        <v>1208</v>
      </c>
      <c r="B41" s="305">
        <v>6.5840999999999997E-2</v>
      </c>
      <c r="C41" s="306"/>
      <c r="D41" s="120"/>
      <c r="E41" s="120"/>
      <c r="F41" s="119"/>
      <c r="G41" s="180"/>
      <c r="H41" s="180"/>
      <c r="I41" s="180"/>
      <c r="J41" s="180"/>
      <c r="K41" s="180"/>
      <c r="L41" s="180"/>
      <c r="M41" s="180"/>
      <c r="N41" s="180"/>
    </row>
    <row r="42" spans="1:42" ht="128.25">
      <c r="A42" s="121" t="s">
        <v>1699</v>
      </c>
      <c r="B42" s="307">
        <v>2.3300000000000001E-2</v>
      </c>
      <c r="C42" s="308"/>
      <c r="D42" s="120"/>
      <c r="E42" s="120"/>
      <c r="F42" s="119"/>
      <c r="G42" s="180"/>
      <c r="H42" s="180"/>
      <c r="I42" s="180"/>
      <c r="J42" s="180"/>
      <c r="K42" s="180"/>
      <c r="L42" s="180"/>
      <c r="M42" s="180"/>
      <c r="N42" s="180"/>
    </row>
    <row r="43" spans="1:42" s="14" customFormat="1" ht="128.25">
      <c r="A43" s="121" t="s">
        <v>1700</v>
      </c>
      <c r="B43" s="309">
        <v>0.03</v>
      </c>
      <c r="C43" s="120"/>
      <c r="D43" s="120"/>
      <c r="E43" s="120"/>
      <c r="F43" s="119"/>
      <c r="G43" s="180"/>
      <c r="H43" s="180"/>
      <c r="I43" s="180"/>
      <c r="J43" s="180"/>
      <c r="K43" s="180"/>
      <c r="L43" s="180"/>
      <c r="M43" s="180"/>
      <c r="N43" s="180"/>
    </row>
    <row r="44" spans="1:42" s="14" customFormat="1" ht="166.5">
      <c r="A44" s="121" t="s">
        <v>1701</v>
      </c>
      <c r="B44" s="310">
        <v>1.2500000000000001E-2</v>
      </c>
      <c r="C44" s="120" t="s">
        <v>1702</v>
      </c>
      <c r="D44" s="120"/>
      <c r="E44" s="120"/>
      <c r="F44" s="119"/>
      <c r="G44" s="180"/>
      <c r="H44" s="180"/>
      <c r="I44" s="180"/>
      <c r="J44" s="180"/>
      <c r="K44" s="180"/>
      <c r="L44" s="180"/>
      <c r="M44" s="180"/>
      <c r="N44" s="180"/>
    </row>
    <row r="45" spans="1:42">
      <c r="A45" s="122"/>
      <c r="B45" s="123"/>
      <c r="C45" s="120"/>
      <c r="D45" s="120"/>
      <c r="E45" s="120"/>
      <c r="F45" s="119"/>
      <c r="G45" s="180"/>
      <c r="H45" s="180"/>
      <c r="I45" s="180"/>
      <c r="J45" s="180"/>
      <c r="K45" s="180"/>
      <c r="L45" s="180"/>
      <c r="M45" s="180"/>
      <c r="N45" s="180"/>
      <c r="P45" s="10"/>
    </row>
    <row r="46" spans="1:42">
      <c r="A46" s="122"/>
      <c r="B46" s="124"/>
      <c r="C46" s="120"/>
      <c r="D46" s="120"/>
      <c r="E46" s="120"/>
      <c r="F46" s="119"/>
      <c r="G46" s="180"/>
      <c r="H46" s="180"/>
      <c r="I46" s="180"/>
      <c r="J46" s="180"/>
      <c r="K46" s="180"/>
      <c r="L46" s="180"/>
      <c r="M46" s="180"/>
      <c r="N46" s="180"/>
      <c r="Q46" s="10"/>
    </row>
    <row r="47" spans="1:42">
      <c r="A47" s="692" t="s">
        <v>1211</v>
      </c>
      <c r="B47" s="693"/>
      <c r="C47" s="693"/>
      <c r="D47" s="693"/>
      <c r="E47" s="694"/>
      <c r="F47" s="119"/>
      <c r="G47" s="180"/>
      <c r="H47" s="180"/>
      <c r="I47" s="180"/>
      <c r="J47" s="695" t="s">
        <v>1212</v>
      </c>
      <c r="K47" s="696"/>
      <c r="L47" s="696"/>
      <c r="M47" s="696"/>
      <c r="N47" s="696"/>
      <c r="Q47" s="73" t="e">
        <f>NPV(EDR,#REF!)/1000</f>
        <v>#REF!</v>
      </c>
      <c r="R47" s="72" t="e">
        <f>NPV(EDR,#REF!)+NPV(EDR,$I$7:$I7)</f>
        <v>#REF!</v>
      </c>
    </row>
    <row r="48" spans="1:42">
      <c r="A48" s="311"/>
      <c r="B48" s="697" t="s">
        <v>1213</v>
      </c>
      <c r="C48" s="694"/>
      <c r="D48" s="697" t="s">
        <v>1703</v>
      </c>
      <c r="E48" s="694"/>
      <c r="F48" s="119"/>
      <c r="G48" s="180"/>
      <c r="H48" s="180"/>
      <c r="I48" s="180"/>
      <c r="J48" s="125"/>
      <c r="K48" s="698" t="s">
        <v>1214</v>
      </c>
      <c r="L48" s="698"/>
      <c r="M48" s="699" t="s">
        <v>1704</v>
      </c>
      <c r="N48" s="700"/>
      <c r="Q48" s="73" t="e">
        <f>NPV(EDR,#REF!)/1000</f>
        <v>#REF!</v>
      </c>
      <c r="R48" s="72" t="e">
        <f>NPV(EDR,#REF!)+NPV(EDR,$I$7:$I8)</f>
        <v>#REF!</v>
      </c>
      <c r="U48" s="11" t="e">
        <f>ELECCB[[#This Row],[NPV AEC $/kWh]]-J7</f>
        <v>#VALUE!</v>
      </c>
      <c r="V48" s="10" t="e">
        <f>ELECCB[[#This Row],[NPV ACC $/kW]]-K7</f>
        <v>#VALUE!</v>
      </c>
    </row>
    <row r="49" spans="1:22" ht="243">
      <c r="A49" s="312" t="s">
        <v>1215</v>
      </c>
      <c r="B49" s="311" t="s">
        <v>780</v>
      </c>
      <c r="C49" s="311" t="s">
        <v>1216</v>
      </c>
      <c r="D49" s="311" t="s">
        <v>780</v>
      </c>
      <c r="E49" s="311" t="s">
        <v>1216</v>
      </c>
      <c r="F49" s="119"/>
      <c r="G49" s="313" t="s">
        <v>1218</v>
      </c>
      <c r="H49" s="313" t="s">
        <v>1219</v>
      </c>
      <c r="I49" s="180"/>
      <c r="J49" s="287" t="s">
        <v>1217</v>
      </c>
      <c r="K49" s="287" t="s">
        <v>780</v>
      </c>
      <c r="L49" s="287" t="s">
        <v>1216</v>
      </c>
      <c r="M49" s="314" t="s">
        <v>780</v>
      </c>
      <c r="N49" s="314" t="s">
        <v>1216</v>
      </c>
      <c r="Q49" s="73">
        <f>NPV(EDR,$E$76:$E77)/1000</f>
        <v>0</v>
      </c>
      <c r="R49" s="72">
        <f>NPV(EDR,$G$76:$G77)+NPV(EDR,$I$1:$I2)</f>
        <v>0</v>
      </c>
      <c r="U49" s="11" t="e">
        <f>ELECCB[[#This Row],[NPV AEC $/kWh]]-J8</f>
        <v>#VALUE!</v>
      </c>
      <c r="V49" s="10" t="e">
        <f>ELECCB[[#This Row],[NPV ACC $/kW]]-K8</f>
        <v>#VALUE!</v>
      </c>
    </row>
    <row r="50" spans="1:22">
      <c r="A50" s="287">
        <v>1</v>
      </c>
      <c r="B50" s="115">
        <f>26.36/1000</f>
        <v>2.6359999999999998E-2</v>
      </c>
      <c r="C50" s="126">
        <v>116.33</v>
      </c>
      <c r="D50" s="315">
        <f>B50+$B$44*(1+$B$42)^(A50-1)</f>
        <v>3.8859999999999999E-2</v>
      </c>
      <c r="E50" s="315">
        <f>C50</f>
        <v>116.33</v>
      </c>
      <c r="F50" s="127"/>
      <c r="G50" s="15"/>
      <c r="H50" s="15"/>
      <c r="I50" s="180"/>
      <c r="J50" s="287">
        <v>1</v>
      </c>
      <c r="K50" s="115">
        <f>B50</f>
        <v>2.6359999999999998E-2</v>
      </c>
      <c r="L50" s="126">
        <f>C50</f>
        <v>116.33</v>
      </c>
      <c r="M50" s="115">
        <f t="shared" ref="M50:N50" si="2">D50</f>
        <v>3.8859999999999999E-2</v>
      </c>
      <c r="N50" s="126">
        <f t="shared" si="2"/>
        <v>116.33</v>
      </c>
      <c r="Q50" s="73">
        <f>NPV(EDR,$E$76:$E77)/1000</f>
        <v>0</v>
      </c>
      <c r="R50" s="72">
        <f>NPV(EDR,$G$76:$G77)+NPV(EDR,$I$1:$I2)</f>
        <v>0</v>
      </c>
      <c r="U50" s="11" t="e">
        <f>ELECCB[[#This Row],[NPV AEC $/kWh]]-#REF!</f>
        <v>#VALUE!</v>
      </c>
      <c r="V50" s="10" t="e">
        <f>ELECCB[[#This Row],[NPV ACC $/kW]]-#REF!</f>
        <v>#VALUE!</v>
      </c>
    </row>
    <row r="51" spans="1:22">
      <c r="A51" s="287">
        <v>2</v>
      </c>
      <c r="B51" s="115">
        <f t="shared" ref="B51:C66" si="3">+B50*G51</f>
        <v>2.7549999999999998E-2</v>
      </c>
      <c r="C51" s="126">
        <f t="shared" si="3"/>
        <v>119.23824999999999</v>
      </c>
      <c r="D51" s="315">
        <f>B51+$B$44*(1+$B$42)^(A51-1)</f>
        <v>4.0341250000000002E-2</v>
      </c>
      <c r="E51" s="315">
        <f t="shared" ref="E51:E73" si="4">C51</f>
        <v>119.23824999999999</v>
      </c>
      <c r="F51" s="127"/>
      <c r="G51" s="316">
        <v>1.045144157814871</v>
      </c>
      <c r="H51" s="316">
        <v>1.0249999999999999</v>
      </c>
      <c r="I51" s="180"/>
      <c r="J51" s="287">
        <v>2</v>
      </c>
      <c r="K51" s="115">
        <f>$B$50+NPV($B$41,$B$51:B51)</f>
        <v>5.2208133070504883E-2</v>
      </c>
      <c r="L51" s="126">
        <f>$C$50+NPV($B$41,$C$51:C51)</f>
        <v>228.20245564769979</v>
      </c>
      <c r="M51" s="115">
        <f>$D$50+NPV($B$43,$D$51:D51)</f>
        <v>7.8026262135922328E-2</v>
      </c>
      <c r="N51" s="126">
        <f>$E$50+NPV($B$43,$E$51:E51)</f>
        <v>232.0952912621359</v>
      </c>
      <c r="Q51" s="73">
        <f>NPV(EDR,$E$76:$E77)/1000</f>
        <v>0</v>
      </c>
      <c r="R51" s="72">
        <f>NPV(EDR,$G$76:$G77)+NPV(EDR,$I$1:$I2)</f>
        <v>0</v>
      </c>
      <c r="U51" s="11" t="e">
        <f>ELECCB[[#This Row],[NPV AEC $/kWh]]-#REF!</f>
        <v>#VALUE!</v>
      </c>
      <c r="V51" s="10" t="e">
        <f>ELECCB[[#This Row],[NPV ACC $/kW]]-#REF!</f>
        <v>#VALUE!</v>
      </c>
    </row>
    <row r="52" spans="1:22">
      <c r="A52" s="287">
        <v>3</v>
      </c>
      <c r="B52" s="115">
        <f t="shared" si="3"/>
        <v>2.9059999999999999E-2</v>
      </c>
      <c r="C52" s="126">
        <f t="shared" si="3"/>
        <v>122.21920624999998</v>
      </c>
      <c r="D52" s="315">
        <f t="shared" ref="D52:D73" si="5">B52+$B$44*(1+$B$42)^(A52-1)</f>
        <v>4.2149286125000004E-2</v>
      </c>
      <c r="E52" s="315">
        <f t="shared" si="4"/>
        <v>122.21920624999998</v>
      </c>
      <c r="F52" s="127"/>
      <c r="G52" s="316">
        <v>1.05480943738657</v>
      </c>
      <c r="H52" s="316">
        <v>1.0249999999999999</v>
      </c>
      <c r="I52" s="180"/>
      <c r="J52" s="287">
        <v>3</v>
      </c>
      <c r="K52" s="115">
        <f>$B$50+NPV($B$41,$B$51:B52)</f>
        <v>7.778873533819064E-2</v>
      </c>
      <c r="L52" s="126">
        <f>$C$50+NPV($B$41,$C$51:C52)</f>
        <v>335.78817156488844</v>
      </c>
      <c r="M52" s="115">
        <f>$D$50+NPV($B$43,$D$51:D52)</f>
        <v>0.11775600681025544</v>
      </c>
      <c r="N52" s="126">
        <f>$E$50+NPV($B$43,$E$51:E52)</f>
        <v>347.29861509096048</v>
      </c>
      <c r="Q52" s="73">
        <f>NPV(EDR,$E$76:$E77)/1000</f>
        <v>0</v>
      </c>
      <c r="R52" s="72">
        <f>NPV(EDR,$G$76:$G77)+NPV(EDR,$I$1:$I2)</f>
        <v>0</v>
      </c>
      <c r="U52" s="11" t="e">
        <f>ELECCB[[#This Row],[NPV AEC $/kWh]]-F12</f>
        <v>#VALUE!</v>
      </c>
      <c r="V52" s="10" t="e">
        <f>ELECCB[[#This Row],[NPV ACC $/kW]]-G12</f>
        <v>#VALUE!</v>
      </c>
    </row>
    <row r="53" spans="1:22">
      <c r="A53" s="287">
        <v>4</v>
      </c>
      <c r="B53" s="115">
        <f t="shared" si="3"/>
        <v>3.0299999999999997E-2</v>
      </c>
      <c r="C53" s="126">
        <f t="shared" si="3"/>
        <v>125.27468640624997</v>
      </c>
      <c r="D53" s="315">
        <f t="shared" si="5"/>
        <v>4.36942664917125E-2</v>
      </c>
      <c r="E53" s="315">
        <f t="shared" si="4"/>
        <v>125.27468640624997</v>
      </c>
      <c r="F53" s="127"/>
      <c r="G53" s="316">
        <v>1.0426703372333104</v>
      </c>
      <c r="H53" s="316">
        <v>1.0249999999999999</v>
      </c>
      <c r="I53" s="180"/>
      <c r="J53" s="287">
        <v>4</v>
      </c>
      <c r="K53" s="317">
        <f>$B$50+NPV($B$41,$B$51:B53)</f>
        <v>0.10281323260661911</v>
      </c>
      <c r="L53" s="318">
        <f>$C$50+NPV($B$41,$C$51:C53)</f>
        <v>439.25140746510084</v>
      </c>
      <c r="M53" s="317">
        <f>$D$50+NPV($B$43,$D$51:D53)</f>
        <v>0.15774245035170037</v>
      </c>
      <c r="N53" s="318">
        <f>$E$50+NPV($B$43,$E$51:E53)</f>
        <v>461.94269948372272</v>
      </c>
      <c r="Q53" s="73">
        <f>NPV(EDR,$E$76:$E77)/1000</f>
        <v>0</v>
      </c>
      <c r="R53" s="72">
        <f>NPV(EDR,$G$76:$G77)+NPV(EDR,$I$1:$I2)</f>
        <v>0</v>
      </c>
      <c r="U53" s="11" t="e">
        <f>ELECCB[[#This Row],[NPV AEC $/kWh]]-F13</f>
        <v>#VALUE!</v>
      </c>
      <c r="V53" s="10" t="e">
        <f>ELECCB[[#This Row],[NPV ACC $/kW]]-G13</f>
        <v>#VALUE!</v>
      </c>
    </row>
    <row r="54" spans="1:22">
      <c r="A54" s="287">
        <v>5</v>
      </c>
      <c r="B54" s="115">
        <f t="shared" si="3"/>
        <v>3.2759999999999991E-2</v>
      </c>
      <c r="C54" s="126">
        <f t="shared" si="3"/>
        <v>128.40655356640619</v>
      </c>
      <c r="D54" s="315">
        <f t="shared" si="5"/>
        <v>4.6466352900969399E-2</v>
      </c>
      <c r="E54" s="315">
        <f t="shared" si="4"/>
        <v>128.40655356640619</v>
      </c>
      <c r="F54" s="127"/>
      <c r="G54" s="316">
        <v>1.081188118811881</v>
      </c>
      <c r="H54" s="316">
        <v>1.0249999999999997</v>
      </c>
      <c r="I54" s="180"/>
      <c r="J54" s="287">
        <v>5</v>
      </c>
      <c r="K54" s="317">
        <f>$B$50+NPV($B$41,$B$51:B54)</f>
        <v>0.12819805935457237</v>
      </c>
      <c r="L54" s="318">
        <f>$C$50+NPV($B$41,$C$51:C54)</f>
        <v>538.75012894205452</v>
      </c>
      <c r="M54" s="317">
        <f>$D$50+NPV($B$43,$D$51:D54)</f>
        <v>0.19902720306809132</v>
      </c>
      <c r="N54" s="318">
        <f>$E$50+NPV($B$43,$E$51:E54)</f>
        <v>576.03025919496679</v>
      </c>
      <c r="Q54" s="73">
        <f>NPV(EDR,$E$76:$E77)/1000</f>
        <v>0</v>
      </c>
      <c r="R54" s="72">
        <f>NPV(EDR,$G$76:$G77)+NPV(EDR,$I$1:$I2)</f>
        <v>0</v>
      </c>
      <c r="U54" s="11" t="e">
        <f>ELECCB[[#This Row],[NPV AEC $/kWh]]-F14</f>
        <v>#VALUE!</v>
      </c>
      <c r="V54" s="10" t="e">
        <f>ELECCB[[#This Row],[NPV ACC $/kW]]-G14</f>
        <v>#VALUE!</v>
      </c>
    </row>
    <row r="55" spans="1:22">
      <c r="A55" s="287">
        <v>6</v>
      </c>
      <c r="B55" s="115">
        <f t="shared" si="3"/>
        <v>3.6170000000000001E-2</v>
      </c>
      <c r="C55" s="126">
        <f t="shared" si="3"/>
        <v>131.61671740556633</v>
      </c>
      <c r="D55" s="315">
        <f t="shared" si="5"/>
        <v>5.0195710923561995E-2</v>
      </c>
      <c r="E55" s="315">
        <f t="shared" si="4"/>
        <v>131.61671740556633</v>
      </c>
      <c r="F55" s="127"/>
      <c r="G55" s="316">
        <v>1.1040903540903544</v>
      </c>
      <c r="H55" s="316">
        <v>1.0249999999999999</v>
      </c>
      <c r="I55" s="180"/>
      <c r="J55" s="287">
        <v>6</v>
      </c>
      <c r="K55" s="317">
        <f>$B$50+NPV($B$41,$B$51:B55)</f>
        <v>0.15449385990331274</v>
      </c>
      <c r="L55" s="318">
        <f>$C$50+NPV($B$41,$C$51:C55)</f>
        <v>634.43624864834987</v>
      </c>
      <c r="M55" s="317">
        <f>$D$50+NPV($B$43,$D$51:D55)</f>
        <v>0.24232646424916401</v>
      </c>
      <c r="N55" s="318">
        <f>$E$50+NPV($B$43,$E$51:E55)</f>
        <v>689.56399580081643</v>
      </c>
      <c r="Q55" s="73">
        <f>NPV(EDR,$E$76:$E77)/1000</f>
        <v>0</v>
      </c>
      <c r="R55" s="72">
        <f>NPV(EDR,$G$76:$G77)+NPV(EDR,$I$1:$I2)</f>
        <v>0</v>
      </c>
      <c r="U55" s="11" t="e">
        <f>ELECCB[[#This Row],[NPV AEC $/kWh]]-F15</f>
        <v>#VALUE!</v>
      </c>
      <c r="V55" s="10" t="e">
        <f>ELECCB[[#This Row],[NPV ACC $/kW]]-G15</f>
        <v>#VALUE!</v>
      </c>
    </row>
    <row r="56" spans="1:22">
      <c r="A56" s="287">
        <v>7</v>
      </c>
      <c r="B56" s="115">
        <f t="shared" si="3"/>
        <v>3.78E-2</v>
      </c>
      <c r="C56" s="126">
        <f t="shared" si="3"/>
        <v>134.90713534070548</v>
      </c>
      <c r="D56" s="315">
        <f t="shared" si="5"/>
        <v>5.2152509988080992E-2</v>
      </c>
      <c r="E56" s="315">
        <f t="shared" si="4"/>
        <v>134.90713534070548</v>
      </c>
      <c r="F56" s="127"/>
      <c r="G56" s="316">
        <v>1.0450649709704174</v>
      </c>
      <c r="H56" s="316">
        <v>1.0249999999999999</v>
      </c>
      <c r="I56" s="180"/>
      <c r="J56" s="287">
        <v>7</v>
      </c>
      <c r="K56" s="317">
        <f>$B$50+NPV($B$41,$B$51:B56)</f>
        <v>0.18027708651695706</v>
      </c>
      <c r="L56" s="318">
        <f>$C$50+NPV($B$41,$C$51:C56)</f>
        <v>726.45585823266185</v>
      </c>
      <c r="M56" s="317">
        <f>$D$50+NPV($B$43,$D$51:D56)</f>
        <v>0.28600337031071887</v>
      </c>
      <c r="N56" s="318">
        <f>$E$50+NPV($B$43,$E$51:E56)</f>
        <v>802.54659776294818</v>
      </c>
      <c r="Q56" s="73">
        <f>NPV(EDR,$E$76:$E77)/1000</f>
        <v>0</v>
      </c>
      <c r="R56" s="72">
        <f>NPV(EDR,$G$76:$G77)+NPV(EDR,$I$1:$I2)</f>
        <v>0</v>
      </c>
      <c r="U56" s="11" t="e">
        <f>ELECCB[[#This Row],[NPV AEC $/kWh]]-F16</f>
        <v>#VALUE!</v>
      </c>
      <c r="V56" s="10" t="e">
        <f>ELECCB[[#This Row],[NPV ACC $/kW]]-G16</f>
        <v>#VALUE!</v>
      </c>
    </row>
    <row r="57" spans="1:22">
      <c r="A57" s="287">
        <v>8</v>
      </c>
      <c r="B57" s="115">
        <f t="shared" si="3"/>
        <v>3.925E-2</v>
      </c>
      <c r="C57" s="126">
        <f t="shared" si="3"/>
        <v>138.27981372422306</v>
      </c>
      <c r="D57" s="315">
        <f t="shared" si="5"/>
        <v>5.3936923470803276E-2</v>
      </c>
      <c r="E57" s="315">
        <f t="shared" si="4"/>
        <v>138.27981372422306</v>
      </c>
      <c r="F57" s="127"/>
      <c r="G57" s="316">
        <v>1.0383597883597884</v>
      </c>
      <c r="H57" s="316">
        <v>1.0249999999999997</v>
      </c>
      <c r="I57" s="180"/>
      <c r="J57" s="287">
        <v>8</v>
      </c>
      <c r="K57" s="317">
        <f>$B$50+NPV($B$41,$B$51:B57)</f>
        <v>0.20539552888291612</v>
      </c>
      <c r="L57" s="318">
        <f>$C$50+NPV($B$41,$C$51:C57)</f>
        <v>814.94945138953949</v>
      </c>
      <c r="M57" s="317">
        <f>$D$50+NPV($B$43,$D$51:D57)</f>
        <v>0.32985902493280511</v>
      </c>
      <c r="N57" s="318">
        <f>$E$50+NPV($B$43,$E$51:E57)</f>
        <v>914.9807404922542</v>
      </c>
      <c r="Q57" s="73">
        <f>NPV(EDR,$E$76:$E77)/1000</f>
        <v>0</v>
      </c>
      <c r="R57" s="72">
        <f>NPV(EDR,$G$76:$G77)+NPV(EDR,$I$1:$I2)</f>
        <v>0</v>
      </c>
      <c r="U57" s="11" t="e">
        <f>ELECCB[[#This Row],[NPV AEC $/kWh]]-F17</f>
        <v>#VALUE!</v>
      </c>
      <c r="V57" s="10" t="e">
        <f>ELECCB[[#This Row],[NPV ACC $/kW]]-G17</f>
        <v>#VALUE!</v>
      </c>
    </row>
    <row r="58" spans="1:22">
      <c r="A58" s="287">
        <v>9</v>
      </c>
      <c r="B58" s="115">
        <f t="shared" si="3"/>
        <v>4.172E-2</v>
      </c>
      <c r="C58" s="126">
        <f t="shared" si="3"/>
        <v>141.73680906732864</v>
      </c>
      <c r="D58" s="315">
        <f t="shared" si="5"/>
        <v>5.6749128787672992E-2</v>
      </c>
      <c r="E58" s="315">
        <f t="shared" si="4"/>
        <v>141.73680906732864</v>
      </c>
      <c r="F58" s="127"/>
      <c r="G58" s="316">
        <v>1.0629299363057325</v>
      </c>
      <c r="H58" s="316">
        <v>1.0249999999999999</v>
      </c>
      <c r="I58" s="180"/>
      <c r="J58" s="287">
        <v>9</v>
      </c>
      <c r="K58" s="317">
        <f>$B$50+NPV($B$41,$B$51:B58)</f>
        <v>0.23044536684575306</v>
      </c>
      <c r="L58" s="318">
        <f>$C$50+NPV($B$41,$C$51:C58)</f>
        <v>900.05213836236157</v>
      </c>
      <c r="M58" s="317">
        <f>$D$50+NPV($B$43,$D$51:D58)</f>
        <v>0.37465731123706497</v>
      </c>
      <c r="N58" s="318">
        <f>$E$50+NPV($B$43,$E$51:E58)</f>
        <v>1026.8690864121945</v>
      </c>
      <c r="Q58" s="73">
        <f>NPV(EDR,$E$76:$E77)/1000</f>
        <v>0</v>
      </c>
      <c r="R58" s="72">
        <f>NPV(EDR,$G$76:$G77)+NPV(EDR,$I$1:$I2)</f>
        <v>0</v>
      </c>
      <c r="U58" s="11" t="e">
        <f>ELECCB[[#This Row],[NPV AEC $/kWh]]-F18</f>
        <v>#VALUE!</v>
      </c>
      <c r="V58" s="10" t="e">
        <f>ELECCB[[#This Row],[NPV ACC $/kW]]-G18</f>
        <v>#VALUE!</v>
      </c>
    </row>
    <row r="59" spans="1:22">
      <c r="A59" s="287">
        <v>10</v>
      </c>
      <c r="B59" s="115">
        <f t="shared" si="3"/>
        <v>4.3909999999999998E-2</v>
      </c>
      <c r="C59" s="126">
        <f t="shared" si="3"/>
        <v>145.28022929401186</v>
      </c>
      <c r="D59" s="315">
        <f t="shared" si="5"/>
        <v>5.9289307488425771E-2</v>
      </c>
      <c r="E59" s="315">
        <f t="shared" si="4"/>
        <v>145.28022929401186</v>
      </c>
      <c r="F59" s="127"/>
      <c r="G59" s="316">
        <v>1.0524928092042185</v>
      </c>
      <c r="H59" s="316">
        <v>1.0250000000000001</v>
      </c>
      <c r="I59" s="180"/>
      <c r="J59" s="287">
        <v>10</v>
      </c>
      <c r="K59" s="317">
        <f>$B$50+NPV($B$41,$B$51:B59)</f>
        <v>0.25518149008328728</v>
      </c>
      <c r="L59" s="318">
        <f>$C$50+NPV($B$41,$C$51:C59)</f>
        <v>981.89385222694614</v>
      </c>
      <c r="M59" s="317">
        <f>$D$50+NPV($B$43,$D$51:D59)</f>
        <v>0.42009762854526073</v>
      </c>
      <c r="N59" s="318">
        <f>$E$50+NPV($B$43,$E$51:E59)</f>
        <v>1138.2142850218438</v>
      </c>
      <c r="Q59" s="73">
        <f>NPV(EDR,$E$76:$E77)/1000</f>
        <v>0</v>
      </c>
      <c r="R59" s="72">
        <f>NPV(EDR,$G$76:$G77)+NPV(EDR,$I$1:$I2)</f>
        <v>0</v>
      </c>
      <c r="U59" s="11" t="e">
        <f>ELECCB[[#This Row],[NPV AEC $/kWh]]-F19</f>
        <v>#VALUE!</v>
      </c>
      <c r="V59" s="10" t="e">
        <f>ELECCB[[#This Row],[NPV ACC $/kW]]-G19</f>
        <v>#VALUE!</v>
      </c>
    </row>
    <row r="60" spans="1:22">
      <c r="A60" s="287">
        <v>11</v>
      </c>
      <c r="B60" s="115">
        <f t="shared" si="3"/>
        <v>4.5859999999999998E-2</v>
      </c>
      <c r="C60" s="126">
        <f t="shared" si="3"/>
        <v>148.91223502636214</v>
      </c>
      <c r="D60" s="315">
        <f t="shared" si="5"/>
        <v>6.1597645352906093E-2</v>
      </c>
      <c r="E60" s="315">
        <f t="shared" si="4"/>
        <v>148.91223502636214</v>
      </c>
      <c r="F60" s="127"/>
      <c r="G60" s="316">
        <v>1.0444090184468231</v>
      </c>
      <c r="H60" s="316">
        <v>1.0249999999999999</v>
      </c>
      <c r="I60" s="180"/>
      <c r="J60" s="287">
        <v>11</v>
      </c>
      <c r="K60" s="317">
        <f>$B$50+NPV($B$41,$B$51:B60)</f>
        <v>0.27942021817752721</v>
      </c>
      <c r="L60" s="318">
        <f>$C$50+NPV($B$41,$C$51:C60)</f>
        <v>1060.5995472707652</v>
      </c>
      <c r="M60" s="317">
        <f>$D$50+NPV($B$43,$D$51:D60)</f>
        <v>0.46593206162432471</v>
      </c>
      <c r="N60" s="318">
        <f>$E$50+NPV($B$43,$E$51:E60)</f>
        <v>1249.0189729586307</v>
      </c>
      <c r="Q60" s="73">
        <f>NPV(EDR,$E$76:$E77)/1000</f>
        <v>0</v>
      </c>
      <c r="R60" s="72">
        <f>NPV(EDR,$G$76:$G77)+NPV(EDR,$I$1:$I2)</f>
        <v>0</v>
      </c>
      <c r="U60" s="11" t="e">
        <f>ELECCB[[#This Row],[NPV AEC $/kWh]]-F20</f>
        <v>#VALUE!</v>
      </c>
      <c r="V60" s="10" t="e">
        <f>ELECCB[[#This Row],[NPV ACC $/kW]]-G20</f>
        <v>#VALUE!</v>
      </c>
    </row>
    <row r="61" spans="1:22">
      <c r="A61" s="287">
        <v>12</v>
      </c>
      <c r="B61" s="115">
        <f t="shared" si="3"/>
        <v>4.8260000000000004E-2</v>
      </c>
      <c r="C61" s="126">
        <f t="shared" si="3"/>
        <v>152.63504090202119</v>
      </c>
      <c r="D61" s="315">
        <f t="shared" si="5"/>
        <v>6.4364332489628806E-2</v>
      </c>
      <c r="E61" s="315">
        <f t="shared" si="4"/>
        <v>152.63504090202119</v>
      </c>
      <c r="F61" s="127"/>
      <c r="G61" s="316">
        <v>1.0523331879633668</v>
      </c>
      <c r="H61" s="316">
        <v>1.0249999999999999</v>
      </c>
      <c r="I61" s="180"/>
      <c r="J61" s="287">
        <v>12</v>
      </c>
      <c r="K61" s="317">
        <f>$B$50+NPV($B$41,$B$51:B61)</f>
        <v>0.30335175956839949</v>
      </c>
      <c r="L61" s="318">
        <f>$C$50+NPV($B$41,$C$51:C61)</f>
        <v>1136.2893897706451</v>
      </c>
      <c r="M61" s="317">
        <f>$D$50+NPV($B$43,$D$51:D61)</f>
        <v>0.51243022486890955</v>
      </c>
      <c r="N61" s="318">
        <f>$E$50+NPV($B$43,$E$51:E61)</f>
        <v>1359.2857740607731</v>
      </c>
      <c r="Q61" s="73">
        <f>NPV(EDR,$E$76:$E77)/1000</f>
        <v>0</v>
      </c>
      <c r="R61" s="72">
        <f>NPV(EDR,$G$76:$G77)+NPV(EDR,$I$1:$I2)</f>
        <v>0</v>
      </c>
      <c r="U61" s="11" t="e">
        <f>ELECCB[[#This Row],[NPV AEC $/kWh]]-F21</f>
        <v>#VALUE!</v>
      </c>
      <c r="V61" s="10" t="e">
        <f>ELECCB[[#This Row],[NPV ACC $/kW]]-G21</f>
        <v>#VALUE!</v>
      </c>
    </row>
    <row r="62" spans="1:22">
      <c r="A62" s="287">
        <v>13</v>
      </c>
      <c r="B62" s="115">
        <f t="shared" si="3"/>
        <v>5.0450000000000002E-2</v>
      </c>
      <c r="C62" s="126">
        <f t="shared" si="3"/>
        <v>156.45091692457171</v>
      </c>
      <c r="D62" s="315">
        <f t="shared" si="5"/>
        <v>6.6929563436637168E-2</v>
      </c>
      <c r="E62" s="315">
        <f t="shared" si="4"/>
        <v>156.45091692457171</v>
      </c>
      <c r="F62" s="127"/>
      <c r="G62" s="316">
        <v>1.0453791960215499</v>
      </c>
      <c r="H62" s="316">
        <v>1.0249999999999999</v>
      </c>
      <c r="I62" s="180"/>
      <c r="J62" s="287">
        <v>13</v>
      </c>
      <c r="K62" s="317">
        <f>$B$50+NPV($B$41,$B$51:B62)</f>
        <v>0.32682386797738966</v>
      </c>
      <c r="L62" s="318">
        <f>$C$50+NPV($B$41,$C$51:C62)</f>
        <v>1209.078941460228</v>
      </c>
      <c r="M62" s="317">
        <f>$D$50+NPV($B$43,$D$51:D62)</f>
        <v>0.55937327405346615</v>
      </c>
      <c r="N62" s="318">
        <f>$E$50+NPV($B$43,$E$51:E62)</f>
        <v>1469.0172994294101</v>
      </c>
      <c r="Q62" s="73">
        <f>NPV(EDR,$E$76:$E77)/1000</f>
        <v>0</v>
      </c>
      <c r="R62" s="72">
        <f>NPV(EDR,$G$76:$G77)+NPV(EDR,$I$1:$I2)</f>
        <v>0</v>
      </c>
      <c r="U62" s="11" t="e">
        <f>ELECCB[[#This Row],[NPV AEC $/kWh]]-F22</f>
        <v>#VALUE!</v>
      </c>
      <c r="V62" s="10" t="e">
        <f>ELECCB[[#This Row],[NPV ACC $/kW]]-G22</f>
        <v>#VALUE!</v>
      </c>
    </row>
    <row r="63" spans="1:22">
      <c r="A63" s="287">
        <v>14</v>
      </c>
      <c r="B63" s="115">
        <f t="shared" si="3"/>
        <v>5.3180000000000005E-2</v>
      </c>
      <c r="C63" s="126">
        <f t="shared" si="3"/>
        <v>160.36218984768598</v>
      </c>
      <c r="D63" s="315">
        <f t="shared" si="5"/>
        <v>7.0043537264710812E-2</v>
      </c>
      <c r="E63" s="315">
        <f t="shared" si="4"/>
        <v>160.36218984768598</v>
      </c>
      <c r="F63" s="127"/>
      <c r="G63" s="316">
        <v>1.0541129831516354</v>
      </c>
      <c r="H63" s="316">
        <v>1.0249999999999999</v>
      </c>
      <c r="I63" s="180"/>
      <c r="J63" s="287">
        <v>14</v>
      </c>
      <c r="K63" s="317">
        <f>$B$50+NPV($B$41,$B$51:B63)</f>
        <v>0.35003770026181036</v>
      </c>
      <c r="L63" s="318">
        <f>$C$50+NPV($B$41,$C$51:C63)</f>
        <v>1279.0793359673098</v>
      </c>
      <c r="M63" s="317">
        <f>$D$50+NPV($B$43,$D$51:D63)</f>
        <v>0.60706951461173309</v>
      </c>
      <c r="N63" s="318">
        <f>$E$50+NPV($B$43,$E$51:E63)</f>
        <v>1578.2161474904321</v>
      </c>
      <c r="Q63" s="73">
        <f>NPV(EDR,$E$76:$E77)/1000</f>
        <v>0</v>
      </c>
      <c r="R63" s="72">
        <f>NPV(EDR,$G$76:$G77)+NPV(EDR,$I$1:$I2)</f>
        <v>0</v>
      </c>
      <c r="U63" s="11" t="e">
        <f>ELECCB[[#This Row],[NPV AEC $/kWh]]-F23</f>
        <v>#VALUE!</v>
      </c>
      <c r="V63" s="10" t="e">
        <f>ELECCB[[#This Row],[NPV ACC $/kW]]-G23</f>
        <v>#VALUE!</v>
      </c>
    </row>
    <row r="64" spans="1:22">
      <c r="A64" s="287">
        <v>15</v>
      </c>
      <c r="B64" s="115">
        <f t="shared" si="3"/>
        <v>5.6600000000000011E-2</v>
      </c>
      <c r="C64" s="126">
        <f t="shared" si="3"/>
        <v>164.37124459387812</v>
      </c>
      <c r="D64" s="315">
        <f t="shared" si="5"/>
        <v>7.3856457682978577E-2</v>
      </c>
      <c r="E64" s="315">
        <f t="shared" si="4"/>
        <v>164.37124459387812</v>
      </c>
      <c r="F64" s="127"/>
      <c r="G64" s="316">
        <v>1.0643098909364423</v>
      </c>
      <c r="H64" s="316">
        <v>1.0249999999999999</v>
      </c>
      <c r="I64" s="180"/>
      <c r="J64" s="287">
        <v>15</v>
      </c>
      <c r="K64" s="317">
        <f>$B$50+NPV($B$41,$B$51:B64)</f>
        <v>0.37321818525614692</v>
      </c>
      <c r="L64" s="318">
        <f>$C$50+NPV($B$41,$C$51:C64)</f>
        <v>1346.3974484904338</v>
      </c>
      <c r="M64" s="317">
        <f>$D$50+NPV($B$43,$D$51:D64)</f>
        <v>0.65589733386063953</v>
      </c>
      <c r="N64" s="318">
        <f>$E$50+NPV($B$43,$E$51:E64)</f>
        <v>1686.8849040560124</v>
      </c>
      <c r="Q64" s="73">
        <f>NPV(EDR,$E$76:$E77)/1000</f>
        <v>0</v>
      </c>
      <c r="R64" s="72">
        <f>NPV(EDR,$G$76:$G77)+NPV(EDR,$I$1:$I2)</f>
        <v>0</v>
      </c>
      <c r="U64" s="11" t="e">
        <f>ELECCB[[#This Row],[NPV AEC $/kWh]]-F24</f>
        <v>#VALUE!</v>
      </c>
      <c r="V64" s="10" t="e">
        <f>ELECCB[[#This Row],[NPV ACC $/kW]]-G24</f>
        <v>#VALUE!</v>
      </c>
    </row>
    <row r="65" spans="1:22">
      <c r="A65" s="287">
        <v>16</v>
      </c>
      <c r="B65" s="115">
        <f t="shared" si="3"/>
        <v>5.9940000000000007E-2</v>
      </c>
      <c r="C65" s="126">
        <f t="shared" si="3"/>
        <v>168.48052570872505</v>
      </c>
      <c r="D65" s="315">
        <f t="shared" si="5"/>
        <v>7.7598533146991971E-2</v>
      </c>
      <c r="E65" s="315">
        <f t="shared" si="4"/>
        <v>168.48052570872505</v>
      </c>
      <c r="F65" s="127"/>
      <c r="G65" s="316">
        <v>1.0590106007067137</v>
      </c>
      <c r="H65" s="316">
        <v>1.0249999999999999</v>
      </c>
      <c r="I65" s="180"/>
      <c r="J65" s="287">
        <v>16</v>
      </c>
      <c r="K65" s="317">
        <f>$B$50+NPV($B$41,$B$51:B65)</f>
        <v>0.39625011904226071</v>
      </c>
      <c r="L65" s="318">
        <f>$C$50+NPV($B$41,$C$51:C65)</f>
        <v>1411.1360589738003</v>
      </c>
      <c r="M65" s="317">
        <f>$D$50+NPV($B$43,$D$51:D65)</f>
        <v>0.70570487946149663</v>
      </c>
      <c r="N65" s="318">
        <f>$E$50+NPV($B$43,$E$51:E65)</f>
        <v>1795.0261423858374</v>
      </c>
      <c r="Q65" s="73">
        <f>NPV(EDR,$E$76:$E77)/1000</f>
        <v>0</v>
      </c>
      <c r="R65" s="72">
        <f>NPV(EDR,$G$76:$G77)+NPV(EDR,$I$1:$I2)</f>
        <v>0</v>
      </c>
      <c r="U65" s="11" t="e">
        <f>ELECCB[[#This Row],[NPV AEC $/kWh]]-F25</f>
        <v>#VALUE!</v>
      </c>
      <c r="V65" s="10" t="e">
        <f>ELECCB[[#This Row],[NPV ACC $/kW]]-G25</f>
        <v>#VALUE!</v>
      </c>
    </row>
    <row r="66" spans="1:22">
      <c r="A66" s="287">
        <v>17</v>
      </c>
      <c r="B66" s="115">
        <f t="shared" si="3"/>
        <v>6.3710000000000017E-2</v>
      </c>
      <c r="C66" s="126">
        <f t="shared" si="3"/>
        <v>172.69253885144317</v>
      </c>
      <c r="D66" s="315">
        <f t="shared" si="5"/>
        <v>8.1779976969316895E-2</v>
      </c>
      <c r="E66" s="315">
        <f t="shared" si="4"/>
        <v>172.69253885144317</v>
      </c>
      <c r="F66" s="127"/>
      <c r="G66" s="316">
        <v>1.0628962295628963</v>
      </c>
      <c r="H66" s="316">
        <v>1.0249999999999999</v>
      </c>
      <c r="I66" s="180"/>
      <c r="J66" s="287">
        <v>17</v>
      </c>
      <c r="K66" s="317">
        <f>$B$50+NPV($B$41,$B$51:B66)</f>
        <v>0.41921841879879346</v>
      </c>
      <c r="L66" s="318">
        <f>$C$50+NPV($B$41,$C$51:C66)</f>
        <v>1473.3940090296255</v>
      </c>
      <c r="M66" s="317">
        <f>$D$50+NPV($B$43,$D$51:D66)</f>
        <v>0.75666745739895713</v>
      </c>
      <c r="N66" s="318">
        <f>$E$50+NPV($B$43,$E$51:E66)</f>
        <v>1902.6424232480417</v>
      </c>
      <c r="Q66" s="73">
        <f>NPV(EDR,$E$76:$E77)/1000</f>
        <v>0</v>
      </c>
      <c r="R66" s="72">
        <f>NPV(EDR,$G$76:$G77)+NPV(EDR,$I$1:$I2)</f>
        <v>0</v>
      </c>
      <c r="U66" s="11" t="e">
        <f>ELECCB[[#This Row],[NPV AEC $/kWh]]-F26</f>
        <v>#VALUE!</v>
      </c>
      <c r="V66" s="10" t="e">
        <f>ELECCB[[#This Row],[NPV ACC $/kW]]-G26</f>
        <v>#VALUE!</v>
      </c>
    </row>
    <row r="67" spans="1:22">
      <c r="A67" s="287">
        <v>18</v>
      </c>
      <c r="B67" s="115">
        <f t="shared" ref="B67:C73" si="6">+B66*G67</f>
        <v>6.8400000000000016E-2</v>
      </c>
      <c r="C67" s="126">
        <f t="shared" si="6"/>
        <v>177.00985232272924</v>
      </c>
      <c r="D67" s="315">
        <f t="shared" si="5"/>
        <v>8.6891007432701978E-2</v>
      </c>
      <c r="E67" s="315">
        <f t="shared" si="4"/>
        <v>177.00985232272924</v>
      </c>
      <c r="F67" s="127"/>
      <c r="G67" s="316">
        <v>1.0736148171401663</v>
      </c>
      <c r="H67" s="316">
        <v>1.0249999999999999</v>
      </c>
      <c r="I67" s="180"/>
      <c r="J67" s="287">
        <v>18</v>
      </c>
      <c r="K67" s="317">
        <f>$B$50+NPV($B$41,$B$51:B67)</f>
        <v>0.44235424012967722</v>
      </c>
      <c r="L67" s="318">
        <f>$C$50+NPV($B$41,$C$51:C67)</f>
        <v>1533.2663528475316</v>
      </c>
      <c r="M67" s="317">
        <f>$D$50+NPV($B$43,$D$51:D67)</f>
        <v>0.80923794589176212</v>
      </c>
      <c r="N67" s="318">
        <f>$E$50+NPV($B$43,$E$51:E67)</f>
        <v>2009.7362949798471</v>
      </c>
      <c r="Q67" s="73">
        <f>NPV(EDR,$E$76:$E77)/1000</f>
        <v>0</v>
      </c>
      <c r="R67" s="72">
        <f>NPV(EDR,$G$76:$G77)+NPV(EDR,$I$1:$I2)</f>
        <v>0</v>
      </c>
      <c r="U67" s="11" t="e">
        <f>ELECCB[[#This Row],[NPV AEC $/kWh]]-F27</f>
        <v>#VALUE!</v>
      </c>
      <c r="V67" s="10" t="e">
        <f>ELECCB[[#This Row],[NPV ACC $/kW]]-G27</f>
        <v>#VALUE!</v>
      </c>
    </row>
    <row r="68" spans="1:22">
      <c r="A68" s="287">
        <v>19</v>
      </c>
      <c r="B68" s="115">
        <f t="shared" si="6"/>
        <v>7.0420000000000024E-2</v>
      </c>
      <c r="C68" s="126">
        <f t="shared" si="6"/>
        <v>181.43509863079746</v>
      </c>
      <c r="D68" s="315">
        <f t="shared" si="5"/>
        <v>8.9341847905883953E-2</v>
      </c>
      <c r="E68" s="315">
        <f t="shared" si="4"/>
        <v>181.43509863079746</v>
      </c>
      <c r="F68" s="127"/>
      <c r="G68" s="316">
        <v>1.0295321637426902</v>
      </c>
      <c r="H68" s="316">
        <v>1.0249999999999999</v>
      </c>
      <c r="I68" s="180"/>
      <c r="J68" s="287">
        <v>19</v>
      </c>
      <c r="K68" s="317">
        <f>$B$50+NPV($B$41,$B$51:B68)</f>
        <v>0.46470191881228468</v>
      </c>
      <c r="L68" s="318">
        <f>$C$50+NPV($B$41,$C$51:C68)</f>
        <v>1590.8445023213778</v>
      </c>
      <c r="M68" s="317">
        <f>$D$50+NPV($B$43,$D$51:D68)</f>
        <v>0.86171686558615235</v>
      </c>
      <c r="N68" s="318">
        <f>$E$50+NPV($B$43,$E$51:E68)</f>
        <v>2116.310293547906</v>
      </c>
      <c r="Q68" s="73">
        <f>NPV(EDR,$E$76:$E77)/1000</f>
        <v>0</v>
      </c>
      <c r="R68" s="72">
        <f>NPV(EDR,$G$76:$G77)+NPV(EDR,$I$1:$I2)</f>
        <v>0</v>
      </c>
      <c r="U68" s="11" t="e">
        <f>ELECCB[[#This Row],[NPV AEC $/kWh]]-F28</f>
        <v>#VALUE!</v>
      </c>
      <c r="V68" s="10" t="e">
        <f>ELECCB[[#This Row],[NPV ACC $/kW]]-G28</f>
        <v>#VALUE!</v>
      </c>
    </row>
    <row r="69" spans="1:22">
      <c r="A69" s="287">
        <v>20</v>
      </c>
      <c r="B69" s="115">
        <f t="shared" si="6"/>
        <v>7.5440000000000021E-2</v>
      </c>
      <c r="C69" s="126">
        <f t="shared" si="6"/>
        <v>185.97097609656743</v>
      </c>
      <c r="D69" s="315">
        <f t="shared" si="5"/>
        <v>9.480272696209105E-2</v>
      </c>
      <c r="E69" s="315">
        <f t="shared" si="4"/>
        <v>185.97097609656743</v>
      </c>
      <c r="F69" s="127"/>
      <c r="G69" s="316">
        <v>1.0712865663163873</v>
      </c>
      <c r="H69" s="316">
        <v>1.0250000000000001</v>
      </c>
      <c r="I69" s="180"/>
      <c r="J69" s="287">
        <v>20</v>
      </c>
      <c r="K69" s="317">
        <f>$B$50+NPV($B$41,$B$51:B69)</f>
        <v>0.48716377565681629</v>
      </c>
      <c r="L69" s="318">
        <f>$C$50+NPV($B$41,$C$51:C69)</f>
        <v>1646.2163666151068</v>
      </c>
      <c r="M69" s="317">
        <f>$D$50+NPV($B$43,$D$51:D69)</f>
        <v>0.91578153607629897</v>
      </c>
      <c r="N69" s="318">
        <f>$E$50+NPV($B$43,$E$51:E69)</f>
        <v>2222.3669426083529</v>
      </c>
      <c r="Q69" s="73">
        <f>NPV(EDR,$E$76:$E77)/1000</f>
        <v>0</v>
      </c>
      <c r="R69" s="72">
        <f>NPV(EDR,$G$76:$G77)+NPV(EDR,$I$1:$I2)</f>
        <v>0</v>
      </c>
      <c r="U69" s="11" t="e">
        <f>ELECCB[[#This Row],[NPV AEC $/kWh]]-F29</f>
        <v>#VALUE!</v>
      </c>
      <c r="V69" s="10" t="e">
        <f>ELECCB[[#This Row],[NPV ACC $/kW]]-G29</f>
        <v>#VALUE!</v>
      </c>
    </row>
    <row r="70" spans="1:22">
      <c r="A70" s="287">
        <v>21</v>
      </c>
      <c r="B70" s="115">
        <f t="shared" si="6"/>
        <v>7.9680000000000042E-2</v>
      </c>
      <c r="C70" s="126">
        <f t="shared" si="6"/>
        <v>190.62025049898159</v>
      </c>
      <c r="D70" s="315">
        <f t="shared" si="5"/>
        <v>9.9493878500307789E-2</v>
      </c>
      <c r="E70" s="315">
        <f t="shared" si="4"/>
        <v>190.62025049898159</v>
      </c>
      <c r="F70" s="127"/>
      <c r="G70" s="316">
        <v>1.0562036055143162</v>
      </c>
      <c r="H70" s="316">
        <v>1.0249999999999999</v>
      </c>
      <c r="I70" s="180"/>
      <c r="J70" s="287">
        <v>21</v>
      </c>
      <c r="K70" s="317">
        <f>$B$50+NPV($B$41,$B$51:B70)</f>
        <v>0.50942253112385205</v>
      </c>
      <c r="L70" s="318">
        <f>$C$50+NPV($B$41,$C$51:C70)</f>
        <v>1699.4664863806931</v>
      </c>
      <c r="M70" s="317">
        <f>$D$50+NPV($B$43,$D$51:D70)</f>
        <v>0.97086888429188045</v>
      </c>
      <c r="N70" s="318">
        <f>$E$50+NPV($B$43,$E$51:E70)</f>
        <v>2327.9087535665644</v>
      </c>
      <c r="Q70" s="73">
        <f>NPV(EDR,$E$76:$E77)/1000</f>
        <v>0</v>
      </c>
      <c r="R70" s="72">
        <f>NPV(EDR,$G$76:$G77)+NPV(EDR,$I$1:$I2)</f>
        <v>0</v>
      </c>
      <c r="U70" s="11" t="e">
        <f>ELECCB[[#This Row],[NPV AEC $/kWh]]-F30</f>
        <v>#VALUE!</v>
      </c>
      <c r="V70" s="10" t="e">
        <f>ELECCB[[#This Row],[NPV ACC $/kW]]-G30</f>
        <v>#VALUE!</v>
      </c>
    </row>
    <row r="71" spans="1:22">
      <c r="A71" s="287">
        <v>22</v>
      </c>
      <c r="B71" s="115">
        <f t="shared" si="6"/>
        <v>8.2830000000000042E-2</v>
      </c>
      <c r="C71" s="126">
        <f t="shared" si="6"/>
        <v>195.38575676145612</v>
      </c>
      <c r="D71" s="315">
        <f t="shared" si="5"/>
        <v>0.10310554186936496</v>
      </c>
      <c r="E71" s="315">
        <f t="shared" si="4"/>
        <v>195.38575676145612</v>
      </c>
      <c r="F71" s="127"/>
      <c r="G71" s="316">
        <v>1.0395331325301205</v>
      </c>
      <c r="H71" s="316">
        <v>1.0249999999999999</v>
      </c>
      <c r="I71" s="180"/>
      <c r="J71" s="287">
        <v>22</v>
      </c>
      <c r="K71" s="317">
        <f>$B$50+NPV($B$41,$B$51:B71)</f>
        <v>0.53113187970105025</v>
      </c>
      <c r="L71" s="318">
        <f>$C$50+NPV($B$41,$C$51:C71)</f>
        <v>1750.6761628331151</v>
      </c>
      <c r="M71" s="317">
        <f>$D$50+NPV($B$43,$D$51:D71)</f>
        <v>1.0262931936659692</v>
      </c>
      <c r="N71" s="318">
        <f>$E$50+NPV($B$43,$E$51:E71)</f>
        <v>2432.9382256366298</v>
      </c>
      <c r="Q71" s="73">
        <f>NPV(EDR,$E$76:$E77)/1000</f>
        <v>0</v>
      </c>
      <c r="R71" s="72">
        <f>NPV(EDR,$G$76:$G77)+NPV(EDR,$I$1:$I2)</f>
        <v>0</v>
      </c>
    </row>
    <row r="72" spans="1:22">
      <c r="A72" s="287">
        <v>23</v>
      </c>
      <c r="B72" s="115">
        <f t="shared" si="6"/>
        <v>8.5430000000000048E-2</v>
      </c>
      <c r="C72" s="126">
        <f t="shared" si="6"/>
        <v>200.27040068049251</v>
      </c>
      <c r="D72" s="315">
        <f t="shared" si="5"/>
        <v>0.10617796199492116</v>
      </c>
      <c r="E72" s="315">
        <f t="shared" si="4"/>
        <v>200.27040068049251</v>
      </c>
      <c r="F72" s="127"/>
      <c r="G72" s="316">
        <v>1.0313895931425812</v>
      </c>
      <c r="H72" s="316">
        <v>1.0249999999999999</v>
      </c>
      <c r="I72" s="180"/>
      <c r="J72" s="287">
        <v>23</v>
      </c>
      <c r="K72" s="317">
        <f>$B$50+NPV($B$41,$B$51:B72)</f>
        <v>0.55213951235585235</v>
      </c>
      <c r="L72" s="318">
        <f>$C$50+NPV($B$41,$C$51:C72)</f>
        <v>1799.92358187942</v>
      </c>
      <c r="M72" s="317">
        <f>$D$50+NPV($B$43,$D$51:D72)</f>
        <v>1.0817066757901144</v>
      </c>
      <c r="N72" s="318">
        <f>$E$50+NPV($B$43,$E$51:E72)</f>
        <v>2537.4578459005293</v>
      </c>
      <c r="Q72" s="73">
        <f>NPV(EDR,$E$76:$E77)/1000</f>
        <v>0</v>
      </c>
      <c r="R72" s="72">
        <f>NPV(EDR,$G$76:$G77)+NPV(EDR,$I$1:$I2)</f>
        <v>0</v>
      </c>
    </row>
    <row r="73" spans="1:22">
      <c r="A73" s="287">
        <v>24</v>
      </c>
      <c r="B73" s="115">
        <f t="shared" si="6"/>
        <v>8.997000000000005E-2</v>
      </c>
      <c r="C73" s="126">
        <f t="shared" si="6"/>
        <v>205.2771606975048</v>
      </c>
      <c r="D73" s="315">
        <f t="shared" si="5"/>
        <v>0.11120138950940284</v>
      </c>
      <c r="E73" s="315">
        <f t="shared" si="4"/>
        <v>205.2771606975048</v>
      </c>
      <c r="F73" s="127"/>
      <c r="G73" s="316">
        <v>1.0531429240313708</v>
      </c>
      <c r="H73" s="316">
        <v>1.0249999999999999</v>
      </c>
      <c r="I73" s="180"/>
      <c r="J73" s="287">
        <v>24</v>
      </c>
      <c r="K73" s="317">
        <f>$B$50+NPV($B$41,$B$51:B73)</f>
        <v>0.57289686704670706</v>
      </c>
      <c r="L73" s="318">
        <f>$C$50+NPV($B$41,$C$51:C73)</f>
        <v>1847.2839334913981</v>
      </c>
      <c r="M73" s="317">
        <f>$D$50+NPV($B$43,$D$51:D73)</f>
        <v>1.1380515022684452</v>
      </c>
      <c r="N73" s="318">
        <f>$E$50+NPV($B$43,$E$51:E73)</f>
        <v>2641.4700893670315</v>
      </c>
      <c r="Q73" s="73">
        <f>NPV(EDR,$E$76:$E77)/1000</f>
        <v>0</v>
      </c>
      <c r="R73" s="72">
        <f>NPV(EDR,$G$76:$G77)+NPV(EDR,$I$1:$I2)</f>
        <v>0</v>
      </c>
    </row>
    <row r="74" spans="1:22">
      <c r="A74" s="319" t="s">
        <v>1220</v>
      </c>
      <c r="B74" s="320">
        <f>B50+NPV($B41,B51:B73)</f>
        <v>0.57289686704670706</v>
      </c>
      <c r="C74" s="321">
        <f>C50+NPV($B$41,C51:C73)</f>
        <v>1847.2839334913981</v>
      </c>
      <c r="D74" s="322">
        <f>D50+NPV(B43,D51:D73)</f>
        <v>1.1380515022684452</v>
      </c>
      <c r="E74" s="323">
        <f>E50+NPV(B43,E51:E73)</f>
        <v>2641.4700893670315</v>
      </c>
      <c r="F74" s="180"/>
      <c r="G74" s="180"/>
      <c r="H74" s="180"/>
      <c r="I74" s="180"/>
      <c r="J74" s="180"/>
      <c r="K74" s="180"/>
      <c r="L74" s="180"/>
      <c r="M74" s="180"/>
      <c r="N74" s="180"/>
      <c r="Q74" s="73">
        <f>NPV(EDR,$E$76:$E77)/1000</f>
        <v>0</v>
      </c>
      <c r="R74" s="72">
        <f>NPV(EDR,$G$76:$G77)+NPV(EDR,$I$1:$I2)</f>
        <v>0</v>
      </c>
    </row>
    <row r="75" spans="1:22">
      <c r="A75" s="14"/>
      <c r="B75" s="14"/>
      <c r="C75" s="14"/>
      <c r="D75" s="10"/>
      <c r="E75" s="10"/>
      <c r="F75" s="10"/>
      <c r="G75" s="10"/>
      <c r="I75" s="72"/>
      <c r="J75" s="28"/>
      <c r="K75" s="28"/>
      <c r="L75" s="29"/>
      <c r="M75" s="29"/>
      <c r="N75" s="29"/>
      <c r="Q75" s="73">
        <f>NPV(EDR,$E$76:$E77)/1000</f>
        <v>0</v>
      </c>
      <c r="R75" s="72">
        <f>NPV(EDR,$G$76:$G77)+NPV(EDR,$I$1:$I2)</f>
        <v>0</v>
      </c>
    </row>
    <row r="76" spans="1:22">
      <c r="D76" s="10"/>
      <c r="E76" s="10"/>
      <c r="F76" s="10"/>
      <c r="G76" s="10"/>
      <c r="I76" s="72"/>
      <c r="J76" s="28"/>
      <c r="K76" s="28"/>
      <c r="L76" s="29"/>
      <c r="M76" s="29"/>
      <c r="N76" s="29"/>
      <c r="Q76" s="73">
        <f>NPV(EDR,$E$76:$E77)/1000</f>
        <v>0</v>
      </c>
      <c r="R76" s="72">
        <f>NPV(EDR,$G$76:$G77)+NPV(EDR,$I$1:$I2)</f>
        <v>0</v>
      </c>
    </row>
    <row r="77" spans="1:22">
      <c r="D77" s="10"/>
      <c r="E77" s="10"/>
      <c r="F77" s="10"/>
      <c r="G77" s="10"/>
      <c r="I77" s="72"/>
      <c r="J77" s="28"/>
      <c r="K77" s="28"/>
      <c r="L77" s="29"/>
      <c r="M77" s="29"/>
      <c r="N77" s="29"/>
      <c r="Q77" s="73">
        <f>NPV(EDR,$E$76:$E77)/1000</f>
        <v>0</v>
      </c>
      <c r="R77" s="72">
        <f>NPV(EDR,$G$76:$G77)+NPV(EDR,$I$1:$I2)</f>
        <v>0</v>
      </c>
    </row>
    <row r="80" spans="1:22">
      <c r="H80" s="128"/>
      <c r="I80" s="9"/>
      <c r="J80" s="9"/>
    </row>
  </sheetData>
  <sheetProtection algorithmName="SHA-512" hashValue="ywWt+MRxoBt+OyJ46sVlAXpkqzKYjaHpjT64gNNFArqeNVwnCX0adduTNC81DbBOPCBWmKAZv6c1tQHg57zGWw==" saltValue="6hV6BTzUwuYF9amFKoRUDg==" spinCount="100000" sheet="1" objects="1" scenarios="1"/>
  <mergeCells count="6">
    <mergeCell ref="A47:E47"/>
    <mergeCell ref="J47:N47"/>
    <mergeCell ref="B48:C48"/>
    <mergeCell ref="D48:E48"/>
    <mergeCell ref="K48:L48"/>
    <mergeCell ref="M48:N48"/>
  </mergeCell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FFFF00"/>
  </sheetPr>
  <dimension ref="A1:BW491"/>
  <sheetViews>
    <sheetView zoomScale="85" zoomScaleNormal="85" workbookViewId="0">
      <selection activeCell="C42" sqref="C42"/>
    </sheetView>
  </sheetViews>
  <sheetFormatPr defaultColWidth="0" defaultRowHeight="15"/>
  <cols>
    <col min="1" max="1" width="3.7109375" style="14" customWidth="1"/>
    <col min="2" max="2" width="18" style="14" bestFit="1" customWidth="1"/>
    <col min="3" max="3" width="25.28515625" style="14" customWidth="1"/>
    <col min="4" max="4" width="24.140625" style="14" bestFit="1" customWidth="1"/>
    <col min="5" max="5" width="12.42578125" style="14" bestFit="1" customWidth="1"/>
    <col min="6" max="6" width="19.7109375" style="14" bestFit="1" customWidth="1"/>
    <col min="7" max="7" width="4.7109375" style="14" customWidth="1"/>
    <col min="8" max="8" width="11" style="14" bestFit="1" customWidth="1"/>
    <col min="9" max="9" width="23.5703125" style="14" bestFit="1" customWidth="1"/>
    <col min="10" max="10" width="14.7109375" style="14" bestFit="1" customWidth="1"/>
    <col min="11" max="11" width="10" style="14" bestFit="1" customWidth="1"/>
    <col min="12" max="12" width="17.7109375" style="14" bestFit="1" customWidth="1"/>
    <col min="13" max="13" width="10.85546875" style="14" bestFit="1" customWidth="1"/>
    <col min="14" max="14" width="4.85546875" style="180" customWidth="1"/>
    <col min="15" max="15" width="23.5703125" style="14" bestFit="1" customWidth="1"/>
    <col min="16" max="16" width="4.7109375" style="14" customWidth="1"/>
    <col min="17" max="17" width="48.7109375" style="14" bestFit="1" customWidth="1"/>
    <col min="18" max="21" width="7.28515625" style="180" bestFit="1" customWidth="1"/>
    <col min="22" max="24" width="8" style="180" bestFit="1" customWidth="1"/>
    <col min="25" max="25" width="8" style="14" bestFit="1" customWidth="1"/>
    <col min="26" max="26" width="15.28515625" style="14" bestFit="1" customWidth="1"/>
    <col min="27" max="27" width="6.5703125" style="14" bestFit="1" customWidth="1"/>
    <col min="28" max="28" width="11.42578125" style="14" bestFit="1" customWidth="1"/>
    <col min="29" max="29" width="18.42578125" style="180" customWidth="1"/>
    <col min="30" max="30" width="16.140625" style="180" bestFit="1" customWidth="1"/>
    <col min="31" max="31" width="11.85546875" style="14" customWidth="1"/>
    <col min="32" max="32" width="11.140625" style="14" bestFit="1" customWidth="1"/>
    <col min="33" max="33" width="11.140625" style="14" customWidth="1"/>
    <col min="34" max="34" width="31.28515625" style="14" bestFit="1" customWidth="1"/>
    <col min="35" max="47" width="4.7109375" style="14" customWidth="1"/>
    <col min="48" max="71" width="0" style="14" hidden="1"/>
    <col min="72" max="72" width="38.140625" style="14" bestFit="1" customWidth="1"/>
    <col min="73" max="73" width="4.7109375" style="14" hidden="1" customWidth="1"/>
    <col min="74" max="75" width="0" style="14" hidden="1" customWidth="1"/>
    <col min="76" max="16384" width="4.7109375" style="14" hidden="1"/>
  </cols>
  <sheetData>
    <row r="1" spans="2:73">
      <c r="B1" s="701" t="s">
        <v>790</v>
      </c>
      <c r="C1" s="701"/>
      <c r="D1" s="701"/>
      <c r="E1" s="701"/>
      <c r="F1" s="701"/>
      <c r="H1" s="701" t="s">
        <v>2849</v>
      </c>
      <c r="I1" s="701"/>
      <c r="J1" s="701"/>
      <c r="K1" s="701"/>
      <c r="L1" s="701"/>
      <c r="M1" s="701"/>
      <c r="N1" s="626"/>
      <c r="O1" s="14" t="s">
        <v>791</v>
      </c>
    </row>
    <row r="2" spans="2:73" ht="60">
      <c r="B2" s="90" t="s">
        <v>75</v>
      </c>
      <c r="C2" s="83" t="s">
        <v>777</v>
      </c>
      <c r="D2" s="90" t="s">
        <v>776</v>
      </c>
      <c r="E2" s="90" t="s">
        <v>778</v>
      </c>
      <c r="F2" s="90" t="s">
        <v>779</v>
      </c>
      <c r="H2" s="14" t="s">
        <v>789</v>
      </c>
      <c r="I2" s="14" t="s">
        <v>71</v>
      </c>
      <c r="J2" s="14" t="s">
        <v>792</v>
      </c>
      <c r="K2" s="14" t="s">
        <v>793</v>
      </c>
      <c r="L2" s="14" t="s">
        <v>794</v>
      </c>
      <c r="M2" s="14" t="s">
        <v>752</v>
      </c>
      <c r="O2" s="14" t="s">
        <v>71</v>
      </c>
      <c r="Q2" s="1" t="s">
        <v>1525</v>
      </c>
      <c r="R2" s="1" t="s">
        <v>753</v>
      </c>
      <c r="S2" s="1" t="s">
        <v>754</v>
      </c>
      <c r="T2" s="1" t="s">
        <v>755</v>
      </c>
      <c r="U2" s="1" t="s">
        <v>1922</v>
      </c>
      <c r="V2" s="1" t="s">
        <v>771</v>
      </c>
      <c r="W2" s="1" t="s">
        <v>772</v>
      </c>
      <c r="X2" s="1" t="s">
        <v>773</v>
      </c>
      <c r="Y2" s="1" t="s">
        <v>1921</v>
      </c>
      <c r="Z2" s="1" t="s">
        <v>1565</v>
      </c>
      <c r="AA2" s="1" t="s">
        <v>88</v>
      </c>
      <c r="AB2" s="1" t="s">
        <v>1195</v>
      </c>
      <c r="AC2" s="1" t="s">
        <v>2797</v>
      </c>
      <c r="AD2" t="s">
        <v>2798</v>
      </c>
      <c r="AE2" s="1" t="s">
        <v>2778</v>
      </c>
      <c r="AF2" s="1" t="s">
        <v>2779</v>
      </c>
      <c r="AG2" s="1" t="s">
        <v>2780</v>
      </c>
      <c r="AH2" s="1" t="s">
        <v>2781</v>
      </c>
      <c r="AM2"/>
      <c r="AN2"/>
      <c r="AO2"/>
      <c r="AP2"/>
      <c r="AQ2"/>
      <c r="AR2"/>
      <c r="AS2"/>
      <c r="AT2"/>
      <c r="AU2"/>
      <c r="AV2"/>
      <c r="AW2"/>
      <c r="AX2"/>
      <c r="AY2"/>
      <c r="AZ2"/>
      <c r="BA2"/>
      <c r="BB2"/>
      <c r="BC2"/>
      <c r="BD2"/>
      <c r="BE2"/>
      <c r="BF2"/>
      <c r="BG2"/>
      <c r="BH2"/>
      <c r="BI2"/>
      <c r="BJ2"/>
      <c r="BK2"/>
      <c r="BL2"/>
      <c r="BM2"/>
      <c r="BN2"/>
      <c r="BO2"/>
      <c r="BP2"/>
      <c r="BQ2"/>
      <c r="BR2"/>
      <c r="BS2"/>
      <c r="BT2"/>
    </row>
    <row r="3" spans="2:73">
      <c r="B3" s="80" t="s">
        <v>765</v>
      </c>
      <c r="C3" s="82" t="s">
        <v>754</v>
      </c>
      <c r="D3" s="86" t="s">
        <v>772</v>
      </c>
      <c r="E3" s="82" t="s">
        <v>754</v>
      </c>
      <c r="F3" s="86" t="s">
        <v>772</v>
      </c>
      <c r="H3" s="14">
        <v>64720</v>
      </c>
      <c r="I3" s="14" t="s">
        <v>799</v>
      </c>
      <c r="J3" s="180" t="s">
        <v>753</v>
      </c>
      <c r="K3" s="14" t="s">
        <v>842</v>
      </c>
      <c r="L3" s="14" t="s">
        <v>1919</v>
      </c>
      <c r="M3" s="14" t="s">
        <v>798</v>
      </c>
      <c r="O3" s="14" t="s">
        <v>799</v>
      </c>
      <c r="Q3" s="180" t="s">
        <v>1526</v>
      </c>
      <c r="R3" s="180">
        <v>0.9</v>
      </c>
      <c r="S3" s="180">
        <v>0.9</v>
      </c>
      <c r="T3" s="180">
        <v>0.8</v>
      </c>
      <c r="U3" s="180">
        <v>0.71</v>
      </c>
      <c r="V3" s="180">
        <v>0.9</v>
      </c>
      <c r="W3" s="180">
        <v>0.82</v>
      </c>
      <c r="X3" s="180">
        <v>0.8</v>
      </c>
      <c r="Y3" s="54">
        <v>0.71</v>
      </c>
      <c r="Z3" s="180" t="s">
        <v>1204</v>
      </c>
      <c r="AA3" s="180">
        <v>15</v>
      </c>
      <c r="AB3" s="180" t="s">
        <v>1566</v>
      </c>
      <c r="AC3" s="617">
        <f>INDEX(Table71[CBECS 2012 Midwest Electricity Energy Intensity (kWh/sq ft)],MATCH(LPDWATT[[#This Row],[CBECS Building Activity]],Table71[Principal building activity],0))</f>
        <v>20.2</v>
      </c>
      <c r="AD3" t="s">
        <v>97</v>
      </c>
      <c r="AE3" s="54">
        <v>0.97</v>
      </c>
      <c r="AF3" s="180">
        <v>3379</v>
      </c>
      <c r="AG3" s="180">
        <v>1.1599999999999999</v>
      </c>
      <c r="AH3" s="180"/>
      <c r="AM3"/>
      <c r="AN3"/>
      <c r="AO3"/>
      <c r="AP3"/>
      <c r="AQ3"/>
      <c r="AR3"/>
      <c r="AS3"/>
      <c r="AT3"/>
      <c r="AU3"/>
      <c r="AV3"/>
      <c r="AW3"/>
      <c r="AX3"/>
      <c r="AY3"/>
      <c r="AZ3"/>
      <c r="BA3"/>
      <c r="BB3"/>
      <c r="BC3"/>
      <c r="BD3"/>
      <c r="BE3"/>
      <c r="BF3"/>
      <c r="BG3"/>
      <c r="BH3"/>
      <c r="BI3"/>
      <c r="BJ3"/>
      <c r="BK3"/>
      <c r="BL3"/>
      <c r="BM3"/>
      <c r="BN3"/>
      <c r="BO3"/>
      <c r="BP3"/>
      <c r="BQ3"/>
      <c r="BR3"/>
      <c r="BS3"/>
      <c r="BT3"/>
    </row>
    <row r="4" spans="2:73">
      <c r="B4" s="80" t="s">
        <v>764</v>
      </c>
      <c r="C4" s="82" t="s">
        <v>756</v>
      </c>
      <c r="D4" s="82" t="s">
        <v>775</v>
      </c>
      <c r="E4" s="87" t="s">
        <v>753</v>
      </c>
      <c r="F4" s="87" t="s">
        <v>771</v>
      </c>
      <c r="H4" s="14">
        <v>64401</v>
      </c>
      <c r="I4" s="14" t="s">
        <v>801</v>
      </c>
      <c r="J4" s="180" t="s">
        <v>753</v>
      </c>
      <c r="K4" s="14" t="s">
        <v>893</v>
      </c>
      <c r="L4" s="180" t="s">
        <v>1919</v>
      </c>
      <c r="M4" s="180" t="s">
        <v>798</v>
      </c>
      <c r="O4" s="14" t="s">
        <v>801</v>
      </c>
      <c r="Q4" s="180" t="s">
        <v>1527</v>
      </c>
      <c r="R4" s="180">
        <v>1.2</v>
      </c>
      <c r="S4" s="180">
        <v>1.2</v>
      </c>
      <c r="T4" s="180">
        <v>1.01</v>
      </c>
      <c r="U4" s="180">
        <v>0.76</v>
      </c>
      <c r="V4" s="180">
        <v>1.2</v>
      </c>
      <c r="W4" s="180">
        <v>1.08</v>
      </c>
      <c r="X4" s="180">
        <v>1.01</v>
      </c>
      <c r="Y4" s="54">
        <v>0.76</v>
      </c>
      <c r="Z4" s="180" t="s">
        <v>1204</v>
      </c>
      <c r="AA4" s="180">
        <v>15</v>
      </c>
      <c r="AB4" s="180" t="s">
        <v>1566</v>
      </c>
      <c r="AC4" s="617">
        <f>INDEX(Table71[CBECS 2012 Midwest Electricity Energy Intensity (kWh/sq ft)],MATCH(LPDWATT[[#This Row],[CBECS Building Activity]],Table71[Principal building activity],0))</f>
        <v>13.2</v>
      </c>
      <c r="AD4" t="s">
        <v>2799</v>
      </c>
      <c r="AE4" s="54">
        <v>0.67</v>
      </c>
      <c r="AF4" s="180">
        <v>3379</v>
      </c>
      <c r="AG4" s="180">
        <v>1.08</v>
      </c>
      <c r="AH4" s="180" t="s">
        <v>2782</v>
      </c>
      <c r="AM4"/>
      <c r="AN4"/>
      <c r="AO4"/>
      <c r="AP4"/>
      <c r="AQ4"/>
      <c r="AR4"/>
      <c r="AS4"/>
      <c r="AT4"/>
      <c r="AU4"/>
      <c r="AV4"/>
      <c r="AW4"/>
      <c r="AX4"/>
      <c r="AY4"/>
      <c r="AZ4"/>
      <c r="BA4"/>
      <c r="BB4"/>
      <c r="BC4"/>
      <c r="BD4"/>
      <c r="BE4"/>
      <c r="BF4"/>
      <c r="BG4"/>
      <c r="BH4"/>
      <c r="BI4"/>
      <c r="BJ4"/>
      <c r="BK4"/>
      <c r="BL4"/>
      <c r="BM4"/>
      <c r="BN4"/>
      <c r="BO4"/>
      <c r="BP4"/>
      <c r="BQ4"/>
      <c r="BR4"/>
      <c r="BS4"/>
      <c r="BT4"/>
      <c r="BU4" s="137" t="s">
        <v>1232</v>
      </c>
    </row>
    <row r="5" spans="2:73">
      <c r="B5" s="80" t="s">
        <v>759</v>
      </c>
      <c r="C5" s="82" t="s">
        <v>754</v>
      </c>
      <c r="D5" s="82" t="s">
        <v>772</v>
      </c>
      <c r="E5" s="82" t="s">
        <v>754</v>
      </c>
      <c r="F5" s="82" t="s">
        <v>772</v>
      </c>
      <c r="H5" s="14">
        <v>64402</v>
      </c>
      <c r="I5" s="14" t="s">
        <v>803</v>
      </c>
      <c r="J5" s="180" t="s">
        <v>753</v>
      </c>
      <c r="K5" s="14" t="s">
        <v>1005</v>
      </c>
      <c r="L5" s="180" t="s">
        <v>1919</v>
      </c>
      <c r="M5" s="180" t="s">
        <v>798</v>
      </c>
      <c r="O5" s="14" t="s">
        <v>803</v>
      </c>
      <c r="Q5" s="180" t="s">
        <v>1528</v>
      </c>
      <c r="R5" s="180">
        <v>1.2</v>
      </c>
      <c r="S5" s="180">
        <v>1.2</v>
      </c>
      <c r="T5" s="180">
        <v>1.01</v>
      </c>
      <c r="U5" s="180">
        <v>0.9</v>
      </c>
      <c r="V5" s="180">
        <v>1.2</v>
      </c>
      <c r="W5" s="180">
        <v>1.05</v>
      </c>
      <c r="X5" s="180">
        <v>1.01</v>
      </c>
      <c r="Y5" s="54">
        <v>0.9</v>
      </c>
      <c r="Z5" s="180" t="s">
        <v>1204</v>
      </c>
      <c r="AA5" s="180">
        <v>15</v>
      </c>
      <c r="AB5" s="180" t="s">
        <v>1566</v>
      </c>
      <c r="AC5" s="617">
        <f>INDEX(Table71[CBECS 2012 Midwest Electricity Energy Intensity (kWh/sq ft)],MATCH(LPDWATT[[#This Row],[CBECS Building Activity]],Table71[Principal building activity],0))</f>
        <v>10.3</v>
      </c>
      <c r="AD5" t="s">
        <v>2814</v>
      </c>
      <c r="AE5" s="54">
        <v>0.65</v>
      </c>
      <c r="AF5" s="180">
        <v>2698</v>
      </c>
      <c r="AG5" s="180">
        <v>1.06</v>
      </c>
      <c r="AH5" s="180" t="s">
        <v>2783</v>
      </c>
      <c r="AM5"/>
      <c r="AN5"/>
      <c r="AO5"/>
      <c r="AP5"/>
      <c r="AQ5"/>
      <c r="AR5"/>
      <c r="AS5"/>
      <c r="AT5"/>
      <c r="AU5"/>
      <c r="AV5"/>
      <c r="AW5"/>
      <c r="AX5"/>
      <c r="AY5"/>
      <c r="AZ5"/>
      <c r="BA5"/>
      <c r="BB5"/>
      <c r="BC5"/>
      <c r="BD5"/>
      <c r="BE5"/>
      <c r="BF5"/>
      <c r="BG5"/>
      <c r="BH5"/>
      <c r="BI5"/>
      <c r="BJ5"/>
      <c r="BK5"/>
      <c r="BL5"/>
      <c r="BM5"/>
      <c r="BN5"/>
      <c r="BO5"/>
      <c r="BP5"/>
      <c r="BQ5"/>
      <c r="BR5"/>
      <c r="BS5"/>
      <c r="BT5"/>
      <c r="BU5" s="14" t="s">
        <v>1232</v>
      </c>
    </row>
    <row r="6" spans="2:73">
      <c r="B6" s="80" t="s">
        <v>769</v>
      </c>
      <c r="C6" s="82" t="s">
        <v>755</v>
      </c>
      <c r="D6" s="82" t="s">
        <v>773</v>
      </c>
      <c r="E6" s="82" t="s">
        <v>755</v>
      </c>
      <c r="F6" s="82" t="s">
        <v>773</v>
      </c>
      <c r="H6" s="14">
        <v>64420</v>
      </c>
      <c r="I6" s="14" t="s">
        <v>805</v>
      </c>
      <c r="J6" s="180" t="s">
        <v>753</v>
      </c>
      <c r="K6" s="14" t="s">
        <v>1170</v>
      </c>
      <c r="L6" s="180" t="s">
        <v>1919</v>
      </c>
      <c r="M6" s="180" t="s">
        <v>798</v>
      </c>
      <c r="O6" s="14" t="s">
        <v>805</v>
      </c>
      <c r="Q6" s="180" t="s">
        <v>1529</v>
      </c>
      <c r="R6" s="180">
        <v>1.3</v>
      </c>
      <c r="S6" s="180">
        <v>1.3</v>
      </c>
      <c r="T6" s="180">
        <v>1.01</v>
      </c>
      <c r="U6" s="180">
        <v>0.9</v>
      </c>
      <c r="V6" s="180">
        <v>1.3</v>
      </c>
      <c r="W6" s="180">
        <v>0.99</v>
      </c>
      <c r="X6" s="180">
        <v>1.01</v>
      </c>
      <c r="Y6" s="54">
        <v>0.9</v>
      </c>
      <c r="Z6" s="180" t="s">
        <v>1204</v>
      </c>
      <c r="AA6" s="180">
        <v>15</v>
      </c>
      <c r="AB6" s="180" t="s">
        <v>1566</v>
      </c>
      <c r="AC6" s="617">
        <f>INDEX(Table71[CBECS 2012 Midwest Electricity Energy Intensity (kWh/sq ft)],MATCH(LPDWATT[[#This Row],[CBECS Building Activity]],Table71[Principal building activity],0))</f>
        <v>43.1</v>
      </c>
      <c r="AD6" t="s">
        <v>2809</v>
      </c>
      <c r="AE6" s="54">
        <v>1</v>
      </c>
      <c r="AF6" s="180">
        <v>5571</v>
      </c>
      <c r="AG6" s="180">
        <v>1.08</v>
      </c>
      <c r="AH6" s="180"/>
      <c r="AM6"/>
      <c r="AN6"/>
      <c r="AO6"/>
      <c r="AP6"/>
      <c r="AQ6"/>
      <c r="AR6"/>
      <c r="AS6"/>
      <c r="AT6"/>
      <c r="AU6"/>
      <c r="AV6"/>
      <c r="AW6"/>
      <c r="AX6"/>
      <c r="AY6"/>
      <c r="AZ6"/>
      <c r="BA6"/>
      <c r="BB6"/>
      <c r="BC6"/>
      <c r="BD6"/>
      <c r="BE6"/>
      <c r="BF6"/>
      <c r="BG6"/>
      <c r="BH6"/>
      <c r="BI6"/>
      <c r="BJ6"/>
      <c r="BK6"/>
      <c r="BL6"/>
      <c r="BM6"/>
      <c r="BN6"/>
      <c r="BO6"/>
      <c r="BP6"/>
      <c r="BQ6"/>
      <c r="BR6"/>
      <c r="BS6"/>
      <c r="BT6"/>
    </row>
    <row r="7" spans="2:73">
      <c r="B7" s="80" t="s">
        <v>770</v>
      </c>
      <c r="C7" s="82" t="s">
        <v>754</v>
      </c>
      <c r="D7" s="82" t="s">
        <v>772</v>
      </c>
      <c r="E7" s="82" t="s">
        <v>754</v>
      </c>
      <c r="F7" s="82" t="s">
        <v>772</v>
      </c>
      <c r="H7" s="14">
        <v>64001</v>
      </c>
      <c r="I7" s="14" t="s">
        <v>807</v>
      </c>
      <c r="J7" s="180" t="s">
        <v>753</v>
      </c>
      <c r="K7" s="14" t="s">
        <v>1160</v>
      </c>
      <c r="L7" s="180" t="s">
        <v>1919</v>
      </c>
      <c r="M7" s="180" t="s">
        <v>798</v>
      </c>
      <c r="O7" s="14" t="s">
        <v>807</v>
      </c>
      <c r="Q7" s="180" t="s">
        <v>1530</v>
      </c>
      <c r="R7" s="180">
        <v>1.4</v>
      </c>
      <c r="S7" s="180">
        <v>1.4</v>
      </c>
      <c r="T7" s="180">
        <v>0.9</v>
      </c>
      <c r="U7" s="180">
        <v>0.79</v>
      </c>
      <c r="V7" s="180">
        <v>1.4</v>
      </c>
      <c r="W7" s="180">
        <v>0.9</v>
      </c>
      <c r="X7" s="180">
        <v>0.9</v>
      </c>
      <c r="Y7" s="54">
        <v>0.79</v>
      </c>
      <c r="Z7" s="180" t="s">
        <v>1204</v>
      </c>
      <c r="AA7" s="180">
        <v>15</v>
      </c>
      <c r="AB7" s="180" t="s">
        <v>1566</v>
      </c>
      <c r="AC7" s="617">
        <f>INDEX(Table71[CBECS 2012 Midwest Electricity Energy Intensity (kWh/sq ft)],MATCH(LPDWATT[[#This Row],[CBECS Building Activity]],Table71[Principal building activity],0))</f>
        <v>43.1</v>
      </c>
      <c r="AD7" t="s">
        <v>2809</v>
      </c>
      <c r="AE7" s="54">
        <v>1</v>
      </c>
      <c r="AF7" s="180">
        <v>5571</v>
      </c>
      <c r="AG7" s="180">
        <v>1.08</v>
      </c>
      <c r="AH7" s="180"/>
      <c r="AM7"/>
      <c r="AN7"/>
      <c r="AO7"/>
      <c r="AP7"/>
      <c r="AQ7"/>
      <c r="AR7"/>
      <c r="AS7"/>
      <c r="AT7"/>
      <c r="AU7"/>
      <c r="AV7"/>
      <c r="AW7"/>
      <c r="AX7"/>
      <c r="AY7"/>
      <c r="AZ7"/>
      <c r="BA7"/>
      <c r="BB7"/>
      <c r="BC7"/>
      <c r="BD7"/>
      <c r="BE7"/>
      <c r="BF7"/>
      <c r="BG7"/>
      <c r="BH7"/>
      <c r="BI7"/>
      <c r="BJ7"/>
      <c r="BK7"/>
      <c r="BL7"/>
      <c r="BM7"/>
      <c r="BN7"/>
      <c r="BO7"/>
      <c r="BP7"/>
      <c r="BQ7"/>
      <c r="BR7"/>
      <c r="BS7"/>
      <c r="BT7"/>
    </row>
    <row r="8" spans="2:73">
      <c r="B8" s="80" t="s">
        <v>760</v>
      </c>
      <c r="C8" s="82" t="s">
        <v>753</v>
      </c>
      <c r="D8" s="82" t="s">
        <v>771</v>
      </c>
      <c r="E8" s="82" t="s">
        <v>753</v>
      </c>
      <c r="F8" s="82" t="s">
        <v>771</v>
      </c>
      <c r="H8" s="14">
        <v>64620</v>
      </c>
      <c r="I8" s="14" t="s">
        <v>809</v>
      </c>
      <c r="J8" s="180" t="s">
        <v>753</v>
      </c>
      <c r="K8" s="14" t="s">
        <v>1045</v>
      </c>
      <c r="L8" s="180" t="s">
        <v>1919</v>
      </c>
      <c r="M8" s="180" t="s">
        <v>798</v>
      </c>
      <c r="O8" s="14" t="s">
        <v>809</v>
      </c>
      <c r="Q8" s="180" t="s">
        <v>1531</v>
      </c>
      <c r="R8" s="180">
        <v>1.6</v>
      </c>
      <c r="S8" s="180">
        <v>1.6</v>
      </c>
      <c r="T8" s="180">
        <v>0.95</v>
      </c>
      <c r="U8" s="180">
        <v>0.78</v>
      </c>
      <c r="V8" s="180">
        <v>1.6</v>
      </c>
      <c r="W8" s="180">
        <v>0.89</v>
      </c>
      <c r="X8" s="180">
        <v>0.95</v>
      </c>
      <c r="Y8" s="54">
        <v>0.78</v>
      </c>
      <c r="Z8" s="180" t="s">
        <v>1204</v>
      </c>
      <c r="AA8" s="180">
        <v>15</v>
      </c>
      <c r="AB8" s="180" t="s">
        <v>1566</v>
      </c>
      <c r="AC8" s="617">
        <f>INDEX(Table71[CBECS 2012 Midwest Electricity Energy Intensity (kWh/sq ft)],MATCH(LPDWATT[[#This Row],[CBECS Building Activity]],Table71[Principal building activity],0))</f>
        <v>43.1</v>
      </c>
      <c r="AD8" t="s">
        <v>2809</v>
      </c>
      <c r="AE8" s="54">
        <v>1</v>
      </c>
      <c r="AF8" s="180">
        <v>5571</v>
      </c>
      <c r="AG8" s="180">
        <v>1.08</v>
      </c>
      <c r="AH8" s="180"/>
      <c r="AM8"/>
      <c r="AN8"/>
      <c r="AO8"/>
      <c r="AP8"/>
      <c r="AQ8"/>
      <c r="AR8"/>
      <c r="AS8"/>
      <c r="AT8"/>
      <c r="AU8"/>
      <c r="AV8"/>
      <c r="AW8"/>
      <c r="AX8"/>
      <c r="AY8"/>
      <c r="AZ8"/>
      <c r="BA8"/>
      <c r="BB8"/>
      <c r="BC8"/>
      <c r="BD8"/>
      <c r="BE8"/>
      <c r="BF8"/>
      <c r="BG8"/>
      <c r="BH8"/>
      <c r="BI8"/>
      <c r="BJ8"/>
      <c r="BK8"/>
      <c r="BL8"/>
      <c r="BM8"/>
      <c r="BN8"/>
      <c r="BO8"/>
      <c r="BP8"/>
      <c r="BQ8"/>
      <c r="BR8"/>
      <c r="BS8"/>
      <c r="BT8"/>
    </row>
    <row r="9" spans="2:73">
      <c r="B9" s="80" t="s">
        <v>758</v>
      </c>
      <c r="C9" s="82" t="s">
        <v>754</v>
      </c>
      <c r="D9" s="82" t="s">
        <v>772</v>
      </c>
      <c r="E9" s="82" t="s">
        <v>754</v>
      </c>
      <c r="F9" s="82" t="s">
        <v>772</v>
      </c>
      <c r="H9" s="14">
        <v>64421</v>
      </c>
      <c r="I9" s="14" t="s">
        <v>796</v>
      </c>
      <c r="J9" s="180" t="s">
        <v>753</v>
      </c>
      <c r="K9" s="14" t="s">
        <v>797</v>
      </c>
      <c r="L9" s="180" t="s">
        <v>1919</v>
      </c>
      <c r="M9" s="180" t="s">
        <v>798</v>
      </c>
      <c r="O9" s="14" t="s">
        <v>796</v>
      </c>
      <c r="Q9" s="180" t="s">
        <v>1532</v>
      </c>
      <c r="R9" s="180">
        <v>1</v>
      </c>
      <c r="S9" s="180">
        <v>1</v>
      </c>
      <c r="T9" s="180">
        <v>0.56999999999999995</v>
      </c>
      <c r="U9" s="180">
        <v>0.61</v>
      </c>
      <c r="V9" s="180">
        <v>1</v>
      </c>
      <c r="W9" s="180">
        <v>0.61</v>
      </c>
      <c r="X9" s="180">
        <v>0.56999999999999995</v>
      </c>
      <c r="Y9" s="54">
        <v>0.61</v>
      </c>
      <c r="Z9" s="180" t="s">
        <v>1204</v>
      </c>
      <c r="AA9" s="180">
        <v>15</v>
      </c>
      <c r="AB9" s="180" t="s">
        <v>1566</v>
      </c>
      <c r="AC9" s="617">
        <f>INDEX(Table71[CBECS 2012 Midwest Electricity Energy Intensity (kWh/sq ft)],MATCH(LPDWATT[[#This Row],[CBECS Building Activity]],Table71[Principal building activity],0))</f>
        <v>15.4</v>
      </c>
      <c r="AD9" t="s">
        <v>2805</v>
      </c>
      <c r="AE9" s="54">
        <v>0.66</v>
      </c>
      <c r="AF9" s="180">
        <v>7862</v>
      </c>
      <c r="AG9" s="180">
        <v>1.1399999999999999</v>
      </c>
      <c r="AH9" s="180" t="s">
        <v>2784</v>
      </c>
      <c r="AM9"/>
      <c r="AN9"/>
      <c r="AO9"/>
      <c r="AP9"/>
      <c r="AQ9"/>
      <c r="AR9"/>
      <c r="AS9"/>
      <c r="AT9"/>
      <c r="AU9"/>
      <c r="AV9"/>
      <c r="AW9"/>
      <c r="AX9"/>
      <c r="AY9"/>
      <c r="AZ9"/>
      <c r="BA9"/>
      <c r="BB9"/>
      <c r="BC9"/>
      <c r="BD9"/>
      <c r="BE9"/>
      <c r="BF9"/>
      <c r="BG9"/>
      <c r="BH9"/>
      <c r="BI9"/>
      <c r="BJ9"/>
      <c r="BK9"/>
      <c r="BL9"/>
      <c r="BM9"/>
      <c r="BN9"/>
      <c r="BO9"/>
      <c r="BP9"/>
      <c r="BQ9"/>
      <c r="BR9"/>
      <c r="BS9"/>
      <c r="BT9"/>
    </row>
    <row r="10" spans="2:73">
      <c r="B10" s="80" t="s">
        <v>768</v>
      </c>
      <c r="C10" s="82" t="s">
        <v>753</v>
      </c>
      <c r="D10" s="82" t="s">
        <v>771</v>
      </c>
      <c r="E10" s="82" t="s">
        <v>753</v>
      </c>
      <c r="F10" s="82" t="s">
        <v>771</v>
      </c>
      <c r="H10" s="14">
        <v>64422</v>
      </c>
      <c r="I10" s="14" t="s">
        <v>812</v>
      </c>
      <c r="J10" s="180" t="s">
        <v>753</v>
      </c>
      <c r="K10" s="14" t="s">
        <v>1054</v>
      </c>
      <c r="L10" s="180" t="s">
        <v>1919</v>
      </c>
      <c r="M10" s="180" t="s">
        <v>798</v>
      </c>
      <c r="O10" s="14" t="s">
        <v>812</v>
      </c>
      <c r="Q10" s="180" t="s">
        <v>1533</v>
      </c>
      <c r="R10" s="180">
        <v>1</v>
      </c>
      <c r="S10" s="180">
        <v>1</v>
      </c>
      <c r="T10" s="180">
        <v>0.84</v>
      </c>
      <c r="U10" s="180">
        <v>0.65</v>
      </c>
      <c r="V10" s="180">
        <v>1</v>
      </c>
      <c r="W10" s="180">
        <v>0.88</v>
      </c>
      <c r="X10" s="180">
        <v>0.84</v>
      </c>
      <c r="Y10" s="54">
        <v>0.65</v>
      </c>
      <c r="Z10" s="180" t="s">
        <v>1204</v>
      </c>
      <c r="AA10" s="180">
        <v>15</v>
      </c>
      <c r="AB10" s="180" t="s">
        <v>1566</v>
      </c>
      <c r="AC10" s="617">
        <f>INDEX(Table71[CBECS 2012 Midwest Electricity Energy Intensity (kWh/sq ft)],MATCH(LPDWATT[[#This Row],[CBECS Building Activity]],Table71[Principal building activity],0))</f>
        <v>13.2</v>
      </c>
      <c r="AD10" t="s">
        <v>2801</v>
      </c>
      <c r="AE10" s="54">
        <v>0.67</v>
      </c>
      <c r="AF10" s="180">
        <v>3379</v>
      </c>
      <c r="AG10" s="180">
        <v>1.08</v>
      </c>
      <c r="AH10" s="180" t="s">
        <v>2782</v>
      </c>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2:73">
      <c r="B11" s="80" t="s">
        <v>762</v>
      </c>
      <c r="C11" s="82" t="s">
        <v>754</v>
      </c>
      <c r="D11" s="82" t="s">
        <v>772</v>
      </c>
      <c r="E11" s="82" t="s">
        <v>754</v>
      </c>
      <c r="F11" s="82" t="s">
        <v>772</v>
      </c>
      <c r="H11" s="14">
        <v>64722</v>
      </c>
      <c r="I11" s="14" t="s">
        <v>815</v>
      </c>
      <c r="J11" s="180" t="s">
        <v>753</v>
      </c>
      <c r="K11" s="14" t="s">
        <v>842</v>
      </c>
      <c r="L11" s="180" t="s">
        <v>1919</v>
      </c>
      <c r="M11" s="180" t="s">
        <v>798</v>
      </c>
      <c r="O11" s="14" t="s">
        <v>815</v>
      </c>
      <c r="Q11" s="54" t="s">
        <v>1534</v>
      </c>
      <c r="R11" s="54">
        <v>1</v>
      </c>
      <c r="S11" s="54">
        <v>0.8</v>
      </c>
      <c r="T11" s="54">
        <v>0.67</v>
      </c>
      <c r="U11" s="54">
        <v>0.53</v>
      </c>
      <c r="V11" s="54">
        <v>1</v>
      </c>
      <c r="W11" s="54">
        <v>0.71</v>
      </c>
      <c r="X11" s="54">
        <v>0.67100000000000004</v>
      </c>
      <c r="Y11" s="54">
        <v>0.53</v>
      </c>
      <c r="Z11" s="180" t="s">
        <v>1204</v>
      </c>
      <c r="AA11" s="180">
        <v>15</v>
      </c>
      <c r="AB11" s="180" t="s">
        <v>1566</v>
      </c>
      <c r="AC11" s="617">
        <f>INDEX(Table71[CBECS 2012 Midwest Electricity Energy Intensity (kWh/sq ft)],MATCH(LPDWATT[[#This Row],[CBECS Building Activity]],Table71[Principal building activity],0))</f>
        <v>10.3</v>
      </c>
      <c r="AD11" t="s">
        <v>2814</v>
      </c>
      <c r="AE11" s="54">
        <v>0.65</v>
      </c>
      <c r="AF11" s="180">
        <v>2698</v>
      </c>
      <c r="AG11" s="180">
        <v>1.06</v>
      </c>
      <c r="AH11" s="180" t="s">
        <v>2783</v>
      </c>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2:73">
      <c r="B12" s="80" t="s">
        <v>763</v>
      </c>
      <c r="C12" s="82" t="s">
        <v>753</v>
      </c>
      <c r="D12" s="82" t="s">
        <v>771</v>
      </c>
      <c r="E12" s="82" t="s">
        <v>753</v>
      </c>
      <c r="F12" s="82" t="s">
        <v>771</v>
      </c>
      <c r="H12" s="14">
        <v>64723</v>
      </c>
      <c r="I12" s="14" t="s">
        <v>817</v>
      </c>
      <c r="J12" s="180" t="s">
        <v>753</v>
      </c>
      <c r="K12" s="14" t="s">
        <v>842</v>
      </c>
      <c r="L12" s="180" t="s">
        <v>1919</v>
      </c>
      <c r="M12" s="180" t="s">
        <v>798</v>
      </c>
      <c r="O12" s="14" t="s">
        <v>817</v>
      </c>
      <c r="Q12" s="54" t="s">
        <v>2862</v>
      </c>
      <c r="R12" s="54" t="s">
        <v>1919</v>
      </c>
      <c r="S12" s="54" t="s">
        <v>1919</v>
      </c>
      <c r="T12" s="54" t="s">
        <v>1919</v>
      </c>
      <c r="U12" s="54" t="s">
        <v>1919</v>
      </c>
      <c r="V12" s="54" t="s">
        <v>1919</v>
      </c>
      <c r="W12" s="54" t="s">
        <v>1919</v>
      </c>
      <c r="X12" s="54" t="s">
        <v>1919</v>
      </c>
      <c r="Y12" s="54" t="s">
        <v>1919</v>
      </c>
      <c r="Z12" s="180" t="s">
        <v>1204</v>
      </c>
      <c r="AA12" s="180"/>
      <c r="AB12" s="180" t="s">
        <v>1566</v>
      </c>
      <c r="AC12" s="630">
        <f>INDEX(Table71[CBECS 2012 Midwest Electricity Energy Intensity (kWh/sq ft)],MATCH(LPDWATT[[#This Row],[CBECS Building Activity]],Table71[Principal building activity],0))</f>
        <v>20.2</v>
      </c>
      <c r="AD12" s="180" t="s">
        <v>97</v>
      </c>
      <c r="AE12" s="54"/>
      <c r="AF12" s="180"/>
      <c r="AG12" s="180"/>
      <c r="AH12" s="180"/>
    </row>
    <row r="13" spans="2:73">
      <c r="B13" s="80" t="s">
        <v>761</v>
      </c>
      <c r="C13" s="82" t="s">
        <v>755</v>
      </c>
      <c r="D13" s="82" t="s">
        <v>773</v>
      </c>
      <c r="E13" s="82" t="s">
        <v>755</v>
      </c>
      <c r="F13" s="82" t="s">
        <v>773</v>
      </c>
      <c r="H13" s="14">
        <v>64724</v>
      </c>
      <c r="I13" s="14" t="s">
        <v>819</v>
      </c>
      <c r="J13" s="180" t="s">
        <v>753</v>
      </c>
      <c r="K13" s="14" t="s">
        <v>1176</v>
      </c>
      <c r="L13" s="180" t="s">
        <v>1919</v>
      </c>
      <c r="M13" s="180" t="s">
        <v>798</v>
      </c>
      <c r="O13" s="14" t="s">
        <v>819</v>
      </c>
      <c r="Q13" s="180" t="s">
        <v>1535</v>
      </c>
      <c r="R13" s="180">
        <v>1.1000000000000001</v>
      </c>
      <c r="S13" s="180">
        <v>1.1000000000000001</v>
      </c>
      <c r="T13" s="180">
        <v>0.94</v>
      </c>
      <c r="U13" s="180">
        <v>0.68</v>
      </c>
      <c r="V13" s="180">
        <v>1.1000000000000001</v>
      </c>
      <c r="W13" s="180">
        <v>1</v>
      </c>
      <c r="X13" s="180">
        <v>0.94</v>
      </c>
      <c r="Y13" s="180">
        <v>0.68</v>
      </c>
      <c r="Z13" s="180" t="s">
        <v>1204</v>
      </c>
      <c r="AA13" s="180">
        <v>15</v>
      </c>
      <c r="AB13" s="180" t="s">
        <v>1566</v>
      </c>
      <c r="AC13" s="617">
        <f>INDEX(Table71[CBECS 2012 Midwest Electricity Energy Intensity (kWh/sq ft)],MATCH(LPDWATT[[#This Row],[CBECS Building Activity]],Table71[Principal building activity],0))</f>
        <v>13.2</v>
      </c>
      <c r="AD13" t="s">
        <v>2801</v>
      </c>
      <c r="AE13" s="54">
        <v>0.67</v>
      </c>
      <c r="AF13" s="180">
        <v>3379</v>
      </c>
      <c r="AG13" s="180">
        <v>1.08</v>
      </c>
      <c r="AH13" s="180" t="s">
        <v>2782</v>
      </c>
    </row>
    <row r="14" spans="2:73">
      <c r="B14" s="80" t="s">
        <v>766</v>
      </c>
      <c r="C14" s="82" t="s">
        <v>754</v>
      </c>
      <c r="D14" s="82" t="s">
        <v>772</v>
      </c>
      <c r="E14" s="82" t="s">
        <v>754</v>
      </c>
      <c r="F14" s="82" t="s">
        <v>772</v>
      </c>
      <c r="H14" s="14">
        <v>64725</v>
      </c>
      <c r="I14" s="14" t="s">
        <v>821</v>
      </c>
      <c r="J14" s="180" t="s">
        <v>753</v>
      </c>
      <c r="K14" s="14" t="s">
        <v>930</v>
      </c>
      <c r="L14" s="180" t="s">
        <v>1919</v>
      </c>
      <c r="M14" s="180" t="s">
        <v>798</v>
      </c>
      <c r="O14" s="14" t="s">
        <v>821</v>
      </c>
      <c r="Q14" s="180" t="s">
        <v>1537</v>
      </c>
      <c r="R14" s="180">
        <v>1</v>
      </c>
      <c r="S14" s="180">
        <v>1</v>
      </c>
      <c r="T14" s="180">
        <v>0.9</v>
      </c>
      <c r="U14" s="180">
        <v>0.82</v>
      </c>
      <c r="V14" s="180">
        <v>1</v>
      </c>
      <c r="W14" s="180">
        <v>0.87</v>
      </c>
      <c r="X14" s="180">
        <v>0.9</v>
      </c>
      <c r="Y14" s="180">
        <v>0.82</v>
      </c>
      <c r="Z14" s="180" t="s">
        <v>1204</v>
      </c>
      <c r="AA14" s="180">
        <v>15</v>
      </c>
      <c r="AB14" s="180" t="s">
        <v>1566</v>
      </c>
      <c r="AC14" s="617">
        <f>INDEX(Table71[CBECS 2012 Midwest Electricity Energy Intensity (kWh/sq ft)],MATCH(LPDWATT[[#This Row],[CBECS Building Activity]],Table71[Principal building activity],0))</f>
        <v>20.100000000000001</v>
      </c>
      <c r="AD14" t="s">
        <v>2806</v>
      </c>
      <c r="AE14" s="54">
        <v>0.67</v>
      </c>
      <c r="AF14" s="180">
        <v>3890</v>
      </c>
      <c r="AG14" s="180">
        <v>1.1399999999999999</v>
      </c>
      <c r="AH14" s="180"/>
    </row>
    <row r="15" spans="2:73">
      <c r="B15" s="84" t="s">
        <v>767</v>
      </c>
      <c r="C15" s="85" t="s">
        <v>757</v>
      </c>
      <c r="D15" s="85" t="s">
        <v>774</v>
      </c>
      <c r="E15" s="88" t="s">
        <v>753</v>
      </c>
      <c r="F15" s="88" t="s">
        <v>771</v>
      </c>
      <c r="H15" s="14">
        <v>65603</v>
      </c>
      <c r="I15" s="14" t="s">
        <v>823</v>
      </c>
      <c r="J15" s="180" t="s">
        <v>753</v>
      </c>
      <c r="K15" s="14" t="s">
        <v>1037</v>
      </c>
      <c r="L15" s="180" t="s">
        <v>1919</v>
      </c>
      <c r="M15" s="180" t="s">
        <v>798</v>
      </c>
      <c r="O15" s="14" t="s">
        <v>823</v>
      </c>
      <c r="Q15" s="180" t="s">
        <v>1480</v>
      </c>
      <c r="R15" s="180">
        <v>1.2</v>
      </c>
      <c r="S15" s="180">
        <v>1.2</v>
      </c>
      <c r="T15" s="180">
        <v>1.05</v>
      </c>
      <c r="U15" s="180">
        <v>1.05</v>
      </c>
      <c r="V15" s="180">
        <v>1.2</v>
      </c>
      <c r="W15" s="180">
        <v>1.21</v>
      </c>
      <c r="X15" s="180">
        <v>1.05</v>
      </c>
      <c r="Y15" s="180">
        <v>1.05</v>
      </c>
      <c r="Z15" s="180" t="s">
        <v>1204</v>
      </c>
      <c r="AA15" s="180">
        <v>15</v>
      </c>
      <c r="AB15" s="180" t="s">
        <v>1566</v>
      </c>
      <c r="AC15" s="617">
        <f>INDEX(Table71[CBECS 2012 Midwest Electricity Energy Intensity (kWh/sq ft)],MATCH(LPDWATT[[#This Row],[CBECS Building Activity]],Table71[Principal building activity],0))</f>
        <v>28.9</v>
      </c>
      <c r="AD15" t="s">
        <v>2807</v>
      </c>
      <c r="AE15" s="54">
        <v>0.56000000000000005</v>
      </c>
      <c r="AF15" s="180">
        <v>7616</v>
      </c>
      <c r="AG15" s="180">
        <v>1.1299999999999999</v>
      </c>
      <c r="AH15" s="180" t="s">
        <v>1538</v>
      </c>
    </row>
    <row r="16" spans="2:73">
      <c r="B16" s="79" t="s">
        <v>752</v>
      </c>
      <c r="C16" s="81" t="s">
        <v>753</v>
      </c>
      <c r="D16" s="82" t="s">
        <v>771</v>
      </c>
      <c r="E16" s="81" t="s">
        <v>753</v>
      </c>
      <c r="F16" s="82" t="s">
        <v>771</v>
      </c>
      <c r="H16" s="14">
        <v>65230</v>
      </c>
      <c r="I16" s="14" t="s">
        <v>825</v>
      </c>
      <c r="J16" s="180" t="s">
        <v>753</v>
      </c>
      <c r="K16" s="14" t="s">
        <v>1106</v>
      </c>
      <c r="L16" s="180" t="s">
        <v>1919</v>
      </c>
      <c r="M16" s="180" t="s">
        <v>798</v>
      </c>
      <c r="O16" s="14" t="s">
        <v>825</v>
      </c>
      <c r="Q16" s="180" t="s">
        <v>1539</v>
      </c>
      <c r="R16" s="180">
        <v>1</v>
      </c>
      <c r="S16" s="180">
        <v>1</v>
      </c>
      <c r="T16" s="180">
        <v>0.87</v>
      </c>
      <c r="U16" s="180">
        <v>0.75</v>
      </c>
      <c r="V16" s="180">
        <v>1</v>
      </c>
      <c r="W16" s="180">
        <v>1</v>
      </c>
      <c r="X16" s="180">
        <v>0.87</v>
      </c>
      <c r="Y16" s="180">
        <v>0.75</v>
      </c>
      <c r="Z16" s="180" t="s">
        <v>1204</v>
      </c>
      <c r="AA16" s="180">
        <v>15</v>
      </c>
      <c r="AB16" s="180" t="s">
        <v>1566</v>
      </c>
      <c r="AC16" s="617">
        <f>INDEX(Table71[CBECS 2012 Midwest Electricity Energy Intensity (kWh/sq ft)],MATCH(LPDWATT[[#This Row],[CBECS Building Activity]],Table71[Principal building activity],0))</f>
        <v>15.4</v>
      </c>
      <c r="AD16" t="s">
        <v>2805</v>
      </c>
      <c r="AE16" s="54">
        <v>0.65500000000000003</v>
      </c>
      <c r="AF16" s="180">
        <v>4264</v>
      </c>
      <c r="AG16" s="180">
        <v>1.1299999999999999</v>
      </c>
      <c r="AH16" s="180" t="s">
        <v>1540</v>
      </c>
    </row>
    <row r="17" spans="2:34">
      <c r="H17" s="14">
        <v>65320</v>
      </c>
      <c r="I17" s="14" t="s">
        <v>828</v>
      </c>
      <c r="J17" s="180" t="s">
        <v>753</v>
      </c>
      <c r="K17" s="14" t="s">
        <v>1177</v>
      </c>
      <c r="L17" s="180" t="s">
        <v>1919</v>
      </c>
      <c r="M17" s="180" t="s">
        <v>798</v>
      </c>
      <c r="O17" s="14" t="s">
        <v>828</v>
      </c>
      <c r="Q17" s="180" t="s">
        <v>1541</v>
      </c>
      <c r="R17" s="180">
        <v>1.3</v>
      </c>
      <c r="S17" s="180">
        <v>1.3</v>
      </c>
      <c r="T17" s="180">
        <v>1.19</v>
      </c>
      <c r="U17" s="180">
        <v>0.78</v>
      </c>
      <c r="V17" s="180">
        <v>1.3</v>
      </c>
      <c r="W17" s="180">
        <v>1.18</v>
      </c>
      <c r="X17" s="180">
        <v>1.19</v>
      </c>
      <c r="Y17" s="180">
        <v>0.78</v>
      </c>
      <c r="Z17" s="180" t="s">
        <v>1204</v>
      </c>
      <c r="AA17" s="180">
        <v>15</v>
      </c>
      <c r="AB17" s="180" t="s">
        <v>1566</v>
      </c>
      <c r="AC17" s="617">
        <f>INDEX(Table71[CBECS 2012 Midwest Electricity Energy Intensity (kWh/sq ft)],MATCH(LPDWATT[[#This Row],[CBECS Building Activity]],Table71[Principal building activity],0))</f>
        <v>13.2</v>
      </c>
      <c r="AD17" t="s">
        <v>2801</v>
      </c>
      <c r="AE17" s="54">
        <v>0.65</v>
      </c>
      <c r="AF17" s="180">
        <v>2698</v>
      </c>
      <c r="AG17" s="180">
        <v>1.06</v>
      </c>
      <c r="AH17" s="180" t="s">
        <v>2783</v>
      </c>
    </row>
    <row r="18" spans="2:34">
      <c r="B18"/>
      <c r="C18"/>
      <c r="H18" s="14">
        <v>64832</v>
      </c>
      <c r="I18" s="14" t="s">
        <v>826</v>
      </c>
      <c r="J18" s="180" t="s">
        <v>753</v>
      </c>
      <c r="K18" s="14" t="s">
        <v>827</v>
      </c>
      <c r="L18" s="180" t="s">
        <v>1919</v>
      </c>
      <c r="M18" s="180" t="s">
        <v>798</v>
      </c>
      <c r="O18" s="14" t="s">
        <v>826</v>
      </c>
      <c r="Q18" s="180" t="s">
        <v>1473</v>
      </c>
      <c r="R18" s="180">
        <v>1.3</v>
      </c>
      <c r="S18" s="180">
        <v>1.3</v>
      </c>
      <c r="T18" s="180">
        <v>1.17</v>
      </c>
      <c r="U18" s="180">
        <v>0.9</v>
      </c>
      <c r="V18" s="180">
        <v>1.3</v>
      </c>
      <c r="W18" s="180">
        <v>1.1100000000000001</v>
      </c>
      <c r="X18" s="180">
        <v>1.17</v>
      </c>
      <c r="Y18" s="180">
        <v>0.9</v>
      </c>
      <c r="Z18" s="180" t="s">
        <v>1204</v>
      </c>
      <c r="AA18" s="180">
        <v>15</v>
      </c>
      <c r="AB18" s="180" t="s">
        <v>1566</v>
      </c>
      <c r="AC18" s="617">
        <f>INDEX(Table71[CBECS 2012 Midwest Electricity Energy Intensity (kWh/sq ft)],MATCH(LPDWATT[[#This Row],[CBECS Building Activity]],Table71[Principal building activity],0))</f>
        <v>20.2</v>
      </c>
      <c r="AD18" t="s">
        <v>97</v>
      </c>
      <c r="AE18" s="54">
        <v>0.81</v>
      </c>
      <c r="AF18" s="180">
        <v>4618</v>
      </c>
      <c r="AG18" s="180">
        <v>1.02</v>
      </c>
      <c r="AH18" s="180"/>
    </row>
    <row r="19" spans="2:34">
      <c r="B19"/>
      <c r="C19"/>
      <c r="H19" s="14">
        <v>64037</v>
      </c>
      <c r="I19" s="14" t="s">
        <v>831</v>
      </c>
      <c r="J19" s="180" t="s">
        <v>753</v>
      </c>
      <c r="K19" s="14" t="s">
        <v>1160</v>
      </c>
      <c r="L19" s="180" t="s">
        <v>1919</v>
      </c>
      <c r="M19" s="180" t="s">
        <v>798</v>
      </c>
      <c r="O19" s="14" t="s">
        <v>831</v>
      </c>
      <c r="Q19" s="180" t="s">
        <v>1542</v>
      </c>
      <c r="R19" s="180">
        <v>1</v>
      </c>
      <c r="S19" s="180">
        <v>1</v>
      </c>
      <c r="T19" s="180">
        <v>0.87</v>
      </c>
      <c r="U19" s="180">
        <v>0.75</v>
      </c>
      <c r="V19" s="180">
        <v>1</v>
      </c>
      <c r="W19" s="180">
        <v>0.88</v>
      </c>
      <c r="X19" s="180">
        <v>0.87</v>
      </c>
      <c r="Y19" s="180">
        <v>0.75</v>
      </c>
      <c r="Z19" s="180" t="s">
        <v>1204</v>
      </c>
      <c r="AA19" s="180">
        <v>15</v>
      </c>
      <c r="AB19" s="180" t="s">
        <v>1566</v>
      </c>
      <c r="AC19" s="617">
        <f>INDEX(Table71[CBECS 2012 Midwest Electricity Energy Intensity (kWh/sq ft)],MATCH(LPDWATT[[#This Row],[CBECS Building Activity]],Table71[Principal building activity],0))</f>
        <v>15.4</v>
      </c>
      <c r="AD19" t="s">
        <v>2805</v>
      </c>
      <c r="AE19" s="54">
        <v>0.65500000000000003</v>
      </c>
      <c r="AF19" s="180">
        <v>4264</v>
      </c>
      <c r="AG19" s="180">
        <v>1.1299999999999999</v>
      </c>
      <c r="AH19" s="180" t="s">
        <v>1540</v>
      </c>
    </row>
    <row r="20" spans="2:34">
      <c r="B20" t="s">
        <v>1924</v>
      </c>
      <c r="C20"/>
      <c r="H20" s="14">
        <v>64725</v>
      </c>
      <c r="I20" s="14" t="s">
        <v>833</v>
      </c>
      <c r="J20" s="180" t="s">
        <v>753</v>
      </c>
      <c r="K20" s="14" t="s">
        <v>930</v>
      </c>
      <c r="L20" s="180" t="s">
        <v>1919</v>
      </c>
      <c r="M20" s="180" t="s">
        <v>798</v>
      </c>
      <c r="O20" s="14" t="s">
        <v>833</v>
      </c>
      <c r="Q20" s="180" t="s">
        <v>1543</v>
      </c>
      <c r="R20" s="180">
        <v>1.2</v>
      </c>
      <c r="S20" s="180">
        <v>1.2</v>
      </c>
      <c r="T20" s="180">
        <v>0.76</v>
      </c>
      <c r="U20" s="180">
        <v>0.83</v>
      </c>
      <c r="V20" s="180">
        <v>1.2</v>
      </c>
      <c r="W20" s="180">
        <v>0.83</v>
      </c>
      <c r="X20" s="180">
        <v>0.76</v>
      </c>
      <c r="Y20" s="180">
        <v>0.83</v>
      </c>
      <c r="Z20" s="180" t="s">
        <v>1204</v>
      </c>
      <c r="AA20" s="180">
        <v>15</v>
      </c>
      <c r="AB20" s="180" t="s">
        <v>1566</v>
      </c>
      <c r="AC20" s="617">
        <f>INDEX(Table71[CBECS 2012 Midwest Electricity Energy Intensity (kWh/sq ft)],MATCH(LPDWATT[[#This Row],[CBECS Building Activity]],Table71[Principal building activity],0))</f>
        <v>13.2</v>
      </c>
      <c r="AD20" t="s">
        <v>2801</v>
      </c>
      <c r="AE20" s="54">
        <v>0.53</v>
      </c>
      <c r="AF20" s="180">
        <v>3506</v>
      </c>
      <c r="AG20" s="180">
        <v>1.1100000000000001</v>
      </c>
      <c r="AH20" s="180"/>
    </row>
    <row r="21" spans="2:34">
      <c r="B21" s="180" t="s">
        <v>753</v>
      </c>
      <c r="C21"/>
      <c r="H21" s="14">
        <v>64601</v>
      </c>
      <c r="I21" s="14" t="s">
        <v>835</v>
      </c>
      <c r="J21" s="180" t="s">
        <v>753</v>
      </c>
      <c r="K21" s="14" t="s">
        <v>1168</v>
      </c>
      <c r="L21" s="180" t="s">
        <v>1919</v>
      </c>
      <c r="M21" s="180" t="s">
        <v>798</v>
      </c>
      <c r="O21" s="14" t="s">
        <v>835</v>
      </c>
      <c r="Q21" s="180" t="s">
        <v>1544</v>
      </c>
      <c r="R21" s="180">
        <v>0.7</v>
      </c>
      <c r="S21" s="180">
        <v>0.7</v>
      </c>
      <c r="T21" s="180">
        <v>0.51</v>
      </c>
      <c r="U21" s="180">
        <v>0.68</v>
      </c>
      <c r="V21" s="180">
        <v>0.7</v>
      </c>
      <c r="W21" s="180">
        <v>0.6</v>
      </c>
      <c r="X21" s="180">
        <v>0.51</v>
      </c>
      <c r="Y21" s="180">
        <v>0.68</v>
      </c>
      <c r="Z21" s="180" t="s">
        <v>1204</v>
      </c>
      <c r="AA21" s="180">
        <v>15</v>
      </c>
      <c r="AB21" s="180" t="s">
        <v>1566</v>
      </c>
      <c r="AC21" s="617">
        <f>INDEX(Table71[CBECS 2012 Midwest Electricity Energy Intensity (kWh/sq ft)],MATCH(LPDWATT[[#This Row],[CBECS Building Activity]],Table71[Principal building activity],0))</f>
        <v>15.4</v>
      </c>
      <c r="AD21" t="s">
        <v>2805</v>
      </c>
      <c r="AE21" s="54">
        <v>0.66</v>
      </c>
      <c r="AF21" s="180">
        <v>7862</v>
      </c>
      <c r="AG21" s="180">
        <v>1.1399999999999999</v>
      </c>
      <c r="AH21" s="180" t="s">
        <v>2784</v>
      </c>
    </row>
    <row r="22" spans="2:34">
      <c r="B22" s="180" t="s">
        <v>754</v>
      </c>
      <c r="C22"/>
      <c r="H22" s="14">
        <v>64117</v>
      </c>
      <c r="I22" s="14" t="s">
        <v>837</v>
      </c>
      <c r="J22" s="180" t="s">
        <v>753</v>
      </c>
      <c r="K22" s="14" t="s">
        <v>985</v>
      </c>
      <c r="L22" s="628" t="s">
        <v>754</v>
      </c>
      <c r="M22" s="180" t="s">
        <v>2850</v>
      </c>
      <c r="O22" s="14" t="s">
        <v>837</v>
      </c>
      <c r="Q22" s="180" t="s">
        <v>1545</v>
      </c>
      <c r="R22" s="180">
        <v>1.1000000000000001</v>
      </c>
      <c r="S22" s="180">
        <v>1.1000000000000001</v>
      </c>
      <c r="T22" s="180">
        <v>1.02</v>
      </c>
      <c r="U22" s="180">
        <v>1.06</v>
      </c>
      <c r="V22" s="180">
        <v>1.1000000000000001</v>
      </c>
      <c r="W22" s="180">
        <v>1.06</v>
      </c>
      <c r="X22" s="180">
        <v>1.02</v>
      </c>
      <c r="Y22" s="180">
        <v>1.06</v>
      </c>
      <c r="Z22" s="180" t="s">
        <v>1204</v>
      </c>
      <c r="AA22" s="180">
        <v>15</v>
      </c>
      <c r="AB22" s="180" t="s">
        <v>1566</v>
      </c>
      <c r="AC22" s="617">
        <f>INDEX(Table71[CBECS 2012 Midwest Electricity Energy Intensity (kWh/sq ft)],MATCH(LPDWATT[[#This Row],[CBECS Building Activity]],Table71[Principal building activity],0))</f>
        <v>13.2</v>
      </c>
      <c r="AD22" t="s">
        <v>2801</v>
      </c>
      <c r="AE22" s="54">
        <v>0.67</v>
      </c>
      <c r="AF22" s="180">
        <v>3379</v>
      </c>
      <c r="AG22" s="180">
        <v>1.08</v>
      </c>
      <c r="AH22" s="180" t="s">
        <v>2782</v>
      </c>
    </row>
    <row r="23" spans="2:34">
      <c r="B23" s="180" t="s">
        <v>755</v>
      </c>
      <c r="C23"/>
      <c r="H23" s="14">
        <v>65350</v>
      </c>
      <c r="I23" s="14" t="s">
        <v>839</v>
      </c>
      <c r="J23" s="180" t="s">
        <v>753</v>
      </c>
      <c r="K23" s="14" t="s">
        <v>1173</v>
      </c>
      <c r="L23" s="180" t="s">
        <v>1919</v>
      </c>
      <c r="M23" s="180" t="s">
        <v>798</v>
      </c>
      <c r="O23" s="14" t="s">
        <v>839</v>
      </c>
      <c r="Q23" s="180" t="s">
        <v>1546</v>
      </c>
      <c r="R23" s="180">
        <v>1</v>
      </c>
      <c r="S23" s="180">
        <v>0.9</v>
      </c>
      <c r="T23" s="180">
        <v>0.82</v>
      </c>
      <c r="U23" s="180">
        <v>0.79</v>
      </c>
      <c r="V23" s="180">
        <v>1</v>
      </c>
      <c r="W23" s="180">
        <v>0.9</v>
      </c>
      <c r="X23" s="180">
        <v>0.82</v>
      </c>
      <c r="Y23" s="180">
        <v>0.79</v>
      </c>
      <c r="Z23" s="180" t="s">
        <v>1204</v>
      </c>
      <c r="AA23" s="180">
        <v>15</v>
      </c>
      <c r="AB23" s="180" t="s">
        <v>1566</v>
      </c>
      <c r="AC23" s="617">
        <f>INDEX(Table71[CBECS 2012 Midwest Electricity Energy Intensity (kWh/sq ft)],MATCH(LPDWATT[[#This Row],[CBECS Building Activity]],Table71[Principal building activity],0))</f>
        <v>15.3</v>
      </c>
      <c r="AD23" t="s">
        <v>1546</v>
      </c>
      <c r="AE23" s="54">
        <v>0.6</v>
      </c>
      <c r="AF23" s="180">
        <v>3266</v>
      </c>
      <c r="AG23" s="180">
        <v>1.1000000000000001</v>
      </c>
      <c r="AH23" s="180" t="s">
        <v>1547</v>
      </c>
    </row>
    <row r="24" spans="2:34">
      <c r="B24" s="180" t="s">
        <v>1922</v>
      </c>
      <c r="C24"/>
      <c r="H24" s="14">
        <v>64423</v>
      </c>
      <c r="I24" s="14" t="s">
        <v>841</v>
      </c>
      <c r="J24" s="180" t="s">
        <v>753</v>
      </c>
      <c r="K24" s="14" t="s">
        <v>1172</v>
      </c>
      <c r="L24" s="180" t="s">
        <v>1919</v>
      </c>
      <c r="M24" s="180" t="s">
        <v>798</v>
      </c>
      <c r="O24" s="14" t="s">
        <v>841</v>
      </c>
      <c r="Q24" s="180" t="s">
        <v>1548</v>
      </c>
      <c r="R24" s="180">
        <v>0.3</v>
      </c>
      <c r="S24" s="180">
        <v>0.3</v>
      </c>
      <c r="T24" s="180">
        <v>0.21</v>
      </c>
      <c r="U24" s="180">
        <v>0.15</v>
      </c>
      <c r="V24" s="180">
        <v>0.3</v>
      </c>
      <c r="W24" s="180">
        <v>0.25</v>
      </c>
      <c r="X24" s="180">
        <v>0.21</v>
      </c>
      <c r="Y24" s="180">
        <v>0.15</v>
      </c>
      <c r="Z24" s="180" t="s">
        <v>1204</v>
      </c>
      <c r="AA24" s="180">
        <v>15</v>
      </c>
      <c r="AB24" s="180" t="s">
        <v>1566</v>
      </c>
      <c r="AC24" s="617">
        <f>INDEX(Table71[CBECS 2012 Midwest Electricity Energy Intensity (kWh/sq ft)],MATCH(LPDWATT[[#This Row],[CBECS Building Activity]],Table71[Principal building activity],0))</f>
        <v>5.3</v>
      </c>
      <c r="AD24" t="s">
        <v>2800</v>
      </c>
      <c r="AE24" s="54">
        <v>0.92</v>
      </c>
      <c r="AF24" s="180">
        <v>3401</v>
      </c>
      <c r="AG24" s="180">
        <v>1</v>
      </c>
      <c r="AH24" s="180" t="s">
        <v>1549</v>
      </c>
    </row>
    <row r="25" spans="2:34">
      <c r="B25" s="180" t="s">
        <v>771</v>
      </c>
      <c r="C25"/>
      <c r="H25" s="14">
        <v>64011</v>
      </c>
      <c r="I25" s="14" t="s">
        <v>843</v>
      </c>
      <c r="J25" s="180" t="s">
        <v>753</v>
      </c>
      <c r="K25" s="14" t="s">
        <v>1160</v>
      </c>
      <c r="L25" s="180" t="s">
        <v>1919</v>
      </c>
      <c r="M25" s="180" t="s">
        <v>798</v>
      </c>
      <c r="O25" s="14" t="s">
        <v>843</v>
      </c>
      <c r="Q25" s="180" t="s">
        <v>1550</v>
      </c>
      <c r="R25" s="180">
        <v>1</v>
      </c>
      <c r="S25" s="180">
        <v>1</v>
      </c>
      <c r="T25" s="180">
        <v>0.81</v>
      </c>
      <c r="U25" s="180">
        <v>0.75</v>
      </c>
      <c r="V25" s="180">
        <v>1</v>
      </c>
      <c r="W25" s="180">
        <v>0.97</v>
      </c>
      <c r="X25" s="180">
        <v>0.81</v>
      </c>
      <c r="Y25" s="180">
        <v>0.75</v>
      </c>
      <c r="Z25" s="180" t="s">
        <v>1204</v>
      </c>
      <c r="AA25" s="180">
        <v>15</v>
      </c>
      <c r="AB25" s="180" t="s">
        <v>1566</v>
      </c>
      <c r="AC25" s="617">
        <f>INDEX(Table71[CBECS 2012 Midwest Electricity Energy Intensity (kWh/sq ft)],MATCH(LPDWATT[[#This Row],[CBECS Building Activity]],Table71[Principal building activity],0))</f>
        <v>10.3</v>
      </c>
      <c r="AD25" t="s">
        <v>2814</v>
      </c>
      <c r="AE25" s="54">
        <v>0.65</v>
      </c>
      <c r="AF25" s="180">
        <v>2698</v>
      </c>
      <c r="AG25" s="180">
        <v>1.06</v>
      </c>
      <c r="AH25" s="180" t="s">
        <v>2783</v>
      </c>
    </row>
    <row r="26" spans="2:34">
      <c r="B26" s="180" t="s">
        <v>772</v>
      </c>
      <c r="C26"/>
      <c r="H26" s="14">
        <v>65350</v>
      </c>
      <c r="I26" s="14" t="s">
        <v>844</v>
      </c>
      <c r="J26" s="180" t="s">
        <v>753</v>
      </c>
      <c r="K26" s="14" t="s">
        <v>1173</v>
      </c>
      <c r="L26" s="180" t="s">
        <v>1919</v>
      </c>
      <c r="M26" s="180" t="s">
        <v>798</v>
      </c>
      <c r="O26" s="14" t="s">
        <v>844</v>
      </c>
      <c r="Q26" s="180" t="s">
        <v>1551</v>
      </c>
      <c r="R26" s="180">
        <v>1.6</v>
      </c>
      <c r="S26" s="180">
        <v>1.6</v>
      </c>
      <c r="T26" s="180">
        <v>1.39</v>
      </c>
      <c r="U26" s="180">
        <v>1.18</v>
      </c>
      <c r="V26" s="180">
        <v>1.6</v>
      </c>
      <c r="W26" s="180">
        <v>1.39</v>
      </c>
      <c r="X26" s="180">
        <v>1.39</v>
      </c>
      <c r="Y26" s="180">
        <v>1.18</v>
      </c>
      <c r="Z26" s="180" t="s">
        <v>1204</v>
      </c>
      <c r="AA26" s="180">
        <v>15</v>
      </c>
      <c r="AB26" s="180" t="s">
        <v>1566</v>
      </c>
      <c r="AC26" s="617">
        <f>INDEX(Table71[CBECS 2012 Midwest Electricity Energy Intensity (kWh/sq ft)],MATCH(LPDWATT[[#This Row],[CBECS Building Activity]],Table71[Principal building activity],0))</f>
        <v>13.2</v>
      </c>
      <c r="AD26" t="s">
        <v>2801</v>
      </c>
      <c r="AE26" s="54">
        <v>0.53</v>
      </c>
      <c r="AF26" s="180">
        <v>3506</v>
      </c>
      <c r="AG26" s="180">
        <v>1.1100000000000001</v>
      </c>
      <c r="AH26" s="180" t="s">
        <v>1552</v>
      </c>
    </row>
    <row r="27" spans="2:34">
      <c r="B27" s="180" t="s">
        <v>773</v>
      </c>
      <c r="C27"/>
      <c r="H27" s="14">
        <v>64012</v>
      </c>
      <c r="I27" s="14" t="s">
        <v>765</v>
      </c>
      <c r="J27" s="180" t="s">
        <v>754</v>
      </c>
      <c r="K27" s="14" t="s">
        <v>930</v>
      </c>
      <c r="L27" s="180" t="s">
        <v>1919</v>
      </c>
      <c r="M27" s="180" t="s">
        <v>2850</v>
      </c>
      <c r="O27" s="14" t="s">
        <v>765</v>
      </c>
      <c r="Q27" s="180" t="s">
        <v>1553</v>
      </c>
      <c r="R27" s="180">
        <v>1</v>
      </c>
      <c r="S27" s="180">
        <v>1</v>
      </c>
      <c r="T27" s="180">
        <v>0.87</v>
      </c>
      <c r="U27" s="180">
        <v>0.8</v>
      </c>
      <c r="V27" s="180">
        <v>1</v>
      </c>
      <c r="W27" s="180">
        <v>0.96</v>
      </c>
      <c r="X27" s="180">
        <v>0.87</v>
      </c>
      <c r="Y27" s="180">
        <v>0.8</v>
      </c>
      <c r="Z27" s="180" t="s">
        <v>1204</v>
      </c>
      <c r="AA27" s="180">
        <v>15</v>
      </c>
      <c r="AB27" s="180" t="s">
        <v>1566</v>
      </c>
      <c r="AC27" s="617">
        <f>INDEX(Table71[CBECS 2012 Midwest Electricity Energy Intensity (kWh/sq ft)],MATCH(LPDWATT[[#This Row],[CBECS Building Activity]],Table71[Principal building activity],0))</f>
        <v>10.3</v>
      </c>
      <c r="AD27" t="s">
        <v>2814</v>
      </c>
      <c r="AE27" s="54">
        <v>0.65</v>
      </c>
      <c r="AF27" s="180">
        <v>2698</v>
      </c>
      <c r="AG27" s="180">
        <v>1.06</v>
      </c>
      <c r="AH27" s="180" t="s">
        <v>2783</v>
      </c>
    </row>
    <row r="28" spans="2:34">
      <c r="B28" s="180" t="s">
        <v>1921</v>
      </c>
      <c r="C28"/>
      <c r="H28" s="14">
        <v>64424</v>
      </c>
      <c r="I28" s="14" t="s">
        <v>846</v>
      </c>
      <c r="J28" s="180" t="s">
        <v>753</v>
      </c>
      <c r="K28" s="14" t="s">
        <v>1076</v>
      </c>
      <c r="L28" s="180" t="s">
        <v>1919</v>
      </c>
      <c r="M28" s="180" t="s">
        <v>2850</v>
      </c>
      <c r="O28" s="14" t="s">
        <v>846</v>
      </c>
      <c r="Q28" s="180" t="s">
        <v>1554</v>
      </c>
      <c r="R28" s="180">
        <v>1.1000000000000001</v>
      </c>
      <c r="S28" s="180">
        <v>1.1000000000000001</v>
      </c>
      <c r="T28" s="180">
        <v>0.87</v>
      </c>
      <c r="U28" s="180">
        <v>0.67</v>
      </c>
      <c r="V28" s="180">
        <v>1.1000000000000001</v>
      </c>
      <c r="W28" s="180">
        <v>0.87</v>
      </c>
      <c r="X28" s="180">
        <v>0.87</v>
      </c>
      <c r="Y28" s="180">
        <v>0.67</v>
      </c>
      <c r="Z28" s="180" t="s">
        <v>1204</v>
      </c>
      <c r="AA28" s="180">
        <v>15</v>
      </c>
      <c r="AB28" s="180" t="s">
        <v>1566</v>
      </c>
      <c r="AC28" s="617">
        <f>INDEX(Table71[CBECS 2012 Midwest Electricity Energy Intensity (kWh/sq ft)],MATCH(LPDWATT[[#This Row],[CBECS Building Activity]],Table71[Principal building activity],0))</f>
        <v>7.3</v>
      </c>
      <c r="AD28" t="s">
        <v>2812</v>
      </c>
      <c r="AE28" s="54">
        <v>0.66</v>
      </c>
      <c r="AF28" s="180">
        <v>2954</v>
      </c>
      <c r="AG28" s="180">
        <v>1.31</v>
      </c>
      <c r="AH28" s="180" t="s">
        <v>1555</v>
      </c>
    </row>
    <row r="29" spans="2:34">
      <c r="B29"/>
      <c r="C29"/>
      <c r="H29" s="14">
        <v>64437</v>
      </c>
      <c r="I29" s="14" t="s">
        <v>848</v>
      </c>
      <c r="J29" s="180" t="s">
        <v>753</v>
      </c>
      <c r="K29" s="14" t="s">
        <v>990</v>
      </c>
      <c r="L29" s="180" t="s">
        <v>1919</v>
      </c>
      <c r="M29" s="180" t="s">
        <v>798</v>
      </c>
      <c r="O29" s="14" t="s">
        <v>848</v>
      </c>
      <c r="Q29" s="180" t="s">
        <v>1556</v>
      </c>
      <c r="R29" s="180">
        <v>1.3</v>
      </c>
      <c r="S29" s="180">
        <v>1.3</v>
      </c>
      <c r="T29" s="180">
        <v>1</v>
      </c>
      <c r="U29" s="180">
        <v>0.94</v>
      </c>
      <c r="V29" s="180">
        <v>1.3</v>
      </c>
      <c r="W29" s="180">
        <v>1.05</v>
      </c>
      <c r="X29" s="180">
        <v>1</v>
      </c>
      <c r="Y29" s="180">
        <v>0.94</v>
      </c>
      <c r="Z29" s="180" t="s">
        <v>1204</v>
      </c>
      <c r="AA29" s="180">
        <v>15</v>
      </c>
      <c r="AB29" s="180" t="s">
        <v>1566</v>
      </c>
      <c r="AC29" s="617">
        <f>INDEX(Table71[CBECS 2012 Midwest Electricity Energy Intensity (kWh/sq ft)],MATCH(LPDWATT[[#This Row],[CBECS Building Activity]],Table71[Principal building activity],0))</f>
        <v>4.5</v>
      </c>
      <c r="AD29" t="s">
        <v>2813</v>
      </c>
      <c r="AE29" s="54">
        <v>0.48</v>
      </c>
      <c r="AF29" s="180">
        <v>2085</v>
      </c>
      <c r="AG29" s="180">
        <v>1.1200000000000001</v>
      </c>
      <c r="AH29" s="180"/>
    </row>
    <row r="30" spans="2:34">
      <c r="B30"/>
      <c r="C30"/>
      <c r="H30" s="14">
        <v>64161</v>
      </c>
      <c r="I30" s="14" t="s">
        <v>850</v>
      </c>
      <c r="J30" s="180" t="s">
        <v>753</v>
      </c>
      <c r="K30" s="14" t="s">
        <v>985</v>
      </c>
      <c r="L30" s="628" t="s">
        <v>754</v>
      </c>
      <c r="M30" s="180" t="s">
        <v>2850</v>
      </c>
      <c r="O30" s="14" t="s">
        <v>850</v>
      </c>
      <c r="Q30" s="180" t="s">
        <v>1557</v>
      </c>
      <c r="R30" s="180">
        <v>1.5</v>
      </c>
      <c r="S30" s="180">
        <v>1.4</v>
      </c>
      <c r="T30" s="180">
        <v>1.26</v>
      </c>
      <c r="U30" s="180">
        <v>1.06</v>
      </c>
      <c r="V30" s="180">
        <v>1.5</v>
      </c>
      <c r="W30" s="180">
        <v>1.4</v>
      </c>
      <c r="X30" s="180">
        <v>1.26</v>
      </c>
      <c r="Y30" s="180">
        <v>1.06</v>
      </c>
      <c r="Z30" s="180" t="s">
        <v>1204</v>
      </c>
      <c r="AA30" s="180">
        <v>15</v>
      </c>
      <c r="AB30" s="180" t="s">
        <v>1566</v>
      </c>
      <c r="AC30" s="617">
        <f>INDEX(Table71[CBECS 2012 Midwest Electricity Energy Intensity (kWh/sq ft)],MATCH(LPDWATT[[#This Row],[CBECS Building Activity]],Table71[Principal building activity],0))</f>
        <v>14.1</v>
      </c>
      <c r="AD30" t="s">
        <v>2803</v>
      </c>
      <c r="AE30" s="54">
        <v>0.71</v>
      </c>
      <c r="AF30" s="180">
        <v>4093</v>
      </c>
      <c r="AG30" s="180">
        <v>1.1200000000000001</v>
      </c>
      <c r="AH30" s="180" t="s">
        <v>1558</v>
      </c>
    </row>
    <row r="31" spans="2:34">
      <c r="B31" s="31" t="s">
        <v>2756</v>
      </c>
      <c r="C31" s="31" t="s">
        <v>2757</v>
      </c>
      <c r="H31" s="14">
        <v>65321</v>
      </c>
      <c r="I31" s="14" t="s">
        <v>852</v>
      </c>
      <c r="J31" s="180" t="s">
        <v>753</v>
      </c>
      <c r="K31" s="14" t="s">
        <v>1177</v>
      </c>
      <c r="L31" s="180" t="s">
        <v>1919</v>
      </c>
      <c r="M31" s="180" t="s">
        <v>798</v>
      </c>
      <c r="O31" s="14" t="s">
        <v>852</v>
      </c>
      <c r="Q31" s="180" t="s">
        <v>1536</v>
      </c>
      <c r="R31" s="180">
        <v>1.2</v>
      </c>
      <c r="S31" s="180">
        <v>1.2</v>
      </c>
      <c r="T31" s="180">
        <v>0.87</v>
      </c>
      <c r="U31" s="180">
        <v>0.81</v>
      </c>
      <c r="V31" s="180">
        <v>1.2</v>
      </c>
      <c r="W31" s="180">
        <v>0.99</v>
      </c>
      <c r="X31" s="180">
        <v>0.87</v>
      </c>
      <c r="Y31" s="180">
        <v>0.81</v>
      </c>
      <c r="Z31" s="180" t="s">
        <v>1204</v>
      </c>
      <c r="AA31" s="180">
        <v>15</v>
      </c>
      <c r="AB31" s="180" t="s">
        <v>1566</v>
      </c>
      <c r="AC31" s="617">
        <f>INDEX(Table71[CBECS 2012 Midwest Electricity Energy Intensity (kWh/sq ft)],MATCH(LPDWATT[[#This Row],[CBECS Building Activity]],Table71[Principal building activity],0))</f>
        <v>10.3</v>
      </c>
      <c r="AD31" t="s">
        <v>2796</v>
      </c>
      <c r="AE31" s="54">
        <v>0.65</v>
      </c>
      <c r="AF31" s="180">
        <v>3039</v>
      </c>
      <c r="AG31" s="180">
        <v>1.1499999999999999</v>
      </c>
      <c r="AH31" s="180" t="s">
        <v>1559</v>
      </c>
    </row>
    <row r="32" spans="2:34">
      <c r="B32" s="608">
        <v>0.2</v>
      </c>
      <c r="C32" s="607">
        <v>0.35</v>
      </c>
      <c r="H32" s="14">
        <v>64726</v>
      </c>
      <c r="I32" s="14" t="s">
        <v>854</v>
      </c>
      <c r="J32" s="180" t="s">
        <v>753</v>
      </c>
      <c r="K32" s="14" t="s">
        <v>1087</v>
      </c>
      <c r="L32" s="180" t="s">
        <v>1919</v>
      </c>
      <c r="M32" s="180" t="s">
        <v>798</v>
      </c>
      <c r="O32" s="14" t="s">
        <v>854</v>
      </c>
      <c r="Q32" s="180" t="s">
        <v>1560</v>
      </c>
      <c r="R32" s="180">
        <v>1.1000000000000001</v>
      </c>
      <c r="S32" s="180">
        <v>1.1000000000000001</v>
      </c>
      <c r="T32" s="180">
        <v>0.91</v>
      </c>
      <c r="U32" s="180">
        <v>0.87</v>
      </c>
      <c r="V32" s="180">
        <v>1.1000000000000001</v>
      </c>
      <c r="W32" s="180">
        <v>0.78</v>
      </c>
      <c r="X32" s="180">
        <v>0.91</v>
      </c>
      <c r="Y32" s="180">
        <v>0.87</v>
      </c>
      <c r="Z32" s="180" t="s">
        <v>1204</v>
      </c>
      <c r="AA32" s="180">
        <v>15</v>
      </c>
      <c r="AB32" s="180" t="s">
        <v>1566</v>
      </c>
      <c r="AC32" s="617">
        <f>INDEX(Table71[CBECS 2012 Midwest Electricity Energy Intensity (kWh/sq ft)],MATCH(LPDWATT[[#This Row],[CBECS Building Activity]],Table71[Principal building activity],0))</f>
        <v>13.2</v>
      </c>
      <c r="AD32" t="s">
        <v>2801</v>
      </c>
      <c r="AE32" s="54">
        <v>0.67</v>
      </c>
      <c r="AF32" s="180">
        <v>3379</v>
      </c>
      <c r="AG32" s="180">
        <v>1.08</v>
      </c>
      <c r="AH32" s="180" t="s">
        <v>2782</v>
      </c>
    </row>
    <row r="33" spans="2:34">
      <c r="B33" s="608">
        <v>0.3</v>
      </c>
      <c r="C33" s="607">
        <v>0.49</v>
      </c>
      <c r="H33" s="14">
        <v>64013</v>
      </c>
      <c r="I33" s="14" t="s">
        <v>856</v>
      </c>
      <c r="J33" s="180" t="s">
        <v>753</v>
      </c>
      <c r="K33" s="14" t="s">
        <v>1115</v>
      </c>
      <c r="L33" s="180" t="s">
        <v>753</v>
      </c>
      <c r="M33" s="180" t="s">
        <v>2850</v>
      </c>
      <c r="O33" s="14" t="s">
        <v>856</v>
      </c>
      <c r="Q33" s="180" t="s">
        <v>1561</v>
      </c>
      <c r="R33" s="180">
        <v>1.1000000000000001</v>
      </c>
      <c r="S33" s="180">
        <v>1.1000000000000001</v>
      </c>
      <c r="T33" s="180">
        <v>0.89</v>
      </c>
      <c r="U33" s="180">
        <v>0.8</v>
      </c>
      <c r="V33" s="180">
        <v>1.1000000000000001</v>
      </c>
      <c r="W33" s="180">
        <v>0.92</v>
      </c>
      <c r="X33" s="180">
        <v>0.89</v>
      </c>
      <c r="Y33" s="180">
        <v>0.8</v>
      </c>
      <c r="Z33" s="180" t="s">
        <v>1204</v>
      </c>
      <c r="AA33" s="180">
        <v>15</v>
      </c>
      <c r="AB33" s="180" t="s">
        <v>1566</v>
      </c>
      <c r="AC33" s="617">
        <f>INDEX(Table71[CBECS 2012 Midwest Electricity Energy Intensity (kWh/sq ft)],MATCH(LPDWATT[[#This Row],[CBECS Building Activity]],Table71[Principal building activity],0))</f>
        <v>15.3</v>
      </c>
      <c r="AD33" t="s">
        <v>1546</v>
      </c>
      <c r="AE33" s="54">
        <v>0.65</v>
      </c>
      <c r="AF33" s="180">
        <v>2698</v>
      </c>
      <c r="AG33" s="180">
        <v>1.06</v>
      </c>
      <c r="AH33" s="180" t="s">
        <v>2783</v>
      </c>
    </row>
    <row r="34" spans="2:34">
      <c r="B34" s="608">
        <v>0.4</v>
      </c>
      <c r="C34" s="607">
        <v>0.62</v>
      </c>
      <c r="H34" s="14">
        <v>64014</v>
      </c>
      <c r="I34" s="14" t="s">
        <v>856</v>
      </c>
      <c r="J34" s="180" t="s">
        <v>753</v>
      </c>
      <c r="K34" s="14" t="s">
        <v>1115</v>
      </c>
      <c r="L34" s="180" t="s">
        <v>753</v>
      </c>
      <c r="M34" s="180" t="s">
        <v>2850</v>
      </c>
      <c r="O34" s="14" t="s">
        <v>858</v>
      </c>
      <c r="Q34" s="180" t="s">
        <v>1562</v>
      </c>
      <c r="R34" s="180">
        <v>1</v>
      </c>
      <c r="S34" s="180">
        <v>1</v>
      </c>
      <c r="T34" s="180">
        <v>0.7</v>
      </c>
      <c r="U34" s="180">
        <v>0.61</v>
      </c>
      <c r="V34" s="180">
        <v>1</v>
      </c>
      <c r="W34" s="180">
        <v>0.77</v>
      </c>
      <c r="X34" s="180">
        <v>0.7</v>
      </c>
      <c r="Y34" s="180">
        <v>0.61</v>
      </c>
      <c r="Z34" s="180" t="s">
        <v>1204</v>
      </c>
      <c r="AA34" s="180">
        <v>15</v>
      </c>
      <c r="AB34" s="180" t="s">
        <v>1566</v>
      </c>
      <c r="AC34" s="617">
        <f>INDEX(Table71[CBECS 2012 Midwest Electricity Energy Intensity (kWh/sq ft)],MATCH(LPDWATT[[#This Row],[CBECS Building Activity]],Table71[Principal building activity],0))</f>
        <v>13.2</v>
      </c>
      <c r="AD34" t="s">
        <v>2801</v>
      </c>
      <c r="AE34" s="54">
        <v>0.65</v>
      </c>
      <c r="AF34" s="180">
        <v>2698</v>
      </c>
      <c r="AG34" s="180">
        <v>1.06</v>
      </c>
      <c r="AH34" s="180" t="s">
        <v>2783</v>
      </c>
    </row>
    <row r="35" spans="2:34">
      <c r="H35" s="14">
        <v>64015</v>
      </c>
      <c r="I35" s="14" t="s">
        <v>856</v>
      </c>
      <c r="J35" s="180" t="s">
        <v>753</v>
      </c>
      <c r="K35" s="14" t="s">
        <v>1115</v>
      </c>
      <c r="L35" s="180" t="s">
        <v>753</v>
      </c>
      <c r="M35" s="180" t="s">
        <v>2850</v>
      </c>
      <c r="O35" s="14" t="s">
        <v>860</v>
      </c>
      <c r="Q35" s="180" t="s">
        <v>1563</v>
      </c>
      <c r="R35" s="180">
        <v>1.2</v>
      </c>
      <c r="S35" s="180">
        <v>1.2</v>
      </c>
      <c r="T35" s="180">
        <v>0.87</v>
      </c>
      <c r="U35" s="180">
        <v>0.81</v>
      </c>
      <c r="V35" s="180">
        <v>1.2</v>
      </c>
      <c r="W35" s="180">
        <v>0.99</v>
      </c>
      <c r="X35" s="180">
        <v>0.87</v>
      </c>
      <c r="Y35" s="180">
        <v>0.81</v>
      </c>
      <c r="Z35" s="180" t="s">
        <v>1204</v>
      </c>
      <c r="AA35" s="180">
        <v>15</v>
      </c>
      <c r="AB35" s="180" t="s">
        <v>1566</v>
      </c>
      <c r="AC35" s="617">
        <f>INDEX(Table71[CBECS 2012 Midwest Electricity Energy Intensity (kWh/sq ft)],MATCH(LPDWATT[[#This Row],[CBECS Building Activity]],Table71[Principal building activity],0))</f>
        <v>10.3</v>
      </c>
      <c r="AD35" t="s">
        <v>2796</v>
      </c>
      <c r="AE35" s="54">
        <v>0.63</v>
      </c>
      <c r="AF35" s="180">
        <v>3398</v>
      </c>
      <c r="AG35" s="180">
        <v>1.02</v>
      </c>
      <c r="AH35" s="180"/>
    </row>
    <row r="36" spans="2:34">
      <c r="H36" s="14">
        <v>64426</v>
      </c>
      <c r="I36" s="14" t="s">
        <v>858</v>
      </c>
      <c r="J36" s="180" t="s">
        <v>753</v>
      </c>
      <c r="K36" s="14" t="s">
        <v>1076</v>
      </c>
      <c r="L36" s="180" t="s">
        <v>1919</v>
      </c>
      <c r="M36" s="180" t="s">
        <v>798</v>
      </c>
      <c r="O36" s="14" t="s">
        <v>800</v>
      </c>
      <c r="Q36" s="180" t="s">
        <v>187</v>
      </c>
      <c r="R36" s="180">
        <v>0.8</v>
      </c>
      <c r="S36" s="180">
        <v>0.6</v>
      </c>
      <c r="T36" s="180">
        <v>0.66</v>
      </c>
      <c r="U36" s="180">
        <v>0.48</v>
      </c>
      <c r="V36" s="180">
        <v>0.8</v>
      </c>
      <c r="W36" s="180">
        <v>0.66</v>
      </c>
      <c r="X36" s="180">
        <v>0.66</v>
      </c>
      <c r="Y36" s="180">
        <v>0.48</v>
      </c>
      <c r="Z36" s="180" t="s">
        <v>1204</v>
      </c>
      <c r="AA36" s="180">
        <v>15</v>
      </c>
      <c r="AB36" s="180" t="s">
        <v>1566</v>
      </c>
      <c r="AC36" s="617">
        <f>INDEX(Table71[CBECS 2012 Midwest Electricity Energy Intensity (kWh/sq ft)],MATCH(LPDWATT[[#This Row],[CBECS Building Activity]],Table71[Principal building activity],0))</f>
        <v>6.6</v>
      </c>
      <c r="AD36" t="s">
        <v>2811</v>
      </c>
      <c r="AE36" s="54">
        <v>0.85</v>
      </c>
      <c r="AF36" s="180">
        <v>3135</v>
      </c>
      <c r="AG36" s="180">
        <v>1.02</v>
      </c>
      <c r="AH36" s="180"/>
    </row>
    <row r="37" spans="2:34" ht="15.75" thickBot="1">
      <c r="H37" s="14">
        <v>64622</v>
      </c>
      <c r="I37" s="14" t="s">
        <v>860</v>
      </c>
      <c r="J37" s="180" t="s">
        <v>753</v>
      </c>
      <c r="K37" s="14" t="s">
        <v>915</v>
      </c>
      <c r="L37" s="180" t="s">
        <v>1919</v>
      </c>
      <c r="M37" s="180" t="s">
        <v>798</v>
      </c>
      <c r="O37" s="14" t="s">
        <v>863</v>
      </c>
      <c r="Q37" s="180" t="s">
        <v>1564</v>
      </c>
      <c r="R37" s="180">
        <v>1.4</v>
      </c>
      <c r="S37" s="180">
        <v>1.4</v>
      </c>
      <c r="T37" s="180">
        <v>1.19</v>
      </c>
      <c r="U37" s="180">
        <v>0.9</v>
      </c>
      <c r="V37" s="180">
        <v>1.4</v>
      </c>
      <c r="W37" s="180">
        <v>1.2</v>
      </c>
      <c r="X37" s="180">
        <v>1.19</v>
      </c>
      <c r="Y37" s="180">
        <v>0.9</v>
      </c>
      <c r="Z37" s="180" t="s">
        <v>1204</v>
      </c>
      <c r="AA37" s="180">
        <v>15</v>
      </c>
      <c r="AB37" s="180" t="s">
        <v>1566</v>
      </c>
      <c r="AC37" s="617">
        <f>INDEX(Table71[CBECS 2012 Midwest Electricity Energy Intensity (kWh/sq ft)],MATCH(LPDWATT[[#This Row],[CBECS Building Activity]],Table71[Principal building activity],0))</f>
        <v>7.3</v>
      </c>
      <c r="AD37" t="s">
        <v>2812</v>
      </c>
      <c r="AE37" s="54">
        <v>0.81</v>
      </c>
      <c r="AF37" s="180">
        <v>4618</v>
      </c>
      <c r="AG37" s="180">
        <v>1.02</v>
      </c>
      <c r="AH37" s="180" t="s">
        <v>2785</v>
      </c>
    </row>
    <row r="38" spans="2:34" ht="15.75" thickBot="1">
      <c r="B38" s="612" t="s">
        <v>2794</v>
      </c>
      <c r="C38" s="611" t="s">
        <v>1424</v>
      </c>
      <c r="H38" s="14">
        <v>64427</v>
      </c>
      <c r="I38" s="14" t="s">
        <v>800</v>
      </c>
      <c r="J38" s="180" t="s">
        <v>753</v>
      </c>
      <c r="K38" s="14" t="s">
        <v>797</v>
      </c>
      <c r="L38" s="180" t="s">
        <v>1919</v>
      </c>
      <c r="M38" s="180" t="s">
        <v>798</v>
      </c>
      <c r="O38" s="14" t="s">
        <v>866</v>
      </c>
    </row>
    <row r="39" spans="2:34" ht="15.75" thickBot="1">
      <c r="B39" s="610">
        <v>1</v>
      </c>
      <c r="C39" s="610" t="str">
        <f t="array" ref="C39">IFERROR(INDEX(LPDWATT[],MATCH(SPACETYPE1,LPDWATT[Building Area Type],0),MATCH(NEWCONCODE,LPDWATT[#Headers],0)),"")</f>
        <v/>
      </c>
      <c r="H39" s="14">
        <v>65250</v>
      </c>
      <c r="I39" s="14" t="s">
        <v>863</v>
      </c>
      <c r="J39" s="180" t="s">
        <v>753</v>
      </c>
      <c r="K39" s="14" t="s">
        <v>1106</v>
      </c>
      <c r="L39" s="180" t="s">
        <v>1919</v>
      </c>
      <c r="M39" s="180" t="s">
        <v>798</v>
      </c>
      <c r="O39" s="14" t="s">
        <v>868</v>
      </c>
    </row>
    <row r="40" spans="2:34" ht="15.75" thickBot="1">
      <c r="B40" s="610">
        <v>2</v>
      </c>
      <c r="C40" s="610" t="str">
        <f t="array" ref="C40">IFERROR(INDEX(LPDWATT[],MATCH(SPACETYPE2,LPDWATT[Building Area Type],0),MATCH(NEWCONCODE,LPDWATT[#Headers],0)),"")</f>
        <v/>
      </c>
      <c r="H40" s="14">
        <v>64623</v>
      </c>
      <c r="I40" s="14" t="s">
        <v>866</v>
      </c>
      <c r="J40" s="180" t="s">
        <v>753</v>
      </c>
      <c r="K40" s="14" t="s">
        <v>915</v>
      </c>
      <c r="L40" s="180" t="s">
        <v>1919</v>
      </c>
      <c r="M40" s="180" t="s">
        <v>798</v>
      </c>
      <c r="O40" s="14" t="s">
        <v>870</v>
      </c>
    </row>
    <row r="41" spans="2:34" ht="15.75" thickBot="1">
      <c r="B41" s="610">
        <v>3</v>
      </c>
      <c r="C41" s="610" t="str">
        <f t="array" ref="C41">IFERROR(INDEX(LPDWATT[],MATCH(SPACETYPE3,LPDWATT[Building Area Type],0),MATCH(NEWCONCODE,LPDWATT[#Headers],0)),"")</f>
        <v/>
      </c>
      <c r="H41" s="14">
        <v>64642</v>
      </c>
      <c r="I41" s="14" t="s">
        <v>868</v>
      </c>
      <c r="J41" s="180" t="s">
        <v>753</v>
      </c>
      <c r="K41" s="14" t="s">
        <v>1076</v>
      </c>
      <c r="L41" s="180" t="s">
        <v>1919</v>
      </c>
      <c r="M41" s="180" t="s">
        <v>798</v>
      </c>
      <c r="O41" s="14" t="s">
        <v>764</v>
      </c>
    </row>
    <row r="42" spans="2:34" ht="15.75" thickBot="1">
      <c r="B42" s="610">
        <v>4</v>
      </c>
      <c r="C42" s="610" t="str">
        <f t="array" ref="C42">IFERROR(INDEX(LPDWATT[],MATCH(SPACETYPE4,LPDWATT[Building Area Type],0),MATCH(NEWCONCODE,LPDWATT[#Headers],0)),"")</f>
        <v/>
      </c>
      <c r="H42" s="14">
        <v>65236</v>
      </c>
      <c r="I42" s="14" t="s">
        <v>870</v>
      </c>
      <c r="J42" s="180" t="s">
        <v>753</v>
      </c>
      <c r="K42" s="14" t="s">
        <v>963</v>
      </c>
      <c r="L42" s="180" t="s">
        <v>1919</v>
      </c>
      <c r="M42" s="180" t="s">
        <v>798</v>
      </c>
      <c r="O42" s="14" t="s">
        <v>873</v>
      </c>
    </row>
    <row r="43" spans="2:34" ht="15.75" thickBot="1">
      <c r="B43" s="610">
        <v>5</v>
      </c>
      <c r="C43" s="610" t="str">
        <f t="array" ref="C43">IFERROR(INDEX(LPDWATT[],MATCH(SPACETYPE5,LPDWATT[Building Area Type],0),MATCH(NEWCONCODE,LPDWATT[#Headers],0)),"")</f>
        <v/>
      </c>
      <c r="H43" s="14">
        <v>64016</v>
      </c>
      <c r="I43" s="14" t="s">
        <v>764</v>
      </c>
      <c r="J43" s="180" t="s">
        <v>753</v>
      </c>
      <c r="K43" s="14" t="s">
        <v>1115</v>
      </c>
      <c r="L43" s="180" t="s">
        <v>753</v>
      </c>
      <c r="M43" s="180" t="s">
        <v>2850</v>
      </c>
      <c r="O43" s="14" t="s">
        <v>845</v>
      </c>
    </row>
    <row r="44" spans="2:34" ht="15.75" thickBot="1">
      <c r="B44" s="610">
        <v>6</v>
      </c>
      <c r="C44" s="610" t="str">
        <f t="array" ref="C44">IFERROR(INDEX(LPDWATT[],MATCH(SPACETYPE6,LPDWATT[Building Area Type],0),MATCH(NEWCONCODE,LPDWATT[#Headers],0)),"")</f>
        <v/>
      </c>
      <c r="H44" s="14">
        <v>64428</v>
      </c>
      <c r="I44" s="14" t="s">
        <v>873</v>
      </c>
      <c r="J44" s="180" t="s">
        <v>753</v>
      </c>
      <c r="K44" s="14" t="s">
        <v>1172</v>
      </c>
      <c r="L44" s="180" t="s">
        <v>1919</v>
      </c>
      <c r="M44" s="180" t="s">
        <v>798</v>
      </c>
      <c r="O44" s="14" t="s">
        <v>876</v>
      </c>
    </row>
    <row r="45" spans="2:34">
      <c r="H45" s="14">
        <v>64730</v>
      </c>
      <c r="I45" s="14" t="s">
        <v>845</v>
      </c>
      <c r="J45" s="180" t="s">
        <v>753</v>
      </c>
      <c r="K45" s="14" t="s">
        <v>842</v>
      </c>
      <c r="L45" s="180" t="s">
        <v>1919</v>
      </c>
      <c r="M45" s="180" t="s">
        <v>798</v>
      </c>
      <c r="O45" s="14" t="s">
        <v>878</v>
      </c>
    </row>
    <row r="46" spans="2:34">
      <c r="H46" s="14">
        <v>65281</v>
      </c>
      <c r="I46" s="14" t="s">
        <v>876</v>
      </c>
      <c r="J46" s="180" t="s">
        <v>753</v>
      </c>
      <c r="K46" s="14" t="s">
        <v>963</v>
      </c>
      <c r="L46" s="180" t="s">
        <v>1919</v>
      </c>
      <c r="M46" s="180" t="s">
        <v>798</v>
      </c>
      <c r="O46" s="14" t="s">
        <v>880</v>
      </c>
    </row>
    <row r="47" spans="2:34">
      <c r="H47" s="14">
        <v>64632</v>
      </c>
      <c r="I47" s="14" t="s">
        <v>878</v>
      </c>
      <c r="J47" s="180" t="s">
        <v>753</v>
      </c>
      <c r="K47" s="14" t="s">
        <v>1076</v>
      </c>
      <c r="L47" s="180" t="s">
        <v>1919</v>
      </c>
      <c r="M47" s="180" t="s">
        <v>798</v>
      </c>
      <c r="O47" s="14" t="s">
        <v>882</v>
      </c>
    </row>
    <row r="48" spans="2:34">
      <c r="H48" s="14">
        <v>65239</v>
      </c>
      <c r="I48" s="14" t="s">
        <v>880</v>
      </c>
      <c r="J48" s="180" t="s">
        <v>753</v>
      </c>
      <c r="K48" s="14" t="s">
        <v>1004</v>
      </c>
      <c r="L48" s="180" t="s">
        <v>1919</v>
      </c>
      <c r="M48" s="180" t="s">
        <v>798</v>
      </c>
      <c r="O48" s="14" t="s">
        <v>884</v>
      </c>
    </row>
    <row r="49" spans="8:15">
      <c r="H49" s="14">
        <v>65323</v>
      </c>
      <c r="I49" s="14" t="s">
        <v>882</v>
      </c>
      <c r="J49" s="180" t="s">
        <v>753</v>
      </c>
      <c r="K49" s="14" t="s">
        <v>1087</v>
      </c>
      <c r="L49" s="180" t="s">
        <v>1919</v>
      </c>
      <c r="M49" s="180" t="s">
        <v>798</v>
      </c>
      <c r="O49" s="14" t="s">
        <v>886</v>
      </c>
    </row>
    <row r="50" spans="8:15">
      <c r="H50" s="14">
        <v>64017</v>
      </c>
      <c r="I50" s="14" t="s">
        <v>884</v>
      </c>
      <c r="J50" s="180" t="s">
        <v>753</v>
      </c>
      <c r="K50" s="14" t="s">
        <v>1175</v>
      </c>
      <c r="L50" s="180" t="s">
        <v>1919</v>
      </c>
      <c r="M50" s="180" t="s">
        <v>798</v>
      </c>
      <c r="O50" s="14" t="s">
        <v>888</v>
      </c>
    </row>
    <row r="51" spans="8:15">
      <c r="H51" s="14">
        <v>64018</v>
      </c>
      <c r="I51" s="14" t="s">
        <v>886</v>
      </c>
      <c r="J51" s="628" t="s">
        <v>1922</v>
      </c>
      <c r="K51" s="14" t="s">
        <v>1174</v>
      </c>
      <c r="L51" s="628" t="s">
        <v>1922</v>
      </c>
      <c r="M51" s="180" t="s">
        <v>2850</v>
      </c>
      <c r="O51" s="14" t="s">
        <v>890</v>
      </c>
    </row>
    <row r="52" spans="8:15">
      <c r="H52" s="14">
        <v>64429</v>
      </c>
      <c r="I52" s="14" t="s">
        <v>888</v>
      </c>
      <c r="J52" s="180" t="s">
        <v>753</v>
      </c>
      <c r="K52" s="14" t="s">
        <v>910</v>
      </c>
      <c r="L52" s="180" t="s">
        <v>1919</v>
      </c>
      <c r="M52" s="180" t="s">
        <v>798</v>
      </c>
      <c r="O52" s="14" t="s">
        <v>892</v>
      </c>
    </row>
    <row r="53" spans="8:15">
      <c r="H53" s="14">
        <v>64772</v>
      </c>
      <c r="I53" s="14" t="s">
        <v>890</v>
      </c>
      <c r="J53" s="180" t="s">
        <v>753</v>
      </c>
      <c r="K53" s="14" t="s">
        <v>1178</v>
      </c>
      <c r="L53" s="180" t="s">
        <v>1919</v>
      </c>
      <c r="M53" s="180" t="s">
        <v>798</v>
      </c>
      <c r="O53" s="14" t="s">
        <v>894</v>
      </c>
    </row>
    <row r="54" spans="8:15">
      <c r="H54" s="14">
        <v>65607</v>
      </c>
      <c r="I54" s="14" t="s">
        <v>892</v>
      </c>
      <c r="J54" s="180" t="s">
        <v>753</v>
      </c>
      <c r="K54" s="14" t="s">
        <v>957</v>
      </c>
      <c r="L54" s="180" t="s">
        <v>1919</v>
      </c>
      <c r="M54" s="180" t="s">
        <v>798</v>
      </c>
      <c r="O54" s="14" t="s">
        <v>896</v>
      </c>
    </row>
    <row r="55" spans="8:15">
      <c r="H55" s="14">
        <v>64633</v>
      </c>
      <c r="I55" s="14" t="s">
        <v>894</v>
      </c>
      <c r="J55" s="180" t="s">
        <v>753</v>
      </c>
      <c r="K55" s="14" t="s">
        <v>915</v>
      </c>
      <c r="L55" s="180" t="s">
        <v>1919</v>
      </c>
      <c r="M55" s="180" t="s">
        <v>798</v>
      </c>
      <c r="O55" s="14" t="s">
        <v>898</v>
      </c>
    </row>
    <row r="56" spans="8:15">
      <c r="H56" s="14">
        <v>64019</v>
      </c>
      <c r="I56" s="14" t="s">
        <v>896</v>
      </c>
      <c r="J56" s="180" t="s">
        <v>753</v>
      </c>
      <c r="K56" s="14" t="s">
        <v>1154</v>
      </c>
      <c r="L56" s="180" t="s">
        <v>1919</v>
      </c>
      <c r="M56" s="180" t="s">
        <v>798</v>
      </c>
      <c r="O56" s="14" t="s">
        <v>900</v>
      </c>
    </row>
    <row r="57" spans="8:15">
      <c r="H57" s="14">
        <v>64733</v>
      </c>
      <c r="I57" s="14" t="s">
        <v>898</v>
      </c>
      <c r="J57" s="180" t="s">
        <v>753</v>
      </c>
      <c r="K57" s="14" t="s">
        <v>1154</v>
      </c>
      <c r="L57" s="180" t="s">
        <v>1919</v>
      </c>
      <c r="M57" s="180" t="s">
        <v>798</v>
      </c>
      <c r="O57" s="14" t="s">
        <v>902</v>
      </c>
    </row>
    <row r="58" spans="8:15">
      <c r="H58" s="14">
        <v>64601</v>
      </c>
      <c r="I58" s="14" t="s">
        <v>900</v>
      </c>
      <c r="J58" s="180" t="s">
        <v>753</v>
      </c>
      <c r="K58" s="14" t="s">
        <v>1168</v>
      </c>
      <c r="L58" s="180" t="s">
        <v>1919</v>
      </c>
      <c r="M58" s="180" t="s">
        <v>798</v>
      </c>
      <c r="O58" s="14" t="s">
        <v>904</v>
      </c>
    </row>
    <row r="59" spans="8:15">
      <c r="H59" s="14">
        <v>64635</v>
      </c>
      <c r="I59" s="14" t="s">
        <v>902</v>
      </c>
      <c r="J59" s="180" t="s">
        <v>753</v>
      </c>
      <c r="K59" s="14" t="s">
        <v>1168</v>
      </c>
      <c r="L59" s="180" t="s">
        <v>1919</v>
      </c>
      <c r="M59" s="180" t="s">
        <v>798</v>
      </c>
      <c r="O59" s="14" t="s">
        <v>905</v>
      </c>
    </row>
    <row r="60" spans="8:15">
      <c r="H60" s="14">
        <v>65243</v>
      </c>
      <c r="I60" s="14" t="s">
        <v>904</v>
      </c>
      <c r="J60" s="180" t="s">
        <v>753</v>
      </c>
      <c r="K60" s="14" t="s">
        <v>1004</v>
      </c>
      <c r="L60" s="180" t="s">
        <v>1919</v>
      </c>
      <c r="M60" s="180" t="s">
        <v>798</v>
      </c>
      <c r="O60" s="14" t="s">
        <v>906</v>
      </c>
    </row>
    <row r="61" spans="8:15">
      <c r="H61" s="14">
        <v>64430</v>
      </c>
      <c r="I61" s="14" t="s">
        <v>905</v>
      </c>
      <c r="J61" s="180" t="s">
        <v>753</v>
      </c>
      <c r="K61" s="14" t="s">
        <v>1054</v>
      </c>
      <c r="L61" s="180" t="s">
        <v>1919</v>
      </c>
      <c r="M61" s="180" t="s">
        <v>798</v>
      </c>
      <c r="O61" s="14" t="s">
        <v>907</v>
      </c>
    </row>
    <row r="62" spans="8:15">
      <c r="H62" s="14">
        <v>64119</v>
      </c>
      <c r="I62" s="14" t="s">
        <v>906</v>
      </c>
      <c r="J62" s="180" t="s">
        <v>753</v>
      </c>
      <c r="K62" s="14" t="s">
        <v>985</v>
      </c>
      <c r="L62" s="628" t="s">
        <v>754</v>
      </c>
      <c r="M62" s="180" t="s">
        <v>2850</v>
      </c>
      <c r="O62" s="14" t="s">
        <v>908</v>
      </c>
    </row>
    <row r="63" spans="8:15">
      <c r="H63" s="14">
        <v>64431</v>
      </c>
      <c r="I63" s="14" t="s">
        <v>907</v>
      </c>
      <c r="J63" s="180" t="s">
        <v>753</v>
      </c>
      <c r="K63" s="14" t="s">
        <v>1172</v>
      </c>
      <c r="L63" s="180" t="s">
        <v>1919</v>
      </c>
      <c r="M63" s="180" t="s">
        <v>798</v>
      </c>
      <c r="O63" s="14" t="s">
        <v>909</v>
      </c>
    </row>
    <row r="64" spans="8:15">
      <c r="H64" s="14">
        <v>64734</v>
      </c>
      <c r="I64" s="14" t="s">
        <v>908</v>
      </c>
      <c r="J64" s="180" t="s">
        <v>753</v>
      </c>
      <c r="K64" s="14" t="s">
        <v>930</v>
      </c>
      <c r="L64" s="180" t="s">
        <v>1919</v>
      </c>
      <c r="M64" s="180" t="s">
        <v>798</v>
      </c>
      <c r="O64" s="14" t="s">
        <v>910</v>
      </c>
    </row>
    <row r="65" spans="8:15">
      <c r="H65" s="14">
        <v>65244</v>
      </c>
      <c r="I65" s="14" t="s">
        <v>909</v>
      </c>
      <c r="J65" s="180" t="s">
        <v>753</v>
      </c>
      <c r="K65" s="14" t="s">
        <v>1004</v>
      </c>
      <c r="L65" s="180" t="s">
        <v>1919</v>
      </c>
      <c r="M65" s="180" t="s">
        <v>798</v>
      </c>
      <c r="O65" s="14" t="s">
        <v>911</v>
      </c>
    </row>
    <row r="66" spans="8:15">
      <c r="H66" s="14">
        <v>64735</v>
      </c>
      <c r="I66" s="14" t="s">
        <v>910</v>
      </c>
      <c r="J66" s="180" t="s">
        <v>753</v>
      </c>
      <c r="K66" s="14" t="s">
        <v>1087</v>
      </c>
      <c r="L66" s="180" t="s">
        <v>1919</v>
      </c>
      <c r="M66" s="180" t="s">
        <v>798</v>
      </c>
      <c r="O66" s="14" t="s">
        <v>913</v>
      </c>
    </row>
    <row r="67" spans="8:15">
      <c r="H67" s="14">
        <v>64432</v>
      </c>
      <c r="I67" s="14" t="s">
        <v>911</v>
      </c>
      <c r="J67" s="180" t="s">
        <v>753</v>
      </c>
      <c r="K67" s="14" t="s">
        <v>1172</v>
      </c>
      <c r="L67" s="180" t="s">
        <v>1919</v>
      </c>
      <c r="M67" s="180" t="s">
        <v>798</v>
      </c>
      <c r="O67" s="14" t="s">
        <v>864</v>
      </c>
    </row>
    <row r="68" spans="8:15">
      <c r="H68" s="14">
        <v>64636</v>
      </c>
      <c r="I68" s="14" t="s">
        <v>913</v>
      </c>
      <c r="J68" s="180" t="s">
        <v>753</v>
      </c>
      <c r="K68" s="14" t="s">
        <v>1045</v>
      </c>
      <c r="L68" s="180" t="s">
        <v>1919</v>
      </c>
      <c r="M68" s="180" t="s">
        <v>798</v>
      </c>
      <c r="O68" s="14" t="s">
        <v>916</v>
      </c>
    </row>
    <row r="69" spans="8:15">
      <c r="H69" s="14">
        <v>65325</v>
      </c>
      <c r="I69" s="14" t="s">
        <v>864</v>
      </c>
      <c r="J69" s="180" t="s">
        <v>753</v>
      </c>
      <c r="K69" s="14" t="s">
        <v>865</v>
      </c>
      <c r="L69" s="180" t="s">
        <v>1919</v>
      </c>
      <c r="M69" s="180" t="s">
        <v>798</v>
      </c>
      <c r="O69" s="14" t="s">
        <v>917</v>
      </c>
    </row>
    <row r="70" spans="8:15">
      <c r="H70" s="14">
        <v>64738</v>
      </c>
      <c r="I70" s="14" t="s">
        <v>916</v>
      </c>
      <c r="J70" s="180" t="s">
        <v>753</v>
      </c>
      <c r="K70" s="14" t="s">
        <v>1176</v>
      </c>
      <c r="L70" s="180" t="s">
        <v>1919</v>
      </c>
      <c r="M70" s="180" t="s">
        <v>798</v>
      </c>
      <c r="O70" s="14" t="s">
        <v>918</v>
      </c>
    </row>
    <row r="71" spans="8:15">
      <c r="H71" s="14">
        <v>64433</v>
      </c>
      <c r="I71" s="14" t="s">
        <v>917</v>
      </c>
      <c r="J71" s="180" t="s">
        <v>753</v>
      </c>
      <c r="K71" s="14" t="s">
        <v>1172</v>
      </c>
      <c r="L71" s="180" t="s">
        <v>1919</v>
      </c>
      <c r="M71" s="180" t="s">
        <v>798</v>
      </c>
      <c r="O71" s="14" t="s">
        <v>920</v>
      </c>
    </row>
    <row r="72" spans="8:15">
      <c r="H72" s="14">
        <v>64434</v>
      </c>
      <c r="I72" s="14" t="s">
        <v>918</v>
      </c>
      <c r="J72" s="180" t="s">
        <v>753</v>
      </c>
      <c r="K72" s="14" t="s">
        <v>1172</v>
      </c>
      <c r="L72" s="180" t="s">
        <v>1919</v>
      </c>
      <c r="M72" s="180" t="s">
        <v>798</v>
      </c>
      <c r="O72" s="14" t="s">
        <v>922</v>
      </c>
    </row>
    <row r="73" spans="8:15">
      <c r="H73" s="14">
        <v>64020</v>
      </c>
      <c r="I73" s="14" t="s">
        <v>920</v>
      </c>
      <c r="J73" s="180" t="s">
        <v>753</v>
      </c>
      <c r="K73" s="14" t="s">
        <v>1160</v>
      </c>
      <c r="L73" s="180" t="s">
        <v>1919</v>
      </c>
      <c r="M73" s="180" t="s">
        <v>798</v>
      </c>
      <c r="O73" s="14" t="s">
        <v>924</v>
      </c>
    </row>
    <row r="74" spans="8:15">
      <c r="H74" s="14">
        <v>64021</v>
      </c>
      <c r="I74" s="14" t="s">
        <v>922</v>
      </c>
      <c r="J74" s="180" t="s">
        <v>753</v>
      </c>
      <c r="K74" s="14" t="s">
        <v>1160</v>
      </c>
      <c r="L74" s="180" t="s">
        <v>1919</v>
      </c>
      <c r="M74" s="180" t="s">
        <v>798</v>
      </c>
      <c r="O74" s="14" t="s">
        <v>802</v>
      </c>
    </row>
    <row r="75" spans="8:15">
      <c r="H75" s="14">
        <v>64437</v>
      </c>
      <c r="I75" s="14" t="s">
        <v>924</v>
      </c>
      <c r="J75" s="180" t="s">
        <v>753</v>
      </c>
      <c r="K75" s="14" t="s">
        <v>990</v>
      </c>
      <c r="L75" s="180" t="s">
        <v>1919</v>
      </c>
      <c r="M75" s="180" t="s">
        <v>798</v>
      </c>
      <c r="O75" s="14" t="s">
        <v>927</v>
      </c>
    </row>
    <row r="76" spans="8:15">
      <c r="H76" s="14">
        <v>64436</v>
      </c>
      <c r="I76" s="14" t="s">
        <v>802</v>
      </c>
      <c r="J76" s="180" t="s">
        <v>753</v>
      </c>
      <c r="K76" s="14" t="s">
        <v>797</v>
      </c>
      <c r="L76" s="180" t="s">
        <v>1919</v>
      </c>
      <c r="M76" s="180" t="s">
        <v>798</v>
      </c>
      <c r="O76" s="14" t="s">
        <v>929</v>
      </c>
    </row>
    <row r="77" spans="8:15">
      <c r="H77" s="14">
        <v>64437</v>
      </c>
      <c r="I77" s="14" t="s">
        <v>927</v>
      </c>
      <c r="J77" s="180" t="s">
        <v>753</v>
      </c>
      <c r="K77" s="14" t="s">
        <v>990</v>
      </c>
      <c r="L77" s="180" t="s">
        <v>1919</v>
      </c>
      <c r="M77" s="180" t="s">
        <v>798</v>
      </c>
      <c r="O77" s="14" t="s">
        <v>931</v>
      </c>
    </row>
    <row r="78" spans="8:15">
      <c r="H78" s="14">
        <v>64739</v>
      </c>
      <c r="I78" s="14" t="s">
        <v>929</v>
      </c>
      <c r="J78" s="180" t="s">
        <v>753</v>
      </c>
      <c r="K78" s="14" t="s">
        <v>1087</v>
      </c>
      <c r="L78" s="180" t="s">
        <v>1919</v>
      </c>
      <c r="M78" s="180" t="s">
        <v>798</v>
      </c>
      <c r="O78" s="14" t="s">
        <v>932</v>
      </c>
    </row>
    <row r="79" spans="8:15">
      <c r="H79" s="14">
        <v>65351</v>
      </c>
      <c r="I79" s="14" t="s">
        <v>931</v>
      </c>
      <c r="J79" s="180" t="s">
        <v>753</v>
      </c>
      <c r="K79" s="14" t="s">
        <v>1177</v>
      </c>
      <c r="L79" s="180" t="s">
        <v>1919</v>
      </c>
      <c r="M79" s="180" t="s">
        <v>798</v>
      </c>
      <c r="O79" s="14" t="s">
        <v>933</v>
      </c>
    </row>
    <row r="80" spans="8:15">
      <c r="H80" s="14">
        <v>64024</v>
      </c>
      <c r="I80" s="14" t="s">
        <v>932</v>
      </c>
      <c r="J80" s="180" t="s">
        <v>753</v>
      </c>
      <c r="K80" s="14" t="s">
        <v>985</v>
      </c>
      <c r="L80" s="628" t="s">
        <v>754</v>
      </c>
      <c r="M80" s="180" t="s">
        <v>2850</v>
      </c>
      <c r="O80" s="14" t="s">
        <v>935</v>
      </c>
    </row>
    <row r="81" spans="8:15">
      <c r="H81" s="14">
        <v>65635</v>
      </c>
      <c r="I81" s="14" t="s">
        <v>933</v>
      </c>
      <c r="J81" s="180" t="s">
        <v>753</v>
      </c>
      <c r="K81" s="14" t="s">
        <v>1037</v>
      </c>
      <c r="L81" s="180" t="s">
        <v>1919</v>
      </c>
      <c r="M81" s="180" t="s">
        <v>798</v>
      </c>
      <c r="O81" s="14" t="s">
        <v>937</v>
      </c>
    </row>
    <row r="82" spans="8:15">
      <c r="H82" s="14">
        <v>65246</v>
      </c>
      <c r="I82" s="14" t="s">
        <v>935</v>
      </c>
      <c r="J82" s="180" t="s">
        <v>753</v>
      </c>
      <c r="K82" s="14" t="s">
        <v>963</v>
      </c>
      <c r="L82" s="180" t="s">
        <v>1919</v>
      </c>
      <c r="M82" s="180" t="s">
        <v>798</v>
      </c>
      <c r="O82" s="14" t="s">
        <v>939</v>
      </c>
    </row>
    <row r="83" spans="8:15">
      <c r="H83" s="14">
        <v>64776</v>
      </c>
      <c r="I83" s="14" t="s">
        <v>937</v>
      </c>
      <c r="J83" s="180" t="s">
        <v>753</v>
      </c>
      <c r="K83" s="14" t="s">
        <v>1176</v>
      </c>
      <c r="L83" s="180" t="s">
        <v>1919</v>
      </c>
      <c r="M83" s="180" t="s">
        <v>798</v>
      </c>
      <c r="O83" s="14" t="s">
        <v>941</v>
      </c>
    </row>
    <row r="84" spans="8:15">
      <c r="H84" s="14">
        <v>65259</v>
      </c>
      <c r="I84" s="14" t="s">
        <v>939</v>
      </c>
      <c r="J84" s="180" t="s">
        <v>753</v>
      </c>
      <c r="K84" s="14" t="s">
        <v>1004</v>
      </c>
      <c r="L84" s="180" t="s">
        <v>1919</v>
      </c>
      <c r="M84" s="180" t="s">
        <v>798</v>
      </c>
      <c r="O84" s="14" t="s">
        <v>943</v>
      </c>
    </row>
    <row r="85" spans="8:15">
      <c r="H85" s="14">
        <v>64438</v>
      </c>
      <c r="I85" s="14" t="s">
        <v>941</v>
      </c>
      <c r="J85" s="180" t="s">
        <v>753</v>
      </c>
      <c r="K85" s="14" t="s">
        <v>1005</v>
      </c>
      <c r="L85" s="180" t="s">
        <v>1919</v>
      </c>
      <c r="M85" s="180" t="s">
        <v>798</v>
      </c>
      <c r="O85" s="14" t="s">
        <v>895</v>
      </c>
    </row>
    <row r="86" spans="8:15">
      <c r="H86" s="14">
        <v>64638</v>
      </c>
      <c r="I86" s="14" t="s">
        <v>943</v>
      </c>
      <c r="J86" s="180" t="s">
        <v>753</v>
      </c>
      <c r="K86" s="14" t="s">
        <v>1168</v>
      </c>
      <c r="L86" s="180" t="s">
        <v>1919</v>
      </c>
      <c r="M86" s="180" t="s">
        <v>798</v>
      </c>
      <c r="O86" s="14" t="s">
        <v>919</v>
      </c>
    </row>
    <row r="87" spans="8:15">
      <c r="H87" s="14">
        <v>64440</v>
      </c>
      <c r="I87" s="14" t="s">
        <v>895</v>
      </c>
      <c r="J87" s="180" t="s">
        <v>753</v>
      </c>
      <c r="K87" s="14" t="s">
        <v>893</v>
      </c>
      <c r="L87" s="180" t="s">
        <v>1919</v>
      </c>
      <c r="M87" s="180" t="s">
        <v>798</v>
      </c>
      <c r="O87" s="14" t="s">
        <v>947</v>
      </c>
    </row>
    <row r="88" spans="8:15">
      <c r="H88" s="14">
        <v>64639</v>
      </c>
      <c r="I88" s="14" t="s">
        <v>919</v>
      </c>
      <c r="J88" s="180" t="s">
        <v>753</v>
      </c>
      <c r="K88" s="14" t="s">
        <v>915</v>
      </c>
      <c r="L88" s="180" t="s">
        <v>1919</v>
      </c>
      <c r="M88" s="180" t="s">
        <v>798</v>
      </c>
      <c r="O88" s="14" t="s">
        <v>949</v>
      </c>
    </row>
    <row r="89" spans="8:15">
      <c r="H89" s="14">
        <v>64439</v>
      </c>
      <c r="I89" s="14" t="s">
        <v>947</v>
      </c>
      <c r="J89" s="628" t="s">
        <v>1922</v>
      </c>
      <c r="K89" s="14" t="s">
        <v>1174</v>
      </c>
      <c r="L89" s="628" t="s">
        <v>1922</v>
      </c>
      <c r="M89" s="180" t="s">
        <v>2850</v>
      </c>
      <c r="O89" s="14" t="s">
        <v>951</v>
      </c>
    </row>
    <row r="90" spans="8:15">
      <c r="H90" s="14">
        <v>64740</v>
      </c>
      <c r="I90" s="14" t="s">
        <v>949</v>
      </c>
      <c r="J90" s="180" t="s">
        <v>753</v>
      </c>
      <c r="K90" s="14" t="s">
        <v>1087</v>
      </c>
      <c r="L90" s="180" t="s">
        <v>1919</v>
      </c>
      <c r="M90" s="180" t="s">
        <v>798</v>
      </c>
      <c r="O90" s="14" t="s">
        <v>952</v>
      </c>
    </row>
    <row r="91" spans="8:15">
      <c r="H91" s="14">
        <v>64741</v>
      </c>
      <c r="I91" s="14" t="s">
        <v>951</v>
      </c>
      <c r="J91" s="180" t="s">
        <v>753</v>
      </c>
      <c r="K91" s="14" t="s">
        <v>1178</v>
      </c>
      <c r="L91" s="180" t="s">
        <v>1919</v>
      </c>
      <c r="M91" s="180" t="s">
        <v>798</v>
      </c>
      <c r="O91" s="14" t="s">
        <v>954</v>
      </c>
    </row>
    <row r="92" spans="8:15">
      <c r="H92" s="14">
        <v>64441</v>
      </c>
      <c r="I92" s="14" t="s">
        <v>952</v>
      </c>
      <c r="J92" s="180" t="s">
        <v>753</v>
      </c>
      <c r="K92" s="14" t="s">
        <v>1170</v>
      </c>
      <c r="L92" s="180" t="s">
        <v>1919</v>
      </c>
      <c r="M92" s="180" t="s">
        <v>798</v>
      </c>
      <c r="O92" s="14" t="s">
        <v>956</v>
      </c>
    </row>
    <row r="93" spans="8:15">
      <c r="H93" s="14">
        <v>64022</v>
      </c>
      <c r="I93" s="14" t="s">
        <v>954</v>
      </c>
      <c r="J93" s="180" t="s">
        <v>753</v>
      </c>
      <c r="K93" s="14" t="s">
        <v>1160</v>
      </c>
      <c r="L93" s="180" t="s">
        <v>1919</v>
      </c>
      <c r="M93" s="180" t="s">
        <v>798</v>
      </c>
      <c r="O93" s="14" t="s">
        <v>847</v>
      </c>
    </row>
    <row r="94" spans="8:15">
      <c r="H94" s="14">
        <v>65301</v>
      </c>
      <c r="I94" s="14" t="s">
        <v>956</v>
      </c>
      <c r="J94" s="180" t="s">
        <v>753</v>
      </c>
      <c r="K94" s="14" t="s">
        <v>1173</v>
      </c>
      <c r="L94" s="180" t="s">
        <v>1919</v>
      </c>
      <c r="M94" s="180" t="s">
        <v>798</v>
      </c>
      <c r="O94" s="14" t="s">
        <v>959</v>
      </c>
    </row>
    <row r="95" spans="8:15">
      <c r="H95" s="14">
        <v>64742</v>
      </c>
      <c r="I95" s="14" t="s">
        <v>847</v>
      </c>
      <c r="J95" s="180" t="s">
        <v>753</v>
      </c>
      <c r="K95" s="14" t="s">
        <v>842</v>
      </c>
      <c r="L95" s="180" t="s">
        <v>1919</v>
      </c>
      <c r="M95" s="180" t="s">
        <v>798</v>
      </c>
      <c r="O95" s="14" t="s">
        <v>961</v>
      </c>
    </row>
    <row r="96" spans="8:15">
      <c r="H96" s="14">
        <v>65351</v>
      </c>
      <c r="I96" s="14" t="s">
        <v>959</v>
      </c>
      <c r="J96" s="180" t="s">
        <v>753</v>
      </c>
      <c r="K96" s="14" t="s">
        <v>1177</v>
      </c>
      <c r="L96" s="180" t="s">
        <v>1919</v>
      </c>
      <c r="M96" s="180" t="s">
        <v>798</v>
      </c>
      <c r="O96" s="14" t="s">
        <v>934</v>
      </c>
    </row>
    <row r="97" spans="8:15">
      <c r="H97" s="14">
        <v>64442</v>
      </c>
      <c r="I97" s="14" t="s">
        <v>961</v>
      </c>
      <c r="J97" s="180" t="s">
        <v>753</v>
      </c>
      <c r="K97" s="14" t="s">
        <v>1076</v>
      </c>
      <c r="L97" s="180" t="s">
        <v>1919</v>
      </c>
      <c r="M97" s="180" t="s">
        <v>798</v>
      </c>
      <c r="O97" s="14" t="s">
        <v>897</v>
      </c>
    </row>
    <row r="98" spans="8:15">
      <c r="H98" s="14">
        <v>64743</v>
      </c>
      <c r="I98" s="14" t="s">
        <v>934</v>
      </c>
      <c r="J98" s="180" t="s">
        <v>753</v>
      </c>
      <c r="K98" s="14" t="s">
        <v>930</v>
      </c>
      <c r="L98" s="180" t="s">
        <v>1919</v>
      </c>
      <c r="M98" s="180" t="s">
        <v>798</v>
      </c>
      <c r="O98" s="14" t="s">
        <v>964</v>
      </c>
    </row>
    <row r="99" spans="8:15">
      <c r="H99" s="14">
        <v>64443</v>
      </c>
      <c r="I99" s="14" t="s">
        <v>897</v>
      </c>
      <c r="J99" s="180" t="s">
        <v>753</v>
      </c>
      <c r="K99" s="14" t="s">
        <v>893</v>
      </c>
      <c r="L99" s="180" t="s">
        <v>1919</v>
      </c>
      <c r="M99" s="180" t="s">
        <v>798</v>
      </c>
      <c r="O99" s="14" t="s">
        <v>867</v>
      </c>
    </row>
    <row r="100" spans="8:15">
      <c r="H100" s="14">
        <v>64444</v>
      </c>
      <c r="I100" s="14" t="s">
        <v>964</v>
      </c>
      <c r="J100" s="628" t="s">
        <v>1922</v>
      </c>
      <c r="K100" s="14" t="s">
        <v>1174</v>
      </c>
      <c r="L100" s="628" t="s">
        <v>1922</v>
      </c>
      <c r="M100" s="180" t="s">
        <v>2850</v>
      </c>
      <c r="O100" s="14" t="s">
        <v>958</v>
      </c>
    </row>
    <row r="101" spans="8:15">
      <c r="H101" s="14">
        <v>65326</v>
      </c>
      <c r="I101" s="14" t="s">
        <v>867</v>
      </c>
      <c r="J101" s="180" t="s">
        <v>753</v>
      </c>
      <c r="K101" s="14" t="s">
        <v>865</v>
      </c>
      <c r="L101" s="180" t="s">
        <v>1919</v>
      </c>
      <c r="M101" s="180" t="s">
        <v>798</v>
      </c>
      <c r="O101" s="14" t="s">
        <v>967</v>
      </c>
    </row>
    <row r="102" spans="8:15">
      <c r="H102" s="14">
        <v>64744</v>
      </c>
      <c r="I102" s="14" t="s">
        <v>958</v>
      </c>
      <c r="J102" s="180" t="s">
        <v>753</v>
      </c>
      <c r="K102" s="14" t="s">
        <v>957</v>
      </c>
      <c r="L102" s="180" t="s">
        <v>1919</v>
      </c>
      <c r="M102" s="180" t="s">
        <v>2850</v>
      </c>
      <c r="O102" s="14" t="s">
        <v>969</v>
      </c>
    </row>
    <row r="103" spans="8:15">
      <c r="H103" s="14">
        <v>64062</v>
      </c>
      <c r="I103" s="14" t="s">
        <v>967</v>
      </c>
      <c r="J103" s="180" t="s">
        <v>753</v>
      </c>
      <c r="K103" s="14" t="s">
        <v>1175</v>
      </c>
      <c r="L103" s="180" t="s">
        <v>1919</v>
      </c>
      <c r="M103" s="180" t="s">
        <v>798</v>
      </c>
      <c r="O103" s="14" t="s">
        <v>971</v>
      </c>
    </row>
    <row r="104" spans="8:15">
      <c r="H104" s="14">
        <v>64445</v>
      </c>
      <c r="I104" s="14" t="s">
        <v>969</v>
      </c>
      <c r="J104" s="180" t="s">
        <v>753</v>
      </c>
      <c r="K104" s="14" t="s">
        <v>1172</v>
      </c>
      <c r="L104" s="180" t="s">
        <v>1919</v>
      </c>
      <c r="M104" s="180" t="s">
        <v>798</v>
      </c>
      <c r="O104" s="14" t="s">
        <v>973</v>
      </c>
    </row>
    <row r="105" spans="8:15">
      <c r="H105" s="14">
        <v>65321</v>
      </c>
      <c r="I105" s="14" t="s">
        <v>971</v>
      </c>
      <c r="J105" s="180" t="s">
        <v>753</v>
      </c>
      <c r="K105" s="14" t="s">
        <v>1177</v>
      </c>
      <c r="L105" s="180" t="s">
        <v>1919</v>
      </c>
      <c r="M105" s="180" t="s">
        <v>798</v>
      </c>
      <c r="O105" s="14" t="s">
        <v>975</v>
      </c>
    </row>
    <row r="106" spans="8:15">
      <c r="H106" s="14">
        <v>65327</v>
      </c>
      <c r="I106" s="14" t="s">
        <v>973</v>
      </c>
      <c r="J106" s="180" t="s">
        <v>753</v>
      </c>
      <c r="K106" s="14" t="s">
        <v>1160</v>
      </c>
      <c r="L106" s="180" t="s">
        <v>1919</v>
      </c>
      <c r="M106" s="180" t="s">
        <v>798</v>
      </c>
      <c r="O106" s="14" t="s">
        <v>977</v>
      </c>
    </row>
    <row r="107" spans="8:15">
      <c r="H107" s="14">
        <v>64020</v>
      </c>
      <c r="I107" s="14" t="s">
        <v>975</v>
      </c>
      <c r="J107" s="180" t="s">
        <v>753</v>
      </c>
      <c r="K107" s="14" t="s">
        <v>1160</v>
      </c>
      <c r="L107" s="180" t="s">
        <v>1919</v>
      </c>
      <c r="M107" s="180" t="s">
        <v>798</v>
      </c>
      <c r="O107" s="14" t="s">
        <v>979</v>
      </c>
    </row>
    <row r="108" spans="8:15">
      <c r="H108" s="14">
        <v>65274</v>
      </c>
      <c r="I108" s="14" t="s">
        <v>977</v>
      </c>
      <c r="J108" s="180" t="s">
        <v>753</v>
      </c>
      <c r="K108" s="14" t="s">
        <v>1106</v>
      </c>
      <c r="L108" s="180" t="s">
        <v>1919</v>
      </c>
      <c r="M108" s="180" t="s">
        <v>798</v>
      </c>
      <c r="O108" s="14" t="s">
        <v>981</v>
      </c>
    </row>
    <row r="109" spans="8:15">
      <c r="H109" s="14">
        <v>65646</v>
      </c>
      <c r="I109" s="14" t="s">
        <v>979</v>
      </c>
      <c r="J109" s="180" t="s">
        <v>753</v>
      </c>
      <c r="K109" s="14" t="s">
        <v>1037</v>
      </c>
      <c r="L109" s="180" t="s">
        <v>1919</v>
      </c>
      <c r="M109" s="180" t="s">
        <v>798</v>
      </c>
      <c r="O109" s="14" t="s">
        <v>983</v>
      </c>
    </row>
    <row r="110" spans="8:15">
      <c r="H110" s="14">
        <v>64024</v>
      </c>
      <c r="I110" s="14" t="s">
        <v>981</v>
      </c>
      <c r="J110" s="180" t="s">
        <v>753</v>
      </c>
      <c r="K110" s="14" t="s">
        <v>985</v>
      </c>
      <c r="L110" s="628" t="s">
        <v>754</v>
      </c>
      <c r="M110" s="180" t="s">
        <v>2850</v>
      </c>
      <c r="O110" s="14" t="s">
        <v>813</v>
      </c>
    </row>
    <row r="111" spans="8:15">
      <c r="H111" s="14">
        <v>64024</v>
      </c>
      <c r="I111" s="14" t="s">
        <v>983</v>
      </c>
      <c r="J111" s="180" t="s">
        <v>753</v>
      </c>
      <c r="K111" s="14" t="s">
        <v>985</v>
      </c>
      <c r="L111" s="628" t="s">
        <v>754</v>
      </c>
      <c r="M111" s="180" t="s">
        <v>2850</v>
      </c>
      <c r="O111" s="14" t="s">
        <v>986</v>
      </c>
    </row>
    <row r="112" spans="8:15">
      <c r="H112" s="14">
        <v>64446</v>
      </c>
      <c r="I112" s="14" t="s">
        <v>813</v>
      </c>
      <c r="J112" s="180" t="s">
        <v>753</v>
      </c>
      <c r="K112" s="14" t="s">
        <v>814</v>
      </c>
      <c r="L112" s="180" t="s">
        <v>1919</v>
      </c>
      <c r="M112" s="180" t="s">
        <v>798</v>
      </c>
      <c r="O112" s="14" t="s">
        <v>987</v>
      </c>
    </row>
    <row r="113" spans="8:15">
      <c r="H113" s="14">
        <v>64447</v>
      </c>
      <c r="I113" s="14" t="s">
        <v>986</v>
      </c>
      <c r="J113" s="180" t="s">
        <v>753</v>
      </c>
      <c r="K113" s="14" t="s">
        <v>1054</v>
      </c>
      <c r="L113" s="180" t="s">
        <v>1919</v>
      </c>
      <c r="M113" s="180" t="s">
        <v>798</v>
      </c>
      <c r="O113" s="14" t="s">
        <v>899</v>
      </c>
    </row>
    <row r="114" spans="8:15">
      <c r="H114" s="14">
        <v>64028</v>
      </c>
      <c r="I114" s="14" t="s">
        <v>987</v>
      </c>
      <c r="J114" s="628" t="s">
        <v>1922</v>
      </c>
      <c r="K114" s="14" t="s">
        <v>1174</v>
      </c>
      <c r="L114" s="628" t="s">
        <v>1922</v>
      </c>
      <c r="M114" s="180" t="s">
        <v>2850</v>
      </c>
      <c r="O114" s="14" t="s">
        <v>988</v>
      </c>
    </row>
    <row r="115" spans="8:15">
      <c r="H115" s="14">
        <v>64448</v>
      </c>
      <c r="I115" s="14" t="s">
        <v>899</v>
      </c>
      <c r="J115" s="180" t="s">
        <v>753</v>
      </c>
      <c r="K115" s="14" t="s">
        <v>893</v>
      </c>
      <c r="L115" s="180" t="s">
        <v>1919</v>
      </c>
      <c r="M115" s="180" t="s">
        <v>798</v>
      </c>
      <c r="O115" s="14" t="s">
        <v>989</v>
      </c>
    </row>
    <row r="116" spans="8:15">
      <c r="H116" s="14">
        <v>65248</v>
      </c>
      <c r="I116" s="14" t="s">
        <v>988</v>
      </c>
      <c r="J116" s="180" t="s">
        <v>753</v>
      </c>
      <c r="K116" s="14" t="s">
        <v>1106</v>
      </c>
      <c r="L116" s="180" t="s">
        <v>1919</v>
      </c>
      <c r="M116" s="180" t="s">
        <v>2850</v>
      </c>
      <c r="O116" s="14" t="s">
        <v>804</v>
      </c>
    </row>
    <row r="117" spans="8:15">
      <c r="H117" s="14">
        <v>64163</v>
      </c>
      <c r="I117" s="14" t="s">
        <v>989</v>
      </c>
      <c r="J117" s="628" t="s">
        <v>1922</v>
      </c>
      <c r="K117" s="14" t="s">
        <v>1174</v>
      </c>
      <c r="L117" s="628" t="s">
        <v>1922</v>
      </c>
      <c r="M117" s="180" t="s">
        <v>2850</v>
      </c>
      <c r="O117" s="14" t="s">
        <v>991</v>
      </c>
    </row>
    <row r="118" spans="8:15">
      <c r="H118" s="14">
        <v>64449</v>
      </c>
      <c r="I118" s="14" t="s">
        <v>804</v>
      </c>
      <c r="J118" s="180" t="s">
        <v>753</v>
      </c>
      <c r="K118" s="14" t="s">
        <v>797</v>
      </c>
      <c r="L118" s="180" t="s">
        <v>1919</v>
      </c>
      <c r="M118" s="180" t="s">
        <v>798</v>
      </c>
      <c r="O118" s="14" t="s">
        <v>965</v>
      </c>
    </row>
    <row r="119" spans="8:15">
      <c r="H119" s="14">
        <v>64451</v>
      </c>
      <c r="I119" s="14" t="s">
        <v>991</v>
      </c>
      <c r="J119" s="180" t="s">
        <v>753</v>
      </c>
      <c r="K119" s="14" t="s">
        <v>990</v>
      </c>
      <c r="L119" s="180" t="s">
        <v>1919</v>
      </c>
      <c r="M119" s="180" t="s">
        <v>798</v>
      </c>
      <c r="O119" s="14" t="s">
        <v>994</v>
      </c>
    </row>
    <row r="120" spans="8:15">
      <c r="H120" s="14">
        <v>65281</v>
      </c>
      <c r="I120" s="14" t="s">
        <v>965</v>
      </c>
      <c r="J120" s="180" t="s">
        <v>753</v>
      </c>
      <c r="K120" s="14" t="s">
        <v>963</v>
      </c>
      <c r="L120" s="180" t="s">
        <v>1919</v>
      </c>
      <c r="M120" s="180" t="s">
        <v>798</v>
      </c>
      <c r="O120" s="14" t="s">
        <v>996</v>
      </c>
    </row>
    <row r="121" spans="8:15">
      <c r="H121" s="14">
        <v>64088</v>
      </c>
      <c r="I121" s="14" t="s">
        <v>994</v>
      </c>
      <c r="J121" s="180" t="s">
        <v>753</v>
      </c>
      <c r="K121" s="14" t="s">
        <v>1115</v>
      </c>
      <c r="L121" s="180" t="s">
        <v>753</v>
      </c>
      <c r="M121" s="180" t="s">
        <v>2850</v>
      </c>
      <c r="O121" s="14" t="s">
        <v>849</v>
      </c>
    </row>
    <row r="122" spans="8:15">
      <c r="H122" s="14">
        <v>64437</v>
      </c>
      <c r="I122" s="14" t="s">
        <v>996</v>
      </c>
      <c r="J122" s="180" t="s">
        <v>753</v>
      </c>
      <c r="K122" s="14" t="s">
        <v>990</v>
      </c>
      <c r="L122" s="180" t="s">
        <v>1919</v>
      </c>
      <c r="M122" s="180" t="s">
        <v>798</v>
      </c>
      <c r="O122" s="14" t="s">
        <v>998</v>
      </c>
    </row>
    <row r="123" spans="8:15">
      <c r="H123" s="14">
        <v>64745</v>
      </c>
      <c r="I123" s="14" t="s">
        <v>849</v>
      </c>
      <c r="J123" s="180" t="s">
        <v>753</v>
      </c>
      <c r="K123" s="14" t="s">
        <v>842</v>
      </c>
      <c r="L123" s="180" t="s">
        <v>1919</v>
      </c>
      <c r="M123" s="180" t="s">
        <v>798</v>
      </c>
      <c r="O123" s="14" t="s">
        <v>936</v>
      </c>
    </row>
    <row r="124" spans="8:15">
      <c r="H124" s="14">
        <v>65250</v>
      </c>
      <c r="I124" s="14" t="s">
        <v>998</v>
      </c>
      <c r="J124" s="180" t="s">
        <v>753</v>
      </c>
      <c r="K124" s="14" t="s">
        <v>1106</v>
      </c>
      <c r="L124" s="180" t="s">
        <v>1919</v>
      </c>
      <c r="M124" s="180" t="s">
        <v>798</v>
      </c>
      <c r="O124" s="14" t="s">
        <v>869</v>
      </c>
    </row>
    <row r="125" spans="8:15">
      <c r="H125" s="14">
        <v>64746</v>
      </c>
      <c r="I125" s="14" t="s">
        <v>936</v>
      </c>
      <c r="J125" s="180" t="s">
        <v>753</v>
      </c>
      <c r="K125" s="14" t="s">
        <v>930</v>
      </c>
      <c r="L125" s="180" t="s">
        <v>1919</v>
      </c>
      <c r="M125" s="180" t="s">
        <v>798</v>
      </c>
      <c r="O125" s="14" t="s">
        <v>1002</v>
      </c>
    </row>
    <row r="126" spans="8:15">
      <c r="H126" s="14">
        <v>65355</v>
      </c>
      <c r="I126" s="14" t="s">
        <v>869</v>
      </c>
      <c r="J126" s="180" t="s">
        <v>753</v>
      </c>
      <c r="K126" s="14" t="s">
        <v>865</v>
      </c>
      <c r="L126" s="180" t="s">
        <v>1919</v>
      </c>
      <c r="M126" s="180" t="s">
        <v>798</v>
      </c>
      <c r="O126" s="14" t="s">
        <v>938</v>
      </c>
    </row>
    <row r="127" spans="8:15">
      <c r="H127" s="14">
        <v>64640</v>
      </c>
      <c r="I127" s="14" t="s">
        <v>1002</v>
      </c>
      <c r="J127" s="180" t="s">
        <v>753</v>
      </c>
      <c r="K127" s="14" t="s">
        <v>1045</v>
      </c>
      <c r="L127" s="180" t="s">
        <v>1919</v>
      </c>
      <c r="M127" s="180" t="s">
        <v>798</v>
      </c>
      <c r="O127" s="14" t="s">
        <v>1005</v>
      </c>
    </row>
    <row r="128" spans="8:15">
      <c r="H128" s="14">
        <v>64747</v>
      </c>
      <c r="I128" s="14" t="s">
        <v>938</v>
      </c>
      <c r="J128" s="180" t="s">
        <v>753</v>
      </c>
      <c r="K128" s="14" t="s">
        <v>930</v>
      </c>
      <c r="L128" s="180" t="s">
        <v>1919</v>
      </c>
      <c r="M128" s="180" t="s">
        <v>798</v>
      </c>
      <c r="O128" s="14" t="s">
        <v>1006</v>
      </c>
    </row>
    <row r="129" spans="8:15">
      <c r="H129" s="14">
        <v>64453</v>
      </c>
      <c r="I129" s="14" t="s">
        <v>1005</v>
      </c>
      <c r="J129" s="180" t="s">
        <v>753</v>
      </c>
      <c r="K129" s="14" t="s">
        <v>1005</v>
      </c>
      <c r="L129" s="180" t="s">
        <v>1919</v>
      </c>
      <c r="M129" s="180" t="s">
        <v>798</v>
      </c>
      <c r="O129" s="14" t="s">
        <v>1007</v>
      </c>
    </row>
    <row r="130" spans="8:15">
      <c r="H130" s="14">
        <v>64402</v>
      </c>
      <c r="I130" s="14" t="s">
        <v>1006</v>
      </c>
      <c r="J130" s="180" t="s">
        <v>753</v>
      </c>
      <c r="K130" s="14" t="s">
        <v>1005</v>
      </c>
      <c r="L130" s="180" t="s">
        <v>1919</v>
      </c>
      <c r="M130" s="180" t="s">
        <v>798</v>
      </c>
      <c r="O130" s="14" t="s">
        <v>1008</v>
      </c>
    </row>
    <row r="131" spans="8:15">
      <c r="H131" s="14">
        <v>65301</v>
      </c>
      <c r="I131" s="14" t="s">
        <v>1007</v>
      </c>
      <c r="J131" s="180" t="s">
        <v>753</v>
      </c>
      <c r="K131" s="14" t="s">
        <v>1173</v>
      </c>
      <c r="L131" s="180" t="s">
        <v>1919</v>
      </c>
      <c r="M131" s="180" t="s">
        <v>798</v>
      </c>
      <c r="O131" s="14" t="s">
        <v>1009</v>
      </c>
    </row>
    <row r="132" spans="8:15">
      <c r="H132" s="14">
        <v>65330</v>
      </c>
      <c r="I132" s="14" t="s">
        <v>1008</v>
      </c>
      <c r="J132" s="180" t="s">
        <v>753</v>
      </c>
      <c r="K132" s="14" t="s">
        <v>1177</v>
      </c>
      <c r="L132" s="180" t="s">
        <v>1919</v>
      </c>
      <c r="M132" s="180" t="s">
        <v>798</v>
      </c>
      <c r="O132" s="14" t="s">
        <v>769</v>
      </c>
    </row>
    <row r="133" spans="8:15">
      <c r="H133" s="14">
        <v>64642</v>
      </c>
      <c r="I133" s="14" t="s">
        <v>1009</v>
      </c>
      <c r="J133" s="180" t="s">
        <v>753</v>
      </c>
      <c r="K133" s="14" t="s">
        <v>1076</v>
      </c>
      <c r="L133" s="180" t="s">
        <v>1919</v>
      </c>
      <c r="M133" s="180" t="s">
        <v>798</v>
      </c>
      <c r="O133" s="14" t="s">
        <v>1010</v>
      </c>
    </row>
    <row r="134" spans="8:15">
      <c r="H134" s="14">
        <v>64116</v>
      </c>
      <c r="I134" s="14" t="s">
        <v>769</v>
      </c>
      <c r="J134" s="180" t="s">
        <v>755</v>
      </c>
      <c r="K134" s="14" t="s">
        <v>985</v>
      </c>
      <c r="L134" s="628" t="s">
        <v>754</v>
      </c>
      <c r="M134" s="180" t="s">
        <v>2850</v>
      </c>
      <c r="O134" s="14" t="s">
        <v>829</v>
      </c>
    </row>
    <row r="135" spans="8:15">
      <c r="H135" s="14">
        <v>64118</v>
      </c>
      <c r="I135" s="14" t="s">
        <v>769</v>
      </c>
      <c r="J135" s="180" t="s">
        <v>755</v>
      </c>
      <c r="K135" s="14" t="s">
        <v>985</v>
      </c>
      <c r="L135" s="628" t="s">
        <v>754</v>
      </c>
      <c r="M135" s="180" t="s">
        <v>2850</v>
      </c>
      <c r="O135" s="14" t="s">
        <v>1011</v>
      </c>
    </row>
    <row r="136" spans="8:15">
      <c r="H136" s="14">
        <v>64119</v>
      </c>
      <c r="I136" s="14" t="s">
        <v>769</v>
      </c>
      <c r="J136" s="180" t="s">
        <v>755</v>
      </c>
      <c r="K136" s="14" t="s">
        <v>985</v>
      </c>
      <c r="L136" s="628" t="s">
        <v>754</v>
      </c>
      <c r="M136" s="180" t="s">
        <v>2850</v>
      </c>
      <c r="O136" s="14" t="s">
        <v>1013</v>
      </c>
    </row>
    <row r="137" spans="8:15">
      <c r="H137" s="14">
        <v>64155</v>
      </c>
      <c r="I137" s="14" t="s">
        <v>769</v>
      </c>
      <c r="J137" s="180" t="s">
        <v>755</v>
      </c>
      <c r="K137" s="14" t="s">
        <v>985</v>
      </c>
      <c r="L137" s="628" t="s">
        <v>754</v>
      </c>
      <c r="M137" s="180" t="s">
        <v>2850</v>
      </c>
      <c r="O137" s="14" t="s">
        <v>1014</v>
      </c>
    </row>
    <row r="138" spans="8:15">
      <c r="H138" s="14">
        <v>64156</v>
      </c>
      <c r="I138" s="14" t="s">
        <v>769</v>
      </c>
      <c r="J138" s="180" t="s">
        <v>755</v>
      </c>
      <c r="K138" s="14" t="s">
        <v>985</v>
      </c>
      <c r="L138" s="628" t="s">
        <v>754</v>
      </c>
      <c r="M138" s="180" t="s">
        <v>2850</v>
      </c>
      <c r="O138" s="14" t="s">
        <v>1015</v>
      </c>
    </row>
    <row r="139" spans="8:15">
      <c r="H139" s="14">
        <v>64165</v>
      </c>
      <c r="I139" s="14" t="s">
        <v>769</v>
      </c>
      <c r="J139" s="180" t="s">
        <v>755</v>
      </c>
      <c r="K139" s="14" t="s">
        <v>985</v>
      </c>
      <c r="L139" s="628" t="s">
        <v>754</v>
      </c>
      <c r="M139" s="180" t="s">
        <v>2850</v>
      </c>
      <c r="O139" s="14" t="s">
        <v>770</v>
      </c>
    </row>
    <row r="140" spans="8:15">
      <c r="H140" s="14">
        <v>64166</v>
      </c>
      <c r="I140" s="14" t="s">
        <v>769</v>
      </c>
      <c r="J140" s="180" t="s">
        <v>755</v>
      </c>
      <c r="K140" s="14" t="s">
        <v>985</v>
      </c>
      <c r="L140" s="628" t="s">
        <v>754</v>
      </c>
      <c r="M140" s="180" t="s">
        <v>2850</v>
      </c>
      <c r="O140" s="14" t="s">
        <v>1016</v>
      </c>
    </row>
    <row r="141" spans="8:15">
      <c r="H141" s="14">
        <v>65254</v>
      </c>
      <c r="I141" s="14" t="s">
        <v>1010</v>
      </c>
      <c r="J141" s="180" t="s">
        <v>753</v>
      </c>
      <c r="K141" s="14" t="s">
        <v>1106</v>
      </c>
      <c r="L141" s="180" t="s">
        <v>1919</v>
      </c>
      <c r="M141" s="180" t="s">
        <v>798</v>
      </c>
      <c r="O141" s="14" t="s">
        <v>1017</v>
      </c>
    </row>
    <row r="142" spans="8:15">
      <c r="H142" s="14">
        <v>64748</v>
      </c>
      <c r="I142" s="14" t="s">
        <v>829</v>
      </c>
      <c r="J142" s="180" t="s">
        <v>753</v>
      </c>
      <c r="K142" s="14" t="s">
        <v>827</v>
      </c>
      <c r="L142" s="180" t="s">
        <v>1919</v>
      </c>
      <c r="M142" s="180" t="s">
        <v>798</v>
      </c>
      <c r="O142" s="14" t="s">
        <v>1018</v>
      </c>
    </row>
    <row r="143" spans="8:15">
      <c r="H143" s="14">
        <v>64454</v>
      </c>
      <c r="I143" s="14" t="s">
        <v>1011</v>
      </c>
      <c r="J143" s="180" t="s">
        <v>753</v>
      </c>
      <c r="K143" s="14" t="s">
        <v>910</v>
      </c>
      <c r="L143" s="180" t="s">
        <v>1919</v>
      </c>
      <c r="M143" s="180" t="s">
        <v>798</v>
      </c>
      <c r="O143" s="14" t="s">
        <v>1019</v>
      </c>
    </row>
    <row r="144" spans="8:15">
      <c r="H144" s="14">
        <v>64455</v>
      </c>
      <c r="I144" s="14" t="s">
        <v>1013</v>
      </c>
      <c r="J144" s="180" t="s">
        <v>753</v>
      </c>
      <c r="K144" s="14" t="s">
        <v>1172</v>
      </c>
      <c r="L144" s="180" t="s">
        <v>1919</v>
      </c>
      <c r="M144" s="180" t="s">
        <v>798</v>
      </c>
      <c r="O144" s="14" t="s">
        <v>1020</v>
      </c>
    </row>
    <row r="145" spans="8:15">
      <c r="H145" s="14">
        <v>64029</v>
      </c>
      <c r="I145" s="14" t="s">
        <v>1014</v>
      </c>
      <c r="J145" s="628" t="s">
        <v>754</v>
      </c>
      <c r="K145" s="14" t="s">
        <v>1115</v>
      </c>
      <c r="L145" s="180" t="s">
        <v>753</v>
      </c>
      <c r="M145" s="180" t="s">
        <v>2850</v>
      </c>
      <c r="O145" s="14" t="s">
        <v>940</v>
      </c>
    </row>
    <row r="146" spans="8:15">
      <c r="H146" s="14">
        <v>65339</v>
      </c>
      <c r="I146" s="14" t="s">
        <v>1015</v>
      </c>
      <c r="J146" s="180" t="s">
        <v>753</v>
      </c>
      <c r="K146" s="14" t="s">
        <v>1177</v>
      </c>
      <c r="L146" s="180" t="s">
        <v>1919</v>
      </c>
      <c r="M146" s="180" t="s">
        <v>798</v>
      </c>
      <c r="O146" s="14" t="s">
        <v>921</v>
      </c>
    </row>
    <row r="147" spans="8:15">
      <c r="H147" s="14">
        <v>64030</v>
      </c>
      <c r="I147" s="14" t="s">
        <v>770</v>
      </c>
      <c r="J147" s="180" t="s">
        <v>754</v>
      </c>
      <c r="K147" s="14" t="s">
        <v>1115</v>
      </c>
      <c r="L147" s="180" t="s">
        <v>753</v>
      </c>
      <c r="M147" s="180" t="s">
        <v>2850</v>
      </c>
      <c r="O147" s="14" t="s">
        <v>1021</v>
      </c>
    </row>
    <row r="148" spans="8:15">
      <c r="H148" s="14">
        <v>64456</v>
      </c>
      <c r="I148" s="14" t="s">
        <v>1016</v>
      </c>
      <c r="J148" s="180" t="s">
        <v>753</v>
      </c>
      <c r="K148" s="14" t="s">
        <v>1170</v>
      </c>
      <c r="L148" s="180" t="s">
        <v>1919</v>
      </c>
      <c r="M148" s="180" t="s">
        <v>798</v>
      </c>
      <c r="O148" s="14" t="s">
        <v>942</v>
      </c>
    </row>
    <row r="149" spans="8:15">
      <c r="H149" s="14">
        <v>65332</v>
      </c>
      <c r="I149" s="14" t="s">
        <v>1017</v>
      </c>
      <c r="J149" s="180" t="s">
        <v>753</v>
      </c>
      <c r="K149" s="14" t="s">
        <v>1173</v>
      </c>
      <c r="L149" s="180" t="s">
        <v>1919</v>
      </c>
      <c r="M149" s="180" t="s">
        <v>798</v>
      </c>
      <c r="O149" s="14" t="s">
        <v>1022</v>
      </c>
    </row>
    <row r="150" spans="8:15">
      <c r="H150" s="14">
        <v>65661</v>
      </c>
      <c r="I150" s="14" t="s">
        <v>1018</v>
      </c>
      <c r="J150" s="180" t="s">
        <v>753</v>
      </c>
      <c r="K150" s="14" t="s">
        <v>1037</v>
      </c>
      <c r="L150" s="180" t="s">
        <v>1919</v>
      </c>
      <c r="M150" s="180" t="s">
        <v>798</v>
      </c>
      <c r="O150" s="14" t="s">
        <v>1023</v>
      </c>
    </row>
    <row r="151" spans="8:15">
      <c r="H151" s="14">
        <v>64034</v>
      </c>
      <c r="I151" s="14" t="s">
        <v>1019</v>
      </c>
      <c r="J151" s="180" t="s">
        <v>753</v>
      </c>
      <c r="K151" s="14" t="s">
        <v>1115</v>
      </c>
      <c r="L151" s="180" t="s">
        <v>753</v>
      </c>
      <c r="M151" s="180" t="s">
        <v>2850</v>
      </c>
      <c r="O151" s="14" t="s">
        <v>871</v>
      </c>
    </row>
    <row r="152" spans="8:15">
      <c r="H152" s="14">
        <v>64457</v>
      </c>
      <c r="I152" s="14" t="s">
        <v>1020</v>
      </c>
      <c r="J152" s="180" t="s">
        <v>753</v>
      </c>
      <c r="K152" s="14" t="s">
        <v>1172</v>
      </c>
      <c r="L152" s="180" t="s">
        <v>1919</v>
      </c>
      <c r="M152" s="180" t="s">
        <v>798</v>
      </c>
      <c r="O152" s="14" t="s">
        <v>1025</v>
      </c>
    </row>
    <row r="153" spans="8:15">
      <c r="H153" s="14">
        <v>64747</v>
      </c>
      <c r="I153" s="14" t="s">
        <v>940</v>
      </c>
      <c r="J153" s="180" t="s">
        <v>753</v>
      </c>
      <c r="K153" s="14" t="s">
        <v>930</v>
      </c>
      <c r="L153" s="180" t="s">
        <v>1919</v>
      </c>
      <c r="M153" s="180" t="s">
        <v>798</v>
      </c>
      <c r="O153" s="14" t="s">
        <v>806</v>
      </c>
    </row>
    <row r="154" spans="8:15">
      <c r="H154" s="14">
        <v>64643</v>
      </c>
      <c r="I154" s="14" t="s">
        <v>921</v>
      </c>
      <c r="J154" s="180" t="s">
        <v>753</v>
      </c>
      <c r="K154" s="14" t="s">
        <v>915</v>
      </c>
      <c r="L154" s="180" t="s">
        <v>1919</v>
      </c>
      <c r="M154" s="180" t="s">
        <v>798</v>
      </c>
      <c r="O154" s="14" t="s">
        <v>1026</v>
      </c>
    </row>
    <row r="155" spans="8:15">
      <c r="H155" s="14">
        <v>64035</v>
      </c>
      <c r="I155" s="14" t="s">
        <v>1021</v>
      </c>
      <c r="J155" s="180" t="s">
        <v>753</v>
      </c>
      <c r="K155" s="14" t="s">
        <v>1175</v>
      </c>
      <c r="L155" s="180" t="s">
        <v>1919</v>
      </c>
      <c r="M155" s="180" t="s">
        <v>798</v>
      </c>
      <c r="O155" s="14" t="s">
        <v>1028</v>
      </c>
    </row>
    <row r="156" spans="8:15">
      <c r="H156" s="14">
        <v>64701</v>
      </c>
      <c r="I156" s="14" t="s">
        <v>942</v>
      </c>
      <c r="J156" s="180" t="s">
        <v>753</v>
      </c>
      <c r="K156" s="14" t="s">
        <v>930</v>
      </c>
      <c r="L156" s="180" t="s">
        <v>1919</v>
      </c>
      <c r="M156" s="180" t="s">
        <v>798</v>
      </c>
      <c r="O156" s="14" t="s">
        <v>1029</v>
      </c>
    </row>
    <row r="157" spans="8:15">
      <c r="H157" s="14">
        <v>64788</v>
      </c>
      <c r="I157" s="14" t="s">
        <v>1022</v>
      </c>
      <c r="J157" s="180" t="s">
        <v>753</v>
      </c>
      <c r="K157" s="14" t="s">
        <v>1087</v>
      </c>
      <c r="L157" s="180" t="s">
        <v>1919</v>
      </c>
      <c r="M157" s="180" t="s">
        <v>798</v>
      </c>
      <c r="O157" s="14" t="s">
        <v>1030</v>
      </c>
    </row>
    <row r="158" spans="8:15">
      <c r="H158" s="14">
        <v>64750</v>
      </c>
      <c r="I158" s="14" t="s">
        <v>1023</v>
      </c>
      <c r="J158" s="180" t="s">
        <v>753</v>
      </c>
      <c r="K158" s="14" t="s">
        <v>1178</v>
      </c>
      <c r="L158" s="180" t="s">
        <v>1919</v>
      </c>
      <c r="M158" s="180" t="s">
        <v>798</v>
      </c>
      <c r="O158" s="14" t="s">
        <v>1032</v>
      </c>
    </row>
    <row r="159" spans="8:15">
      <c r="H159" s="14">
        <v>65326</v>
      </c>
      <c r="I159" s="14" t="s">
        <v>871</v>
      </c>
      <c r="J159" s="180" t="s">
        <v>753</v>
      </c>
      <c r="K159" s="14" t="s">
        <v>865</v>
      </c>
      <c r="L159" s="180" t="s">
        <v>1919</v>
      </c>
      <c r="M159" s="180" t="s">
        <v>798</v>
      </c>
      <c r="O159" s="14" t="s">
        <v>990</v>
      </c>
    </row>
    <row r="160" spans="8:15">
      <c r="H160" s="14">
        <v>64458</v>
      </c>
      <c r="I160" s="14" t="s">
        <v>1025</v>
      </c>
      <c r="J160" s="180" t="s">
        <v>753</v>
      </c>
      <c r="K160" s="14" t="s">
        <v>1076</v>
      </c>
      <c r="L160" s="180" t="s">
        <v>1919</v>
      </c>
      <c r="M160" s="180" t="s">
        <v>798</v>
      </c>
      <c r="O160" s="14" t="s">
        <v>992</v>
      </c>
    </row>
    <row r="161" spans="8:15">
      <c r="H161" s="14">
        <v>64459</v>
      </c>
      <c r="I161" s="14" t="s">
        <v>806</v>
      </c>
      <c r="J161" s="180" t="s">
        <v>753</v>
      </c>
      <c r="K161" s="14" t="s">
        <v>797</v>
      </c>
      <c r="L161" s="180" t="s">
        <v>1919</v>
      </c>
      <c r="M161" s="180" t="s">
        <v>798</v>
      </c>
      <c r="O161" s="14" t="s">
        <v>1036</v>
      </c>
    </row>
    <row r="162" spans="8:15">
      <c r="H162" s="14">
        <v>64490</v>
      </c>
      <c r="I162" s="14" t="s">
        <v>1026</v>
      </c>
      <c r="J162" s="180" t="s">
        <v>753</v>
      </c>
      <c r="K162" s="14" t="s">
        <v>1054</v>
      </c>
      <c r="L162" s="180" t="s">
        <v>1919</v>
      </c>
      <c r="M162" s="180" t="s">
        <v>798</v>
      </c>
      <c r="O162" s="14" t="s">
        <v>1038</v>
      </c>
    </row>
    <row r="163" spans="8:15">
      <c r="H163" s="14">
        <v>64036</v>
      </c>
      <c r="I163" s="14" t="s">
        <v>1028</v>
      </c>
      <c r="J163" s="180" t="s">
        <v>753</v>
      </c>
      <c r="K163" s="14" t="s">
        <v>1175</v>
      </c>
      <c r="L163" s="180" t="s">
        <v>1919</v>
      </c>
      <c r="M163" s="180" t="s">
        <v>798</v>
      </c>
      <c r="O163" s="14" t="s">
        <v>1039</v>
      </c>
    </row>
    <row r="164" spans="8:15">
      <c r="H164" s="14">
        <v>65257</v>
      </c>
      <c r="I164" s="14" t="s">
        <v>1029</v>
      </c>
      <c r="J164" s="180" t="s">
        <v>753</v>
      </c>
      <c r="K164" s="14" t="s">
        <v>1004</v>
      </c>
      <c r="L164" s="180" t="s">
        <v>1919</v>
      </c>
      <c r="M164" s="180" t="s">
        <v>798</v>
      </c>
      <c r="O164" s="14" t="s">
        <v>1040</v>
      </c>
    </row>
    <row r="165" spans="8:15">
      <c r="H165" s="14">
        <v>64037</v>
      </c>
      <c r="I165" s="14" t="s">
        <v>1030</v>
      </c>
      <c r="J165" s="180" t="s">
        <v>753</v>
      </c>
      <c r="K165" s="14" t="s">
        <v>1160</v>
      </c>
      <c r="L165" s="180" t="s">
        <v>1919</v>
      </c>
      <c r="M165" s="180" t="s">
        <v>2850</v>
      </c>
      <c r="O165" s="14" t="s">
        <v>1041</v>
      </c>
    </row>
    <row r="166" spans="8:15">
      <c r="H166" s="14">
        <v>64040</v>
      </c>
      <c r="I166" s="14" t="s">
        <v>1032</v>
      </c>
      <c r="J166" s="180" t="s">
        <v>753</v>
      </c>
      <c r="K166" s="14" t="s">
        <v>1154</v>
      </c>
      <c r="L166" s="180" t="s">
        <v>1919</v>
      </c>
      <c r="M166" s="180" t="s">
        <v>2850</v>
      </c>
      <c r="O166" s="14" t="s">
        <v>851</v>
      </c>
    </row>
    <row r="167" spans="8:15">
      <c r="H167" s="14">
        <v>64048</v>
      </c>
      <c r="I167" s="14" t="s">
        <v>990</v>
      </c>
      <c r="J167" s="180" t="s">
        <v>753</v>
      </c>
      <c r="K167" s="14" t="s">
        <v>985</v>
      </c>
      <c r="L167" s="628" t="s">
        <v>754</v>
      </c>
      <c r="M167" s="180" t="s">
        <v>2850</v>
      </c>
      <c r="O167" s="14" t="s">
        <v>1044</v>
      </c>
    </row>
    <row r="168" spans="8:15">
      <c r="H168" s="14">
        <v>64024</v>
      </c>
      <c r="I168" s="14" t="s">
        <v>992</v>
      </c>
      <c r="J168" s="180" t="s">
        <v>753</v>
      </c>
      <c r="K168" s="14" t="s">
        <v>985</v>
      </c>
      <c r="L168" s="628" t="s">
        <v>754</v>
      </c>
      <c r="M168" s="180" t="s">
        <v>2850</v>
      </c>
      <c r="O168" s="14" t="s">
        <v>830</v>
      </c>
    </row>
    <row r="169" spans="8:15">
      <c r="H169" s="14">
        <v>64461</v>
      </c>
      <c r="I169" s="14" t="s">
        <v>1036</v>
      </c>
      <c r="J169" s="180" t="s">
        <v>753</v>
      </c>
      <c r="K169" s="14" t="s">
        <v>1172</v>
      </c>
      <c r="L169" s="180" t="s">
        <v>1919</v>
      </c>
      <c r="M169" s="180" t="s">
        <v>798</v>
      </c>
      <c r="O169" s="14" t="s">
        <v>1046</v>
      </c>
    </row>
    <row r="170" spans="8:15">
      <c r="H170" s="14">
        <v>64751</v>
      </c>
      <c r="I170" s="14" t="s">
        <v>1038</v>
      </c>
      <c r="J170" s="180" t="s">
        <v>753</v>
      </c>
      <c r="K170" s="14" t="s">
        <v>1178</v>
      </c>
      <c r="L170" s="180" t="s">
        <v>1919</v>
      </c>
      <c r="M170" s="180" t="s">
        <v>798</v>
      </c>
      <c r="O170" s="14" t="s">
        <v>966</v>
      </c>
    </row>
    <row r="171" spans="8:15">
      <c r="H171" s="14">
        <v>64151</v>
      </c>
      <c r="I171" s="14" t="s">
        <v>1039</v>
      </c>
      <c r="J171" s="628" t="s">
        <v>1922</v>
      </c>
      <c r="K171" s="14" t="s">
        <v>1174</v>
      </c>
      <c r="L171" s="628" t="s">
        <v>1922</v>
      </c>
      <c r="M171" s="180" t="s">
        <v>2850</v>
      </c>
      <c r="O171" s="14" t="s">
        <v>872</v>
      </c>
    </row>
    <row r="172" spans="8:15">
      <c r="H172" s="14">
        <v>65333</v>
      </c>
      <c r="I172" s="14" t="s">
        <v>1040</v>
      </c>
      <c r="J172" s="180" t="s">
        <v>753</v>
      </c>
      <c r="K172" s="14" t="s">
        <v>1173</v>
      </c>
      <c r="L172" s="180" t="s">
        <v>1919</v>
      </c>
      <c r="M172" s="180" t="s">
        <v>798</v>
      </c>
      <c r="O172" s="14" t="s">
        <v>832</v>
      </c>
    </row>
    <row r="173" spans="8:15">
      <c r="H173" s="14">
        <v>65334</v>
      </c>
      <c r="I173" s="14" t="s">
        <v>1041</v>
      </c>
      <c r="J173" s="180" t="s">
        <v>753</v>
      </c>
      <c r="K173" s="14" t="s">
        <v>1173</v>
      </c>
      <c r="L173" s="180" t="s">
        <v>1919</v>
      </c>
      <c r="M173" s="180" t="s">
        <v>798</v>
      </c>
      <c r="O173" s="14" t="s">
        <v>1050</v>
      </c>
    </row>
    <row r="174" spans="8:15">
      <c r="H174" s="14">
        <v>64752</v>
      </c>
      <c r="I174" s="14" t="s">
        <v>851</v>
      </c>
      <c r="J174" s="180" t="s">
        <v>753</v>
      </c>
      <c r="K174" s="14" t="s">
        <v>842</v>
      </c>
      <c r="L174" s="180" t="s">
        <v>1919</v>
      </c>
      <c r="M174" s="180" t="s">
        <v>798</v>
      </c>
      <c r="O174" s="14" t="s">
        <v>1047</v>
      </c>
    </row>
    <row r="175" spans="8:15">
      <c r="H175" s="14">
        <v>65259</v>
      </c>
      <c r="I175" s="14" t="s">
        <v>1044</v>
      </c>
      <c r="J175" s="180" t="s">
        <v>753</v>
      </c>
      <c r="K175" s="14" t="s">
        <v>1004</v>
      </c>
      <c r="L175" s="180" t="s">
        <v>1919</v>
      </c>
      <c r="M175" s="180" t="s">
        <v>798</v>
      </c>
      <c r="O175" s="14" t="s">
        <v>1048</v>
      </c>
    </row>
    <row r="176" spans="8:15">
      <c r="H176" s="14">
        <v>64759</v>
      </c>
      <c r="I176" s="14" t="s">
        <v>830</v>
      </c>
      <c r="J176" s="180" t="s">
        <v>753</v>
      </c>
      <c r="K176" s="14" t="s">
        <v>827</v>
      </c>
      <c r="L176" s="180" t="s">
        <v>1919</v>
      </c>
      <c r="M176" s="180" t="s">
        <v>798</v>
      </c>
      <c r="O176" s="14" t="s">
        <v>960</v>
      </c>
    </row>
    <row r="177" spans="8:15">
      <c r="H177" s="14">
        <v>64050</v>
      </c>
      <c r="I177" s="14" t="s">
        <v>1046</v>
      </c>
      <c r="J177" s="180" t="s">
        <v>753</v>
      </c>
      <c r="K177" s="14" t="s">
        <v>1115</v>
      </c>
      <c r="L177" s="180" t="s">
        <v>753</v>
      </c>
      <c r="M177" s="180" t="s">
        <v>2850</v>
      </c>
      <c r="O177" s="14" t="s">
        <v>1012</v>
      </c>
    </row>
    <row r="178" spans="8:15">
      <c r="H178" s="14">
        <v>64051</v>
      </c>
      <c r="I178" s="14" t="s">
        <v>1046</v>
      </c>
      <c r="J178" s="180" t="s">
        <v>753</v>
      </c>
      <c r="K178" s="14" t="s">
        <v>1115</v>
      </c>
      <c r="L178" s="180" t="s">
        <v>753</v>
      </c>
      <c r="M178" s="180" t="s">
        <v>2850</v>
      </c>
      <c r="O178" s="14" t="s">
        <v>993</v>
      </c>
    </row>
    <row r="179" spans="8:15">
      <c r="H179" s="14">
        <v>64052</v>
      </c>
      <c r="I179" s="14" t="s">
        <v>1046</v>
      </c>
      <c r="J179" s="180" t="s">
        <v>753</v>
      </c>
      <c r="K179" s="14" t="s">
        <v>1115</v>
      </c>
      <c r="L179" s="180" t="s">
        <v>753</v>
      </c>
      <c r="M179" s="180" t="s">
        <v>2850</v>
      </c>
      <c r="O179" s="14" t="s">
        <v>968</v>
      </c>
    </row>
    <row r="180" spans="8:15">
      <c r="H180" s="14">
        <v>64053</v>
      </c>
      <c r="I180" s="14" t="s">
        <v>1046</v>
      </c>
      <c r="J180" s="180" t="s">
        <v>753</v>
      </c>
      <c r="K180" s="14" t="s">
        <v>1115</v>
      </c>
      <c r="L180" s="180" t="s">
        <v>753</v>
      </c>
      <c r="M180" s="180" t="s">
        <v>2850</v>
      </c>
      <c r="O180" s="14" t="s">
        <v>1056</v>
      </c>
    </row>
    <row r="181" spans="8:15">
      <c r="H181" s="14">
        <v>64054</v>
      </c>
      <c r="I181" s="14" t="s">
        <v>1046</v>
      </c>
      <c r="J181" s="180" t="s">
        <v>753</v>
      </c>
      <c r="K181" s="14" t="s">
        <v>1115</v>
      </c>
      <c r="L181" s="180" t="s">
        <v>753</v>
      </c>
      <c r="M181" s="180" t="s">
        <v>2850</v>
      </c>
      <c r="O181" s="14" t="s">
        <v>1058</v>
      </c>
    </row>
    <row r="182" spans="8:15">
      <c r="H182" s="14">
        <v>64055</v>
      </c>
      <c r="I182" s="14" t="s">
        <v>1046</v>
      </c>
      <c r="J182" s="180" t="s">
        <v>753</v>
      </c>
      <c r="K182" s="14" t="s">
        <v>1115</v>
      </c>
      <c r="L182" s="180" t="s">
        <v>753</v>
      </c>
      <c r="M182" s="180" t="s">
        <v>2850</v>
      </c>
      <c r="O182" s="14" t="s">
        <v>1060</v>
      </c>
    </row>
    <row r="183" spans="8:15">
      <c r="H183" s="14">
        <v>64056</v>
      </c>
      <c r="I183" s="14" t="s">
        <v>1046</v>
      </c>
      <c r="J183" s="180" t="s">
        <v>753</v>
      </c>
      <c r="K183" s="14" t="s">
        <v>1115</v>
      </c>
      <c r="L183" s="180" t="s">
        <v>753</v>
      </c>
      <c r="M183" s="180" t="s">
        <v>2850</v>
      </c>
      <c r="O183" s="14" t="s">
        <v>1062</v>
      </c>
    </row>
    <row r="184" spans="8:15">
      <c r="H184" s="14">
        <v>64057</v>
      </c>
      <c r="I184" s="14" t="s">
        <v>1046</v>
      </c>
      <c r="J184" s="180" t="s">
        <v>753</v>
      </c>
      <c r="K184" s="14" t="s">
        <v>1115</v>
      </c>
      <c r="L184" s="180" t="s">
        <v>753</v>
      </c>
      <c r="M184" s="180" t="s">
        <v>2850</v>
      </c>
      <c r="O184" s="14" t="s">
        <v>944</v>
      </c>
    </row>
    <row r="185" spans="8:15">
      <c r="H185" s="14">
        <v>64058</v>
      </c>
      <c r="I185" s="14" t="s">
        <v>1046</v>
      </c>
      <c r="J185" s="180" t="s">
        <v>753</v>
      </c>
      <c r="K185" s="14" t="s">
        <v>1115</v>
      </c>
      <c r="L185" s="180" t="s">
        <v>753</v>
      </c>
      <c r="M185" s="180" t="s">
        <v>2850</v>
      </c>
      <c r="O185" s="14" t="s">
        <v>1064</v>
      </c>
    </row>
    <row r="186" spans="8:15">
      <c r="H186" s="14">
        <v>65236</v>
      </c>
      <c r="I186" s="14" t="s">
        <v>966</v>
      </c>
      <c r="J186" s="180" t="s">
        <v>753</v>
      </c>
      <c r="K186" s="14" t="s">
        <v>963</v>
      </c>
      <c r="L186" s="180" t="s">
        <v>1919</v>
      </c>
      <c r="M186" s="180" t="s">
        <v>798</v>
      </c>
      <c r="O186" s="14" t="s">
        <v>1065</v>
      </c>
    </row>
    <row r="187" spans="8:15">
      <c r="H187" s="14">
        <v>65335</v>
      </c>
      <c r="I187" s="14" t="s">
        <v>872</v>
      </c>
      <c r="J187" s="180" t="s">
        <v>753</v>
      </c>
      <c r="K187" s="14" t="s">
        <v>865</v>
      </c>
      <c r="L187" s="180" t="s">
        <v>1919</v>
      </c>
      <c r="M187" s="180" t="s">
        <v>798</v>
      </c>
      <c r="O187" s="14" t="s">
        <v>1066</v>
      </c>
    </row>
    <row r="188" spans="8:15">
      <c r="H188" s="14">
        <v>64759</v>
      </c>
      <c r="I188" s="14" t="s">
        <v>832</v>
      </c>
      <c r="J188" s="180" t="s">
        <v>753</v>
      </c>
      <c r="K188" s="14" t="s">
        <v>827</v>
      </c>
      <c r="L188" s="180" t="s">
        <v>1919</v>
      </c>
      <c r="M188" s="180" t="s">
        <v>798</v>
      </c>
      <c r="O188" s="14" t="s">
        <v>1049</v>
      </c>
    </row>
    <row r="189" spans="8:15">
      <c r="H189" s="14">
        <v>65260</v>
      </c>
      <c r="I189" s="14" t="s">
        <v>1050</v>
      </c>
      <c r="J189" s="180" t="s">
        <v>753</v>
      </c>
      <c r="K189" s="14" t="s">
        <v>1004</v>
      </c>
      <c r="L189" s="180" t="s">
        <v>1919</v>
      </c>
      <c r="M189" s="180" t="s">
        <v>798</v>
      </c>
      <c r="O189" s="14" t="s">
        <v>1067</v>
      </c>
    </row>
    <row r="190" spans="8:15">
      <c r="H190" s="14">
        <v>64647</v>
      </c>
      <c r="I190" s="14" t="s">
        <v>1047</v>
      </c>
      <c r="J190" s="180" t="s">
        <v>753</v>
      </c>
      <c r="K190" s="14" t="s">
        <v>1045</v>
      </c>
      <c r="L190" s="180" t="s">
        <v>1919</v>
      </c>
      <c r="M190" s="180" t="s">
        <v>798</v>
      </c>
      <c r="O190" s="14" t="s">
        <v>1069</v>
      </c>
    </row>
    <row r="191" spans="8:15">
      <c r="H191" s="14">
        <v>64648</v>
      </c>
      <c r="I191" s="14" t="s">
        <v>1048</v>
      </c>
      <c r="J191" s="180" t="s">
        <v>753</v>
      </c>
      <c r="K191" s="14" t="s">
        <v>1045</v>
      </c>
      <c r="L191" s="180" t="s">
        <v>1919</v>
      </c>
      <c r="M191" s="180" t="s">
        <v>798</v>
      </c>
      <c r="O191" s="14" t="s">
        <v>874</v>
      </c>
    </row>
    <row r="192" spans="8:15">
      <c r="H192" s="14">
        <v>64756</v>
      </c>
      <c r="I192" s="14" t="s">
        <v>960</v>
      </c>
      <c r="J192" s="180" t="s">
        <v>753</v>
      </c>
      <c r="K192" s="14" t="s">
        <v>957</v>
      </c>
      <c r="L192" s="180" t="s">
        <v>1919</v>
      </c>
      <c r="M192" s="180" t="s">
        <v>798</v>
      </c>
      <c r="O192" s="14" t="s">
        <v>834</v>
      </c>
    </row>
    <row r="193" spans="8:15">
      <c r="H193" s="14">
        <v>64101</v>
      </c>
      <c r="I193" s="14" t="s">
        <v>1012</v>
      </c>
      <c r="J193" s="180" t="s">
        <v>754</v>
      </c>
      <c r="K193" s="14" t="s">
        <v>1115</v>
      </c>
      <c r="L193" s="180" t="s">
        <v>753</v>
      </c>
      <c r="M193" s="180" t="s">
        <v>2850</v>
      </c>
      <c r="O193" s="14" t="s">
        <v>816</v>
      </c>
    </row>
    <row r="194" spans="8:15">
      <c r="H194" s="14">
        <v>64102</v>
      </c>
      <c r="I194" s="14" t="s">
        <v>1012</v>
      </c>
      <c r="J194" s="180" t="s">
        <v>754</v>
      </c>
      <c r="K194" s="14" t="s">
        <v>1115</v>
      </c>
      <c r="L194" s="180" t="s">
        <v>753</v>
      </c>
      <c r="M194" s="180" t="s">
        <v>2850</v>
      </c>
      <c r="O194" s="14" t="s">
        <v>1072</v>
      </c>
    </row>
    <row r="195" spans="8:15">
      <c r="H195" s="14">
        <v>64105</v>
      </c>
      <c r="I195" s="14" t="s">
        <v>1012</v>
      </c>
      <c r="J195" s="180" t="s">
        <v>754</v>
      </c>
      <c r="K195" s="14" t="s">
        <v>1115</v>
      </c>
      <c r="L195" s="180" t="s">
        <v>753</v>
      </c>
      <c r="M195" s="180" t="s">
        <v>2850</v>
      </c>
      <c r="O195" s="14" t="s">
        <v>1031</v>
      </c>
    </row>
    <row r="196" spans="8:15">
      <c r="H196" s="14">
        <v>64106</v>
      </c>
      <c r="I196" s="14" t="s">
        <v>1012</v>
      </c>
      <c r="J196" s="180" t="s">
        <v>754</v>
      </c>
      <c r="K196" s="14" t="s">
        <v>1115</v>
      </c>
      <c r="L196" s="180" t="s">
        <v>753</v>
      </c>
      <c r="M196" s="180" t="s">
        <v>2850</v>
      </c>
      <c r="O196" s="14" t="s">
        <v>945</v>
      </c>
    </row>
    <row r="197" spans="8:15">
      <c r="H197" s="14">
        <v>64108</v>
      </c>
      <c r="I197" s="14" t="s">
        <v>1012</v>
      </c>
      <c r="J197" s="180" t="s">
        <v>754</v>
      </c>
      <c r="K197" s="14" t="s">
        <v>1115</v>
      </c>
      <c r="L197" s="180" t="s">
        <v>753</v>
      </c>
      <c r="M197" s="180" t="s">
        <v>2850</v>
      </c>
      <c r="O197" s="14" t="s">
        <v>1077</v>
      </c>
    </row>
    <row r="198" spans="8:15">
      <c r="H198" s="14">
        <v>64109</v>
      </c>
      <c r="I198" s="14" t="s">
        <v>1012</v>
      </c>
      <c r="J198" s="180" t="s">
        <v>754</v>
      </c>
      <c r="K198" s="14" t="s">
        <v>1115</v>
      </c>
      <c r="L198" s="180" t="s">
        <v>753</v>
      </c>
      <c r="M198" s="180" t="s">
        <v>2850</v>
      </c>
      <c r="O198" s="14" t="s">
        <v>1078</v>
      </c>
    </row>
    <row r="199" spans="8:15">
      <c r="H199" s="14">
        <v>64110</v>
      </c>
      <c r="I199" s="14" t="s">
        <v>1012</v>
      </c>
      <c r="J199" s="180" t="s">
        <v>754</v>
      </c>
      <c r="K199" s="14" t="s">
        <v>1115</v>
      </c>
      <c r="L199" s="180" t="s">
        <v>753</v>
      </c>
      <c r="M199" s="180" t="s">
        <v>2850</v>
      </c>
      <c r="O199" s="14" t="s">
        <v>1079</v>
      </c>
    </row>
    <row r="200" spans="8:15">
      <c r="H200" s="14">
        <v>64111</v>
      </c>
      <c r="I200" s="14" t="s">
        <v>1012</v>
      </c>
      <c r="J200" s="180" t="s">
        <v>754</v>
      </c>
      <c r="K200" s="14" t="s">
        <v>1115</v>
      </c>
      <c r="L200" s="180" t="s">
        <v>753</v>
      </c>
      <c r="M200" s="180" t="s">
        <v>2850</v>
      </c>
      <c r="O200" s="14" t="s">
        <v>1080</v>
      </c>
    </row>
    <row r="201" spans="8:15">
      <c r="H201" s="14">
        <v>64112</v>
      </c>
      <c r="I201" s="14" t="s">
        <v>1012</v>
      </c>
      <c r="J201" s="180" t="s">
        <v>754</v>
      </c>
      <c r="K201" s="14" t="s">
        <v>1115</v>
      </c>
      <c r="L201" s="180" t="s">
        <v>753</v>
      </c>
      <c r="M201" s="180" t="s">
        <v>2850</v>
      </c>
      <c r="O201" s="14" t="s">
        <v>1081</v>
      </c>
    </row>
    <row r="202" spans="8:15">
      <c r="H202" s="14">
        <v>64113</v>
      </c>
      <c r="I202" s="14" t="s">
        <v>1012</v>
      </c>
      <c r="J202" s="180" t="s">
        <v>754</v>
      </c>
      <c r="K202" s="14" t="s">
        <v>1115</v>
      </c>
      <c r="L202" s="180" t="s">
        <v>753</v>
      </c>
      <c r="M202" s="180" t="s">
        <v>2850</v>
      </c>
      <c r="O202" s="14" t="s">
        <v>1082</v>
      </c>
    </row>
    <row r="203" spans="8:15">
      <c r="H203" s="14">
        <v>64114</v>
      </c>
      <c r="I203" s="14" t="s">
        <v>1012</v>
      </c>
      <c r="J203" s="180" t="s">
        <v>754</v>
      </c>
      <c r="K203" s="14" t="s">
        <v>1115</v>
      </c>
      <c r="L203" s="180" t="s">
        <v>753</v>
      </c>
      <c r="M203" s="180" t="s">
        <v>2850</v>
      </c>
      <c r="O203" s="14" t="s">
        <v>836</v>
      </c>
    </row>
    <row r="204" spans="8:15">
      <c r="H204" s="14">
        <v>64116</v>
      </c>
      <c r="I204" s="14" t="s">
        <v>1012</v>
      </c>
      <c r="J204" s="180" t="s">
        <v>754</v>
      </c>
      <c r="K204" s="14" t="s">
        <v>985</v>
      </c>
      <c r="L204" s="628" t="s">
        <v>754</v>
      </c>
      <c r="M204" s="180" t="s">
        <v>2850</v>
      </c>
      <c r="O204" s="14" t="s">
        <v>995</v>
      </c>
    </row>
    <row r="205" spans="8:15">
      <c r="H205" s="14">
        <v>64117</v>
      </c>
      <c r="I205" s="14" t="s">
        <v>1012</v>
      </c>
      <c r="J205" s="180" t="s">
        <v>754</v>
      </c>
      <c r="K205" s="14" t="s">
        <v>985</v>
      </c>
      <c r="L205" s="628" t="s">
        <v>754</v>
      </c>
      <c r="M205" s="180" t="s">
        <v>2850</v>
      </c>
      <c r="O205" s="14" t="s">
        <v>875</v>
      </c>
    </row>
    <row r="206" spans="8:15">
      <c r="H206" s="14">
        <v>64118</v>
      </c>
      <c r="I206" s="14" t="s">
        <v>1012</v>
      </c>
      <c r="J206" s="180" t="s">
        <v>754</v>
      </c>
      <c r="K206" s="14" t="s">
        <v>985</v>
      </c>
      <c r="L206" s="628" t="s">
        <v>754</v>
      </c>
      <c r="M206" s="180" t="s">
        <v>2850</v>
      </c>
      <c r="O206" s="14" t="s">
        <v>1051</v>
      </c>
    </row>
    <row r="207" spans="8:15">
      <c r="H207" s="14">
        <v>64119</v>
      </c>
      <c r="I207" s="14" t="s">
        <v>1012</v>
      </c>
      <c r="J207" s="180" t="s">
        <v>754</v>
      </c>
      <c r="K207" s="14" t="s">
        <v>985</v>
      </c>
      <c r="L207" s="628" t="s">
        <v>754</v>
      </c>
      <c r="M207" s="180" t="s">
        <v>2850</v>
      </c>
      <c r="O207" s="14" t="s">
        <v>1042</v>
      </c>
    </row>
    <row r="208" spans="8:15">
      <c r="H208" s="14">
        <v>64120</v>
      </c>
      <c r="I208" s="14" t="s">
        <v>1012</v>
      </c>
      <c r="J208" s="180" t="s">
        <v>754</v>
      </c>
      <c r="K208" s="14" t="s">
        <v>1115</v>
      </c>
      <c r="L208" s="180" t="s">
        <v>753</v>
      </c>
      <c r="M208" s="180" t="s">
        <v>2850</v>
      </c>
      <c r="O208" s="14" t="s">
        <v>1088</v>
      </c>
    </row>
    <row r="209" spans="8:15">
      <c r="H209" s="14">
        <v>64121</v>
      </c>
      <c r="I209" s="14" t="s">
        <v>1012</v>
      </c>
      <c r="J209" s="180" t="s">
        <v>754</v>
      </c>
      <c r="K209" s="14" t="s">
        <v>1115</v>
      </c>
      <c r="L209" s="180" t="s">
        <v>753</v>
      </c>
      <c r="M209" s="180" t="s">
        <v>2850</v>
      </c>
      <c r="O209" s="14" t="s">
        <v>1089</v>
      </c>
    </row>
    <row r="210" spans="8:15">
      <c r="H210" s="14">
        <v>64123</v>
      </c>
      <c r="I210" s="14" t="s">
        <v>1012</v>
      </c>
      <c r="J210" s="180" t="s">
        <v>754</v>
      </c>
      <c r="K210" s="14" t="s">
        <v>1115</v>
      </c>
      <c r="L210" s="180" t="s">
        <v>753</v>
      </c>
      <c r="M210" s="180" t="s">
        <v>2850</v>
      </c>
      <c r="O210" s="14" t="s">
        <v>1090</v>
      </c>
    </row>
    <row r="211" spans="8:15">
      <c r="H211" s="14">
        <v>64124</v>
      </c>
      <c r="I211" s="14" t="s">
        <v>1012</v>
      </c>
      <c r="J211" s="180" t="s">
        <v>754</v>
      </c>
      <c r="K211" s="14" t="s">
        <v>1115</v>
      </c>
      <c r="L211" s="180" t="s">
        <v>753</v>
      </c>
      <c r="M211" s="180" t="s">
        <v>2850</v>
      </c>
      <c r="O211" s="14" t="s">
        <v>1091</v>
      </c>
    </row>
    <row r="212" spans="8:15">
      <c r="H212" s="14">
        <v>64125</v>
      </c>
      <c r="I212" s="14" t="s">
        <v>1012</v>
      </c>
      <c r="J212" s="180" t="s">
        <v>754</v>
      </c>
      <c r="K212" s="14" t="s">
        <v>1115</v>
      </c>
      <c r="L212" s="180" t="s">
        <v>753</v>
      </c>
      <c r="M212" s="180" t="s">
        <v>2850</v>
      </c>
      <c r="O212" s="14" t="s">
        <v>1092</v>
      </c>
    </row>
    <row r="213" spans="8:15">
      <c r="H213" s="14">
        <v>64126</v>
      </c>
      <c r="I213" s="14" t="s">
        <v>1012</v>
      </c>
      <c r="J213" s="180" t="s">
        <v>754</v>
      </c>
      <c r="K213" s="14" t="s">
        <v>1115</v>
      </c>
      <c r="L213" s="180" t="s">
        <v>753</v>
      </c>
      <c r="M213" s="180" t="s">
        <v>2850</v>
      </c>
      <c r="O213" s="14" t="s">
        <v>1093</v>
      </c>
    </row>
    <row r="214" spans="8:15">
      <c r="H214" s="14">
        <v>64127</v>
      </c>
      <c r="I214" s="14" t="s">
        <v>1012</v>
      </c>
      <c r="J214" s="180" t="s">
        <v>754</v>
      </c>
      <c r="K214" s="14" t="s">
        <v>1115</v>
      </c>
      <c r="L214" s="180" t="s">
        <v>753</v>
      </c>
      <c r="M214" s="180" t="s">
        <v>2850</v>
      </c>
      <c r="O214" s="14" t="s">
        <v>1095</v>
      </c>
    </row>
    <row r="215" spans="8:15">
      <c r="H215" s="14">
        <v>64128</v>
      </c>
      <c r="I215" s="14" t="s">
        <v>1012</v>
      </c>
      <c r="J215" s="180" t="s">
        <v>754</v>
      </c>
      <c r="K215" s="14" t="s">
        <v>1115</v>
      </c>
      <c r="L215" s="180" t="s">
        <v>753</v>
      </c>
      <c r="M215" s="180" t="s">
        <v>2850</v>
      </c>
      <c r="O215" s="14" t="s">
        <v>1097</v>
      </c>
    </row>
    <row r="216" spans="8:15">
      <c r="H216" s="14">
        <v>64129</v>
      </c>
      <c r="I216" s="14" t="s">
        <v>1012</v>
      </c>
      <c r="J216" s="180" t="s">
        <v>754</v>
      </c>
      <c r="K216" s="14" t="s">
        <v>1115</v>
      </c>
      <c r="L216" s="180" t="s">
        <v>753</v>
      </c>
      <c r="M216" s="180" t="s">
        <v>2850</v>
      </c>
      <c r="O216" s="14" t="s">
        <v>1099</v>
      </c>
    </row>
    <row r="217" spans="8:15">
      <c r="H217" s="14">
        <v>64130</v>
      </c>
      <c r="I217" s="14" t="s">
        <v>1012</v>
      </c>
      <c r="J217" s="180" t="s">
        <v>754</v>
      </c>
      <c r="K217" s="14" t="s">
        <v>1115</v>
      </c>
      <c r="L217" s="180" t="s">
        <v>753</v>
      </c>
      <c r="M217" s="180" t="s">
        <v>2850</v>
      </c>
      <c r="O217" s="14" t="s">
        <v>1083</v>
      </c>
    </row>
    <row r="218" spans="8:15">
      <c r="H218" s="14">
        <v>64131</v>
      </c>
      <c r="I218" s="14" t="s">
        <v>1012</v>
      </c>
      <c r="J218" s="180" t="s">
        <v>754</v>
      </c>
      <c r="K218" s="14" t="s">
        <v>1115</v>
      </c>
      <c r="L218" s="180" t="s">
        <v>753</v>
      </c>
      <c r="M218" s="180" t="s">
        <v>2850</v>
      </c>
      <c r="O218" s="14" t="s">
        <v>1101</v>
      </c>
    </row>
    <row r="219" spans="8:15">
      <c r="H219" s="14">
        <v>64132</v>
      </c>
      <c r="I219" s="14" t="s">
        <v>1012</v>
      </c>
      <c r="J219" s="180" t="s">
        <v>754</v>
      </c>
      <c r="K219" s="14" t="s">
        <v>1115</v>
      </c>
      <c r="L219" s="180" t="s">
        <v>753</v>
      </c>
      <c r="M219" s="180" t="s">
        <v>2850</v>
      </c>
      <c r="O219" s="14" t="s">
        <v>1055</v>
      </c>
    </row>
    <row r="220" spans="8:15">
      <c r="H220" s="14">
        <v>64133</v>
      </c>
      <c r="I220" s="14" t="s">
        <v>1012</v>
      </c>
      <c r="J220" s="180" t="s">
        <v>754</v>
      </c>
      <c r="K220" s="14" t="s">
        <v>1115</v>
      </c>
      <c r="L220" s="180" t="s">
        <v>753</v>
      </c>
      <c r="M220" s="180" t="s">
        <v>2850</v>
      </c>
      <c r="O220" s="14" t="s">
        <v>1102</v>
      </c>
    </row>
    <row r="221" spans="8:15">
      <c r="H221" s="14">
        <v>64134</v>
      </c>
      <c r="I221" s="14" t="s">
        <v>1012</v>
      </c>
      <c r="J221" s="180" t="s">
        <v>754</v>
      </c>
      <c r="K221" s="14" t="s">
        <v>1115</v>
      </c>
      <c r="L221" s="180" t="s">
        <v>753</v>
      </c>
      <c r="M221" s="180" t="s">
        <v>2850</v>
      </c>
      <c r="O221" s="14" t="s">
        <v>1068</v>
      </c>
    </row>
    <row r="222" spans="8:15">
      <c r="H222" s="14">
        <v>64136</v>
      </c>
      <c r="I222" s="14" t="s">
        <v>1012</v>
      </c>
      <c r="J222" s="180" t="s">
        <v>754</v>
      </c>
      <c r="K222" s="14" t="s">
        <v>1115</v>
      </c>
      <c r="L222" s="180" t="s">
        <v>753</v>
      </c>
      <c r="M222" s="180" t="s">
        <v>2850</v>
      </c>
      <c r="O222" s="14" t="s">
        <v>1070</v>
      </c>
    </row>
    <row r="223" spans="8:15">
      <c r="H223" s="14">
        <v>64137</v>
      </c>
      <c r="I223" s="14" t="s">
        <v>1012</v>
      </c>
      <c r="J223" s="180" t="s">
        <v>754</v>
      </c>
      <c r="K223" s="14" t="s">
        <v>1115</v>
      </c>
      <c r="L223" s="180" t="s">
        <v>753</v>
      </c>
      <c r="M223" s="180" t="s">
        <v>2850</v>
      </c>
      <c r="O223" s="14" t="s">
        <v>970</v>
      </c>
    </row>
    <row r="224" spans="8:15">
      <c r="H224" s="14">
        <v>64138</v>
      </c>
      <c r="I224" s="14" t="s">
        <v>1012</v>
      </c>
      <c r="J224" s="180" t="s">
        <v>754</v>
      </c>
      <c r="K224" s="14" t="s">
        <v>1115</v>
      </c>
      <c r="L224" s="180" t="s">
        <v>753</v>
      </c>
      <c r="M224" s="180" t="s">
        <v>2850</v>
      </c>
      <c r="O224" s="14" t="s">
        <v>1104</v>
      </c>
    </row>
    <row r="225" spans="8:15">
      <c r="H225" s="14">
        <v>64139</v>
      </c>
      <c r="I225" s="14" t="s">
        <v>1012</v>
      </c>
      <c r="J225" s="180" t="s">
        <v>754</v>
      </c>
      <c r="K225" s="14" t="s">
        <v>1115</v>
      </c>
      <c r="L225" s="180" t="s">
        <v>753</v>
      </c>
      <c r="M225" s="180" t="s">
        <v>2850</v>
      </c>
      <c r="O225" s="14" t="s">
        <v>1105</v>
      </c>
    </row>
    <row r="226" spans="8:15">
      <c r="H226" s="14">
        <v>64141</v>
      </c>
      <c r="I226" s="14" t="s">
        <v>1012</v>
      </c>
      <c r="J226" s="180" t="s">
        <v>754</v>
      </c>
      <c r="K226" s="14" t="s">
        <v>1115</v>
      </c>
      <c r="L226" s="180" t="s">
        <v>753</v>
      </c>
      <c r="M226" s="180" t="s">
        <v>2850</v>
      </c>
      <c r="O226" s="14" t="s">
        <v>1107</v>
      </c>
    </row>
    <row r="227" spans="8:15">
      <c r="H227" s="14">
        <v>64142</v>
      </c>
      <c r="I227" s="14" t="s">
        <v>1012</v>
      </c>
      <c r="J227" s="180" t="s">
        <v>754</v>
      </c>
      <c r="K227" s="14" t="s">
        <v>1115</v>
      </c>
      <c r="L227" s="180" t="s">
        <v>753</v>
      </c>
      <c r="M227" s="180" t="s">
        <v>2850</v>
      </c>
      <c r="O227" s="14" t="s">
        <v>838</v>
      </c>
    </row>
    <row r="228" spans="8:15">
      <c r="H228" s="14">
        <v>64144</v>
      </c>
      <c r="I228" s="14" t="s">
        <v>1012</v>
      </c>
      <c r="J228" s="180" t="s">
        <v>754</v>
      </c>
      <c r="K228" s="14" t="s">
        <v>985</v>
      </c>
      <c r="L228" s="628" t="s">
        <v>754</v>
      </c>
      <c r="M228" s="180" t="s">
        <v>2850</v>
      </c>
      <c r="O228" s="14" t="s">
        <v>1108</v>
      </c>
    </row>
    <row r="229" spans="8:15">
      <c r="H229" s="14">
        <v>64145</v>
      </c>
      <c r="I229" s="14" t="s">
        <v>1012</v>
      </c>
      <c r="J229" s="180" t="s">
        <v>754</v>
      </c>
      <c r="K229" s="14" t="s">
        <v>1115</v>
      </c>
      <c r="L229" s="180" t="s">
        <v>753</v>
      </c>
      <c r="M229" s="180" t="s">
        <v>2850</v>
      </c>
      <c r="O229" s="14" t="s">
        <v>840</v>
      </c>
    </row>
    <row r="230" spans="8:15">
      <c r="H230" s="14">
        <v>64146</v>
      </c>
      <c r="I230" s="14" t="s">
        <v>1012</v>
      </c>
      <c r="J230" s="180" t="s">
        <v>754</v>
      </c>
      <c r="K230" s="14" t="s">
        <v>1115</v>
      </c>
      <c r="L230" s="180" t="s">
        <v>753</v>
      </c>
      <c r="M230" s="180" t="s">
        <v>2850</v>
      </c>
      <c r="O230" s="14" t="s">
        <v>997</v>
      </c>
    </row>
    <row r="231" spans="8:15">
      <c r="H231" s="14">
        <v>64147</v>
      </c>
      <c r="I231" s="14" t="s">
        <v>1012</v>
      </c>
      <c r="J231" s="180" t="s">
        <v>754</v>
      </c>
      <c r="K231" s="14" t="s">
        <v>1115</v>
      </c>
      <c r="L231" s="180" t="s">
        <v>753</v>
      </c>
      <c r="M231" s="180" t="s">
        <v>2850</v>
      </c>
      <c r="O231" s="14" t="s">
        <v>1109</v>
      </c>
    </row>
    <row r="232" spans="8:15">
      <c r="H232" s="14">
        <v>64148</v>
      </c>
      <c r="I232" s="14" t="s">
        <v>1012</v>
      </c>
      <c r="J232" s="180" t="s">
        <v>754</v>
      </c>
      <c r="K232" s="14" t="s">
        <v>1115</v>
      </c>
      <c r="L232" s="180" t="s">
        <v>753</v>
      </c>
      <c r="M232" s="180" t="s">
        <v>2850</v>
      </c>
      <c r="O232" s="14" t="s">
        <v>1094</v>
      </c>
    </row>
    <row r="233" spans="8:15">
      <c r="H233" s="14">
        <v>64149</v>
      </c>
      <c r="I233" s="14" t="s">
        <v>1012</v>
      </c>
      <c r="J233" s="180" t="s">
        <v>754</v>
      </c>
      <c r="K233" s="14" t="s">
        <v>1115</v>
      </c>
      <c r="L233" s="180" t="s">
        <v>753</v>
      </c>
      <c r="M233" s="180" t="s">
        <v>2850</v>
      </c>
      <c r="O233" s="14" t="s">
        <v>1112</v>
      </c>
    </row>
    <row r="234" spans="8:15">
      <c r="H234" s="14">
        <v>64150</v>
      </c>
      <c r="I234" s="14" t="s">
        <v>1012</v>
      </c>
      <c r="J234" s="180" t="s">
        <v>754</v>
      </c>
      <c r="K234" s="14" t="s">
        <v>1174</v>
      </c>
      <c r="L234" s="628" t="s">
        <v>1922</v>
      </c>
      <c r="M234" s="180" t="s">
        <v>2850</v>
      </c>
      <c r="O234" s="14" t="s">
        <v>1114</v>
      </c>
    </row>
    <row r="235" spans="8:15">
      <c r="H235" s="14">
        <v>64151</v>
      </c>
      <c r="I235" s="14" t="s">
        <v>1012</v>
      </c>
      <c r="J235" s="180" t="s">
        <v>754</v>
      </c>
      <c r="K235" s="14" t="s">
        <v>1174</v>
      </c>
      <c r="L235" s="628" t="s">
        <v>1922</v>
      </c>
      <c r="M235" s="180" t="s">
        <v>2850</v>
      </c>
      <c r="O235" s="14" t="s">
        <v>1116</v>
      </c>
    </row>
    <row r="236" spans="8:15">
      <c r="H236" s="14">
        <v>64152</v>
      </c>
      <c r="I236" s="14" t="s">
        <v>1012</v>
      </c>
      <c r="J236" s="180" t="s">
        <v>754</v>
      </c>
      <c r="K236" s="14" t="s">
        <v>1174</v>
      </c>
      <c r="L236" s="628" t="s">
        <v>1922</v>
      </c>
      <c r="M236" s="180" t="s">
        <v>2850</v>
      </c>
      <c r="O236" s="14" t="s">
        <v>999</v>
      </c>
    </row>
    <row r="237" spans="8:15">
      <c r="H237" s="14">
        <v>64153</v>
      </c>
      <c r="I237" s="14" t="s">
        <v>1012</v>
      </c>
      <c r="J237" s="180" t="s">
        <v>754</v>
      </c>
      <c r="K237" s="14" t="s">
        <v>1174</v>
      </c>
      <c r="L237" s="628" t="s">
        <v>1922</v>
      </c>
      <c r="M237" s="180" t="s">
        <v>2850</v>
      </c>
      <c r="O237" s="14" t="s">
        <v>1103</v>
      </c>
    </row>
    <row r="238" spans="8:15">
      <c r="H238" s="14">
        <v>64154</v>
      </c>
      <c r="I238" s="14" t="s">
        <v>1012</v>
      </c>
      <c r="J238" s="180" t="s">
        <v>754</v>
      </c>
      <c r="K238" s="14" t="s">
        <v>1174</v>
      </c>
      <c r="L238" s="628" t="s">
        <v>1922</v>
      </c>
      <c r="M238" s="180" t="s">
        <v>2850</v>
      </c>
      <c r="O238" s="14" t="s">
        <v>1117</v>
      </c>
    </row>
    <row r="239" spans="8:15">
      <c r="H239" s="14">
        <v>64155</v>
      </c>
      <c r="I239" s="14" t="s">
        <v>1012</v>
      </c>
      <c r="J239" s="180" t="s">
        <v>754</v>
      </c>
      <c r="K239" s="14" t="s">
        <v>985</v>
      </c>
      <c r="L239" s="628" t="s">
        <v>754</v>
      </c>
      <c r="M239" s="180" t="s">
        <v>2850</v>
      </c>
      <c r="O239" s="14" t="s">
        <v>877</v>
      </c>
    </row>
    <row r="240" spans="8:15">
      <c r="H240" s="14">
        <v>64156</v>
      </c>
      <c r="I240" s="14" t="s">
        <v>1012</v>
      </c>
      <c r="J240" s="180" t="s">
        <v>754</v>
      </c>
      <c r="K240" s="14" t="s">
        <v>985</v>
      </c>
      <c r="L240" s="628" t="s">
        <v>754</v>
      </c>
      <c r="M240" s="180" t="s">
        <v>2850</v>
      </c>
      <c r="O240" s="14" t="s">
        <v>1084</v>
      </c>
    </row>
    <row r="241" spans="8:15">
      <c r="H241" s="14">
        <v>64157</v>
      </c>
      <c r="I241" s="14" t="s">
        <v>1012</v>
      </c>
      <c r="J241" s="180" t="s">
        <v>754</v>
      </c>
      <c r="K241" s="14" t="s">
        <v>985</v>
      </c>
      <c r="L241" s="628" t="s">
        <v>754</v>
      </c>
      <c r="M241" s="180" t="s">
        <v>2850</v>
      </c>
      <c r="O241" s="14" t="s">
        <v>972</v>
      </c>
    </row>
    <row r="242" spans="8:15">
      <c r="H242" s="14">
        <v>64158</v>
      </c>
      <c r="I242" s="14" t="s">
        <v>1012</v>
      </c>
      <c r="J242" s="180" t="s">
        <v>754</v>
      </c>
      <c r="K242" s="14" t="s">
        <v>985</v>
      </c>
      <c r="L242" s="628" t="s">
        <v>754</v>
      </c>
      <c r="M242" s="180" t="s">
        <v>2850</v>
      </c>
      <c r="O242" s="14" t="s">
        <v>1118</v>
      </c>
    </row>
    <row r="243" spans="8:15">
      <c r="H243" s="14">
        <v>64160</v>
      </c>
      <c r="I243" s="14" t="s">
        <v>1012</v>
      </c>
      <c r="J243" s="180" t="s">
        <v>754</v>
      </c>
      <c r="K243" s="14" t="s">
        <v>985</v>
      </c>
      <c r="L243" s="628" t="s">
        <v>754</v>
      </c>
      <c r="M243" s="180" t="s">
        <v>2850</v>
      </c>
      <c r="O243" s="14" t="s">
        <v>1119</v>
      </c>
    </row>
    <row r="244" spans="8:15">
      <c r="H244" s="14">
        <v>64161</v>
      </c>
      <c r="I244" s="14" t="s">
        <v>1012</v>
      </c>
      <c r="J244" s="180" t="s">
        <v>754</v>
      </c>
      <c r="K244" s="14" t="s">
        <v>985</v>
      </c>
      <c r="L244" s="628" t="s">
        <v>754</v>
      </c>
      <c r="M244" s="180" t="s">
        <v>2850</v>
      </c>
      <c r="O244" s="14" t="s">
        <v>1120</v>
      </c>
    </row>
    <row r="245" spans="8:15">
      <c r="H245" s="14">
        <v>64163</v>
      </c>
      <c r="I245" s="14" t="s">
        <v>1012</v>
      </c>
      <c r="J245" s="180" t="s">
        <v>754</v>
      </c>
      <c r="K245" s="14" t="s">
        <v>1174</v>
      </c>
      <c r="L245" s="628" t="s">
        <v>1922</v>
      </c>
      <c r="M245" s="180" t="s">
        <v>2850</v>
      </c>
      <c r="O245" s="14" t="s">
        <v>199</v>
      </c>
    </row>
    <row r="246" spans="8:15">
      <c r="H246" s="14">
        <v>64164</v>
      </c>
      <c r="I246" s="14" t="s">
        <v>1012</v>
      </c>
      <c r="J246" s="180" t="s">
        <v>754</v>
      </c>
      <c r="K246" s="14" t="s">
        <v>1174</v>
      </c>
      <c r="L246" s="628" t="s">
        <v>1922</v>
      </c>
      <c r="M246" s="180" t="s">
        <v>2850</v>
      </c>
      <c r="O246" s="14" t="s">
        <v>1110</v>
      </c>
    </row>
    <row r="247" spans="8:15">
      <c r="H247" s="14">
        <v>64165</v>
      </c>
      <c r="I247" s="14" t="s">
        <v>1012</v>
      </c>
      <c r="J247" s="180" t="s">
        <v>754</v>
      </c>
      <c r="K247" s="14" t="s">
        <v>985</v>
      </c>
      <c r="L247" s="628" t="s">
        <v>754</v>
      </c>
      <c r="M247" s="180" t="s">
        <v>2850</v>
      </c>
      <c r="O247" s="14" t="s">
        <v>1085</v>
      </c>
    </row>
    <row r="248" spans="8:15">
      <c r="H248" s="14">
        <v>64166</v>
      </c>
      <c r="I248" s="14" t="s">
        <v>1012</v>
      </c>
      <c r="J248" s="180" t="s">
        <v>754</v>
      </c>
      <c r="K248" s="14" t="s">
        <v>985</v>
      </c>
      <c r="L248" s="628" t="s">
        <v>754</v>
      </c>
      <c r="M248" s="180" t="s">
        <v>2850</v>
      </c>
      <c r="O248" s="14" t="s">
        <v>923</v>
      </c>
    </row>
    <row r="249" spans="8:15">
      <c r="H249" s="14">
        <v>64167</v>
      </c>
      <c r="I249" s="14" t="s">
        <v>1012</v>
      </c>
      <c r="J249" s="180" t="s">
        <v>754</v>
      </c>
      <c r="K249" s="14" t="s">
        <v>985</v>
      </c>
      <c r="L249" s="628" t="s">
        <v>754</v>
      </c>
      <c r="M249" s="180" t="s">
        <v>2850</v>
      </c>
      <c r="O249" s="14" t="s">
        <v>758</v>
      </c>
    </row>
    <row r="250" spans="8:15">
      <c r="H250" s="14">
        <v>64168</v>
      </c>
      <c r="I250" s="14" t="s">
        <v>1012</v>
      </c>
      <c r="J250" s="180" t="s">
        <v>754</v>
      </c>
      <c r="K250" s="14" t="s">
        <v>1174</v>
      </c>
      <c r="L250" s="628" t="s">
        <v>1922</v>
      </c>
      <c r="M250" s="180" t="s">
        <v>2850</v>
      </c>
      <c r="O250" s="14" t="s">
        <v>1121</v>
      </c>
    </row>
    <row r="251" spans="8:15">
      <c r="H251" s="14">
        <v>64170</v>
      </c>
      <c r="I251" s="14" t="s">
        <v>1012</v>
      </c>
      <c r="J251" s="180" t="s">
        <v>754</v>
      </c>
      <c r="K251" s="14" t="s">
        <v>1115</v>
      </c>
      <c r="L251" s="180" t="s">
        <v>753</v>
      </c>
      <c r="M251" s="180" t="s">
        <v>2850</v>
      </c>
      <c r="O251" s="14" t="s">
        <v>1000</v>
      </c>
    </row>
    <row r="252" spans="8:15">
      <c r="H252" s="14">
        <v>64171</v>
      </c>
      <c r="I252" s="14" t="s">
        <v>1012</v>
      </c>
      <c r="J252" s="180" t="s">
        <v>754</v>
      </c>
      <c r="K252" s="14" t="s">
        <v>1115</v>
      </c>
      <c r="L252" s="180" t="s">
        <v>753</v>
      </c>
      <c r="M252" s="180" t="s">
        <v>2850</v>
      </c>
      <c r="O252" s="14" t="s">
        <v>1122</v>
      </c>
    </row>
    <row r="253" spans="8:15">
      <c r="H253" s="14">
        <v>64172</v>
      </c>
      <c r="I253" s="14" t="s">
        <v>1012</v>
      </c>
      <c r="J253" s="180" t="s">
        <v>754</v>
      </c>
      <c r="K253" s="14" t="s">
        <v>1115</v>
      </c>
      <c r="L253" s="180" t="s">
        <v>753</v>
      </c>
      <c r="M253" s="180" t="s">
        <v>2850</v>
      </c>
      <c r="O253" s="14" t="s">
        <v>879</v>
      </c>
    </row>
    <row r="254" spans="8:15">
      <c r="H254" s="14">
        <v>64173</v>
      </c>
      <c r="I254" s="14" t="s">
        <v>1012</v>
      </c>
      <c r="J254" s="180" t="s">
        <v>754</v>
      </c>
      <c r="K254" s="14" t="s">
        <v>1115</v>
      </c>
      <c r="L254" s="180" t="s">
        <v>753</v>
      </c>
      <c r="M254" s="180" t="s">
        <v>2850</v>
      </c>
      <c r="O254" s="14" t="s">
        <v>235</v>
      </c>
    </row>
    <row r="255" spans="8:15">
      <c r="H255" s="14">
        <v>64179</v>
      </c>
      <c r="I255" s="14" t="s">
        <v>1012</v>
      </c>
      <c r="J255" s="180" t="s">
        <v>754</v>
      </c>
      <c r="K255" s="14" t="s">
        <v>1115</v>
      </c>
      <c r="L255" s="180" t="s">
        <v>753</v>
      </c>
      <c r="M255" s="180" t="s">
        <v>2850</v>
      </c>
      <c r="O255" s="14" t="s">
        <v>1123</v>
      </c>
    </row>
    <row r="256" spans="8:15">
      <c r="H256" s="14">
        <v>64180</v>
      </c>
      <c r="I256" s="14" t="s">
        <v>1012</v>
      </c>
      <c r="J256" s="180" t="s">
        <v>754</v>
      </c>
      <c r="K256" s="14" t="s">
        <v>1115</v>
      </c>
      <c r="L256" s="180" t="s">
        <v>753</v>
      </c>
      <c r="M256" s="180" t="s">
        <v>2850</v>
      </c>
      <c r="O256" s="14" t="s">
        <v>1057</v>
      </c>
    </row>
    <row r="257" spans="8:15">
      <c r="H257" s="14">
        <v>64183</v>
      </c>
      <c r="I257" s="14" t="s">
        <v>1012</v>
      </c>
      <c r="J257" s="180" t="s">
        <v>754</v>
      </c>
      <c r="K257" s="14" t="s">
        <v>1115</v>
      </c>
      <c r="L257" s="180" t="s">
        <v>753</v>
      </c>
      <c r="M257" s="180" t="s">
        <v>2850</v>
      </c>
      <c r="O257" s="14" t="s">
        <v>1124</v>
      </c>
    </row>
    <row r="258" spans="8:15">
      <c r="H258" s="14">
        <v>64184</v>
      </c>
      <c r="I258" s="14" t="s">
        <v>1012</v>
      </c>
      <c r="J258" s="180" t="s">
        <v>754</v>
      </c>
      <c r="K258" s="14" t="s">
        <v>1115</v>
      </c>
      <c r="L258" s="180" t="s">
        <v>753</v>
      </c>
      <c r="M258" s="180" t="s">
        <v>2850</v>
      </c>
      <c r="O258" s="14" t="s">
        <v>881</v>
      </c>
    </row>
    <row r="259" spans="8:15">
      <c r="H259" s="14">
        <v>64185</v>
      </c>
      <c r="I259" s="14" t="s">
        <v>1012</v>
      </c>
      <c r="J259" s="180" t="s">
        <v>754</v>
      </c>
      <c r="K259" s="14" t="s">
        <v>1115</v>
      </c>
      <c r="L259" s="180" t="s">
        <v>753</v>
      </c>
      <c r="M259" s="180" t="s">
        <v>2850</v>
      </c>
      <c r="O259" s="14" t="s">
        <v>1001</v>
      </c>
    </row>
    <row r="260" spans="8:15">
      <c r="H260" s="14">
        <v>64187</v>
      </c>
      <c r="I260" s="14" t="s">
        <v>1012</v>
      </c>
      <c r="J260" s="180" t="s">
        <v>754</v>
      </c>
      <c r="K260" s="14" t="s">
        <v>1115</v>
      </c>
      <c r="L260" s="180" t="s">
        <v>753</v>
      </c>
      <c r="M260" s="180" t="s">
        <v>2850</v>
      </c>
      <c r="O260" s="14" t="s">
        <v>1125</v>
      </c>
    </row>
    <row r="261" spans="8:15">
      <c r="H261" s="14">
        <v>64188</v>
      </c>
      <c r="I261" s="14" t="s">
        <v>1012</v>
      </c>
      <c r="J261" s="180" t="s">
        <v>754</v>
      </c>
      <c r="K261" s="14" t="s">
        <v>985</v>
      </c>
      <c r="L261" s="628" t="s">
        <v>754</v>
      </c>
      <c r="M261" s="180" t="s">
        <v>2850</v>
      </c>
      <c r="O261" s="14" t="s">
        <v>1126</v>
      </c>
    </row>
    <row r="262" spans="8:15">
      <c r="H262" s="14">
        <v>64189</v>
      </c>
      <c r="I262" s="14" t="s">
        <v>1012</v>
      </c>
      <c r="J262" s="180" t="s">
        <v>754</v>
      </c>
      <c r="K262" s="14" t="s">
        <v>1115</v>
      </c>
      <c r="L262" s="180" t="s">
        <v>753</v>
      </c>
      <c r="M262" s="180" t="s">
        <v>2850</v>
      </c>
      <c r="O262" s="14" t="s">
        <v>853</v>
      </c>
    </row>
    <row r="263" spans="8:15">
      <c r="H263" s="14">
        <v>64190</v>
      </c>
      <c r="I263" s="14" t="s">
        <v>1012</v>
      </c>
      <c r="J263" s="180" t="s">
        <v>754</v>
      </c>
      <c r="K263" s="14" t="s">
        <v>1174</v>
      </c>
      <c r="L263" s="628" t="s">
        <v>1922</v>
      </c>
      <c r="M263" s="180" t="s">
        <v>2850</v>
      </c>
      <c r="O263" s="14" t="s">
        <v>1052</v>
      </c>
    </row>
    <row r="264" spans="8:15">
      <c r="H264" s="14">
        <v>64191</v>
      </c>
      <c r="I264" s="14" t="s">
        <v>1012</v>
      </c>
      <c r="J264" s="180" t="s">
        <v>754</v>
      </c>
      <c r="K264" s="14" t="s">
        <v>1115</v>
      </c>
      <c r="L264" s="180" t="s">
        <v>753</v>
      </c>
      <c r="M264" s="180" t="s">
        <v>2850</v>
      </c>
      <c r="O264" s="14" t="s">
        <v>946</v>
      </c>
    </row>
    <row r="265" spans="8:15">
      <c r="H265" s="14">
        <v>64192</v>
      </c>
      <c r="I265" s="14" t="s">
        <v>1012</v>
      </c>
      <c r="J265" s="180" t="s">
        <v>754</v>
      </c>
      <c r="K265" s="14" t="s">
        <v>1115</v>
      </c>
      <c r="L265" s="180" t="s">
        <v>753</v>
      </c>
      <c r="M265" s="180" t="s">
        <v>2850</v>
      </c>
      <c r="O265" s="14" t="s">
        <v>1111</v>
      </c>
    </row>
    <row r="266" spans="8:15">
      <c r="H266" s="14">
        <v>64193</v>
      </c>
      <c r="I266" s="14" t="s">
        <v>1012</v>
      </c>
      <c r="J266" s="180" t="s">
        <v>754</v>
      </c>
      <c r="K266" s="14" t="s">
        <v>1115</v>
      </c>
      <c r="L266" s="180" t="s">
        <v>753</v>
      </c>
      <c r="M266" s="180" t="s">
        <v>2850</v>
      </c>
      <c r="O266" s="14" t="s">
        <v>1129</v>
      </c>
    </row>
    <row r="267" spans="8:15">
      <c r="H267" s="14">
        <v>64194</v>
      </c>
      <c r="I267" s="14" t="s">
        <v>1012</v>
      </c>
      <c r="J267" s="180" t="s">
        <v>754</v>
      </c>
      <c r="K267" s="14" t="s">
        <v>1115</v>
      </c>
      <c r="L267" s="180" t="s">
        <v>753</v>
      </c>
      <c r="M267" s="180" t="s">
        <v>2850</v>
      </c>
      <c r="O267" s="14" t="s">
        <v>1130</v>
      </c>
    </row>
    <row r="268" spans="8:15">
      <c r="H268" s="14">
        <v>64195</v>
      </c>
      <c r="I268" s="14" t="s">
        <v>1012</v>
      </c>
      <c r="J268" s="180" t="s">
        <v>754</v>
      </c>
      <c r="K268" s="14" t="s">
        <v>1174</v>
      </c>
      <c r="L268" s="628" t="s">
        <v>1922</v>
      </c>
      <c r="M268" s="180" t="s">
        <v>2850</v>
      </c>
      <c r="O268" s="14" t="s">
        <v>1132</v>
      </c>
    </row>
    <row r="269" spans="8:15">
      <c r="H269" s="14">
        <v>64196</v>
      </c>
      <c r="I269" s="14" t="s">
        <v>1012</v>
      </c>
      <c r="J269" s="180" t="s">
        <v>754</v>
      </c>
      <c r="K269" s="14" t="s">
        <v>1115</v>
      </c>
      <c r="L269" s="180" t="s">
        <v>753</v>
      </c>
      <c r="M269" s="180" t="s">
        <v>2850</v>
      </c>
      <c r="O269" s="14" t="s">
        <v>1033</v>
      </c>
    </row>
    <row r="270" spans="8:15">
      <c r="H270" s="14">
        <v>64197</v>
      </c>
      <c r="I270" s="14" t="s">
        <v>1012</v>
      </c>
      <c r="J270" s="180" t="s">
        <v>754</v>
      </c>
      <c r="K270" s="14" t="s">
        <v>1115</v>
      </c>
      <c r="L270" s="180" t="s">
        <v>753</v>
      </c>
      <c r="M270" s="180" t="s">
        <v>2850</v>
      </c>
      <c r="O270" s="14" t="s">
        <v>948</v>
      </c>
    </row>
    <row r="271" spans="8:15">
      <c r="H271" s="14">
        <v>64198</v>
      </c>
      <c r="I271" s="14" t="s">
        <v>1012</v>
      </c>
      <c r="J271" s="180" t="s">
        <v>754</v>
      </c>
      <c r="K271" s="14" t="s">
        <v>1115</v>
      </c>
      <c r="L271" s="180" t="s">
        <v>753</v>
      </c>
      <c r="M271" s="180" t="s">
        <v>2850</v>
      </c>
      <c r="O271" s="14" t="s">
        <v>1003</v>
      </c>
    </row>
    <row r="272" spans="8:15">
      <c r="H272" s="14">
        <v>64199</v>
      </c>
      <c r="I272" s="14" t="s">
        <v>1012</v>
      </c>
      <c r="J272" s="180" t="s">
        <v>754</v>
      </c>
      <c r="K272" s="14" t="s">
        <v>1115</v>
      </c>
      <c r="L272" s="180" t="s">
        <v>753</v>
      </c>
      <c r="M272" s="180" t="s">
        <v>2850</v>
      </c>
      <c r="O272" s="14" t="s">
        <v>855</v>
      </c>
    </row>
    <row r="273" spans="8:15">
      <c r="H273" s="14">
        <v>64944</v>
      </c>
      <c r="I273" s="14" t="s">
        <v>1012</v>
      </c>
      <c r="J273" s="180" t="s">
        <v>754</v>
      </c>
      <c r="K273" s="14" t="s">
        <v>1115</v>
      </c>
      <c r="L273" s="180" t="s">
        <v>753</v>
      </c>
      <c r="M273" s="180" t="s">
        <v>2850</v>
      </c>
      <c r="O273" s="14" t="s">
        <v>974</v>
      </c>
    </row>
    <row r="274" spans="8:15">
      <c r="H274" s="14">
        <v>64999</v>
      </c>
      <c r="I274" s="14" t="s">
        <v>1012</v>
      </c>
      <c r="J274" s="180" t="s">
        <v>754</v>
      </c>
      <c r="K274" s="14" t="s">
        <v>1115</v>
      </c>
      <c r="L274" s="180" t="s">
        <v>753</v>
      </c>
      <c r="M274" s="180" t="s">
        <v>2850</v>
      </c>
      <c r="O274" s="14" t="s">
        <v>1133</v>
      </c>
    </row>
    <row r="275" spans="8:15">
      <c r="H275" s="14">
        <v>64060</v>
      </c>
      <c r="I275" s="14" t="s">
        <v>993</v>
      </c>
      <c r="J275" s="180" t="s">
        <v>753</v>
      </c>
      <c r="K275" s="14" t="s">
        <v>985</v>
      </c>
      <c r="L275" s="628" t="s">
        <v>754</v>
      </c>
      <c r="M275" s="180" t="s">
        <v>2850</v>
      </c>
      <c r="O275" s="14" t="s">
        <v>1134</v>
      </c>
    </row>
    <row r="276" spans="8:15">
      <c r="H276" s="14">
        <v>65261</v>
      </c>
      <c r="I276" s="14" t="s">
        <v>968</v>
      </c>
      <c r="J276" s="180" t="s">
        <v>753</v>
      </c>
      <c r="K276" s="14" t="s">
        <v>963</v>
      </c>
      <c r="L276" s="180" t="s">
        <v>1919</v>
      </c>
      <c r="M276" s="180" t="s">
        <v>798</v>
      </c>
      <c r="O276" s="14" t="s">
        <v>883</v>
      </c>
    </row>
    <row r="277" spans="8:15">
      <c r="H277" s="14">
        <v>64463</v>
      </c>
      <c r="I277" s="14" t="s">
        <v>1056</v>
      </c>
      <c r="J277" s="180" t="s">
        <v>753</v>
      </c>
      <c r="K277" s="14" t="s">
        <v>1005</v>
      </c>
      <c r="L277" s="180" t="s">
        <v>1919</v>
      </c>
      <c r="M277" s="180" t="s">
        <v>798</v>
      </c>
      <c r="O277" s="14" t="s">
        <v>1004</v>
      </c>
    </row>
    <row r="278" spans="8:15">
      <c r="H278" s="14">
        <v>64061</v>
      </c>
      <c r="I278" s="14" t="s">
        <v>1058</v>
      </c>
      <c r="J278" s="180" t="s">
        <v>753</v>
      </c>
      <c r="K278" s="14" t="s">
        <v>1154</v>
      </c>
      <c r="L278" s="180" t="s">
        <v>1919</v>
      </c>
      <c r="M278" s="180" t="s">
        <v>798</v>
      </c>
      <c r="O278" s="14" t="s">
        <v>1135</v>
      </c>
    </row>
    <row r="279" spans="8:15">
      <c r="H279" s="14">
        <v>65305</v>
      </c>
      <c r="I279" s="14" t="s">
        <v>1060</v>
      </c>
      <c r="J279" s="180" t="s">
        <v>753</v>
      </c>
      <c r="K279" s="14" t="s">
        <v>1154</v>
      </c>
      <c r="L279" s="180" t="s">
        <v>1919</v>
      </c>
      <c r="M279" s="180" t="s">
        <v>2850</v>
      </c>
      <c r="O279" s="14" t="s">
        <v>950</v>
      </c>
    </row>
    <row r="280" spans="8:15">
      <c r="H280" s="14">
        <v>65336</v>
      </c>
      <c r="I280" s="14" t="s">
        <v>1060</v>
      </c>
      <c r="J280" s="180" t="s">
        <v>753</v>
      </c>
      <c r="K280" s="14" t="s">
        <v>1154</v>
      </c>
      <c r="L280" s="180" t="s">
        <v>1919</v>
      </c>
      <c r="M280" s="180" t="s">
        <v>2850</v>
      </c>
      <c r="O280" s="14" t="s">
        <v>762</v>
      </c>
    </row>
    <row r="281" spans="8:15">
      <c r="H281" s="14">
        <v>65337</v>
      </c>
      <c r="I281" s="14" t="s">
        <v>1062</v>
      </c>
      <c r="J281" s="180" t="s">
        <v>753</v>
      </c>
      <c r="K281" s="14" t="s">
        <v>1173</v>
      </c>
      <c r="L281" s="180" t="s">
        <v>1919</v>
      </c>
      <c r="M281" s="180" t="s">
        <v>798</v>
      </c>
      <c r="O281" s="14" t="s">
        <v>1136</v>
      </c>
    </row>
    <row r="282" spans="8:15">
      <c r="H282" s="14">
        <v>64746</v>
      </c>
      <c r="I282" s="14" t="s">
        <v>944</v>
      </c>
      <c r="J282" s="180" t="s">
        <v>753</v>
      </c>
      <c r="K282" s="14" t="s">
        <v>930</v>
      </c>
      <c r="L282" s="180" t="s">
        <v>1919</v>
      </c>
      <c r="M282" s="180" t="s">
        <v>798</v>
      </c>
      <c r="O282" s="14" t="s">
        <v>808</v>
      </c>
    </row>
    <row r="283" spans="8:15">
      <c r="H283" s="14">
        <v>64076</v>
      </c>
      <c r="I283" s="14" t="s">
        <v>1064</v>
      </c>
      <c r="J283" s="180" t="s">
        <v>753</v>
      </c>
      <c r="K283" s="14" t="s">
        <v>1160</v>
      </c>
      <c r="L283" s="180" t="s">
        <v>1919</v>
      </c>
      <c r="M283" s="180" t="s">
        <v>798</v>
      </c>
      <c r="O283" s="14" t="s">
        <v>1137</v>
      </c>
    </row>
    <row r="284" spans="8:15">
      <c r="H284" s="14">
        <v>64063</v>
      </c>
      <c r="I284" s="14" t="s">
        <v>1065</v>
      </c>
      <c r="J284" s="180" t="s">
        <v>753</v>
      </c>
      <c r="K284" s="14" t="s">
        <v>1115</v>
      </c>
      <c r="L284" s="180" t="s">
        <v>753</v>
      </c>
      <c r="M284" s="180" t="s">
        <v>2850</v>
      </c>
      <c r="O284" s="14" t="s">
        <v>857</v>
      </c>
    </row>
    <row r="285" spans="8:15">
      <c r="H285" s="14">
        <v>64086</v>
      </c>
      <c r="I285" s="14" t="s">
        <v>1065</v>
      </c>
      <c r="J285" s="180" t="s">
        <v>753</v>
      </c>
      <c r="K285" s="14" t="s">
        <v>1115</v>
      </c>
      <c r="L285" s="180" t="s">
        <v>753</v>
      </c>
      <c r="M285" s="180" t="s">
        <v>2850</v>
      </c>
      <c r="O285" s="14" t="s">
        <v>1138</v>
      </c>
    </row>
    <row r="286" spans="8:15">
      <c r="H286" s="14">
        <v>64015</v>
      </c>
      <c r="I286" s="14" t="s">
        <v>1066</v>
      </c>
      <c r="J286" s="180" t="s">
        <v>753</v>
      </c>
      <c r="K286" s="14" t="s">
        <v>1115</v>
      </c>
      <c r="L286" s="180" t="s">
        <v>753</v>
      </c>
      <c r="M286" s="180" t="s">
        <v>2850</v>
      </c>
      <c r="O286" s="14" t="s">
        <v>1139</v>
      </c>
    </row>
    <row r="287" spans="8:15">
      <c r="H287" s="14">
        <v>64640</v>
      </c>
      <c r="I287" s="14" t="s">
        <v>1049</v>
      </c>
      <c r="J287" s="180" t="s">
        <v>753</v>
      </c>
      <c r="K287" s="14" t="s">
        <v>1045</v>
      </c>
      <c r="L287" s="180" t="s">
        <v>1919</v>
      </c>
      <c r="M287" s="180" t="s">
        <v>798</v>
      </c>
      <c r="O287" s="14" t="s">
        <v>1086</v>
      </c>
    </row>
    <row r="288" spans="8:15">
      <c r="H288" s="14">
        <v>64151</v>
      </c>
      <c r="I288" s="14" t="s">
        <v>1067</v>
      </c>
      <c r="J288" s="628" t="s">
        <v>1922</v>
      </c>
      <c r="K288" s="14" t="s">
        <v>1174</v>
      </c>
      <c r="L288" s="628" t="s">
        <v>1922</v>
      </c>
      <c r="M288" s="180" t="s">
        <v>2850</v>
      </c>
      <c r="O288" s="14" t="s">
        <v>763</v>
      </c>
    </row>
    <row r="289" spans="8:15">
      <c r="H289" s="14">
        <v>64034</v>
      </c>
      <c r="I289" s="14" t="s">
        <v>1069</v>
      </c>
      <c r="J289" s="180" t="s">
        <v>753</v>
      </c>
      <c r="K289" s="14" t="s">
        <v>1115</v>
      </c>
      <c r="L289" s="180" t="s">
        <v>753</v>
      </c>
      <c r="M289" s="180" t="s">
        <v>2850</v>
      </c>
      <c r="O289" s="14" t="s">
        <v>1113</v>
      </c>
    </row>
    <row r="290" spans="8:15">
      <c r="H290" s="14">
        <v>65338</v>
      </c>
      <c r="I290" s="14" t="s">
        <v>874</v>
      </c>
      <c r="J290" s="180" t="s">
        <v>753</v>
      </c>
      <c r="K290" s="14" t="s">
        <v>865</v>
      </c>
      <c r="L290" s="180" t="s">
        <v>1919</v>
      </c>
      <c r="M290" s="180" t="s">
        <v>798</v>
      </c>
      <c r="O290" s="14" t="s">
        <v>818</v>
      </c>
    </row>
    <row r="291" spans="8:15">
      <c r="H291" s="14">
        <v>64759</v>
      </c>
      <c r="I291" s="14" t="s">
        <v>834</v>
      </c>
      <c r="J291" s="180" t="s">
        <v>753</v>
      </c>
      <c r="K291" s="14" t="s">
        <v>827</v>
      </c>
      <c r="L291" s="180" t="s">
        <v>1919</v>
      </c>
      <c r="M291" s="180" t="s">
        <v>798</v>
      </c>
      <c r="O291" s="14" t="s">
        <v>859</v>
      </c>
    </row>
    <row r="292" spans="8:15">
      <c r="H292" s="14">
        <v>64446</v>
      </c>
      <c r="I292" s="14" t="s">
        <v>816</v>
      </c>
      <c r="J292" s="180" t="s">
        <v>753</v>
      </c>
      <c r="K292" s="14" t="s">
        <v>814</v>
      </c>
      <c r="L292" s="180" t="s">
        <v>1919</v>
      </c>
      <c r="M292" s="180" t="s">
        <v>798</v>
      </c>
      <c r="O292" s="14" t="s">
        <v>1140</v>
      </c>
    </row>
    <row r="293" spans="8:15">
      <c r="H293" s="14">
        <v>64652</v>
      </c>
      <c r="I293" s="14" t="s">
        <v>1072</v>
      </c>
      <c r="J293" s="180" t="s">
        <v>753</v>
      </c>
      <c r="K293" s="14" t="s">
        <v>1073</v>
      </c>
      <c r="L293" s="180" t="s">
        <v>1919</v>
      </c>
      <c r="M293" s="180" t="s">
        <v>798</v>
      </c>
      <c r="O293" s="14" t="s">
        <v>810</v>
      </c>
    </row>
    <row r="294" spans="8:15">
      <c r="H294" s="14">
        <v>64465</v>
      </c>
      <c r="I294" s="14" t="s">
        <v>1031</v>
      </c>
      <c r="J294" s="180" t="s">
        <v>753</v>
      </c>
      <c r="K294" s="14" t="s">
        <v>910</v>
      </c>
      <c r="L294" s="180" t="s">
        <v>1919</v>
      </c>
      <c r="M294" s="180" t="s">
        <v>798</v>
      </c>
      <c r="O294" s="14" t="s">
        <v>976</v>
      </c>
    </row>
    <row r="295" spans="8:15">
      <c r="H295" s="14">
        <v>64747</v>
      </c>
      <c r="I295" s="14" t="s">
        <v>945</v>
      </c>
      <c r="J295" s="180" t="s">
        <v>753</v>
      </c>
      <c r="K295" s="14" t="s">
        <v>930</v>
      </c>
      <c r="L295" s="180" t="s">
        <v>1919</v>
      </c>
      <c r="M295" s="180" t="s">
        <v>798</v>
      </c>
      <c r="O295" s="14" t="s">
        <v>1141</v>
      </c>
    </row>
    <row r="296" spans="8:15">
      <c r="H296" s="14">
        <v>64062</v>
      </c>
      <c r="I296" s="14" t="s">
        <v>1077</v>
      </c>
      <c r="J296" s="180" t="s">
        <v>753</v>
      </c>
      <c r="K296" s="14" t="s">
        <v>1175</v>
      </c>
      <c r="L296" s="180" t="s">
        <v>1919</v>
      </c>
      <c r="M296" s="180" t="s">
        <v>798</v>
      </c>
      <c r="O296" s="14" t="s">
        <v>901</v>
      </c>
    </row>
    <row r="297" spans="8:15">
      <c r="H297" s="14">
        <v>64063</v>
      </c>
      <c r="I297" s="14" t="s">
        <v>1078</v>
      </c>
      <c r="J297" s="180" t="s">
        <v>753</v>
      </c>
      <c r="K297" s="14" t="s">
        <v>1115</v>
      </c>
      <c r="L297" s="180" t="s">
        <v>753</v>
      </c>
      <c r="M297" s="180" t="s">
        <v>2850</v>
      </c>
      <c r="O297" s="14" t="s">
        <v>885</v>
      </c>
    </row>
    <row r="298" spans="8:15">
      <c r="H298" s="14">
        <v>64064</v>
      </c>
      <c r="I298" s="14" t="s">
        <v>1078</v>
      </c>
      <c r="J298" s="180" t="s">
        <v>753</v>
      </c>
      <c r="K298" s="14" t="s">
        <v>1115</v>
      </c>
      <c r="L298" s="180" t="s">
        <v>753</v>
      </c>
      <c r="M298" s="180" t="s">
        <v>2850</v>
      </c>
      <c r="O298" s="14" t="s">
        <v>903</v>
      </c>
    </row>
    <row r="299" spans="8:15">
      <c r="H299" s="14">
        <v>64065</v>
      </c>
      <c r="I299" s="14" t="s">
        <v>1078</v>
      </c>
      <c r="J299" s="180" t="s">
        <v>753</v>
      </c>
      <c r="K299" s="14" t="s">
        <v>1115</v>
      </c>
      <c r="L299" s="180" t="s">
        <v>753</v>
      </c>
      <c r="M299" s="180" t="s">
        <v>2850</v>
      </c>
      <c r="O299" s="14" t="s">
        <v>1142</v>
      </c>
    </row>
    <row r="300" spans="8:15">
      <c r="H300" s="14">
        <v>64081</v>
      </c>
      <c r="I300" s="14" t="s">
        <v>1078</v>
      </c>
      <c r="J300" s="180" t="s">
        <v>753</v>
      </c>
      <c r="K300" s="14" t="s">
        <v>1115</v>
      </c>
      <c r="L300" s="180" t="s">
        <v>753</v>
      </c>
      <c r="M300" s="180" t="s">
        <v>2850</v>
      </c>
      <c r="O300" s="14" t="s">
        <v>978</v>
      </c>
    </row>
    <row r="301" spans="8:15">
      <c r="H301" s="14">
        <v>64082</v>
      </c>
      <c r="I301" s="14" t="s">
        <v>1078</v>
      </c>
      <c r="J301" s="180" t="s">
        <v>753</v>
      </c>
      <c r="K301" s="14" t="s">
        <v>1115</v>
      </c>
      <c r="L301" s="180" t="s">
        <v>753</v>
      </c>
      <c r="M301" s="180" t="s">
        <v>2850</v>
      </c>
      <c r="O301" s="14" t="s">
        <v>1143</v>
      </c>
    </row>
    <row r="302" spans="8:15">
      <c r="H302" s="14">
        <v>64086</v>
      </c>
      <c r="I302" s="14" t="s">
        <v>1078</v>
      </c>
      <c r="J302" s="180" t="s">
        <v>753</v>
      </c>
      <c r="K302" s="14" t="s">
        <v>1115</v>
      </c>
      <c r="L302" s="180" t="s">
        <v>753</v>
      </c>
      <c r="M302" s="180" t="s">
        <v>2850</v>
      </c>
      <c r="O302" s="14" t="s">
        <v>811</v>
      </c>
    </row>
    <row r="303" spans="8:15">
      <c r="H303" s="14">
        <v>64761</v>
      </c>
      <c r="I303" s="14" t="s">
        <v>1079</v>
      </c>
      <c r="J303" s="180" t="s">
        <v>753</v>
      </c>
      <c r="K303" s="14" t="s">
        <v>1154</v>
      </c>
      <c r="L303" s="180" t="s">
        <v>1919</v>
      </c>
      <c r="M303" s="180" t="s">
        <v>798</v>
      </c>
      <c r="O303" s="14" t="s">
        <v>1144</v>
      </c>
    </row>
    <row r="304" spans="8:15">
      <c r="H304" s="14">
        <v>64066</v>
      </c>
      <c r="I304" s="14" t="s">
        <v>1080</v>
      </c>
      <c r="J304" s="180" t="s">
        <v>753</v>
      </c>
      <c r="K304" s="14" t="s">
        <v>1115</v>
      </c>
      <c r="L304" s="180" t="s">
        <v>753</v>
      </c>
      <c r="M304" s="180" t="s">
        <v>2850</v>
      </c>
      <c r="O304" s="14" t="s">
        <v>761</v>
      </c>
    </row>
    <row r="305" spans="8:15">
      <c r="H305" s="14">
        <v>65323</v>
      </c>
      <c r="I305" s="14" t="s">
        <v>1081</v>
      </c>
      <c r="J305" s="180" t="s">
        <v>753</v>
      </c>
      <c r="K305" s="14" t="s">
        <v>1087</v>
      </c>
      <c r="L305" s="14" t="s">
        <v>1919</v>
      </c>
      <c r="M305" s="180" t="s">
        <v>798</v>
      </c>
      <c r="O305" s="14" t="s">
        <v>1145</v>
      </c>
    </row>
    <row r="306" spans="8:15">
      <c r="H306" s="14">
        <v>64067</v>
      </c>
      <c r="I306" s="14" t="s">
        <v>1082</v>
      </c>
      <c r="J306" s="180" t="s">
        <v>753</v>
      </c>
      <c r="K306" s="14" t="s">
        <v>1160</v>
      </c>
      <c r="L306" s="180" t="s">
        <v>1919</v>
      </c>
      <c r="M306" s="180" t="s">
        <v>798</v>
      </c>
      <c r="O306" s="14" t="s">
        <v>1146</v>
      </c>
    </row>
    <row r="307" spans="8:15">
      <c r="H307" s="14">
        <v>64762</v>
      </c>
      <c r="I307" s="14" t="s">
        <v>836</v>
      </c>
      <c r="J307" s="180" t="s">
        <v>753</v>
      </c>
      <c r="K307" s="14" t="s">
        <v>827</v>
      </c>
      <c r="L307" s="180" t="s">
        <v>1919</v>
      </c>
      <c r="M307" s="180" t="s">
        <v>798</v>
      </c>
      <c r="O307" s="14" t="s">
        <v>1147</v>
      </c>
    </row>
    <row r="308" spans="8:15">
      <c r="H308" s="14">
        <v>64068</v>
      </c>
      <c r="I308" s="14" t="s">
        <v>995</v>
      </c>
      <c r="J308" s="180" t="s">
        <v>753</v>
      </c>
      <c r="K308" s="14" t="s">
        <v>985</v>
      </c>
      <c r="L308" s="628" t="s">
        <v>754</v>
      </c>
      <c r="M308" s="180" t="s">
        <v>2850</v>
      </c>
      <c r="O308" s="14" t="s">
        <v>1127</v>
      </c>
    </row>
    <row r="309" spans="8:15">
      <c r="H309" s="14">
        <v>64069</v>
      </c>
      <c r="I309" s="14" t="s">
        <v>995</v>
      </c>
      <c r="J309" s="180" t="s">
        <v>753</v>
      </c>
      <c r="K309" s="14" t="s">
        <v>985</v>
      </c>
      <c r="L309" s="628" t="s">
        <v>754</v>
      </c>
      <c r="M309" s="180" t="s">
        <v>2850</v>
      </c>
      <c r="O309" s="14" t="s">
        <v>1148</v>
      </c>
    </row>
    <row r="310" spans="8:15">
      <c r="H310" s="14">
        <v>65338</v>
      </c>
      <c r="I310" s="14" t="s">
        <v>875</v>
      </c>
      <c r="J310" s="180" t="s">
        <v>753</v>
      </c>
      <c r="K310" s="14" t="s">
        <v>865</v>
      </c>
      <c r="L310" s="180" t="s">
        <v>1919</v>
      </c>
      <c r="M310" s="180" t="s">
        <v>798</v>
      </c>
      <c r="O310" s="14" t="s">
        <v>1149</v>
      </c>
    </row>
    <row r="311" spans="8:15">
      <c r="H311" s="14">
        <v>64654</v>
      </c>
      <c r="I311" s="14" t="s">
        <v>1051</v>
      </c>
      <c r="J311" s="180" t="s">
        <v>753</v>
      </c>
      <c r="K311" s="14" t="s">
        <v>1045</v>
      </c>
      <c r="L311" s="180" t="s">
        <v>1919</v>
      </c>
      <c r="M311" s="180" t="s">
        <v>798</v>
      </c>
      <c r="O311" s="14" t="s">
        <v>1150</v>
      </c>
    </row>
    <row r="312" spans="8:15">
      <c r="H312" s="14">
        <v>65682</v>
      </c>
      <c r="I312" s="14" t="s">
        <v>1042</v>
      </c>
      <c r="J312" s="180" t="s">
        <v>753</v>
      </c>
      <c r="K312" s="14" t="s">
        <v>1037</v>
      </c>
      <c r="L312" s="180" t="s">
        <v>1919</v>
      </c>
      <c r="M312" s="180" t="s">
        <v>798</v>
      </c>
      <c r="O312" s="14" t="s">
        <v>766</v>
      </c>
    </row>
    <row r="313" spans="8:15">
      <c r="H313" s="14">
        <v>64070</v>
      </c>
      <c r="I313" s="14" t="s">
        <v>1088</v>
      </c>
      <c r="J313" s="180" t="s">
        <v>753</v>
      </c>
      <c r="K313" s="14" t="s">
        <v>1115</v>
      </c>
      <c r="L313" s="180" t="s">
        <v>753</v>
      </c>
      <c r="M313" s="180" t="s">
        <v>2850</v>
      </c>
      <c r="O313" s="14" t="s">
        <v>980</v>
      </c>
    </row>
    <row r="314" spans="8:15">
      <c r="H314" s="14">
        <v>65301</v>
      </c>
      <c r="I314" s="14" t="s">
        <v>1089</v>
      </c>
      <c r="J314" s="180" t="s">
        <v>753</v>
      </c>
      <c r="K314" s="14" t="s">
        <v>1173</v>
      </c>
      <c r="L314" s="14" t="s">
        <v>1919</v>
      </c>
      <c r="M314" s="180" t="s">
        <v>798</v>
      </c>
      <c r="O314" s="14" t="s">
        <v>1043</v>
      </c>
    </row>
    <row r="315" spans="8:15">
      <c r="H315" s="14">
        <v>65334</v>
      </c>
      <c r="I315" s="14" t="s">
        <v>1089</v>
      </c>
      <c r="J315" s="180" t="s">
        <v>753</v>
      </c>
      <c r="K315" s="14" t="s">
        <v>1173</v>
      </c>
      <c r="L315" s="180" t="s">
        <v>1919</v>
      </c>
      <c r="M315" s="180" t="s">
        <v>798</v>
      </c>
      <c r="O315" s="14" t="s">
        <v>1074</v>
      </c>
    </row>
    <row r="316" spans="8:15">
      <c r="H316" s="14">
        <v>64763</v>
      </c>
      <c r="I316" s="14" t="s">
        <v>1090</v>
      </c>
      <c r="J316" s="180" t="s">
        <v>753</v>
      </c>
      <c r="K316" s="14" t="s">
        <v>1176</v>
      </c>
      <c r="L316" s="180" t="s">
        <v>1919</v>
      </c>
      <c r="M316" s="180" t="s">
        <v>798</v>
      </c>
      <c r="O316" s="14" t="s">
        <v>1151</v>
      </c>
    </row>
    <row r="317" spans="8:15">
      <c r="H317" s="14">
        <v>64656</v>
      </c>
      <c r="I317" s="14" t="s">
        <v>1091</v>
      </c>
      <c r="J317" s="180" t="s">
        <v>753</v>
      </c>
      <c r="K317" s="14" t="s">
        <v>1168</v>
      </c>
      <c r="L317" s="180" t="s">
        <v>1919</v>
      </c>
      <c r="M317" s="180" t="s">
        <v>798</v>
      </c>
      <c r="O317" s="14" t="s">
        <v>1071</v>
      </c>
    </row>
    <row r="318" spans="8:15">
      <c r="H318" s="14">
        <v>64466</v>
      </c>
      <c r="I318" s="14" t="s">
        <v>1092</v>
      </c>
      <c r="J318" s="180" t="s">
        <v>753</v>
      </c>
      <c r="K318" s="14" t="s">
        <v>990</v>
      </c>
      <c r="L318" s="180" t="s">
        <v>1919</v>
      </c>
      <c r="M318" s="180" t="s">
        <v>798</v>
      </c>
      <c r="O318" s="14" t="s">
        <v>925</v>
      </c>
    </row>
    <row r="319" spans="8:15">
      <c r="H319" s="14">
        <v>65339</v>
      </c>
      <c r="I319" s="14" t="s">
        <v>1093</v>
      </c>
      <c r="J319" s="180" t="s">
        <v>753</v>
      </c>
      <c r="K319" s="14" t="s">
        <v>1177</v>
      </c>
      <c r="L319" s="180" t="s">
        <v>1919</v>
      </c>
      <c r="M319" s="180" t="s">
        <v>798</v>
      </c>
      <c r="O319" s="14" t="s">
        <v>1059</v>
      </c>
    </row>
    <row r="320" spans="8:15">
      <c r="H320" s="14">
        <v>65340</v>
      </c>
      <c r="I320" s="14" t="s">
        <v>1095</v>
      </c>
      <c r="J320" s="180" t="s">
        <v>753</v>
      </c>
      <c r="K320" s="14" t="s">
        <v>1177</v>
      </c>
      <c r="L320" s="180" t="s">
        <v>1919</v>
      </c>
      <c r="M320" s="180" t="s">
        <v>2850</v>
      </c>
      <c r="O320" s="14" t="s">
        <v>962</v>
      </c>
    </row>
    <row r="321" spans="8:15">
      <c r="H321" s="14">
        <v>65340</v>
      </c>
      <c r="I321" s="14" t="s">
        <v>1097</v>
      </c>
      <c r="J321" s="180" t="s">
        <v>753</v>
      </c>
      <c r="K321" s="14" t="s">
        <v>1177</v>
      </c>
      <c r="L321" s="180" t="s">
        <v>1919</v>
      </c>
      <c r="M321" s="180" t="s">
        <v>798</v>
      </c>
      <c r="O321" s="14" t="s">
        <v>861</v>
      </c>
    </row>
    <row r="322" spans="8:15">
      <c r="H322" s="14">
        <v>64147</v>
      </c>
      <c r="I322" s="14" t="s">
        <v>1099</v>
      </c>
      <c r="J322" s="180" t="s">
        <v>753</v>
      </c>
      <c r="K322" s="14" t="s">
        <v>1115</v>
      </c>
      <c r="L322" s="180" t="s">
        <v>753</v>
      </c>
      <c r="M322" s="180" t="s">
        <v>2850</v>
      </c>
      <c r="O322" s="14" t="s">
        <v>953</v>
      </c>
    </row>
    <row r="323" spans="8:15">
      <c r="H323" s="14">
        <v>64467</v>
      </c>
      <c r="I323" s="14" t="s">
        <v>1083</v>
      </c>
      <c r="J323" s="180" t="s">
        <v>753</v>
      </c>
      <c r="K323" s="14" t="s">
        <v>1076</v>
      </c>
      <c r="L323" s="14" t="s">
        <v>1919</v>
      </c>
      <c r="M323" s="180" t="s">
        <v>798</v>
      </c>
      <c r="O323" s="14" t="s">
        <v>1128</v>
      </c>
    </row>
    <row r="324" spans="8:15">
      <c r="H324" s="14">
        <v>64468</v>
      </c>
      <c r="I324" s="14" t="s">
        <v>1101</v>
      </c>
      <c r="J324" s="180" t="s">
        <v>753</v>
      </c>
      <c r="K324" s="14" t="s">
        <v>1172</v>
      </c>
      <c r="L324" s="180" t="s">
        <v>1919</v>
      </c>
      <c r="M324" s="180" t="s">
        <v>798</v>
      </c>
      <c r="O324" s="14" t="s">
        <v>982</v>
      </c>
    </row>
    <row r="325" spans="8:15">
      <c r="H325" s="14">
        <v>64469</v>
      </c>
      <c r="I325" s="14" t="s">
        <v>1055</v>
      </c>
      <c r="J325" s="180" t="s">
        <v>753</v>
      </c>
      <c r="K325" s="14" t="s">
        <v>1054</v>
      </c>
      <c r="L325" s="180" t="s">
        <v>1919</v>
      </c>
      <c r="M325" s="180" t="s">
        <v>798</v>
      </c>
      <c r="O325" s="14" t="s">
        <v>1152</v>
      </c>
    </row>
    <row r="326" spans="8:15">
      <c r="H326" s="14">
        <v>64071</v>
      </c>
      <c r="I326" s="14" t="s">
        <v>1102</v>
      </c>
      <c r="J326" s="180" t="s">
        <v>753</v>
      </c>
      <c r="K326" s="14" t="s">
        <v>1160</v>
      </c>
      <c r="L326" s="180" t="s">
        <v>1919</v>
      </c>
      <c r="M326" s="180" t="s">
        <v>798</v>
      </c>
      <c r="O326" s="14" t="s">
        <v>862</v>
      </c>
    </row>
    <row r="327" spans="8:15">
      <c r="H327" s="14">
        <v>64657</v>
      </c>
      <c r="I327" s="14" t="s">
        <v>1068</v>
      </c>
      <c r="J327" s="180" t="s">
        <v>753</v>
      </c>
      <c r="K327" s="14" t="s">
        <v>1005</v>
      </c>
      <c r="L327" s="180" t="s">
        <v>1919</v>
      </c>
      <c r="M327" s="180" t="s">
        <v>798</v>
      </c>
      <c r="O327" s="14" t="s">
        <v>912</v>
      </c>
    </row>
    <row r="328" spans="8:15">
      <c r="H328" s="14">
        <v>64657</v>
      </c>
      <c r="I328" s="14" t="s">
        <v>1070</v>
      </c>
      <c r="J328" s="180" t="s">
        <v>753</v>
      </c>
      <c r="K328" s="14" t="s">
        <v>1005</v>
      </c>
      <c r="L328" s="180" t="s">
        <v>1919</v>
      </c>
      <c r="M328" s="180" t="s">
        <v>798</v>
      </c>
      <c r="O328" s="14" t="s">
        <v>820</v>
      </c>
    </row>
    <row r="329" spans="8:15">
      <c r="H329" s="14">
        <v>64660</v>
      </c>
      <c r="I329" s="14" t="s">
        <v>970</v>
      </c>
      <c r="J329" s="180" t="s">
        <v>753</v>
      </c>
      <c r="K329" s="14" t="s">
        <v>963</v>
      </c>
      <c r="L329" s="180" t="s">
        <v>1919</v>
      </c>
      <c r="M329" s="180" t="s">
        <v>798</v>
      </c>
      <c r="O329" s="14" t="s">
        <v>1153</v>
      </c>
    </row>
    <row r="330" spans="8:15">
      <c r="H330" s="14">
        <v>64661</v>
      </c>
      <c r="I330" s="14" t="s">
        <v>1104</v>
      </c>
      <c r="J330" s="180" t="s">
        <v>753</v>
      </c>
      <c r="K330" s="14" t="s">
        <v>1104</v>
      </c>
      <c r="L330" s="180" t="s">
        <v>1919</v>
      </c>
      <c r="M330" s="180" t="s">
        <v>798</v>
      </c>
      <c r="O330" s="14" t="s">
        <v>1096</v>
      </c>
    </row>
    <row r="331" spans="8:15">
      <c r="H331" s="14">
        <v>64765</v>
      </c>
      <c r="I331" s="14" t="s">
        <v>1105</v>
      </c>
      <c r="J331" s="180" t="s">
        <v>753</v>
      </c>
      <c r="K331" s="14" t="s">
        <v>1178</v>
      </c>
      <c r="L331" s="180" t="s">
        <v>1919</v>
      </c>
      <c r="M331" s="180" t="s">
        <v>798</v>
      </c>
      <c r="O331" s="14" t="s">
        <v>926</v>
      </c>
    </row>
    <row r="332" spans="8:15">
      <c r="H332" s="14">
        <v>65344</v>
      </c>
      <c r="I332" s="14" t="s">
        <v>1107</v>
      </c>
      <c r="J332" s="180" t="s">
        <v>753</v>
      </c>
      <c r="K332" s="14" t="s">
        <v>1177</v>
      </c>
      <c r="L332" s="180" t="s">
        <v>1919</v>
      </c>
      <c r="M332" s="180" t="s">
        <v>798</v>
      </c>
      <c r="O332" s="14" t="s">
        <v>1155</v>
      </c>
    </row>
    <row r="333" spans="8:15">
      <c r="H333" s="14">
        <v>64766</v>
      </c>
      <c r="I333" s="14" t="s">
        <v>838</v>
      </c>
      <c r="J333" s="180" t="s">
        <v>753</v>
      </c>
      <c r="K333" s="14" t="s">
        <v>827</v>
      </c>
      <c r="L333" s="180" t="s">
        <v>1919</v>
      </c>
      <c r="M333" s="180" t="s">
        <v>798</v>
      </c>
      <c r="O333" s="14" t="s">
        <v>1075</v>
      </c>
    </row>
    <row r="334" spans="8:15">
      <c r="H334" s="14">
        <v>64767</v>
      </c>
      <c r="I334" s="14" t="s">
        <v>1108</v>
      </c>
      <c r="J334" s="180" t="s">
        <v>753</v>
      </c>
      <c r="K334" s="14" t="s">
        <v>1178</v>
      </c>
      <c r="L334" s="180" t="s">
        <v>1919</v>
      </c>
      <c r="M334" s="180" t="s">
        <v>798</v>
      </c>
      <c r="O334" s="14" t="s">
        <v>1034</v>
      </c>
    </row>
    <row r="335" spans="8:15">
      <c r="H335" s="14">
        <v>64769</v>
      </c>
      <c r="I335" s="14" t="s">
        <v>840</v>
      </c>
      <c r="J335" s="180" t="s">
        <v>753</v>
      </c>
      <c r="K335" s="14" t="s">
        <v>827</v>
      </c>
      <c r="L335" s="180" t="s">
        <v>1919</v>
      </c>
      <c r="M335" s="180" t="s">
        <v>798</v>
      </c>
      <c r="O335" s="14" t="s">
        <v>984</v>
      </c>
    </row>
    <row r="336" spans="8:15">
      <c r="H336" s="14">
        <v>64072</v>
      </c>
      <c r="I336" s="14" t="s">
        <v>997</v>
      </c>
      <c r="J336" s="180" t="s">
        <v>753</v>
      </c>
      <c r="K336" s="14" t="s">
        <v>985</v>
      </c>
      <c r="L336" s="628" t="s">
        <v>754</v>
      </c>
      <c r="M336" s="180" t="s">
        <v>2850</v>
      </c>
      <c r="O336" s="14" t="s">
        <v>1035</v>
      </c>
    </row>
    <row r="337" spans="8:15">
      <c r="H337" s="14">
        <v>65270</v>
      </c>
      <c r="I337" s="14" t="s">
        <v>1109</v>
      </c>
      <c r="J337" s="180" t="s">
        <v>753</v>
      </c>
      <c r="K337" s="14" t="s">
        <v>1004</v>
      </c>
      <c r="L337" s="180" t="s">
        <v>1919</v>
      </c>
      <c r="M337" s="180" t="s">
        <v>2850</v>
      </c>
      <c r="O337" s="14" t="s">
        <v>1061</v>
      </c>
    </row>
    <row r="338" spans="8:15">
      <c r="H338" s="14">
        <v>64770</v>
      </c>
      <c r="I338" s="14" t="s">
        <v>1094</v>
      </c>
      <c r="J338" s="14" t="s">
        <v>753</v>
      </c>
      <c r="K338" s="14" t="s">
        <v>1087</v>
      </c>
      <c r="L338" s="180" t="s">
        <v>1919</v>
      </c>
      <c r="M338" s="180" t="s">
        <v>798</v>
      </c>
      <c r="O338" s="14" t="s">
        <v>1131</v>
      </c>
    </row>
    <row r="339" spans="8:15">
      <c r="H339" s="14">
        <v>65336</v>
      </c>
      <c r="I339" s="14" t="s">
        <v>1112</v>
      </c>
      <c r="J339" s="14" t="s">
        <v>753</v>
      </c>
      <c r="K339" s="14" t="s">
        <v>1154</v>
      </c>
      <c r="L339" s="180" t="s">
        <v>1919</v>
      </c>
      <c r="M339" s="180" t="s">
        <v>798</v>
      </c>
      <c r="O339" s="14" t="s">
        <v>1157</v>
      </c>
    </row>
    <row r="340" spans="8:15">
      <c r="H340" s="14">
        <v>64664</v>
      </c>
      <c r="I340" s="14" t="s">
        <v>1114</v>
      </c>
      <c r="J340" s="14" t="s">
        <v>753</v>
      </c>
      <c r="K340" s="14" t="s">
        <v>1168</v>
      </c>
      <c r="L340" s="180" t="s">
        <v>1919</v>
      </c>
      <c r="M340" s="180" t="s">
        <v>798</v>
      </c>
      <c r="O340" s="14" t="s">
        <v>1098</v>
      </c>
    </row>
    <row r="341" spans="8:15">
      <c r="H341" s="14">
        <v>65345</v>
      </c>
      <c r="I341" s="14" t="s">
        <v>1116</v>
      </c>
      <c r="J341" s="14" t="s">
        <v>753</v>
      </c>
      <c r="K341" s="14" t="s">
        <v>1173</v>
      </c>
      <c r="L341" s="180" t="s">
        <v>1919</v>
      </c>
      <c r="M341" s="180" t="s">
        <v>798</v>
      </c>
      <c r="O341" s="14" t="s">
        <v>1159</v>
      </c>
    </row>
    <row r="342" spans="8:15">
      <c r="H342" s="14">
        <v>64073</v>
      </c>
      <c r="I342" s="14" t="s">
        <v>999</v>
      </c>
      <c r="J342" s="14" t="s">
        <v>753</v>
      </c>
      <c r="K342" s="14" t="s">
        <v>985</v>
      </c>
      <c r="L342" s="628" t="s">
        <v>754</v>
      </c>
      <c r="M342" s="180" t="s">
        <v>2850</v>
      </c>
      <c r="O342" s="14" t="s">
        <v>1156</v>
      </c>
    </row>
    <row r="343" spans="8:15">
      <c r="H343" s="14">
        <v>64470</v>
      </c>
      <c r="I343" s="14" t="s">
        <v>1103</v>
      </c>
      <c r="J343" s="14" t="s">
        <v>753</v>
      </c>
      <c r="K343" s="14" t="s">
        <v>990</v>
      </c>
      <c r="L343" s="180" t="s">
        <v>1919</v>
      </c>
      <c r="M343" s="180" t="s">
        <v>798</v>
      </c>
      <c r="O343" s="14" t="s">
        <v>1024</v>
      </c>
    </row>
    <row r="344" spans="8:15">
      <c r="H344" s="14">
        <v>64771</v>
      </c>
      <c r="I344" s="14" t="s">
        <v>1117</v>
      </c>
      <c r="J344" s="14" t="s">
        <v>753</v>
      </c>
      <c r="K344" s="14" t="s">
        <v>1178</v>
      </c>
      <c r="L344" s="180" t="s">
        <v>1919</v>
      </c>
      <c r="M344" s="180" t="s">
        <v>798</v>
      </c>
      <c r="O344" s="14" t="s">
        <v>1161</v>
      </c>
    </row>
    <row r="345" spans="8:15">
      <c r="H345" s="14">
        <v>65325</v>
      </c>
      <c r="I345" s="14" t="s">
        <v>877</v>
      </c>
      <c r="J345" s="14" t="s">
        <v>753</v>
      </c>
      <c r="K345" s="14" t="s">
        <v>865</v>
      </c>
      <c r="L345" s="180" t="s">
        <v>1919</v>
      </c>
      <c r="M345" s="180" t="s">
        <v>798</v>
      </c>
      <c r="O345" s="14" t="s">
        <v>928</v>
      </c>
    </row>
    <row r="346" spans="8:15">
      <c r="H346" s="14">
        <v>64481</v>
      </c>
      <c r="I346" s="14" t="s">
        <v>1084</v>
      </c>
      <c r="J346" s="14" t="s">
        <v>753</v>
      </c>
      <c r="K346" s="14" t="s">
        <v>1076</v>
      </c>
      <c r="L346" s="180" t="s">
        <v>1919</v>
      </c>
      <c r="M346" s="180" t="s">
        <v>798</v>
      </c>
      <c r="O346" s="14" t="s">
        <v>1162</v>
      </c>
    </row>
    <row r="347" spans="8:15">
      <c r="H347" s="14">
        <v>65261</v>
      </c>
      <c r="I347" s="14" t="s">
        <v>972</v>
      </c>
      <c r="J347" s="14" t="s">
        <v>753</v>
      </c>
      <c r="K347" s="14" t="s">
        <v>963</v>
      </c>
      <c r="L347" s="180" t="s">
        <v>1919</v>
      </c>
      <c r="M347" s="180" t="s">
        <v>798</v>
      </c>
      <c r="O347" s="14" t="s">
        <v>1163</v>
      </c>
    </row>
    <row r="348" spans="8:15">
      <c r="H348" s="14">
        <v>64074</v>
      </c>
      <c r="I348" s="14" t="s">
        <v>1118</v>
      </c>
      <c r="J348" s="14" t="s">
        <v>753</v>
      </c>
      <c r="K348" s="14" t="s">
        <v>1160</v>
      </c>
      <c r="L348" s="180" t="s">
        <v>1919</v>
      </c>
      <c r="M348" s="180" t="s">
        <v>798</v>
      </c>
      <c r="O348" s="14" t="s">
        <v>767</v>
      </c>
    </row>
    <row r="349" spans="8:15">
      <c r="H349" s="14">
        <v>65340</v>
      </c>
      <c r="I349" s="14" t="s">
        <v>1119</v>
      </c>
      <c r="J349" s="14" t="s">
        <v>753</v>
      </c>
      <c r="K349" s="14" t="s">
        <v>1177</v>
      </c>
      <c r="L349" s="180" t="s">
        <v>1919</v>
      </c>
      <c r="M349" s="180" t="s">
        <v>798</v>
      </c>
      <c r="O349" s="14" t="s">
        <v>887</v>
      </c>
    </row>
    <row r="350" spans="8:15">
      <c r="H350" s="14">
        <v>65347</v>
      </c>
      <c r="I350" s="14" t="s">
        <v>1120</v>
      </c>
      <c r="J350" s="14" t="s">
        <v>753</v>
      </c>
      <c r="K350" s="14" t="s">
        <v>1177</v>
      </c>
      <c r="L350" s="180" t="s">
        <v>1919</v>
      </c>
      <c r="M350" s="180" t="s">
        <v>798</v>
      </c>
      <c r="O350" s="14" t="s">
        <v>822</v>
      </c>
    </row>
    <row r="351" spans="8:15">
      <c r="H351" s="14">
        <v>64772</v>
      </c>
      <c r="I351" s="14" t="s">
        <v>199</v>
      </c>
      <c r="J351" s="14" t="s">
        <v>753</v>
      </c>
      <c r="K351" s="14" t="s">
        <v>1178</v>
      </c>
      <c r="L351" s="180" t="s">
        <v>1919</v>
      </c>
      <c r="M351" s="180" t="s">
        <v>798</v>
      </c>
      <c r="O351" s="14" t="s">
        <v>1164</v>
      </c>
    </row>
    <row r="352" spans="8:15">
      <c r="H352" s="14">
        <v>65274</v>
      </c>
      <c r="I352" s="14" t="s">
        <v>1110</v>
      </c>
      <c r="J352" s="14" t="s">
        <v>753</v>
      </c>
      <c r="K352" s="14" t="s">
        <v>1106</v>
      </c>
      <c r="L352" s="180" t="s">
        <v>1919</v>
      </c>
      <c r="M352" s="180" t="s">
        <v>798</v>
      </c>
      <c r="O352" s="14" t="s">
        <v>1063</v>
      </c>
    </row>
    <row r="353" spans="8:15">
      <c r="H353" s="14">
        <v>64471</v>
      </c>
      <c r="I353" s="14" t="s">
        <v>1085</v>
      </c>
      <c r="J353" s="14" t="s">
        <v>753</v>
      </c>
      <c r="K353" s="14" t="s">
        <v>1076</v>
      </c>
      <c r="L353" s="180" t="s">
        <v>1919</v>
      </c>
      <c r="M353" s="180" t="s">
        <v>798</v>
      </c>
      <c r="O353" s="14" t="s">
        <v>1165</v>
      </c>
    </row>
    <row r="354" spans="8:15">
      <c r="H354" s="14">
        <v>64668</v>
      </c>
      <c r="I354" s="14" t="s">
        <v>923</v>
      </c>
      <c r="J354" s="14" t="s">
        <v>753</v>
      </c>
      <c r="K354" s="14" t="s">
        <v>915</v>
      </c>
      <c r="L354" s="180" t="s">
        <v>1919</v>
      </c>
      <c r="M354" s="180" t="s">
        <v>798</v>
      </c>
      <c r="O354" s="14" t="s">
        <v>1166</v>
      </c>
    </row>
    <row r="355" spans="8:15">
      <c r="H355" s="14">
        <v>64116</v>
      </c>
      <c r="I355" s="14" t="s">
        <v>758</v>
      </c>
      <c r="J355" s="628" t="s">
        <v>1922</v>
      </c>
      <c r="K355" s="14" t="s">
        <v>985</v>
      </c>
      <c r="L355" s="628" t="s">
        <v>754</v>
      </c>
      <c r="M355" s="180" t="s">
        <v>2850</v>
      </c>
      <c r="O355" s="14" t="s">
        <v>955</v>
      </c>
    </row>
    <row r="356" spans="8:15">
      <c r="H356" s="14">
        <v>64117</v>
      </c>
      <c r="I356" s="14" t="s">
        <v>758</v>
      </c>
      <c r="J356" s="628" t="s">
        <v>1922</v>
      </c>
      <c r="K356" s="14" t="s">
        <v>985</v>
      </c>
      <c r="L356" s="628" t="s">
        <v>754</v>
      </c>
      <c r="M356" s="180" t="s">
        <v>2850</v>
      </c>
      <c r="O356" s="14" t="s">
        <v>824</v>
      </c>
    </row>
    <row r="357" spans="8:15">
      <c r="H357" s="14">
        <v>64075</v>
      </c>
      <c r="I357" s="14" t="s">
        <v>1121</v>
      </c>
      <c r="J357" s="180" t="s">
        <v>753</v>
      </c>
      <c r="K357" s="14" t="s">
        <v>1115</v>
      </c>
      <c r="L357" s="14" t="s">
        <v>753</v>
      </c>
      <c r="M357" s="180" t="s">
        <v>2850</v>
      </c>
      <c r="O357" s="14" t="s">
        <v>1167</v>
      </c>
    </row>
    <row r="358" spans="8:15">
      <c r="H358" s="14">
        <v>64118</v>
      </c>
      <c r="I358" s="14" t="s">
        <v>1000</v>
      </c>
      <c r="J358" s="14" t="s">
        <v>753</v>
      </c>
      <c r="K358" s="14" t="s">
        <v>985</v>
      </c>
      <c r="L358" s="628" t="s">
        <v>754</v>
      </c>
      <c r="M358" s="180" t="s">
        <v>2850</v>
      </c>
      <c r="O358" s="14" t="s">
        <v>1169</v>
      </c>
    </row>
    <row r="359" spans="8:15">
      <c r="H359" s="14">
        <v>64076</v>
      </c>
      <c r="I359" s="14" t="s">
        <v>1122</v>
      </c>
      <c r="J359" s="14" t="s">
        <v>753</v>
      </c>
      <c r="K359" s="14" t="s">
        <v>1160</v>
      </c>
      <c r="L359" s="180" t="s">
        <v>1919</v>
      </c>
      <c r="M359" s="180" t="s">
        <v>798</v>
      </c>
      <c r="O359" s="14" t="s">
        <v>889</v>
      </c>
    </row>
    <row r="360" spans="8:15">
      <c r="H360" s="14">
        <v>65355</v>
      </c>
      <c r="I360" s="14" t="s">
        <v>879</v>
      </c>
      <c r="J360" s="14" t="s">
        <v>753</v>
      </c>
      <c r="K360" s="14" t="s">
        <v>865</v>
      </c>
      <c r="L360" s="180" t="s">
        <v>1919</v>
      </c>
      <c r="M360" s="180" t="s">
        <v>798</v>
      </c>
      <c r="O360" s="14" t="s">
        <v>1158</v>
      </c>
    </row>
    <row r="361" spans="8:15">
      <c r="H361" s="14">
        <v>64473</v>
      </c>
      <c r="I361" s="14" t="s">
        <v>235</v>
      </c>
      <c r="J361" s="14" t="s">
        <v>753</v>
      </c>
      <c r="K361" s="14" t="s">
        <v>990</v>
      </c>
      <c r="L361" s="180" t="s">
        <v>1919</v>
      </c>
      <c r="M361" s="180" t="s">
        <v>798</v>
      </c>
      <c r="O361" s="14" t="s">
        <v>1100</v>
      </c>
    </row>
    <row r="362" spans="8:15">
      <c r="H362" s="14">
        <v>64077</v>
      </c>
      <c r="I362" s="14" t="s">
        <v>1123</v>
      </c>
      <c r="J362" s="14" t="s">
        <v>753</v>
      </c>
      <c r="K362" s="14" t="s">
        <v>1175</v>
      </c>
      <c r="L362" s="180" t="s">
        <v>1919</v>
      </c>
      <c r="M362" s="180" t="s">
        <v>798</v>
      </c>
      <c r="O362" s="14" t="s">
        <v>1053</v>
      </c>
    </row>
    <row r="363" spans="8:15">
      <c r="H363" s="14">
        <v>64474</v>
      </c>
      <c r="I363" s="14" t="s">
        <v>1057</v>
      </c>
      <c r="J363" s="14" t="s">
        <v>753</v>
      </c>
      <c r="K363" s="14" t="s">
        <v>1054</v>
      </c>
      <c r="L363" s="180" t="s">
        <v>1919</v>
      </c>
      <c r="M363" s="180" t="s">
        <v>798</v>
      </c>
      <c r="O363" s="14" t="s">
        <v>914</v>
      </c>
    </row>
    <row r="364" spans="8:15">
      <c r="H364" s="14">
        <v>64776</v>
      </c>
      <c r="I364" s="14" t="s">
        <v>1124</v>
      </c>
      <c r="J364" s="14" t="s">
        <v>753</v>
      </c>
      <c r="K364" s="14" t="s">
        <v>1176</v>
      </c>
      <c r="L364" s="180" t="s">
        <v>1919</v>
      </c>
      <c r="M364" s="180" t="s">
        <v>798</v>
      </c>
      <c r="O364" s="14" t="s">
        <v>891</v>
      </c>
    </row>
    <row r="365" spans="8:15">
      <c r="H365" s="14">
        <v>65338</v>
      </c>
      <c r="I365" s="14" t="s">
        <v>881</v>
      </c>
      <c r="J365" s="14" t="s">
        <v>753</v>
      </c>
      <c r="K365" s="14" t="s">
        <v>865</v>
      </c>
      <c r="L365" s="180" t="s">
        <v>1919</v>
      </c>
      <c r="M365" s="180" t="s">
        <v>798</v>
      </c>
      <c r="O365" s="14" t="s">
        <v>1027</v>
      </c>
    </row>
    <row r="366" spans="8:15">
      <c r="H366" s="14">
        <v>64089</v>
      </c>
      <c r="I366" s="14" t="s">
        <v>1001</v>
      </c>
      <c r="J366" s="14" t="s">
        <v>753</v>
      </c>
      <c r="K366" s="14" t="s">
        <v>985</v>
      </c>
      <c r="L366" s="628" t="s">
        <v>754</v>
      </c>
      <c r="M366" s="180" t="s">
        <v>2850</v>
      </c>
      <c r="O366" s="14" t="s">
        <v>1170</v>
      </c>
    </row>
    <row r="367" spans="8:15">
      <c r="H367" s="14">
        <v>64151</v>
      </c>
      <c r="I367" s="14" t="s">
        <v>1125</v>
      </c>
      <c r="J367" s="628" t="s">
        <v>1922</v>
      </c>
      <c r="K367" s="14" t="s">
        <v>1174</v>
      </c>
      <c r="L367" s="628" t="s">
        <v>1922</v>
      </c>
      <c r="M367" s="180" t="s">
        <v>2850</v>
      </c>
      <c r="O367" s="14" t="s">
        <v>1171</v>
      </c>
    </row>
    <row r="368" spans="8:15">
      <c r="H368" s="14">
        <v>64152</v>
      </c>
      <c r="I368" s="14" t="s">
        <v>1125</v>
      </c>
      <c r="J368" s="628" t="s">
        <v>1922</v>
      </c>
      <c r="K368" s="14" t="s">
        <v>1174</v>
      </c>
      <c r="L368" s="628" t="s">
        <v>1922</v>
      </c>
      <c r="M368" s="180" t="s">
        <v>2850</v>
      </c>
    </row>
    <row r="369" spans="8:13">
      <c r="H369" s="14">
        <v>64475</v>
      </c>
      <c r="I369" s="14" t="s">
        <v>1126</v>
      </c>
      <c r="J369" s="14" t="s">
        <v>753</v>
      </c>
      <c r="K369" s="14" t="s">
        <v>1172</v>
      </c>
      <c r="L369" s="180" t="s">
        <v>1919</v>
      </c>
      <c r="M369" s="180" t="s">
        <v>798</v>
      </c>
    </row>
    <row r="370" spans="8:13">
      <c r="H370" s="14">
        <v>64777</v>
      </c>
      <c r="I370" s="14" t="s">
        <v>853</v>
      </c>
      <c r="J370" s="14" t="s">
        <v>753</v>
      </c>
      <c r="K370" s="14" t="s">
        <v>842</v>
      </c>
      <c r="L370" s="180" t="s">
        <v>1919</v>
      </c>
      <c r="M370" s="180" t="s">
        <v>798</v>
      </c>
    </row>
    <row r="371" spans="8:13">
      <c r="H371" s="14">
        <v>64670</v>
      </c>
      <c r="I371" s="14" t="s">
        <v>1052</v>
      </c>
      <c r="J371" s="14" t="s">
        <v>753</v>
      </c>
      <c r="K371" s="14" t="s">
        <v>1045</v>
      </c>
      <c r="L371" s="180" t="s">
        <v>1919</v>
      </c>
      <c r="M371" s="180" t="s">
        <v>798</v>
      </c>
    </row>
    <row r="372" spans="8:13">
      <c r="H372" s="14">
        <v>64078</v>
      </c>
      <c r="I372" s="14" t="s">
        <v>946</v>
      </c>
      <c r="J372" s="14" t="s">
        <v>753</v>
      </c>
      <c r="K372" s="14" t="s">
        <v>930</v>
      </c>
      <c r="L372" s="180" t="s">
        <v>1919</v>
      </c>
      <c r="M372" s="180" t="s">
        <v>798</v>
      </c>
    </row>
    <row r="373" spans="8:13">
      <c r="H373" s="14">
        <v>65250</v>
      </c>
      <c r="I373" s="14" t="s">
        <v>1111</v>
      </c>
      <c r="J373" s="14" t="s">
        <v>753</v>
      </c>
      <c r="K373" s="14" t="s">
        <v>1106</v>
      </c>
      <c r="L373" s="180" t="s">
        <v>1919</v>
      </c>
      <c r="M373" s="180" t="s">
        <v>798</v>
      </c>
    </row>
    <row r="374" spans="8:13">
      <c r="H374" s="14">
        <v>64476</v>
      </c>
      <c r="I374" s="14" t="s">
        <v>1129</v>
      </c>
      <c r="J374" s="14" t="s">
        <v>753</v>
      </c>
      <c r="K374" s="14" t="s">
        <v>1172</v>
      </c>
      <c r="L374" s="180" t="s">
        <v>1919</v>
      </c>
      <c r="M374" s="180" t="s">
        <v>798</v>
      </c>
    </row>
    <row r="375" spans="8:13">
      <c r="H375" s="14">
        <v>64079</v>
      </c>
      <c r="I375" s="14" t="s">
        <v>1130</v>
      </c>
      <c r="J375" s="628" t="s">
        <v>1922</v>
      </c>
      <c r="K375" s="14" t="s">
        <v>1174</v>
      </c>
      <c r="L375" s="628" t="s">
        <v>1922</v>
      </c>
      <c r="M375" s="180" t="s">
        <v>2850</v>
      </c>
    </row>
    <row r="376" spans="8:13">
      <c r="H376" s="14">
        <v>64151</v>
      </c>
      <c r="I376" s="14" t="s">
        <v>1132</v>
      </c>
      <c r="J376" s="628" t="s">
        <v>1922</v>
      </c>
      <c r="K376" s="14" t="s">
        <v>1174</v>
      </c>
      <c r="L376" s="628" t="s">
        <v>1922</v>
      </c>
      <c r="M376" s="180" t="s">
        <v>2850</v>
      </c>
    </row>
    <row r="377" spans="8:13">
      <c r="H377" s="14">
        <v>64477</v>
      </c>
      <c r="I377" s="14" t="s">
        <v>1033</v>
      </c>
      <c r="J377" s="14" t="s">
        <v>753</v>
      </c>
      <c r="K377" s="14" t="s">
        <v>910</v>
      </c>
      <c r="L377" s="180" t="s">
        <v>1919</v>
      </c>
      <c r="M377" s="180" t="s">
        <v>798</v>
      </c>
    </row>
    <row r="378" spans="8:13">
      <c r="H378" s="14">
        <v>64080</v>
      </c>
      <c r="I378" s="14" t="s">
        <v>948</v>
      </c>
      <c r="J378" s="14" t="s">
        <v>753</v>
      </c>
      <c r="K378" s="14" t="s">
        <v>930</v>
      </c>
      <c r="L378" s="180" t="s">
        <v>1919</v>
      </c>
      <c r="M378" s="180" t="s">
        <v>798</v>
      </c>
    </row>
    <row r="379" spans="8:13">
      <c r="H379" s="14">
        <v>64068</v>
      </c>
      <c r="I379" s="14" t="s">
        <v>1003</v>
      </c>
      <c r="J379" s="14" t="s">
        <v>753</v>
      </c>
      <c r="K379" s="14" t="s">
        <v>985</v>
      </c>
      <c r="L379" s="628" t="s">
        <v>754</v>
      </c>
      <c r="M379" s="180" t="s">
        <v>2850</v>
      </c>
    </row>
    <row r="380" spans="8:13">
      <c r="H380" s="14">
        <v>64780</v>
      </c>
      <c r="I380" s="14" t="s">
        <v>855</v>
      </c>
      <c r="J380" s="14" t="s">
        <v>753</v>
      </c>
      <c r="K380" s="14" t="s">
        <v>842</v>
      </c>
      <c r="L380" s="180" t="s">
        <v>1919</v>
      </c>
      <c r="M380" s="180" t="s">
        <v>798</v>
      </c>
    </row>
    <row r="381" spans="8:13">
      <c r="H381" s="14">
        <v>65281</v>
      </c>
      <c r="I381" s="14" t="s">
        <v>974</v>
      </c>
      <c r="J381" s="14" t="s">
        <v>753</v>
      </c>
      <c r="K381" s="14" t="s">
        <v>963</v>
      </c>
      <c r="L381" s="180" t="s">
        <v>1919</v>
      </c>
      <c r="M381" s="180" t="s">
        <v>798</v>
      </c>
    </row>
    <row r="382" spans="8:13">
      <c r="H382" s="14">
        <v>64673</v>
      </c>
      <c r="I382" s="14" t="s">
        <v>1133</v>
      </c>
      <c r="J382" s="14" t="s">
        <v>753</v>
      </c>
      <c r="K382" s="14" t="s">
        <v>1104</v>
      </c>
      <c r="L382" s="180" t="s">
        <v>1919</v>
      </c>
      <c r="M382" s="180" t="s">
        <v>798</v>
      </c>
    </row>
    <row r="383" spans="8:13">
      <c r="H383" s="14">
        <v>64478</v>
      </c>
      <c r="I383" s="14" t="s">
        <v>1134</v>
      </c>
      <c r="J383" s="14" t="s">
        <v>753</v>
      </c>
      <c r="K383" s="14" t="s">
        <v>1172</v>
      </c>
      <c r="L383" s="180" t="s">
        <v>1919</v>
      </c>
      <c r="M383" s="180" t="s">
        <v>798</v>
      </c>
    </row>
    <row r="384" spans="8:13">
      <c r="H384" s="14">
        <v>65355</v>
      </c>
      <c r="I384" s="14" t="s">
        <v>883</v>
      </c>
      <c r="J384" s="14" t="s">
        <v>753</v>
      </c>
      <c r="K384" s="14" t="s">
        <v>865</v>
      </c>
      <c r="L384" s="180" t="s">
        <v>1919</v>
      </c>
      <c r="M384" s="180" t="s">
        <v>798</v>
      </c>
    </row>
    <row r="385" spans="8:13">
      <c r="H385" s="14">
        <v>64117</v>
      </c>
      <c r="I385" s="14" t="s">
        <v>1004</v>
      </c>
      <c r="J385" s="14" t="s">
        <v>753</v>
      </c>
      <c r="K385" s="14" t="s">
        <v>985</v>
      </c>
      <c r="L385" s="628" t="s">
        <v>754</v>
      </c>
      <c r="M385" s="180" t="s">
        <v>2850</v>
      </c>
    </row>
    <row r="386" spans="8:13">
      <c r="H386" s="14">
        <v>64161</v>
      </c>
      <c r="I386" s="14" t="s">
        <v>1004</v>
      </c>
      <c r="J386" s="14" t="s">
        <v>753</v>
      </c>
      <c r="K386" s="14" t="s">
        <v>985</v>
      </c>
      <c r="L386" s="628" t="s">
        <v>754</v>
      </c>
      <c r="M386" s="180" t="s">
        <v>2850</v>
      </c>
    </row>
    <row r="387" spans="8:13">
      <c r="H387" s="14">
        <v>64479</v>
      </c>
      <c r="I387" s="14" t="s">
        <v>1135</v>
      </c>
      <c r="J387" s="14" t="s">
        <v>753</v>
      </c>
      <c r="K387" s="14" t="s">
        <v>1172</v>
      </c>
      <c r="L387" s="180" t="s">
        <v>1919</v>
      </c>
      <c r="M387" s="180" t="s">
        <v>798</v>
      </c>
    </row>
    <row r="388" spans="8:13">
      <c r="H388" s="14">
        <v>64083</v>
      </c>
      <c r="I388" s="14" t="s">
        <v>950</v>
      </c>
      <c r="J388" s="14" t="s">
        <v>753</v>
      </c>
      <c r="K388" s="14" t="s">
        <v>930</v>
      </c>
      <c r="L388" s="180" t="s">
        <v>1919</v>
      </c>
      <c r="M388" s="180" t="s">
        <v>2850</v>
      </c>
    </row>
    <row r="389" spans="8:13">
      <c r="H389" s="14">
        <v>64129</v>
      </c>
      <c r="I389" s="14" t="s">
        <v>762</v>
      </c>
      <c r="J389" s="628" t="s">
        <v>1922</v>
      </c>
      <c r="K389" s="14" t="s">
        <v>1115</v>
      </c>
      <c r="L389" s="14" t="s">
        <v>753</v>
      </c>
      <c r="M389" s="180" t="s">
        <v>2850</v>
      </c>
    </row>
    <row r="390" spans="8:13">
      <c r="H390" s="14">
        <v>64133</v>
      </c>
      <c r="I390" s="14" t="s">
        <v>762</v>
      </c>
      <c r="J390" s="628" t="s">
        <v>1922</v>
      </c>
      <c r="K390" s="14" t="s">
        <v>1115</v>
      </c>
      <c r="L390" s="14" t="s">
        <v>753</v>
      </c>
      <c r="M390" s="180" t="s">
        <v>2850</v>
      </c>
    </row>
    <row r="391" spans="8:13">
      <c r="H391" s="14">
        <v>64138</v>
      </c>
      <c r="I391" s="14" t="s">
        <v>762</v>
      </c>
      <c r="J391" s="628" t="s">
        <v>1922</v>
      </c>
      <c r="K391" s="14" t="s">
        <v>1115</v>
      </c>
      <c r="L391" s="14" t="s">
        <v>753</v>
      </c>
      <c r="M391" s="180" t="s">
        <v>2850</v>
      </c>
    </row>
    <row r="392" spans="8:13">
      <c r="H392" s="14">
        <v>64084</v>
      </c>
      <c r="I392" s="14" t="s">
        <v>1136</v>
      </c>
      <c r="J392" s="14" t="s">
        <v>753</v>
      </c>
      <c r="K392" s="14" t="s">
        <v>1175</v>
      </c>
      <c r="L392" s="180" t="s">
        <v>1919</v>
      </c>
      <c r="M392" s="180" t="s">
        <v>798</v>
      </c>
    </row>
    <row r="393" spans="8:13">
      <c r="H393" s="14">
        <v>64480</v>
      </c>
      <c r="I393" s="14" t="s">
        <v>808</v>
      </c>
      <c r="J393" s="14" t="s">
        <v>753</v>
      </c>
      <c r="K393" s="14" t="s">
        <v>797</v>
      </c>
      <c r="L393" s="180" t="s">
        <v>1919</v>
      </c>
      <c r="M393" s="180" t="s">
        <v>798</v>
      </c>
    </row>
    <row r="394" spans="8:13">
      <c r="H394" s="14">
        <v>65278</v>
      </c>
      <c r="I394" s="14" t="s">
        <v>1137</v>
      </c>
      <c r="J394" s="14" t="s">
        <v>753</v>
      </c>
      <c r="K394" s="14" t="s">
        <v>1004</v>
      </c>
      <c r="L394" s="180" t="s">
        <v>1919</v>
      </c>
      <c r="M394" s="180" t="s">
        <v>798</v>
      </c>
    </row>
    <row r="395" spans="8:13">
      <c r="H395" s="14">
        <v>64779</v>
      </c>
      <c r="I395" s="14" t="s">
        <v>857</v>
      </c>
      <c r="J395" s="14" t="s">
        <v>753</v>
      </c>
      <c r="K395" s="14" t="s">
        <v>842</v>
      </c>
      <c r="L395" s="180" t="s">
        <v>1919</v>
      </c>
      <c r="M395" s="180" t="s">
        <v>798</v>
      </c>
    </row>
    <row r="396" spans="8:13">
      <c r="H396" s="14">
        <v>64778</v>
      </c>
      <c r="I396" s="14" t="s">
        <v>1138</v>
      </c>
      <c r="J396" s="14" t="s">
        <v>753</v>
      </c>
      <c r="K396" s="14" t="s">
        <v>1178</v>
      </c>
      <c r="L396" s="180" t="s">
        <v>1919</v>
      </c>
      <c r="M396" s="180" t="s">
        <v>798</v>
      </c>
    </row>
    <row r="397" spans="8:13">
      <c r="H397" s="14">
        <v>64085</v>
      </c>
      <c r="I397" s="14" t="s">
        <v>1139</v>
      </c>
      <c r="J397" s="14" t="s">
        <v>753</v>
      </c>
      <c r="K397" s="14" t="s">
        <v>1175</v>
      </c>
      <c r="L397" s="180" t="s">
        <v>1919</v>
      </c>
      <c r="M397" s="180" t="s">
        <v>798</v>
      </c>
    </row>
    <row r="398" spans="8:13">
      <c r="H398" s="14">
        <v>64481</v>
      </c>
      <c r="I398" s="14" t="s">
        <v>1086</v>
      </c>
      <c r="J398" s="14" t="s">
        <v>753</v>
      </c>
      <c r="K398" s="14" t="s">
        <v>1076</v>
      </c>
      <c r="L398" s="180" t="s">
        <v>1919</v>
      </c>
      <c r="M398" s="180" t="s">
        <v>798</v>
      </c>
    </row>
    <row r="399" spans="8:13">
      <c r="H399" s="14">
        <v>64150</v>
      </c>
      <c r="I399" s="14" t="s">
        <v>763</v>
      </c>
      <c r="J399" s="628" t="s">
        <v>1922</v>
      </c>
      <c r="K399" s="14" t="s">
        <v>1174</v>
      </c>
      <c r="L399" s="628" t="s">
        <v>1922</v>
      </c>
      <c r="M399" s="180" t="s">
        <v>2850</v>
      </c>
    </row>
    <row r="400" spans="8:13">
      <c r="H400" s="14">
        <v>64151</v>
      </c>
      <c r="I400" s="14" t="s">
        <v>763</v>
      </c>
      <c r="J400" s="628" t="s">
        <v>1922</v>
      </c>
      <c r="K400" s="14" t="s">
        <v>1174</v>
      </c>
      <c r="L400" s="628" t="s">
        <v>1922</v>
      </c>
      <c r="M400" s="180" t="s">
        <v>2850</v>
      </c>
    </row>
    <row r="401" spans="8:13">
      <c r="H401" s="14">
        <v>64168</v>
      </c>
      <c r="I401" s="14" t="s">
        <v>763</v>
      </c>
      <c r="J401" s="628" t="s">
        <v>1922</v>
      </c>
      <c r="K401" s="14" t="s">
        <v>1174</v>
      </c>
      <c r="L401" s="628" t="s">
        <v>1922</v>
      </c>
      <c r="M401" s="180" t="s">
        <v>2850</v>
      </c>
    </row>
    <row r="402" spans="8:13">
      <c r="H402" s="14">
        <v>65230</v>
      </c>
      <c r="I402" s="14" t="s">
        <v>1113</v>
      </c>
      <c r="J402" s="14" t="s">
        <v>753</v>
      </c>
      <c r="K402" s="14" t="s">
        <v>1106</v>
      </c>
      <c r="L402" s="180" t="s">
        <v>1919</v>
      </c>
      <c r="M402" s="180" t="s">
        <v>798</v>
      </c>
    </row>
    <row r="403" spans="8:13">
      <c r="H403" s="14">
        <v>64482</v>
      </c>
      <c r="I403" s="14" t="s">
        <v>818</v>
      </c>
      <c r="J403" s="14" t="s">
        <v>753</v>
      </c>
      <c r="K403" s="14" t="s">
        <v>814</v>
      </c>
      <c r="L403" s="180" t="s">
        <v>1919</v>
      </c>
      <c r="M403" s="180" t="s">
        <v>798</v>
      </c>
    </row>
    <row r="404" spans="8:13">
      <c r="H404" s="14">
        <v>64780</v>
      </c>
      <c r="I404" s="14" t="s">
        <v>859</v>
      </c>
      <c r="J404" s="14" t="s">
        <v>753</v>
      </c>
      <c r="K404" s="14" t="s">
        <v>842</v>
      </c>
      <c r="L404" s="180" t="s">
        <v>1919</v>
      </c>
      <c r="M404" s="180" t="s">
        <v>798</v>
      </c>
    </row>
    <row r="405" spans="8:13">
      <c r="H405" s="14">
        <v>64781</v>
      </c>
      <c r="I405" s="14" t="s">
        <v>1140</v>
      </c>
      <c r="J405" s="14" t="s">
        <v>753</v>
      </c>
      <c r="K405" s="14" t="s">
        <v>1176</v>
      </c>
      <c r="L405" s="180" t="s">
        <v>1919</v>
      </c>
      <c r="M405" s="180" t="s">
        <v>798</v>
      </c>
    </row>
    <row r="406" spans="8:13">
      <c r="H406" s="14">
        <v>64483</v>
      </c>
      <c r="I406" s="14" t="s">
        <v>810</v>
      </c>
      <c r="J406" s="14" t="s">
        <v>753</v>
      </c>
      <c r="K406" s="14" t="s">
        <v>797</v>
      </c>
      <c r="L406" s="180" t="s">
        <v>1919</v>
      </c>
      <c r="M406" s="180" t="s">
        <v>798</v>
      </c>
    </row>
    <row r="407" spans="8:13">
      <c r="H407" s="14">
        <v>64676</v>
      </c>
      <c r="I407" s="14" t="s">
        <v>976</v>
      </c>
      <c r="J407" s="14" t="s">
        <v>753</v>
      </c>
      <c r="K407" s="14" t="s">
        <v>963</v>
      </c>
      <c r="L407" s="180" t="s">
        <v>1919</v>
      </c>
      <c r="M407" s="180" t="s">
        <v>798</v>
      </c>
    </row>
    <row r="408" spans="8:13">
      <c r="H408" s="14">
        <v>65243</v>
      </c>
      <c r="I408" s="14" t="s">
        <v>1141</v>
      </c>
      <c r="J408" s="14" t="s">
        <v>753</v>
      </c>
      <c r="K408" s="14" t="s">
        <v>1004</v>
      </c>
      <c r="L408" s="180" t="s">
        <v>1919</v>
      </c>
      <c r="M408" s="180" t="s">
        <v>798</v>
      </c>
    </row>
    <row r="409" spans="8:13">
      <c r="H409" s="14">
        <v>64484</v>
      </c>
      <c r="I409" s="14" t="s">
        <v>901</v>
      </c>
      <c r="J409" s="14" t="s">
        <v>753</v>
      </c>
      <c r="K409" s="14" t="s">
        <v>893</v>
      </c>
      <c r="L409" s="180" t="s">
        <v>1919</v>
      </c>
      <c r="M409" s="180" t="s">
        <v>798</v>
      </c>
    </row>
    <row r="410" spans="8:13">
      <c r="H410" s="14">
        <v>65326</v>
      </c>
      <c r="I410" s="14" t="s">
        <v>885</v>
      </c>
      <c r="J410" s="14" t="s">
        <v>753</v>
      </c>
      <c r="K410" s="14" t="s">
        <v>865</v>
      </c>
      <c r="L410" s="180" t="s">
        <v>1919</v>
      </c>
      <c r="M410" s="180" t="s">
        <v>798</v>
      </c>
    </row>
    <row r="411" spans="8:13">
      <c r="H411" s="14">
        <v>64501</v>
      </c>
      <c r="I411" s="14" t="s">
        <v>903</v>
      </c>
      <c r="J411" s="14" t="s">
        <v>753</v>
      </c>
      <c r="K411" s="14" t="s">
        <v>893</v>
      </c>
      <c r="L411" s="180" t="s">
        <v>1919</v>
      </c>
      <c r="M411" s="180" t="s">
        <v>798</v>
      </c>
    </row>
    <row r="412" spans="8:13">
      <c r="H412" s="14">
        <v>64502</v>
      </c>
      <c r="I412" s="14" t="s">
        <v>903</v>
      </c>
      <c r="J412" s="14" t="s">
        <v>753</v>
      </c>
      <c r="K412" s="14" t="s">
        <v>893</v>
      </c>
      <c r="L412" s="180" t="s">
        <v>1919</v>
      </c>
      <c r="M412" s="180" t="s">
        <v>798</v>
      </c>
    </row>
    <row r="413" spans="8:13">
      <c r="H413" s="14">
        <v>64503</v>
      </c>
      <c r="I413" s="14" t="s">
        <v>903</v>
      </c>
      <c r="J413" s="14" t="s">
        <v>753</v>
      </c>
      <c r="K413" s="14" t="s">
        <v>893</v>
      </c>
      <c r="L413" s="180" t="s">
        <v>1919</v>
      </c>
      <c r="M413" s="180" t="s">
        <v>798</v>
      </c>
    </row>
    <row r="414" spans="8:13">
      <c r="H414" s="14">
        <v>64504</v>
      </c>
      <c r="I414" s="14" t="s">
        <v>903</v>
      </c>
      <c r="J414" s="14" t="s">
        <v>753</v>
      </c>
      <c r="K414" s="14" t="s">
        <v>893</v>
      </c>
      <c r="L414" s="180" t="s">
        <v>1919</v>
      </c>
      <c r="M414" s="180" t="s">
        <v>798</v>
      </c>
    </row>
    <row r="415" spans="8:13">
      <c r="H415" s="14">
        <v>64505</v>
      </c>
      <c r="I415" s="14" t="s">
        <v>903</v>
      </c>
      <c r="J415" s="14" t="s">
        <v>753</v>
      </c>
      <c r="K415" s="14" t="s">
        <v>893</v>
      </c>
      <c r="L415" s="180" t="s">
        <v>1919</v>
      </c>
      <c r="M415" s="180" t="s">
        <v>798</v>
      </c>
    </row>
    <row r="416" spans="8:13">
      <c r="H416" s="14">
        <v>64506</v>
      </c>
      <c r="I416" s="14" t="s">
        <v>903</v>
      </c>
      <c r="J416" s="14" t="s">
        <v>753</v>
      </c>
      <c r="K416" s="14" t="s">
        <v>893</v>
      </c>
      <c r="L416" s="180" t="s">
        <v>1919</v>
      </c>
      <c r="M416" s="180" t="s">
        <v>798</v>
      </c>
    </row>
    <row r="417" spans="8:13">
      <c r="H417" s="14">
        <v>64507</v>
      </c>
      <c r="I417" s="14" t="s">
        <v>903</v>
      </c>
      <c r="J417" s="14" t="s">
        <v>753</v>
      </c>
      <c r="K417" s="14" t="s">
        <v>893</v>
      </c>
      <c r="L417" s="180" t="s">
        <v>1919</v>
      </c>
      <c r="M417" s="180" t="s">
        <v>798</v>
      </c>
    </row>
    <row r="418" spans="8:13">
      <c r="H418" s="14">
        <v>64508</v>
      </c>
      <c r="I418" s="14" t="s">
        <v>903</v>
      </c>
      <c r="J418" s="14" t="s">
        <v>753</v>
      </c>
      <c r="K418" s="14" t="s">
        <v>893</v>
      </c>
      <c r="L418" s="180" t="s">
        <v>1919</v>
      </c>
      <c r="M418" s="180" t="s">
        <v>798</v>
      </c>
    </row>
    <row r="419" spans="8:13">
      <c r="H419" s="14">
        <v>65349</v>
      </c>
      <c r="I419" s="14" t="s">
        <v>1142</v>
      </c>
      <c r="J419" s="14" t="s">
        <v>753</v>
      </c>
      <c r="K419" s="14" t="s">
        <v>1177</v>
      </c>
      <c r="L419" s="180" t="s">
        <v>1919</v>
      </c>
      <c r="M419" s="180" t="s">
        <v>798</v>
      </c>
    </row>
    <row r="420" spans="8:13">
      <c r="H420" s="14">
        <v>65281</v>
      </c>
      <c r="I420" s="14" t="s">
        <v>978</v>
      </c>
      <c r="J420" s="14" t="s">
        <v>753</v>
      </c>
      <c r="K420" s="14" t="s">
        <v>963</v>
      </c>
      <c r="L420" s="180" t="s">
        <v>1919</v>
      </c>
      <c r="M420" s="180" t="s">
        <v>798</v>
      </c>
    </row>
    <row r="421" spans="8:13">
      <c r="H421" s="14">
        <v>65351</v>
      </c>
      <c r="I421" s="14" t="s">
        <v>1143</v>
      </c>
      <c r="J421" s="14" t="s">
        <v>753</v>
      </c>
      <c r="K421" s="14" t="s">
        <v>1177</v>
      </c>
      <c r="L421" s="180" t="s">
        <v>1919</v>
      </c>
      <c r="M421" s="180" t="s">
        <v>798</v>
      </c>
    </row>
    <row r="422" spans="8:13">
      <c r="H422" s="14">
        <v>64485</v>
      </c>
      <c r="I422" s="14" t="s">
        <v>811</v>
      </c>
      <c r="J422" s="14" t="s">
        <v>753</v>
      </c>
      <c r="K422" s="14" t="s">
        <v>797</v>
      </c>
      <c r="L422" s="180" t="s">
        <v>1919</v>
      </c>
      <c r="M422" s="180" t="s">
        <v>798</v>
      </c>
    </row>
    <row r="423" spans="8:13">
      <c r="H423" s="14">
        <v>64783</v>
      </c>
      <c r="I423" s="14" t="s">
        <v>1144</v>
      </c>
      <c r="J423" s="14" t="s">
        <v>753</v>
      </c>
      <c r="K423" s="14" t="s">
        <v>1178</v>
      </c>
      <c r="L423" s="180" t="s">
        <v>1919</v>
      </c>
      <c r="M423" s="180" t="s">
        <v>798</v>
      </c>
    </row>
    <row r="424" spans="8:13">
      <c r="H424" s="14">
        <v>65301</v>
      </c>
      <c r="I424" s="14" t="s">
        <v>761</v>
      </c>
      <c r="J424" s="180" t="s">
        <v>753</v>
      </c>
      <c r="K424" s="14" t="s">
        <v>1173</v>
      </c>
      <c r="L424" s="180" t="s">
        <v>1919</v>
      </c>
      <c r="M424" s="180" t="s">
        <v>798</v>
      </c>
    </row>
    <row r="425" spans="8:13">
      <c r="H425" s="14">
        <v>65302</v>
      </c>
      <c r="I425" s="14" t="s">
        <v>761</v>
      </c>
      <c r="J425" s="180" t="s">
        <v>753</v>
      </c>
      <c r="K425" s="14" t="s">
        <v>1173</v>
      </c>
      <c r="L425" s="180" t="s">
        <v>1919</v>
      </c>
      <c r="M425" s="180" t="s">
        <v>798</v>
      </c>
    </row>
    <row r="426" spans="8:13">
      <c r="H426" s="14">
        <v>65349</v>
      </c>
      <c r="I426" s="14" t="s">
        <v>1145</v>
      </c>
      <c r="J426" s="14" t="s">
        <v>753</v>
      </c>
      <c r="K426" s="14" t="s">
        <v>1177</v>
      </c>
      <c r="L426" s="180" t="s">
        <v>1919</v>
      </c>
      <c r="M426" s="180" t="s">
        <v>798</v>
      </c>
    </row>
    <row r="427" spans="8:13">
      <c r="H427" s="14">
        <v>64784</v>
      </c>
      <c r="I427" s="14" t="s">
        <v>1146</v>
      </c>
      <c r="J427" s="14" t="s">
        <v>753</v>
      </c>
      <c r="K427" s="14" t="s">
        <v>1178</v>
      </c>
      <c r="L427" s="180" t="s">
        <v>1919</v>
      </c>
      <c r="M427" s="180" t="s">
        <v>798</v>
      </c>
    </row>
    <row r="428" spans="8:13">
      <c r="H428" s="14">
        <v>64486</v>
      </c>
      <c r="I428" s="14" t="s">
        <v>1147</v>
      </c>
      <c r="J428" s="14" t="s">
        <v>753</v>
      </c>
      <c r="K428" s="14" t="s">
        <v>1170</v>
      </c>
      <c r="L428" s="180" t="s">
        <v>1919</v>
      </c>
      <c r="M428" s="180" t="s">
        <v>798</v>
      </c>
    </row>
    <row r="429" spans="8:13">
      <c r="H429" s="14">
        <v>64088</v>
      </c>
      <c r="I429" s="14" t="s">
        <v>1127</v>
      </c>
      <c r="J429" s="180" t="s">
        <v>753</v>
      </c>
      <c r="K429" s="14" t="s">
        <v>1115</v>
      </c>
      <c r="L429" s="14" t="s">
        <v>753</v>
      </c>
      <c r="M429" s="180" t="s">
        <v>2850</v>
      </c>
    </row>
    <row r="430" spans="8:13">
      <c r="H430" s="14">
        <v>64487</v>
      </c>
      <c r="I430" s="14" t="s">
        <v>1148</v>
      </c>
      <c r="J430" s="14" t="s">
        <v>753</v>
      </c>
      <c r="K430" s="14" t="s">
        <v>1172</v>
      </c>
      <c r="L430" s="180" t="s">
        <v>1919</v>
      </c>
      <c r="M430" s="180" t="s">
        <v>798</v>
      </c>
    </row>
    <row r="431" spans="8:13">
      <c r="H431" s="14">
        <v>65349</v>
      </c>
      <c r="I431" s="14" t="s">
        <v>1149</v>
      </c>
      <c r="J431" s="14" t="s">
        <v>753</v>
      </c>
      <c r="K431" s="14" t="s">
        <v>1177</v>
      </c>
      <c r="L431" s="180" t="s">
        <v>1919</v>
      </c>
      <c r="M431" s="180" t="s">
        <v>798</v>
      </c>
    </row>
    <row r="432" spans="8:13">
      <c r="H432" s="14">
        <v>65350</v>
      </c>
      <c r="I432" s="14" t="s">
        <v>1150</v>
      </c>
      <c r="J432" s="14" t="s">
        <v>753</v>
      </c>
      <c r="K432" s="14" t="s">
        <v>1173</v>
      </c>
      <c r="L432" s="180" t="s">
        <v>1919</v>
      </c>
      <c r="M432" s="180" t="s">
        <v>798</v>
      </c>
    </row>
    <row r="433" spans="8:13">
      <c r="H433" s="14">
        <v>64089</v>
      </c>
      <c r="I433" s="14" t="s">
        <v>766</v>
      </c>
      <c r="J433" s="180" t="s">
        <v>754</v>
      </c>
      <c r="K433" s="14" t="s">
        <v>985</v>
      </c>
      <c r="L433" s="628" t="s">
        <v>754</v>
      </c>
      <c r="M433" s="180" t="s">
        <v>2850</v>
      </c>
    </row>
    <row r="434" spans="8:13">
      <c r="H434" s="14">
        <v>65286</v>
      </c>
      <c r="I434" s="14" t="s">
        <v>980</v>
      </c>
      <c r="J434" s="14" t="s">
        <v>753</v>
      </c>
      <c r="K434" s="14" t="s">
        <v>963</v>
      </c>
      <c r="L434" s="180" t="s">
        <v>1919</v>
      </c>
      <c r="M434" s="180" t="s">
        <v>798</v>
      </c>
    </row>
    <row r="435" spans="8:13">
      <c r="H435" s="14">
        <v>65752</v>
      </c>
      <c r="I435" s="14" t="s">
        <v>1043</v>
      </c>
      <c r="J435" s="14" t="s">
        <v>753</v>
      </c>
      <c r="K435" s="14" t="s">
        <v>1037</v>
      </c>
      <c r="L435" s="180" t="s">
        <v>1919</v>
      </c>
      <c r="M435" s="180" t="s">
        <v>798</v>
      </c>
    </row>
    <row r="436" spans="8:13">
      <c r="H436" s="14">
        <v>64679</v>
      </c>
      <c r="I436" s="14" t="s">
        <v>1074</v>
      </c>
      <c r="J436" s="14" t="s">
        <v>753</v>
      </c>
      <c r="K436" s="14" t="s">
        <v>1073</v>
      </c>
      <c r="L436" s="180" t="s">
        <v>1919</v>
      </c>
      <c r="M436" s="180" t="s">
        <v>798</v>
      </c>
    </row>
    <row r="437" spans="8:13">
      <c r="H437" s="14">
        <v>65301</v>
      </c>
      <c r="I437" s="14" t="s">
        <v>1151</v>
      </c>
      <c r="J437" s="14" t="s">
        <v>753</v>
      </c>
      <c r="K437" s="14" t="s">
        <v>1173</v>
      </c>
      <c r="L437" s="180" t="s">
        <v>1919</v>
      </c>
      <c r="M437" s="180" t="s">
        <v>798</v>
      </c>
    </row>
    <row r="438" spans="8:13">
      <c r="H438" s="14">
        <v>64489</v>
      </c>
      <c r="I438" s="14" t="s">
        <v>1071</v>
      </c>
      <c r="J438" s="14" t="s">
        <v>753</v>
      </c>
      <c r="K438" s="14" t="s">
        <v>1005</v>
      </c>
      <c r="L438" s="180" t="s">
        <v>1919</v>
      </c>
      <c r="M438" s="180" t="s">
        <v>798</v>
      </c>
    </row>
    <row r="439" spans="8:13">
      <c r="H439" s="14">
        <v>64680</v>
      </c>
      <c r="I439" s="14" t="s">
        <v>925</v>
      </c>
      <c r="J439" s="14" t="s">
        <v>753</v>
      </c>
      <c r="K439" s="14" t="s">
        <v>915</v>
      </c>
      <c r="L439" s="180" t="s">
        <v>1919</v>
      </c>
      <c r="M439" s="180" t="s">
        <v>798</v>
      </c>
    </row>
    <row r="440" spans="8:13">
      <c r="H440" s="14">
        <v>64490</v>
      </c>
      <c r="I440" s="14" t="s">
        <v>1059</v>
      </c>
      <c r="J440" s="14" t="s">
        <v>753</v>
      </c>
      <c r="K440" s="14" t="s">
        <v>1054</v>
      </c>
      <c r="L440" s="180" t="s">
        <v>1919</v>
      </c>
      <c r="M440" s="180" t="s">
        <v>798</v>
      </c>
    </row>
    <row r="441" spans="8:13">
      <c r="H441" s="14">
        <v>65785</v>
      </c>
      <c r="I441" s="14" t="s">
        <v>962</v>
      </c>
      <c r="J441" s="14" t="s">
        <v>753</v>
      </c>
      <c r="K441" s="14" t="s">
        <v>957</v>
      </c>
      <c r="L441" s="180" t="s">
        <v>1919</v>
      </c>
      <c r="M441" s="180" t="s">
        <v>798</v>
      </c>
    </row>
    <row r="442" spans="8:13">
      <c r="H442" s="14">
        <v>64752</v>
      </c>
      <c r="I442" s="14" t="s">
        <v>861</v>
      </c>
      <c r="J442" s="14" t="s">
        <v>753</v>
      </c>
      <c r="K442" s="14" t="s">
        <v>842</v>
      </c>
      <c r="L442" s="180" t="s">
        <v>1919</v>
      </c>
      <c r="M442" s="180" t="s">
        <v>798</v>
      </c>
    </row>
    <row r="443" spans="8:13">
      <c r="H443" s="14">
        <v>64090</v>
      </c>
      <c r="I443" s="14" t="s">
        <v>953</v>
      </c>
      <c r="J443" s="14" t="s">
        <v>753</v>
      </c>
      <c r="K443" s="14" t="s">
        <v>930</v>
      </c>
      <c r="L443" s="180" t="s">
        <v>1919</v>
      </c>
      <c r="M443" s="180" t="s">
        <v>798</v>
      </c>
    </row>
    <row r="444" spans="8:13">
      <c r="H444" s="14">
        <v>64054</v>
      </c>
      <c r="I444" s="14" t="s">
        <v>1128</v>
      </c>
      <c r="J444" s="14" t="s">
        <v>753</v>
      </c>
      <c r="K444" s="14" t="s">
        <v>1115</v>
      </c>
      <c r="L444" s="14" t="s">
        <v>753</v>
      </c>
      <c r="M444" s="180" t="s">
        <v>2850</v>
      </c>
    </row>
    <row r="445" spans="8:13">
      <c r="H445" s="14">
        <v>64681</v>
      </c>
      <c r="I445" s="14" t="s">
        <v>982</v>
      </c>
      <c r="J445" s="14" t="s">
        <v>753</v>
      </c>
      <c r="K445" s="14" t="s">
        <v>963</v>
      </c>
      <c r="L445" s="180" t="s">
        <v>1919</v>
      </c>
      <c r="M445" s="180" t="s">
        <v>798</v>
      </c>
    </row>
    <row r="446" spans="8:13">
      <c r="H446" s="14">
        <v>65351</v>
      </c>
      <c r="I446" s="14" t="s">
        <v>1152</v>
      </c>
      <c r="J446" s="14" t="s">
        <v>753</v>
      </c>
      <c r="K446" s="14" t="s">
        <v>1177</v>
      </c>
      <c r="L446" s="180" t="s">
        <v>1919</v>
      </c>
      <c r="M446" s="180" t="s">
        <v>798</v>
      </c>
    </row>
    <row r="447" spans="8:13">
      <c r="H447" s="14">
        <v>64780</v>
      </c>
      <c r="I447" s="14" t="s">
        <v>862</v>
      </c>
      <c r="J447" s="14" t="s">
        <v>753</v>
      </c>
      <c r="K447" s="14" t="s">
        <v>842</v>
      </c>
      <c r="L447" s="180" t="s">
        <v>1919</v>
      </c>
      <c r="M447" s="180" t="s">
        <v>798</v>
      </c>
    </row>
    <row r="448" spans="8:13">
      <c r="H448" s="14">
        <v>64448</v>
      </c>
      <c r="I448" s="14" t="s">
        <v>912</v>
      </c>
      <c r="J448" s="14" t="s">
        <v>753</v>
      </c>
      <c r="K448" s="14" t="s">
        <v>893</v>
      </c>
      <c r="L448" s="180" t="s">
        <v>1919</v>
      </c>
      <c r="M448" s="180" t="s">
        <v>798</v>
      </c>
    </row>
    <row r="449" spans="8:13">
      <c r="H449" s="14">
        <v>64491</v>
      </c>
      <c r="I449" s="14" t="s">
        <v>820</v>
      </c>
      <c r="J449" s="14" t="s">
        <v>753</v>
      </c>
      <c r="K449" s="14" t="s">
        <v>814</v>
      </c>
      <c r="L449" s="180" t="s">
        <v>1919</v>
      </c>
      <c r="M449" s="180" t="s">
        <v>798</v>
      </c>
    </row>
    <row r="450" spans="8:13">
      <c r="H450" s="14">
        <v>65244</v>
      </c>
      <c r="I450" s="14" t="s">
        <v>1153</v>
      </c>
      <c r="J450" s="14" t="s">
        <v>753</v>
      </c>
      <c r="K450" s="14" t="s">
        <v>1004</v>
      </c>
      <c r="L450" s="180" t="s">
        <v>1919</v>
      </c>
      <c r="M450" s="180" t="s">
        <v>798</v>
      </c>
    </row>
    <row r="451" spans="8:13">
      <c r="H451" s="14">
        <v>64735</v>
      </c>
      <c r="I451" s="14" t="s">
        <v>1096</v>
      </c>
      <c r="J451" s="14" t="s">
        <v>753</v>
      </c>
      <c r="K451" s="14" t="s">
        <v>1087</v>
      </c>
      <c r="L451" s="180" t="s">
        <v>1919</v>
      </c>
      <c r="M451" s="180" t="s">
        <v>798</v>
      </c>
    </row>
    <row r="452" spans="8:13">
      <c r="H452" s="14">
        <v>64682</v>
      </c>
      <c r="I452" s="14" t="s">
        <v>926</v>
      </c>
      <c r="J452" s="14" t="s">
        <v>753</v>
      </c>
      <c r="K452" s="14" t="s">
        <v>915</v>
      </c>
      <c r="L452" s="180" t="s">
        <v>1919</v>
      </c>
      <c r="M452" s="180" t="s">
        <v>798</v>
      </c>
    </row>
    <row r="453" spans="8:13">
      <c r="H453" s="14">
        <v>64079</v>
      </c>
      <c r="I453" s="14" t="s">
        <v>1155</v>
      </c>
      <c r="J453" s="628" t="s">
        <v>1922</v>
      </c>
      <c r="K453" s="14" t="s">
        <v>1174</v>
      </c>
      <c r="L453" s="628" t="s">
        <v>1922</v>
      </c>
      <c r="M453" s="180" t="s">
        <v>2850</v>
      </c>
    </row>
    <row r="454" spans="8:13">
      <c r="H454" s="14">
        <v>64683</v>
      </c>
      <c r="I454" s="14" t="s">
        <v>1075</v>
      </c>
      <c r="J454" s="14" t="s">
        <v>753</v>
      </c>
      <c r="K454" s="14" t="s">
        <v>1073</v>
      </c>
      <c r="L454" s="180" t="s">
        <v>1919</v>
      </c>
      <c r="M454" s="180" t="s">
        <v>798</v>
      </c>
    </row>
    <row r="455" spans="8:13">
      <c r="H455" s="14">
        <v>64492</v>
      </c>
      <c r="I455" s="14" t="s">
        <v>1034</v>
      </c>
      <c r="J455" s="14" t="s">
        <v>753</v>
      </c>
      <c r="K455" s="14" t="s">
        <v>910</v>
      </c>
      <c r="L455" s="180" t="s">
        <v>1919</v>
      </c>
      <c r="M455" s="180" t="s">
        <v>798</v>
      </c>
    </row>
    <row r="456" spans="8:13">
      <c r="H456" s="14">
        <v>65286</v>
      </c>
      <c r="I456" s="14" t="s">
        <v>984</v>
      </c>
      <c r="J456" s="14" t="s">
        <v>753</v>
      </c>
      <c r="K456" s="14" t="s">
        <v>963</v>
      </c>
      <c r="L456" s="180" t="s">
        <v>1919</v>
      </c>
      <c r="M456" s="180" t="s">
        <v>798</v>
      </c>
    </row>
    <row r="457" spans="8:13">
      <c r="H457" s="14">
        <v>64493</v>
      </c>
      <c r="I457" s="14" t="s">
        <v>1035</v>
      </c>
      <c r="J457" s="14" t="s">
        <v>753</v>
      </c>
      <c r="K457" s="14" t="s">
        <v>910</v>
      </c>
      <c r="L457" s="180" t="s">
        <v>1919</v>
      </c>
      <c r="M457" s="180" t="s">
        <v>798</v>
      </c>
    </row>
    <row r="458" spans="8:13">
      <c r="H458" s="14">
        <v>64494</v>
      </c>
      <c r="I458" s="14" t="s">
        <v>1061</v>
      </c>
      <c r="J458" s="14" t="s">
        <v>753</v>
      </c>
      <c r="K458" s="14" t="s">
        <v>1054</v>
      </c>
      <c r="L458" s="180" t="s">
        <v>1919</v>
      </c>
      <c r="M458" s="180" t="s">
        <v>798</v>
      </c>
    </row>
    <row r="459" spans="8:13">
      <c r="H459" s="14">
        <v>64063</v>
      </c>
      <c r="I459" s="14" t="s">
        <v>1131</v>
      </c>
      <c r="J459" s="180" t="s">
        <v>753</v>
      </c>
      <c r="K459" s="14" t="s">
        <v>1115</v>
      </c>
      <c r="L459" s="14" t="s">
        <v>753</v>
      </c>
      <c r="M459" s="180" t="s">
        <v>2850</v>
      </c>
    </row>
    <row r="460" spans="8:13">
      <c r="H460" s="14">
        <v>64064</v>
      </c>
      <c r="I460" s="14" t="s">
        <v>1131</v>
      </c>
      <c r="J460" s="180" t="s">
        <v>753</v>
      </c>
      <c r="K460" s="14" t="s">
        <v>1115</v>
      </c>
      <c r="L460" s="14" t="s">
        <v>753</v>
      </c>
      <c r="M460" s="180" t="s">
        <v>2850</v>
      </c>
    </row>
    <row r="461" spans="8:13">
      <c r="H461" s="14">
        <v>64065</v>
      </c>
      <c r="I461" s="14" t="s">
        <v>1131</v>
      </c>
      <c r="J461" s="180" t="s">
        <v>753</v>
      </c>
      <c r="K461" s="14" t="s">
        <v>1115</v>
      </c>
      <c r="L461" s="14" t="s">
        <v>753</v>
      </c>
      <c r="M461" s="180" t="s">
        <v>2850</v>
      </c>
    </row>
    <row r="462" spans="8:13">
      <c r="H462" s="14">
        <v>65270</v>
      </c>
      <c r="I462" s="14" t="s">
        <v>1157</v>
      </c>
      <c r="J462" s="14" t="s">
        <v>753</v>
      </c>
      <c r="K462" s="14" t="s">
        <v>1004</v>
      </c>
      <c r="L462" s="180" t="s">
        <v>1919</v>
      </c>
      <c r="M462" s="180" t="s">
        <v>798</v>
      </c>
    </row>
    <row r="463" spans="8:13">
      <c r="H463" s="14">
        <v>64788</v>
      </c>
      <c r="I463" s="14" t="s">
        <v>1098</v>
      </c>
      <c r="J463" s="14" t="s">
        <v>753</v>
      </c>
      <c r="K463" s="14" t="s">
        <v>1087</v>
      </c>
      <c r="L463" s="180" t="s">
        <v>1919</v>
      </c>
      <c r="M463" s="180" t="s">
        <v>798</v>
      </c>
    </row>
    <row r="464" spans="8:13">
      <c r="H464" s="14">
        <v>64686</v>
      </c>
      <c r="I464" s="14" t="s">
        <v>1159</v>
      </c>
      <c r="J464" s="14" t="s">
        <v>753</v>
      </c>
      <c r="K464" s="14" t="s">
        <v>1168</v>
      </c>
      <c r="L464" s="180" t="s">
        <v>1919</v>
      </c>
      <c r="M464" s="180" t="s">
        <v>798</v>
      </c>
    </row>
    <row r="465" spans="8:13">
      <c r="H465" s="14">
        <v>65336</v>
      </c>
      <c r="I465" s="14" t="s">
        <v>1156</v>
      </c>
      <c r="J465" s="14" t="s">
        <v>753</v>
      </c>
      <c r="K465" s="14" t="s">
        <v>1154</v>
      </c>
      <c r="L465" s="180" t="s">
        <v>1919</v>
      </c>
      <c r="M465" s="180" t="s">
        <v>798</v>
      </c>
    </row>
    <row r="466" spans="8:13">
      <c r="H466" s="14">
        <v>64118</v>
      </c>
      <c r="I466" s="14" t="s">
        <v>1024</v>
      </c>
      <c r="J466" s="14" t="s">
        <v>753</v>
      </c>
      <c r="K466" s="14" t="s">
        <v>985</v>
      </c>
      <c r="L466" s="628" t="s">
        <v>754</v>
      </c>
      <c r="M466" s="180" t="s">
        <v>2850</v>
      </c>
    </row>
    <row r="467" spans="8:13">
      <c r="H467" s="14">
        <v>64789</v>
      </c>
      <c r="I467" s="14" t="s">
        <v>1161</v>
      </c>
      <c r="J467" s="14" t="s">
        <v>753</v>
      </c>
      <c r="K467" s="14" t="s">
        <v>1176</v>
      </c>
      <c r="L467" s="180" t="s">
        <v>1919</v>
      </c>
      <c r="M467" s="180" t="s">
        <v>798</v>
      </c>
    </row>
    <row r="468" spans="8:13">
      <c r="H468" s="14">
        <v>64687</v>
      </c>
      <c r="I468" s="14" t="s">
        <v>928</v>
      </c>
      <c r="J468" s="14" t="s">
        <v>753</v>
      </c>
      <c r="K468" s="14" t="s">
        <v>915</v>
      </c>
      <c r="L468" s="180" t="s">
        <v>1919</v>
      </c>
      <c r="M468" s="180" t="s">
        <v>798</v>
      </c>
    </row>
    <row r="469" spans="8:13">
      <c r="H469" s="14">
        <v>64092</v>
      </c>
      <c r="I469" s="14" t="s">
        <v>1162</v>
      </c>
      <c r="J469" s="180" t="s">
        <v>753</v>
      </c>
      <c r="K469" s="14" t="s">
        <v>1174</v>
      </c>
      <c r="L469" s="628" t="s">
        <v>1922</v>
      </c>
      <c r="M469" s="180" t="s">
        <v>2850</v>
      </c>
    </row>
    <row r="470" spans="8:13">
      <c r="H470" s="14">
        <v>64790</v>
      </c>
      <c r="I470" s="14" t="s">
        <v>1163</v>
      </c>
      <c r="J470" s="14" t="s">
        <v>753</v>
      </c>
      <c r="K470" s="14" t="s">
        <v>1178</v>
      </c>
      <c r="L470" s="180" t="s">
        <v>1919</v>
      </c>
      <c r="M470" s="180" t="s">
        <v>798</v>
      </c>
    </row>
    <row r="471" spans="8:13">
      <c r="H471" s="14">
        <v>64093</v>
      </c>
      <c r="I471" s="14" t="s">
        <v>767</v>
      </c>
      <c r="J471" s="628" t="s">
        <v>1922</v>
      </c>
      <c r="K471" s="14" t="s">
        <v>1154</v>
      </c>
      <c r="L471" s="180" t="s">
        <v>1919</v>
      </c>
      <c r="M471" s="180" t="s">
        <v>2850</v>
      </c>
    </row>
    <row r="472" spans="8:13">
      <c r="H472" s="14">
        <v>65355</v>
      </c>
      <c r="I472" s="14" t="s">
        <v>887</v>
      </c>
      <c r="J472" s="14" t="s">
        <v>753</v>
      </c>
      <c r="K472" s="14" t="s">
        <v>865</v>
      </c>
      <c r="L472" s="180" t="s">
        <v>1919</v>
      </c>
      <c r="M472" s="180" t="s">
        <v>798</v>
      </c>
    </row>
    <row r="473" spans="8:13">
      <c r="H473" s="14">
        <v>64496</v>
      </c>
      <c r="I473" s="14" t="s">
        <v>822</v>
      </c>
      <c r="J473" s="14" t="s">
        <v>753</v>
      </c>
      <c r="K473" s="14" t="s">
        <v>814</v>
      </c>
      <c r="L473" s="180" t="s">
        <v>1919</v>
      </c>
      <c r="M473" s="180" t="s">
        <v>798</v>
      </c>
    </row>
    <row r="474" spans="8:13">
      <c r="H474" s="14">
        <v>64096</v>
      </c>
      <c r="I474" s="14" t="s">
        <v>1164</v>
      </c>
      <c r="J474" s="14" t="s">
        <v>753</v>
      </c>
      <c r="K474" s="14" t="s">
        <v>1160</v>
      </c>
      <c r="L474" s="180" t="s">
        <v>1919</v>
      </c>
      <c r="M474" s="180" t="s">
        <v>798</v>
      </c>
    </row>
    <row r="475" spans="8:13">
      <c r="H475" s="14">
        <v>64497</v>
      </c>
      <c r="I475" s="14" t="s">
        <v>1063</v>
      </c>
      <c r="J475" s="14" t="s">
        <v>753</v>
      </c>
      <c r="K475" s="14" t="s">
        <v>1054</v>
      </c>
      <c r="L475" s="180" t="s">
        <v>1919</v>
      </c>
      <c r="M475" s="180" t="s">
        <v>2850</v>
      </c>
    </row>
    <row r="476" spans="8:13">
      <c r="H476" s="14">
        <v>64152</v>
      </c>
      <c r="I476" s="14" t="s">
        <v>1165</v>
      </c>
      <c r="J476" s="628" t="s">
        <v>1922</v>
      </c>
      <c r="K476" s="14" t="s">
        <v>1174</v>
      </c>
      <c r="L476" s="628" t="s">
        <v>1922</v>
      </c>
      <c r="M476" s="180" t="s">
        <v>2850</v>
      </c>
    </row>
    <row r="477" spans="8:13">
      <c r="H477" s="14">
        <v>64153</v>
      </c>
      <c r="I477" s="14" t="s">
        <v>1165</v>
      </c>
      <c r="J477" s="628" t="s">
        <v>1922</v>
      </c>
      <c r="K477" s="14" t="s">
        <v>1174</v>
      </c>
      <c r="L477" s="628" t="s">
        <v>1922</v>
      </c>
      <c r="M477" s="180" t="s">
        <v>2850</v>
      </c>
    </row>
    <row r="478" spans="8:13">
      <c r="H478" s="14">
        <v>64097</v>
      </c>
      <c r="I478" s="14" t="s">
        <v>1166</v>
      </c>
      <c r="J478" s="14" t="s">
        <v>753</v>
      </c>
      <c r="K478" s="14" t="s">
        <v>1160</v>
      </c>
      <c r="L478" s="180" t="s">
        <v>1919</v>
      </c>
      <c r="M478" s="180" t="s">
        <v>798</v>
      </c>
    </row>
    <row r="479" spans="8:13">
      <c r="H479" s="14">
        <v>64734</v>
      </c>
      <c r="I479" s="14" t="s">
        <v>955</v>
      </c>
      <c r="J479" s="14" t="s">
        <v>753</v>
      </c>
      <c r="K479" s="14" t="s">
        <v>930</v>
      </c>
      <c r="L479" s="180" t="s">
        <v>1919</v>
      </c>
      <c r="M479" s="180" t="s">
        <v>798</v>
      </c>
    </row>
    <row r="480" spans="8:13">
      <c r="H480" s="14">
        <v>64498</v>
      </c>
      <c r="I480" s="14" t="s">
        <v>824</v>
      </c>
      <c r="J480" s="14" t="s">
        <v>753</v>
      </c>
      <c r="K480" s="14" t="s">
        <v>814</v>
      </c>
      <c r="L480" s="180" t="s">
        <v>1919</v>
      </c>
      <c r="M480" s="180" t="s">
        <v>798</v>
      </c>
    </row>
    <row r="481" spans="8:13">
      <c r="H481" s="14">
        <v>64098</v>
      </c>
      <c r="I481" s="14" t="s">
        <v>1167</v>
      </c>
      <c r="J481" s="628" t="s">
        <v>1922</v>
      </c>
      <c r="K481" s="14" t="s">
        <v>1174</v>
      </c>
      <c r="L481" s="628" t="s">
        <v>1922</v>
      </c>
      <c r="M481" s="180" t="s">
        <v>2850</v>
      </c>
    </row>
    <row r="482" spans="8:13">
      <c r="H482" s="14">
        <v>64688</v>
      </c>
      <c r="I482" s="14" t="s">
        <v>1169</v>
      </c>
      <c r="J482" s="14" t="s">
        <v>753</v>
      </c>
      <c r="K482" s="14" t="s">
        <v>1168</v>
      </c>
      <c r="L482" s="180" t="s">
        <v>1919</v>
      </c>
      <c r="M482" s="180" t="s">
        <v>798</v>
      </c>
    </row>
    <row r="483" spans="8:13">
      <c r="H483" s="14">
        <v>65355</v>
      </c>
      <c r="I483" s="14" t="s">
        <v>889</v>
      </c>
      <c r="J483" s="14" t="s">
        <v>753</v>
      </c>
      <c r="K483" s="14" t="s">
        <v>865</v>
      </c>
      <c r="L483" s="180" t="s">
        <v>1919</v>
      </c>
      <c r="M483" s="180" t="s">
        <v>798</v>
      </c>
    </row>
    <row r="484" spans="8:13">
      <c r="H484" s="14">
        <v>65305</v>
      </c>
      <c r="I484" s="14" t="s">
        <v>1158</v>
      </c>
      <c r="J484" s="14" t="s">
        <v>753</v>
      </c>
      <c r="K484" s="14" t="s">
        <v>1154</v>
      </c>
      <c r="L484" s="180" t="s">
        <v>1919</v>
      </c>
      <c r="M484" s="180" t="s">
        <v>798</v>
      </c>
    </row>
    <row r="485" spans="8:13">
      <c r="H485" s="14">
        <v>65360</v>
      </c>
      <c r="I485" s="14" t="s">
        <v>1100</v>
      </c>
      <c r="J485" s="14" t="s">
        <v>753</v>
      </c>
      <c r="K485" s="14" t="s">
        <v>1087</v>
      </c>
      <c r="L485" s="180" t="s">
        <v>1919</v>
      </c>
      <c r="M485" s="180" t="s">
        <v>798</v>
      </c>
    </row>
    <row r="486" spans="8:13">
      <c r="H486" s="14">
        <v>64689</v>
      </c>
      <c r="I486" s="14" t="s">
        <v>1053</v>
      </c>
      <c r="J486" s="14" t="s">
        <v>753</v>
      </c>
      <c r="K486" s="14" t="s">
        <v>1045</v>
      </c>
      <c r="L486" s="180" t="s">
        <v>1919</v>
      </c>
      <c r="M486" s="180" t="s">
        <v>798</v>
      </c>
    </row>
    <row r="487" spans="8:13">
      <c r="H487" s="14">
        <v>64484</v>
      </c>
      <c r="I487" s="14" t="s">
        <v>914</v>
      </c>
      <c r="J487" s="14" t="s">
        <v>753</v>
      </c>
      <c r="K487" s="14" t="s">
        <v>893</v>
      </c>
      <c r="L487" s="180" t="s">
        <v>1919</v>
      </c>
      <c r="M487" s="180" t="s">
        <v>798</v>
      </c>
    </row>
    <row r="488" spans="8:13">
      <c r="H488" s="14">
        <v>65355</v>
      </c>
      <c r="I488" s="14" t="s">
        <v>891</v>
      </c>
      <c r="J488" s="14" t="s">
        <v>753</v>
      </c>
      <c r="K488" s="14" t="s">
        <v>865</v>
      </c>
      <c r="L488" s="180" t="s">
        <v>1919</v>
      </c>
      <c r="M488" s="180" t="s">
        <v>798</v>
      </c>
    </row>
    <row r="489" spans="8:13">
      <c r="H489" s="14">
        <v>64024</v>
      </c>
      <c r="I489" s="14" t="s">
        <v>1027</v>
      </c>
      <c r="J489" s="14" t="s">
        <v>753</v>
      </c>
      <c r="K489" s="14" t="s">
        <v>985</v>
      </c>
      <c r="L489" s="628" t="s">
        <v>754</v>
      </c>
      <c r="M489" s="180" t="s">
        <v>2850</v>
      </c>
    </row>
    <row r="490" spans="8:13">
      <c r="H490" s="14">
        <v>64499</v>
      </c>
      <c r="I490" s="14" t="s">
        <v>1170</v>
      </c>
      <c r="J490" s="14" t="s">
        <v>753</v>
      </c>
      <c r="K490" s="14" t="s">
        <v>1170</v>
      </c>
      <c r="L490" s="180" t="s">
        <v>1919</v>
      </c>
      <c r="M490" s="180" t="s">
        <v>798</v>
      </c>
    </row>
    <row r="491" spans="8:13">
      <c r="H491" s="14">
        <v>65257</v>
      </c>
      <c r="I491" s="14" t="s">
        <v>1171</v>
      </c>
      <c r="J491" s="14" t="s">
        <v>753</v>
      </c>
      <c r="K491" s="14" t="s">
        <v>1004</v>
      </c>
      <c r="L491" s="180" t="s">
        <v>1919</v>
      </c>
      <c r="M491" s="180" t="s">
        <v>798</v>
      </c>
    </row>
  </sheetData>
  <sheetProtection algorithmName="SHA-512" hashValue="ejjvdt99X7Wz4QMJ+QdZMQV6GFbUowIXVHQS0jV2AMAZiAzC43D99qptTS25frz3fhKp6n8pSQoqQX0VcdJZeA==" saltValue="OewH2NPXFSBvGad4YK4IEg==" spinCount="100000" sheet="1" objects="1" scenarios="1"/>
  <mergeCells count="2">
    <mergeCell ref="B1:F1"/>
    <mergeCell ref="H1:M1"/>
  </mergeCells>
  <pageMargins left="0.7" right="0.7" top="0.75" bottom="0.75" header="0.3" footer="0.3"/>
  <pageSetup orientation="portrait" r:id="rId1"/>
  <tableParts count="6">
    <tablePart r:id="rId2"/>
    <tablePart r:id="rId3"/>
    <tablePart r:id="rId4"/>
    <tablePart r:id="rId5"/>
    <tablePart r:id="rId6"/>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tabColor theme="5"/>
  </sheetPr>
  <dimension ref="A1:FA949"/>
  <sheetViews>
    <sheetView showRowColHeaders="0" zoomScale="70" zoomScaleNormal="70" workbookViewId="0">
      <pane ySplit="1" topLeftCell="A56" activePane="bottomLeft" state="frozen"/>
      <selection activeCell="H30" sqref="H30"/>
      <selection pane="bottomLeft" activeCell="A101" sqref="A101"/>
    </sheetView>
  </sheetViews>
  <sheetFormatPr defaultColWidth="8.42578125" defaultRowHeight="15" zeroHeight="1"/>
  <cols>
    <col min="1" max="1" width="10" style="135" customWidth="1"/>
    <col min="2" max="5" width="10" style="62" customWidth="1"/>
    <col min="6" max="6" width="10" style="57" customWidth="1"/>
    <col min="7" max="7" width="10" style="62" customWidth="1"/>
    <col min="8" max="10" width="10" style="17" customWidth="1"/>
    <col min="11" max="11" width="10" style="62" customWidth="1"/>
    <col min="12" max="13" width="10" style="10" customWidth="1"/>
    <col min="14" max="15" width="10" style="57" customWidth="1"/>
    <col min="16" max="17" width="10" style="64" customWidth="1"/>
    <col min="18" max="21" width="10" style="17" customWidth="1"/>
    <col min="22" max="22" width="10" style="62" customWidth="1"/>
    <col min="23" max="24" width="10" style="10" customWidth="1"/>
    <col min="25" max="26" width="10" style="57" customWidth="1"/>
    <col min="27" max="28" width="10" style="64" customWidth="1"/>
    <col min="29" max="29" width="10" style="62" customWidth="1"/>
    <col min="30" max="34" width="10" style="57" customWidth="1"/>
    <col min="35" max="35" width="10" style="62" customWidth="1"/>
    <col min="36" max="37" width="10" style="103" customWidth="1"/>
    <col min="38" max="39" width="10" style="62" customWidth="1"/>
    <col min="40" max="41" width="10" style="17" customWidth="1"/>
    <col min="42" max="43" width="10" style="62" customWidth="1"/>
    <col min="44" max="56" width="10" style="278" customWidth="1"/>
    <col min="57" max="57" width="10" style="279" customWidth="1"/>
    <col min="58" max="61" width="10.85546875" customWidth="1"/>
    <col min="62" max="63" width="10.85546875" style="180" customWidth="1"/>
    <col min="64" max="64" width="10.85546875" style="278" customWidth="1"/>
    <col min="65" max="67" width="10.85546875" customWidth="1"/>
    <col min="68" max="70" width="10.85546875" style="278" customWidth="1"/>
    <col min="71" max="81" width="10.85546875" customWidth="1"/>
    <col min="82" max="84" width="10.85546875" style="278" customWidth="1"/>
    <col min="85" max="94" width="10.85546875" customWidth="1"/>
    <col min="95" max="97" width="10.85546875" style="278" customWidth="1"/>
    <col min="98" max="120" width="10.85546875" customWidth="1"/>
    <col min="121" max="122" width="10.85546875" style="180" customWidth="1"/>
    <col min="123" max="125" width="10.85546875" style="278" customWidth="1"/>
    <col min="126" max="143" width="10.85546875" customWidth="1"/>
    <col min="144" max="144" width="10.85546875" style="180" customWidth="1"/>
    <col min="145" max="157" width="10.85546875" customWidth="1"/>
  </cols>
  <sheetData>
    <row r="1" spans="1:157" ht="60" customHeight="1">
      <c r="A1" s="175" t="s">
        <v>327</v>
      </c>
      <c r="B1" s="280" t="s">
        <v>328</v>
      </c>
      <c r="C1" s="280" t="s">
        <v>1614</v>
      </c>
      <c r="D1" s="176" t="s">
        <v>0</v>
      </c>
      <c r="E1" s="280" t="s">
        <v>467</v>
      </c>
      <c r="F1" s="406" t="s">
        <v>1422</v>
      </c>
      <c r="G1" s="280" t="s">
        <v>75</v>
      </c>
      <c r="H1" s="402" t="s">
        <v>649</v>
      </c>
      <c r="I1" s="402" t="s">
        <v>650</v>
      </c>
      <c r="J1" s="402" t="s">
        <v>1425</v>
      </c>
      <c r="K1" s="280" t="s">
        <v>624</v>
      </c>
      <c r="L1" s="410" t="s">
        <v>1639</v>
      </c>
      <c r="M1" s="410" t="s">
        <v>1638</v>
      </c>
      <c r="N1" s="406" t="s">
        <v>2711</v>
      </c>
      <c r="O1" s="406" t="s">
        <v>1615</v>
      </c>
      <c r="P1" s="413" t="s">
        <v>2712</v>
      </c>
      <c r="Q1" s="413" t="s">
        <v>1616</v>
      </c>
      <c r="R1" s="402" t="s">
        <v>317</v>
      </c>
      <c r="S1" s="402" t="s">
        <v>1622</v>
      </c>
      <c r="T1" s="402" t="s">
        <v>1623</v>
      </c>
      <c r="U1" s="402" t="s">
        <v>1624</v>
      </c>
      <c r="V1" s="280" t="s">
        <v>1625</v>
      </c>
      <c r="W1" s="410" t="s">
        <v>1640</v>
      </c>
      <c r="X1" s="410" t="s">
        <v>1641</v>
      </c>
      <c r="Y1" s="406" t="s">
        <v>2713</v>
      </c>
      <c r="Z1" s="406" t="s">
        <v>1617</v>
      </c>
      <c r="AA1" s="413" t="s">
        <v>2714</v>
      </c>
      <c r="AB1" s="413" t="s">
        <v>1642</v>
      </c>
      <c r="AC1" s="280" t="s">
        <v>629</v>
      </c>
      <c r="AD1" s="406" t="s">
        <v>699</v>
      </c>
      <c r="AE1" s="406" t="s">
        <v>1376</v>
      </c>
      <c r="AF1" s="406" t="s">
        <v>1618</v>
      </c>
      <c r="AG1" s="406" t="s">
        <v>1250</v>
      </c>
      <c r="AH1" s="406" t="s">
        <v>1380</v>
      </c>
      <c r="AI1" s="280" t="s">
        <v>1619</v>
      </c>
      <c r="AJ1" s="284" t="s">
        <v>99</v>
      </c>
      <c r="AK1" s="284" t="s">
        <v>101</v>
      </c>
      <c r="AL1" s="280" t="s">
        <v>1620</v>
      </c>
      <c r="AM1" s="280" t="s">
        <v>1621</v>
      </c>
      <c r="AN1" s="402" t="s">
        <v>1626</v>
      </c>
      <c r="AO1" s="402" t="s">
        <v>336</v>
      </c>
      <c r="AP1" s="284" t="s">
        <v>1195</v>
      </c>
      <c r="AQ1" s="284" t="s">
        <v>88</v>
      </c>
      <c r="AR1" s="284" t="s">
        <v>2715</v>
      </c>
      <c r="AS1" s="280" t="s">
        <v>1301</v>
      </c>
      <c r="AT1" s="280" t="s">
        <v>2892</v>
      </c>
      <c r="AU1" s="276"/>
      <c r="AV1" s="276"/>
      <c r="AW1" s="276"/>
      <c r="AX1" s="276"/>
      <c r="AY1" s="276"/>
      <c r="AZ1" s="276"/>
      <c r="BA1" s="276"/>
      <c r="BB1" s="276"/>
      <c r="BC1" s="276"/>
      <c r="BD1" s="276"/>
      <c r="BE1" s="277"/>
      <c r="BF1" s="283" t="s">
        <v>1627</v>
      </c>
      <c r="BG1" s="281" t="s">
        <v>1628</v>
      </c>
      <c r="BH1" s="283" t="s">
        <v>1629</v>
      </c>
      <c r="BI1" s="285" t="s">
        <v>1630</v>
      </c>
      <c r="BJ1" s="285" t="s">
        <v>1707</v>
      </c>
      <c r="BK1" s="285" t="s">
        <v>1708</v>
      </c>
      <c r="BL1" s="276"/>
      <c r="BM1" s="281" t="s">
        <v>1958</v>
      </c>
      <c r="BN1" s="282" t="s">
        <v>1957</v>
      </c>
      <c r="BO1" s="281" t="s">
        <v>1956</v>
      </c>
      <c r="BP1" s="276"/>
      <c r="BQ1" s="276"/>
      <c r="BR1" s="276"/>
      <c r="BS1" s="281" t="s">
        <v>1955</v>
      </c>
      <c r="BT1" s="281" t="s">
        <v>1954</v>
      </c>
      <c r="BU1" s="281" t="s">
        <v>1932</v>
      </c>
      <c r="BV1" s="281" t="s">
        <v>1933</v>
      </c>
      <c r="BW1" s="281" t="s">
        <v>1934</v>
      </c>
      <c r="BX1" s="281" t="s">
        <v>1935</v>
      </c>
      <c r="BY1" s="281" t="s">
        <v>1936</v>
      </c>
      <c r="BZ1" s="281" t="s">
        <v>1937</v>
      </c>
      <c r="CA1" s="281" t="s">
        <v>1938</v>
      </c>
      <c r="CB1" s="281" t="s">
        <v>1939</v>
      </c>
      <c r="CC1" s="281" t="s">
        <v>1940</v>
      </c>
      <c r="CD1" s="281" t="s">
        <v>2632</v>
      </c>
      <c r="CE1" s="276"/>
      <c r="CF1" s="276"/>
      <c r="CG1" s="281" t="s">
        <v>1941</v>
      </c>
      <c r="CH1" s="281" t="s">
        <v>1656</v>
      </c>
      <c r="CI1" s="281" t="s">
        <v>1942</v>
      </c>
      <c r="CJ1" s="281" t="s">
        <v>1943</v>
      </c>
      <c r="CK1" s="281" t="s">
        <v>1944</v>
      </c>
      <c r="CL1" s="281" t="s">
        <v>1945</v>
      </c>
      <c r="CM1" s="281" t="s">
        <v>1946</v>
      </c>
      <c r="CN1" s="281" t="s">
        <v>1947</v>
      </c>
      <c r="CO1" s="281" t="s">
        <v>1948</v>
      </c>
      <c r="CP1" s="281" t="s">
        <v>1949</v>
      </c>
      <c r="CQ1" s="276"/>
      <c r="CR1" s="276"/>
      <c r="CS1" s="276"/>
      <c r="CT1" s="276"/>
      <c r="CU1" s="281" t="s">
        <v>1952</v>
      </c>
      <c r="CV1" s="281" t="s">
        <v>1951</v>
      </c>
      <c r="CW1" s="281" t="s">
        <v>1253</v>
      </c>
      <c r="CX1" s="281" t="s">
        <v>1950</v>
      </c>
      <c r="CY1" s="281" t="s">
        <v>1953</v>
      </c>
      <c r="CZ1" s="281" t="s">
        <v>1679</v>
      </c>
      <c r="DA1" s="281" t="s">
        <v>1671</v>
      </c>
      <c r="DB1" s="281" t="s">
        <v>1959</v>
      </c>
      <c r="DC1" s="281" t="s">
        <v>1960</v>
      </c>
      <c r="DD1" s="281" t="s">
        <v>1961</v>
      </c>
      <c r="DE1" s="281" t="s">
        <v>1962</v>
      </c>
      <c r="DF1" s="281" t="s">
        <v>1963</v>
      </c>
      <c r="DG1" s="281" t="s">
        <v>1964</v>
      </c>
      <c r="DH1" s="281" t="s">
        <v>1965</v>
      </c>
      <c r="DI1" s="281" t="s">
        <v>1966</v>
      </c>
      <c r="DJ1" s="283" t="s">
        <v>1631</v>
      </c>
      <c r="DK1" s="283" t="s">
        <v>1632</v>
      </c>
      <c r="DL1" s="283" t="s">
        <v>1633</v>
      </c>
      <c r="DM1" s="283" t="s">
        <v>1634</v>
      </c>
      <c r="DN1" s="283" t="s">
        <v>1635</v>
      </c>
      <c r="DO1" s="283" t="s">
        <v>1636</v>
      </c>
      <c r="DP1" s="283" t="s">
        <v>1637</v>
      </c>
      <c r="DQ1" s="281" t="s">
        <v>1689</v>
      </c>
      <c r="DR1" s="283" t="s">
        <v>1690</v>
      </c>
      <c r="DS1" s="276"/>
      <c r="DT1" s="276"/>
      <c r="DU1" s="276"/>
      <c r="DV1" s="283" t="s">
        <v>1281</v>
      </c>
      <c r="DW1" s="283" t="s">
        <v>1282</v>
      </c>
      <c r="DX1" s="283" t="s">
        <v>73</v>
      </c>
      <c r="DY1" s="283" t="s">
        <v>71</v>
      </c>
      <c r="DZ1" s="283" t="s">
        <v>72</v>
      </c>
      <c r="EA1" s="283" t="s">
        <v>1286</v>
      </c>
      <c r="EB1" s="283" t="s">
        <v>1283</v>
      </c>
      <c r="EC1" s="283" t="s">
        <v>1284</v>
      </c>
      <c r="ED1" s="283" t="s">
        <v>1285</v>
      </c>
      <c r="EE1" s="283" t="s">
        <v>147</v>
      </c>
      <c r="EF1" s="283" t="s">
        <v>302</v>
      </c>
      <c r="EG1" s="283" t="s">
        <v>1287</v>
      </c>
      <c r="EH1" s="281" t="s">
        <v>1296</v>
      </c>
      <c r="EI1" s="283" t="s">
        <v>1967</v>
      </c>
      <c r="EJ1" s="283" t="s">
        <v>1968</v>
      </c>
      <c r="EK1" s="281" t="s">
        <v>2009</v>
      </c>
      <c r="EL1" s="281" t="s">
        <v>1646</v>
      </c>
      <c r="EM1" s="281" t="s">
        <v>2011</v>
      </c>
      <c r="EN1" s="281" t="s">
        <v>2012</v>
      </c>
      <c r="EO1" s="281" t="s">
        <v>2010</v>
      </c>
      <c r="EP1" s="281" t="s">
        <v>2013</v>
      </c>
      <c r="EQ1" s="281" t="s">
        <v>2014</v>
      </c>
      <c r="ER1" s="283" t="s">
        <v>2101</v>
      </c>
      <c r="ES1" s="283" t="s">
        <v>2102</v>
      </c>
      <c r="ET1" s="276"/>
      <c r="EU1" s="276"/>
      <c r="EV1" s="276"/>
      <c r="EW1" s="281" t="s">
        <v>1936</v>
      </c>
      <c r="EX1" s="281" t="s">
        <v>1937</v>
      </c>
      <c r="EY1" s="281" t="s">
        <v>1938</v>
      </c>
      <c r="EZ1" s="281" t="s">
        <v>1939</v>
      </c>
      <c r="FA1" s="281" t="s">
        <v>1940</v>
      </c>
    </row>
    <row r="2" spans="1:157" hidden="1">
      <c r="A2" s="135">
        <f>PROJID</f>
        <v>0</v>
      </c>
      <c r="AJ2" s="178"/>
      <c r="AK2" s="178"/>
      <c r="AR2" s="178"/>
      <c r="AS2" s="178"/>
      <c r="AT2" s="178"/>
      <c r="BF2" t="str">
        <f>IF(M05S07F02=0,"",M05S07F02)</f>
        <v/>
      </c>
      <c r="BG2" s="23">
        <f>PROJID</f>
        <v>0</v>
      </c>
      <c r="BH2" s="14" t="str">
        <f>VERSION</f>
        <v>v2.1.2</v>
      </c>
      <c r="BI2" t="s">
        <v>147</v>
      </c>
      <c r="BJ2" s="17" t="str">
        <f>IF(ISNUMBER(CBCUSE),CBCUSE,"")</f>
        <v/>
      </c>
      <c r="BK2" s="17" t="str">
        <f>IF(ISNUMBER(PAYCUSE),PAYCUSE,"")</f>
        <v/>
      </c>
      <c r="BM2" s="14" t="str">
        <f>IF(M02S01F01="","",M02S01F01)</f>
        <v/>
      </c>
      <c r="BN2" s="14" t="str">
        <f>IF(M02S01F02="","",M02S01F02)</f>
        <v/>
      </c>
      <c r="BO2" s="437" t="str">
        <f>IF(M02S01F03="","",M02S01F03)</f>
        <v/>
      </c>
      <c r="BS2" s="14" t="str">
        <f>IF(M02S02F01="","",M02S02F01)</f>
        <v/>
      </c>
      <c r="BT2" s="180" t="str">
        <f>IF(M02S02F02="","",M02S02F02)</f>
        <v/>
      </c>
      <c r="BU2" s="180" t="str">
        <f>IF(M02S02F03="","",M02S02F03)</f>
        <v/>
      </c>
      <c r="BV2" s="180" t="str">
        <f>IF(M02S02F04="","",M02S02F04)</f>
        <v/>
      </c>
      <c r="BW2" s="180" t="str">
        <f>IF(M02S02F05="","",M02S02F05)</f>
        <v/>
      </c>
      <c r="BX2" s="180" t="str">
        <f>IF(M02S02F06="","",M02S02F06)</f>
        <v/>
      </c>
      <c r="BY2" s="180" t="str">
        <f>IF(M02S02F07="","",M02S02F07)</f>
        <v/>
      </c>
      <c r="BZ2" s="180" t="str">
        <f>IF(M02S02F08="","",M02S02F08)</f>
        <v/>
      </c>
      <c r="CA2" s="180" t="str">
        <f>IF(M02S02F09="","",M02S02F09)</f>
        <v/>
      </c>
      <c r="CB2" s="16" t="str">
        <f>IF(M02S02F10="","",M02S02F10)</f>
        <v/>
      </c>
      <c r="CC2" s="180" t="str">
        <f>IF(M02S02F11="","",M02S02F11)</f>
        <v/>
      </c>
      <c r="CD2" s="178" t="str">
        <f>IF(M02S02F12="","",M02S02F12)</f>
        <v/>
      </c>
      <c r="CG2" s="62" t="str">
        <f>IF(M02S03F01="","",M02S03F01)</f>
        <v/>
      </c>
      <c r="CH2" s="62" t="str">
        <f>IF(M02S03F02="","",M02S03F02)</f>
        <v/>
      </c>
      <c r="CI2" s="62" t="str">
        <f>IF(M02S03F03="","",M02S03F03)</f>
        <v/>
      </c>
      <c r="CJ2" s="62" t="str">
        <f>IF(M02S03F04="","",M02S03F04)</f>
        <v/>
      </c>
      <c r="CK2" s="62" t="str">
        <f>IF(M02S03F05="","",M02S03F05)</f>
        <v/>
      </c>
      <c r="CL2" s="62" t="str">
        <f>IF(M02S03F06="","",M02S03F06)</f>
        <v/>
      </c>
      <c r="CM2" s="62" t="str">
        <f>IF(M02S03F07="","",M02S03F07)</f>
        <v/>
      </c>
      <c r="CN2" s="62" t="str">
        <f>IF(M02S03F08="","",M02S03F08)</f>
        <v/>
      </c>
      <c r="CO2" s="16" t="str">
        <f>IF(M02S03F09="","",M02S03F09)</f>
        <v/>
      </c>
      <c r="CP2" s="62" t="str">
        <f>IF(M02S03F10="","",M02S03F10)</f>
        <v/>
      </c>
      <c r="CT2" s="278"/>
      <c r="CU2" s="14" t="str">
        <f>IF(M02S04F02="","",M02S04F02)</f>
        <v/>
      </c>
      <c r="CV2" s="180" t="str">
        <f>IF(M02S04F03="","",M02S04F03)</f>
        <v/>
      </c>
      <c r="CW2" s="180" t="str">
        <f>IF(M02S04F04="","",M02S04F04)</f>
        <v/>
      </c>
      <c r="CX2" s="180" t="str">
        <f>IF(M02S04F05="","",M02S04F05)</f>
        <v/>
      </c>
      <c r="CY2" s="180" t="str">
        <f>IF(M02S04F06="","",M02S04F06)</f>
        <v/>
      </c>
      <c r="CZ2" s="180" t="str">
        <f>IF(M02S04F07="","",M02S04F07)</f>
        <v/>
      </c>
      <c r="DA2" s="180" t="str">
        <f>IF(M02S04F08="","",M02S04F08)</f>
        <v/>
      </c>
      <c r="DB2" s="180" t="str">
        <f>IF(M02S04F09="","",M02S04F09)</f>
        <v/>
      </c>
      <c r="DC2" s="180" t="str">
        <f>IF(M02S04F10="","",M02S04F10)</f>
        <v>MO</v>
      </c>
      <c r="DD2" s="180" t="str">
        <f>IF(M02S04F11="","",M02S04F11)</f>
        <v/>
      </c>
      <c r="DE2" s="180" t="str">
        <f>IF(M02S04F12="","",M02S04F12)</f>
        <v/>
      </c>
      <c r="DF2" s="180" t="str">
        <f>IF(M02S04F13="","",M02S04F13)</f>
        <v/>
      </c>
      <c r="DG2" s="180" t="str">
        <f>IF(M02S04F14="","",M02S04F14)</f>
        <v/>
      </c>
      <c r="DH2" s="16" t="str">
        <f>IF(M02S04F15="","",M02S04F15)</f>
        <v/>
      </c>
      <c r="DI2" s="180" t="str">
        <f>IF(M02S04F16="","",M02S04F16)</f>
        <v/>
      </c>
      <c r="DJ2" s="14" t="str">
        <f>IF(M05S07F07="","",M05S07F07)</f>
        <v/>
      </c>
      <c r="DK2" s="14" t="str">
        <f>IF(M02S04F18="","",M02S04F18)</f>
        <v/>
      </c>
      <c r="DL2" s="14" t="str">
        <f>IF(M02S04F19="","",M02S04F19)</f>
        <v/>
      </c>
      <c r="DM2" s="180" t="str">
        <f>IF(M02S04F20="","",M02S04F20)</f>
        <v/>
      </c>
      <c r="DN2" s="180" t="str">
        <f>IF(M02S04F21="","",M02S04F21)</f>
        <v/>
      </c>
      <c r="DO2" s="180" t="str">
        <f>IF(M02S04F22="","",M02S04F22)</f>
        <v/>
      </c>
      <c r="DP2" s="14" t="str">
        <f>IF(M02S04F23="","",M02S04F23)</f>
        <v/>
      </c>
      <c r="DQ2" s="180" t="str">
        <f>IF(M02S04F24="","",M02S04F24)</f>
        <v/>
      </c>
      <c r="DR2" s="180" t="str">
        <f>IF(M02S04F25="","",M02S04F25)</f>
        <v/>
      </c>
      <c r="DV2" t="str">
        <f>IFERROR(INDEX(PAYMENT[Payment Preference],MATCH(M05S01F01,PAYMENT[Payment to],0)),"")</f>
        <v/>
      </c>
      <c r="DW2" t="str">
        <f>IF(M05S01F02="","",CLEAN(TRIM(SUBSTITUTE(PROPER(M05S01F02),"'S","'s"))))</f>
        <v/>
      </c>
      <c r="DX2" t="str">
        <f>IF(M05S01F03="","",CLEAN(TRIM(PROPER(M05S01F03))))</f>
        <v/>
      </c>
      <c r="DY2" t="str">
        <f>IF(M05S01F04="","",CLEAN(TRIM(PROPER(M05S01F04))))</f>
        <v/>
      </c>
      <c r="DZ2" t="str">
        <f>IF(M05S01F05="","",M05S01F05)</f>
        <v/>
      </c>
      <c r="EA2" t="str">
        <f>IF(M05S01F06="","",CLEAN(TRIM(M05S01F06)))</f>
        <v/>
      </c>
      <c r="EB2" t="str">
        <f>IF(M05S01F01="Site (Bill Credit)","Bill Credit",IF(M05S01F07="","",PROPER(M05S01F07)))</f>
        <v/>
      </c>
      <c r="EC2" t="str">
        <f>IF(M05S01F01="Site (Bill Credit)",M05S01F14,IF(M05S01F08="","",PROPER(M05S01F08)))</f>
        <v/>
      </c>
      <c r="ED2" s="16" t="str">
        <f>IF(M05S01F09="","",M05S01F09)</f>
        <v/>
      </c>
      <c r="EE2" t="str">
        <f>IF(M05S01F10="","",M05S01F10)</f>
        <v/>
      </c>
      <c r="EF2" t="str">
        <f>IFERROR(INDEX(TAXENTITY[System Text],MATCH(M05S01F11,TAXENTITY[Tax Entity],0)),"")</f>
        <v/>
      </c>
      <c r="EG2" t="str">
        <f>IF(AND(M05S01F12&lt;&gt;"",M05S01F13&lt;&gt;""),M05S01F12&amp;"-"&amp;M05S01F13,"")</f>
        <v/>
      </c>
      <c r="EH2" t="b">
        <f>PayeeChckBox</f>
        <v>0</v>
      </c>
      <c r="EI2" s="437" t="str">
        <f>IF(M05S02F01="","",M05S02F01)</f>
        <v/>
      </c>
      <c r="EJ2" s="437" t="str">
        <f>IF(M05S02F02="","",M05S02F02)</f>
        <v/>
      </c>
      <c r="EK2" s="437" t="str">
        <f>IF(ENGDATE="","",ENGDATE)</f>
        <v/>
      </c>
      <c r="EL2" s="437" t="str">
        <f>IF(M05S04F01="Project Start Date","",M05S04F01)</f>
        <v/>
      </c>
      <c r="EM2" s="437" t="str">
        <f>IF(M05S04F02="Completion Paperwork Submission Date","",M05S04F02)</f>
        <v/>
      </c>
      <c r="EN2" s="180" t="str">
        <f>IF(M05S04F03="Customer Signature","",M05S04F03)</f>
        <v/>
      </c>
      <c r="EO2" s="437" t="str">
        <f>IF(M05S04F04="Date","",M05S04F04)</f>
        <v/>
      </c>
      <c r="EP2" t="str">
        <f>IF(M05S05F01="Customer Signature","",M05S05F01)</f>
        <v/>
      </c>
      <c r="EQ2" s="437" t="str">
        <f>IF(M05S05F02="Date","",M05S05F02)</f>
        <v/>
      </c>
      <c r="ER2" t="str">
        <f>IF(M05S07F08="","",M05S07F08)</f>
        <v/>
      </c>
      <c r="ES2" t="str">
        <f>IF(M05S07F09="","",M05S07F09)</f>
        <v/>
      </c>
      <c r="ET2" s="278"/>
      <c r="EU2" s="278"/>
      <c r="EV2" s="278"/>
      <c r="EW2" s="180" t="str">
        <f>IF(M02S02F13="","",M02S02F13)</f>
        <v/>
      </c>
      <c r="EX2" s="180" t="str">
        <f>IF(M02S02F14="","",M02S02F14)</f>
        <v/>
      </c>
      <c r="EY2" s="180" t="str">
        <f>IF(M02S02F15="","",M02S02F15)</f>
        <v/>
      </c>
      <c r="EZ2" s="16" t="str">
        <f>IF(M02S02F16="","",M02S02F16)</f>
        <v/>
      </c>
      <c r="FA2" s="180" t="str">
        <f>IF(M02S02F17="","",M02S02F17)</f>
        <v/>
      </c>
    </row>
    <row r="3" spans="1:157" s="331" customFormat="1">
      <c r="A3" s="428" t="str">
        <f>"Standard "&amp;M3S2</f>
        <v>Standard Lighting</v>
      </c>
      <c r="B3" s="327"/>
      <c r="C3" s="327"/>
      <c r="D3" s="327"/>
      <c r="E3" s="327"/>
      <c r="F3" s="407"/>
      <c r="G3" s="327"/>
      <c r="H3" s="403"/>
      <c r="I3" s="403"/>
      <c r="J3" s="403"/>
      <c r="K3" s="327"/>
      <c r="L3" s="411"/>
      <c r="M3" s="411"/>
      <c r="N3" s="407"/>
      <c r="O3" s="407"/>
      <c r="P3" s="414"/>
      <c r="Q3" s="414"/>
      <c r="R3" s="403"/>
      <c r="S3" s="403"/>
      <c r="T3" s="403"/>
      <c r="U3" s="403"/>
      <c r="V3" s="327"/>
      <c r="W3" s="411"/>
      <c r="X3" s="411"/>
      <c r="Y3" s="407"/>
      <c r="Z3" s="407"/>
      <c r="AA3" s="414"/>
      <c r="AB3" s="414"/>
      <c r="AC3" s="327"/>
      <c r="AD3" s="407"/>
      <c r="AE3" s="407"/>
      <c r="AF3" s="407"/>
      <c r="AG3" s="407"/>
      <c r="AH3" s="407"/>
      <c r="AI3" s="327"/>
      <c r="AJ3" s="327"/>
      <c r="AK3" s="328"/>
      <c r="AL3" s="327"/>
      <c r="AM3" s="327"/>
      <c r="AN3" s="403"/>
      <c r="AO3" s="403"/>
      <c r="AP3" s="327"/>
      <c r="AQ3" s="327"/>
      <c r="AR3" s="327"/>
      <c r="AS3" s="327"/>
      <c r="AT3" s="327"/>
      <c r="AU3" s="329"/>
      <c r="AV3" s="329"/>
      <c r="AW3" s="329"/>
      <c r="AX3" s="329"/>
      <c r="AY3" s="329"/>
      <c r="AZ3" s="329"/>
      <c r="BA3" s="329"/>
      <c r="BB3" s="329"/>
      <c r="BC3" s="329"/>
      <c r="BD3" s="329"/>
      <c r="BE3" s="330"/>
    </row>
    <row r="4" spans="1:157" s="54" customFormat="1" hidden="1">
      <c r="A4" s="135">
        <f t="shared" ref="A4:A33" si="0">PROJID</f>
        <v>0</v>
      </c>
      <c r="B4" s="178" t="str">
        <f>IF(C4="","",CONCATENATE(ROW(),"-",C4))</f>
        <v/>
      </c>
      <c r="C4" s="178" t="str">
        <f>IFERROR(IF(R4&gt;0,INDEX('M03-S02'!$BC$18:$BC$199,2*(ROWS($C$4:C4)-1)+1),""),"")</f>
        <v/>
      </c>
      <c r="D4" s="180" t="s">
        <v>1443</v>
      </c>
      <c r="E4" s="178" t="str">
        <f>IFERROR(INDEX('M03-S02'!$AZ$18:$AZ$199,2*(ROWS($E$4:E4)-1)+1),"")</f>
        <v/>
      </c>
      <c r="F4" s="173">
        <f>IFERROR(INDEX('M03-S02'!$X$18:$X$199,2*(ROWS($F$4:F4)-1)+1),"")</f>
        <v>0</v>
      </c>
      <c r="G4" s="178">
        <f>IFERROR(INDEX('M03-S02'!$AC$18:$AC$199,2*(ROWS($G$4:G4)-1)+1),"")</f>
        <v>0</v>
      </c>
      <c r="H4" s="200">
        <f>IFERROR(INDEX('M03-S02'!$AE$18:$AE$199,2*(ROWS(H$4:H4)-1)+1),"")</f>
        <v>0</v>
      </c>
      <c r="I4" s="200">
        <f>IFERROR(INDEX('M03-S02'!$AG$18:$AG$199,2*(ROWS(I$4:I4)-1)+1),"")</f>
        <v>0</v>
      </c>
      <c r="J4" s="200" t="str">
        <f>IFERROR(INDEX('M03-S02'!$AT$18:$AT$199,2*(ROWS(J$4:J4)-1)+1),"")</f>
        <v/>
      </c>
      <c r="K4" s="178" t="s">
        <v>84</v>
      </c>
      <c r="L4" s="116">
        <f>IFERROR(ROUND(INDEX('M03-S02'!$V$18:$V$199,2*(ROWS(L$4:L4)-1)+1),3),"")</f>
        <v>0</v>
      </c>
      <c r="M4" s="116">
        <f>IFERROR(ROUND(INDEX('M03-S02'!$V$18:$V$199,2*(ROWS(M$4:M4)-1)+1),3),"")</f>
        <v>0</v>
      </c>
      <c r="N4" s="415" t="str">
        <f>IFERROR(INDEX('M03-S02'!$AV$18:$AV$199,2*(ROWS(N$4:N4)-1)+1),"")</f>
        <v/>
      </c>
      <c r="O4" s="415" t="str">
        <f>IFERROR(INDEX('M03-S02'!$BA$18:$BA$199,2*(ROWS(O$4:O4)-1)+1),"")</f>
        <v/>
      </c>
      <c r="P4" s="415" t="str">
        <f>IFERROR(INDEX('M03-S02'!$AW$18:$AW$199,2*(ROWS(P$4:P4)-1)+1),"")</f>
        <v/>
      </c>
      <c r="Q4" s="415" t="str">
        <f>IFERROR(INDEX('M03-S02'!$BB$18:$BB$199,2*(ROWS(Q$4:Q4)-1)+1),"")</f>
        <v/>
      </c>
      <c r="R4" s="200" t="str">
        <f>IFERROR(INDEX('M03-S02'!$AN$18:$AN$199,2*(ROWS(R$4:R4)-1)+1),"")</f>
        <v/>
      </c>
      <c r="S4" s="405"/>
      <c r="T4" s="405"/>
      <c r="U4" s="405"/>
      <c r="V4" s="325"/>
      <c r="W4" s="417"/>
      <c r="X4" s="417"/>
      <c r="Y4" s="408"/>
      <c r="Z4" s="408"/>
      <c r="AA4" s="418"/>
      <c r="AB4" s="418"/>
      <c r="AC4" s="325"/>
      <c r="AD4" s="415" t="str">
        <f>IFERROR(INDEX('M03-S02'!$AX$18:$AX$199,2*(ROWS(AD$4:AD4)-1)+1),"")</f>
        <v/>
      </c>
      <c r="AE4" s="415" t="str">
        <f>IFERROR(INDEX('M03-S02'!$AY$18:$AY$199,2*(ROWS(AE$4:AE4)-1)+1),"")</f>
        <v/>
      </c>
      <c r="AF4" s="173" t="str">
        <f>IFERROR(INDEX('M03-S02'!$R$18:$R$199,2*(ROWS(AF$4:AF4)-1)+1),"")</f>
        <v/>
      </c>
      <c r="AG4" s="173" t="str">
        <f>IFERROR(INDEX('M03-S02'!$T$18:$T$199,2*(ROWS(AG$4:AG4)-1)+1),"")</f>
        <v/>
      </c>
      <c r="AH4" s="408"/>
      <c r="AI4" s="178">
        <f>IFERROR(INDEX('M03-S02'!$B$18:$B$199,2*(ROWS(AI$4:AI4)-1)+1),"")</f>
        <v>1</v>
      </c>
      <c r="AJ4" s="325"/>
      <c r="AK4" s="178">
        <f>IFERROR(INDEX('M03-S02'!$G$18:$G$199,2*(ROWS(AK$4:AK4)-1)+1),"")</f>
        <v>0</v>
      </c>
      <c r="AL4" s="178">
        <f>IFERROR(INDEX('M03-S02'!$O$18:$O$199,2*(ROWS(AL$4:AL4)-1)+1),"")</f>
        <v>0</v>
      </c>
      <c r="AM4" s="178">
        <f>IFERROR(INDEX('M03-S02'!$Z$18:$Z$199,2*(ROWS(AM$4:AM4)-1)+1),"")</f>
        <v>0</v>
      </c>
      <c r="AN4" s="405"/>
      <c r="AO4" s="405"/>
      <c r="AP4" s="178" t="str">
        <f>IFERROR(INDEX('M03-S02'!$AU$18:$AU$199,2*(ROWS(AP$4:AP4)-1)+1),"")</f>
        <v/>
      </c>
      <c r="AQ4" s="325"/>
      <c r="AR4" s="178" t="str">
        <f>IFERROR(INDEX(STDLIGHT[Reporting Methodology],MATCH(EXPORT!C4,STDLIGHT[Measure Number],0)),"")</f>
        <v/>
      </c>
      <c r="AS4" s="178" t="str">
        <f>IFERROR(INDEX(STDLIGHT[Primary Key],MATCH(C4,STDLIGHT[Measure Number],0)),"")</f>
        <v/>
      </c>
      <c r="AT4" s="200" t="str">
        <f>IFERROR(INDEX('M03-S02'!$AN$18:$AN$199,2*(ROWS(R$4:R4)-1)+1)-MIN(INDEX('M03-S02'!$AT$18:$AT$199,2*(ROWS(AT$4:AT4)-1)+1),(ROUND(INDEX('M03-S02'!$V$18:$V$199,2*(ROWS(AT$4:AT4)-1)+1),3)*INDEX(STDLIGHT[Previous Incentive],MATCH('M03-S02'!G18,STDLIGHT[Measure Name],0)))),"")</f>
        <v/>
      </c>
      <c r="AU4" s="278"/>
      <c r="AV4" s="278"/>
      <c r="AW4" s="278"/>
      <c r="AX4" s="278"/>
      <c r="AY4" s="278"/>
      <c r="AZ4" s="278"/>
      <c r="BA4" s="278"/>
      <c r="BB4" s="278"/>
      <c r="BC4" s="278"/>
      <c r="BD4" s="278"/>
      <c r="BE4" s="279"/>
      <c r="BL4" s="180"/>
      <c r="BP4"/>
      <c r="BQ4"/>
      <c r="BR4"/>
      <c r="CD4" s="180"/>
      <c r="CE4" s="180"/>
      <c r="CF4" s="180"/>
      <c r="CH4"/>
      <c r="CI4"/>
      <c r="CJ4"/>
      <c r="CK4"/>
      <c r="CL4"/>
      <c r="CM4"/>
      <c r="CN4"/>
      <c r="CQ4" s="180"/>
      <c r="CR4" s="180"/>
      <c r="CS4" s="180"/>
      <c r="DS4" s="180"/>
      <c r="DT4" s="180"/>
      <c r="DU4" s="180"/>
    </row>
    <row r="5" spans="1:157" s="54" customFormat="1" hidden="1">
      <c r="A5" s="135">
        <f t="shared" si="0"/>
        <v>0</v>
      </c>
      <c r="B5" s="178" t="str">
        <f t="shared" ref="B5:B33" si="1">IF(C5="","",CONCATENATE(ROW(),"-",C5))</f>
        <v/>
      </c>
      <c r="C5" s="178" t="str">
        <f>IFERROR(IF(R5&gt;0,INDEX('M03-S02'!$BC$18:$BC$199,2*(ROWS($C$4:C5)-1)+1),""),"")</f>
        <v/>
      </c>
      <c r="D5" s="180" t="s">
        <v>1443</v>
      </c>
      <c r="E5" s="178" t="str">
        <f>IFERROR(INDEX('M03-S02'!$AZ$18:$AZ$199,2*(ROWS($E$4:E5)-1)+1),"")</f>
        <v/>
      </c>
      <c r="F5" s="173">
        <f>IFERROR(INDEX('M03-S02'!$X$18:$X$199,2*(ROWS($F$4:F5)-1)+1),"")</f>
        <v>0</v>
      </c>
      <c r="G5" s="178">
        <f>IFERROR(INDEX('M03-S02'!$AC$18:$AC$199,2*(ROWS($G$4:G5)-1)+1),"")</f>
        <v>0</v>
      </c>
      <c r="H5" s="200">
        <f>IFERROR(INDEX('M03-S02'!$AE$18:$AE$199,2*(ROWS(H$4:H5)-1)+1),"")</f>
        <v>0</v>
      </c>
      <c r="I5" s="200">
        <f>IFERROR(INDEX('M03-S02'!$AG$18:$AG$199,2*(ROWS($I$4:I5)-1)+1),"")</f>
        <v>0</v>
      </c>
      <c r="J5" s="200" t="str">
        <f>IFERROR(INDEX('M03-S02'!$AT$18:$AT$199,2*(ROWS(J$4:J5)-1)+1),"")</f>
        <v/>
      </c>
      <c r="K5" s="178" t="s">
        <v>84</v>
      </c>
      <c r="L5" s="116">
        <f>IFERROR(ROUND(INDEX('M03-S02'!$V$18:$V$199,2*(ROWS(L$4:L5)-1)+1),3),"")</f>
        <v>0</v>
      </c>
      <c r="M5" s="116">
        <f>IFERROR(ROUND(INDEX('M03-S02'!$V$18:$V$199,2*(ROWS(M$4:M5)-1)+1),3),"")</f>
        <v>0</v>
      </c>
      <c r="N5" s="415" t="str">
        <f>IFERROR(INDEX('M03-S02'!$AV$18:$AV$199,2*(ROWS(N$4:N5)-1)+1),"")</f>
        <v/>
      </c>
      <c r="O5" s="415" t="str">
        <f>IFERROR(INDEX('M03-S02'!$BA$18:$BA$199,2*(ROWS(O$4:O5)-1)+1),"")</f>
        <v/>
      </c>
      <c r="P5" s="415" t="str">
        <f>IFERROR(INDEX('M03-S02'!$AW$18:$AW$199,2*(ROWS(P$4:P5)-1)+1),"")</f>
        <v/>
      </c>
      <c r="Q5" s="415" t="str">
        <f>IFERROR(INDEX('M03-S02'!$BB$18:$BB$199,2*(ROWS(Q$4:Q5)-1)+1),"")</f>
        <v/>
      </c>
      <c r="R5" s="200" t="str">
        <f>IFERROR(INDEX('M03-S02'!$AN$18:$AN$199,2*(ROWS(R$4:R5)-1)+1),"")</f>
        <v/>
      </c>
      <c r="S5" s="405"/>
      <c r="T5" s="405"/>
      <c r="U5" s="405"/>
      <c r="V5" s="325"/>
      <c r="W5" s="417"/>
      <c r="X5" s="417"/>
      <c r="Y5" s="408"/>
      <c r="Z5" s="408"/>
      <c r="AA5" s="418"/>
      <c r="AB5" s="418"/>
      <c r="AC5" s="325"/>
      <c r="AD5" s="415" t="str">
        <f>IFERROR(INDEX('M03-S02'!$AX$18:$AX$199,2*(ROWS(AD$4:AD5)-1)+1),"")</f>
        <v/>
      </c>
      <c r="AE5" s="415" t="str">
        <f>IFERROR(INDEX('M03-S02'!$AY$18:$AY$199,2*(ROWS(AE$4:AE5)-1)+1),"")</f>
        <v/>
      </c>
      <c r="AF5" s="173" t="str">
        <f>IFERROR(INDEX('M03-S02'!$R$18:$R$199,2*(ROWS(AF$4:AF5)-1)+1),"")</f>
        <v/>
      </c>
      <c r="AG5" s="173" t="str">
        <f>IFERROR(INDEX('M03-S02'!$T$18:$T$199,2*(ROWS(AG$4:AG5)-1)+1),"")</f>
        <v/>
      </c>
      <c r="AH5" s="408"/>
      <c r="AI5" s="178">
        <f>IFERROR(INDEX('M03-S02'!$B$18:$B$199,2*(ROWS(AI$4:AI5)-1)+1),"")</f>
        <v>2</v>
      </c>
      <c r="AJ5" s="325"/>
      <c r="AK5" s="178">
        <f>IFERROR(INDEX('M03-S02'!$G$18:$G$199,2*(ROWS(AK$4:AK5)-1)+1),"")</f>
        <v>0</v>
      </c>
      <c r="AL5" s="178">
        <f>IFERROR(INDEX('M03-S02'!$O$18:$O$199,2*(ROWS(AL$4:AL5)-1)+1),"")</f>
        <v>0</v>
      </c>
      <c r="AM5" s="178">
        <f>IFERROR(INDEX('M03-S02'!$Z$18:$Z$199,2*(ROWS(AM$4:AM5)-1)+1),"")</f>
        <v>0</v>
      </c>
      <c r="AN5" s="405"/>
      <c r="AO5" s="405"/>
      <c r="AP5" s="178" t="str">
        <f>IFERROR(INDEX('M03-S02'!$AU$18:$AU$199,2*(ROWS(AP$4:AP5)-1)+1),"")</f>
        <v/>
      </c>
      <c r="AQ5" s="325"/>
      <c r="AR5" s="178" t="str">
        <f>IFERROR(INDEX(STDLIGHT[Reporting Methodology],MATCH(EXPORT!C5,STDLIGHT[Measure Number],0)),"")</f>
        <v/>
      </c>
      <c r="AS5" s="178" t="str">
        <f>IFERROR(INDEX(STDLIGHT[Primary Key],MATCH(C5,STDLIGHT[Measure Number],0)),"")</f>
        <v/>
      </c>
      <c r="AT5" s="200" t="str">
        <f>IFERROR(INDEX('M03-S02'!$AN$18:$AN$199,2*(ROWS(R$4:R5)-1)+1)-MIN(INDEX('M03-S02'!$AT$18:$AT$199,2*(ROWS(AT$4:AT5)-1)+1),(ROUND(INDEX('M03-S02'!$V$18:$V$199,2*(ROWS(AT$4:AT5)-1)+1),3)*INDEX(STDLIGHT[Previous Incentive],MATCH('M03-S02'!G20,STDLIGHT[Measure Name],0)))),"")</f>
        <v/>
      </c>
      <c r="AU5" s="278"/>
      <c r="AV5" s="278"/>
      <c r="AW5" s="278"/>
      <c r="AX5" s="278"/>
      <c r="AY5" s="278"/>
      <c r="AZ5" s="278"/>
      <c r="BA5" s="278"/>
      <c r="BB5" s="278"/>
      <c r="BC5" s="278"/>
      <c r="BD5" s="278"/>
      <c r="BE5" s="279"/>
      <c r="BL5" s="180"/>
      <c r="BP5"/>
      <c r="BQ5"/>
      <c r="BR5"/>
      <c r="CD5" s="180"/>
      <c r="CE5" s="180"/>
      <c r="CF5" s="180"/>
      <c r="CH5"/>
      <c r="CI5"/>
      <c r="CJ5"/>
      <c r="CK5"/>
      <c r="CL5"/>
      <c r="CM5"/>
      <c r="CN5"/>
      <c r="CQ5" s="180"/>
      <c r="CR5" s="180"/>
      <c r="CS5" s="180"/>
      <c r="DS5" s="180"/>
      <c r="DT5" s="180"/>
      <c r="DU5" s="180"/>
    </row>
    <row r="6" spans="1:157" s="54" customFormat="1" hidden="1">
      <c r="A6" s="135">
        <f t="shared" si="0"/>
        <v>0</v>
      </c>
      <c r="B6" s="178" t="str">
        <f t="shared" si="1"/>
        <v/>
      </c>
      <c r="C6" s="178" t="str">
        <f>IFERROR(IF(R6&gt;0,INDEX('M03-S02'!$BC$18:$BC$199,2*(ROWS($C$4:C6)-1)+1),""),"")</f>
        <v/>
      </c>
      <c r="D6" s="180" t="s">
        <v>1443</v>
      </c>
      <c r="E6" s="178" t="str">
        <f>IFERROR(INDEX('M03-S02'!$AZ$18:$AZ$199,2*(ROWS($E$4:E6)-1)+1),"")</f>
        <v/>
      </c>
      <c r="F6" s="173">
        <f>IFERROR(INDEX('M03-S02'!$X$18:$X$199,2*(ROWS($F$4:F6)-1)+1),"")</f>
        <v>0</v>
      </c>
      <c r="G6" s="178">
        <f>IFERROR(INDEX('M03-S02'!$AC$18:$AC$199,2*(ROWS($G$4:G6)-1)+1),"")</f>
        <v>0</v>
      </c>
      <c r="H6" s="200">
        <f>IFERROR(INDEX('M03-S02'!$AE$18:$AE$199,2*(ROWS(H$4:H6)-1)+1),"")</f>
        <v>0</v>
      </c>
      <c r="I6" s="200">
        <f>IFERROR(INDEX('M03-S02'!$AG$18:$AG$199,2*(ROWS($I$4:I6)-1)+1),"")</f>
        <v>0</v>
      </c>
      <c r="J6" s="200" t="str">
        <f>IFERROR(INDEX('M03-S02'!$AT$18:$AT$199,2*(ROWS(J$4:J6)-1)+1),"")</f>
        <v/>
      </c>
      <c r="K6" s="178" t="s">
        <v>84</v>
      </c>
      <c r="L6" s="116">
        <f>IFERROR(ROUND(INDEX('M03-S02'!$V$18:$V$199,2*(ROWS(L$4:L6)-1)+1),3),"")</f>
        <v>0</v>
      </c>
      <c r="M6" s="116">
        <f>IFERROR(ROUND(INDEX('M03-S02'!$V$18:$V$199,2*(ROWS(M$4:M6)-1)+1),3),"")</f>
        <v>0</v>
      </c>
      <c r="N6" s="415" t="str">
        <f>IFERROR(INDEX('M03-S02'!$AV$18:$AV$199,2*(ROWS(N$4:N6)-1)+1),"")</f>
        <v/>
      </c>
      <c r="O6" s="415" t="str">
        <f>IFERROR(INDEX('M03-S02'!$BA$18:$BA$199,2*(ROWS(O$4:O6)-1)+1),"")</f>
        <v/>
      </c>
      <c r="P6" s="415" t="str">
        <f>IFERROR(INDEX('M03-S02'!$AW$18:$AW$199,2*(ROWS(P$4:P6)-1)+1),"")</f>
        <v/>
      </c>
      <c r="Q6" s="415" t="str">
        <f>IFERROR(INDEX('M03-S02'!$BB$18:$BB$199,2*(ROWS(Q$4:Q6)-1)+1),"")</f>
        <v/>
      </c>
      <c r="R6" s="200" t="str">
        <f>IFERROR(INDEX('M03-S02'!$AN$18:$AN$199,2*(ROWS(R$4:R6)-1)+1),"")</f>
        <v/>
      </c>
      <c r="S6" s="405"/>
      <c r="T6" s="405"/>
      <c r="U6" s="405"/>
      <c r="V6" s="325"/>
      <c r="W6" s="417"/>
      <c r="X6" s="417"/>
      <c r="Y6" s="408"/>
      <c r="Z6" s="408"/>
      <c r="AA6" s="418"/>
      <c r="AB6" s="418"/>
      <c r="AC6" s="325"/>
      <c r="AD6" s="415" t="str">
        <f>IFERROR(INDEX('M03-S02'!$AX$18:$AX$199,2*(ROWS(AD$4:AD6)-1)+1),"")</f>
        <v/>
      </c>
      <c r="AE6" s="415" t="str">
        <f>IFERROR(INDEX('M03-S02'!$AY$18:$AY$199,2*(ROWS(AE$4:AE6)-1)+1),"")</f>
        <v/>
      </c>
      <c r="AF6" s="173" t="str">
        <f>IFERROR(INDEX('M03-S02'!$R$18:$R$199,2*(ROWS(AF$4:AF6)-1)+1),"")</f>
        <v/>
      </c>
      <c r="AG6" s="173" t="str">
        <f>IFERROR(INDEX('M03-S02'!$T$18:$T$199,2*(ROWS(AG$4:AG6)-1)+1),"")</f>
        <v/>
      </c>
      <c r="AH6" s="408"/>
      <c r="AI6" s="178">
        <f>IFERROR(INDEX('M03-S02'!$B$18:$B$199,2*(ROWS(AI$4:AI6)-1)+1),"")</f>
        <v>3</v>
      </c>
      <c r="AJ6" s="325"/>
      <c r="AK6" s="178">
        <f>IFERROR(INDEX('M03-S02'!$G$18:$G$199,2*(ROWS(AK$4:AK6)-1)+1),"")</f>
        <v>0</v>
      </c>
      <c r="AL6" s="178">
        <f>IFERROR(INDEX('M03-S02'!$O$18:$O$199,2*(ROWS(AL$4:AL6)-1)+1),"")</f>
        <v>0</v>
      </c>
      <c r="AM6" s="178">
        <f>IFERROR(INDEX('M03-S02'!$Z$18:$Z$199,2*(ROWS(AM$4:AM6)-1)+1),"")</f>
        <v>0</v>
      </c>
      <c r="AN6" s="405"/>
      <c r="AO6" s="405"/>
      <c r="AP6" s="178" t="str">
        <f>IFERROR(INDEX('M03-S02'!$AU$18:$AU$199,2*(ROWS(AP$4:AP6)-1)+1),"")</f>
        <v/>
      </c>
      <c r="AQ6" s="325"/>
      <c r="AR6" s="178" t="str">
        <f>IFERROR(INDEX(STDLIGHT[Reporting Methodology],MATCH(EXPORT!C6,STDLIGHT[Measure Number],0)),"")</f>
        <v/>
      </c>
      <c r="AS6" s="178" t="str">
        <f>IFERROR(INDEX(STDLIGHT[Primary Key],MATCH(C6,STDLIGHT[Measure Number],0)),"")</f>
        <v/>
      </c>
      <c r="AT6" s="200" t="str">
        <f>IFERROR(INDEX('M03-S02'!$AN$18:$AN$199,2*(ROWS(R$4:R6)-1)+1)-MIN(INDEX('M03-S02'!$AT$18:$AT$199,2*(ROWS(AT$4:AT6)-1)+1),(ROUND(INDEX('M03-S02'!$V$18:$V$199,2*(ROWS(AT$4:AT6)-1)+1),3)*INDEX(STDLIGHT[Previous Incentive],MATCH('M03-S02'!G22,STDLIGHT[Measure Name],0)))),"")</f>
        <v/>
      </c>
      <c r="AU6" s="278"/>
      <c r="AV6" s="278"/>
      <c r="AW6" s="278"/>
      <c r="AX6" s="278"/>
      <c r="AY6" s="278"/>
      <c r="AZ6" s="278"/>
      <c r="BA6" s="278"/>
      <c r="BB6" s="278"/>
      <c r="BC6" s="278"/>
      <c r="BD6" s="278"/>
      <c r="BE6" s="279"/>
      <c r="BL6" s="180"/>
      <c r="BP6"/>
      <c r="BQ6"/>
      <c r="BR6"/>
      <c r="CD6" s="180"/>
      <c r="CE6" s="180"/>
      <c r="CF6" s="180"/>
      <c r="CH6"/>
      <c r="CI6"/>
      <c r="CJ6"/>
      <c r="CK6"/>
      <c r="CL6"/>
      <c r="CM6"/>
      <c r="CN6"/>
      <c r="CQ6" s="180"/>
      <c r="CR6" s="180"/>
      <c r="CS6" s="180"/>
      <c r="DS6" s="180"/>
      <c r="DT6" s="180"/>
      <c r="DU6" s="180"/>
    </row>
    <row r="7" spans="1:157" s="54" customFormat="1" hidden="1">
      <c r="A7" s="135">
        <f t="shared" si="0"/>
        <v>0</v>
      </c>
      <c r="B7" s="178" t="str">
        <f t="shared" si="1"/>
        <v/>
      </c>
      <c r="C7" s="178" t="str">
        <f>IFERROR(IF(R7&gt;0,INDEX('M03-S02'!$BC$18:$BC$199,2*(ROWS($C$4:C7)-1)+1),""),"")</f>
        <v/>
      </c>
      <c r="D7" s="180" t="s">
        <v>1443</v>
      </c>
      <c r="E7" s="178" t="str">
        <f>IFERROR(INDEX('M03-S02'!$AZ$18:$AZ$199,2*(ROWS($E$4:E7)-1)+1),"")</f>
        <v/>
      </c>
      <c r="F7" s="173">
        <f>IFERROR(INDEX('M03-S02'!$X$18:$X$199,2*(ROWS($F$4:F7)-1)+1),"")</f>
        <v>0</v>
      </c>
      <c r="G7" s="178">
        <f>IFERROR(INDEX('M03-S02'!$AC$18:$AC$199,2*(ROWS($G$4:G7)-1)+1),"")</f>
        <v>0</v>
      </c>
      <c r="H7" s="200">
        <f>IFERROR(INDEX('M03-S02'!$AE$18:$AE$199,2*(ROWS(H$4:H7)-1)+1),"")</f>
        <v>0</v>
      </c>
      <c r="I7" s="200">
        <f>IFERROR(INDEX('M03-S02'!$AG$18:$AG$199,2*(ROWS($I$4:I7)-1)+1),"")</f>
        <v>0</v>
      </c>
      <c r="J7" s="200" t="str">
        <f>IFERROR(INDEX('M03-S02'!$AT$18:$AT$199,2*(ROWS(J$4:J7)-1)+1),"")</f>
        <v/>
      </c>
      <c r="K7" s="178" t="s">
        <v>84</v>
      </c>
      <c r="L7" s="116">
        <f>IFERROR(ROUND(INDEX('M03-S02'!$V$18:$V$199,2*(ROWS(L$4:L7)-1)+1),3),"")</f>
        <v>0</v>
      </c>
      <c r="M7" s="116">
        <f>IFERROR(ROUND(INDEX('M03-S02'!$V$18:$V$199,2*(ROWS(M$4:M7)-1)+1),3),"")</f>
        <v>0</v>
      </c>
      <c r="N7" s="415" t="str">
        <f>IFERROR(INDEX('M03-S02'!$AV$18:$AV$199,2*(ROWS(N$4:N7)-1)+1),"")</f>
        <v/>
      </c>
      <c r="O7" s="415" t="str">
        <f>IFERROR(INDEX('M03-S02'!$BA$18:$BA$199,2*(ROWS(O$4:O7)-1)+1),"")</f>
        <v/>
      </c>
      <c r="P7" s="415" t="str">
        <f>IFERROR(INDEX('M03-S02'!$AW$18:$AW$199,2*(ROWS(P$4:P7)-1)+1),"")</f>
        <v/>
      </c>
      <c r="Q7" s="415" t="str">
        <f>IFERROR(INDEX('M03-S02'!$BB$18:$BB$199,2*(ROWS(Q$4:Q7)-1)+1),"")</f>
        <v/>
      </c>
      <c r="R7" s="200" t="str">
        <f>IFERROR(INDEX('M03-S02'!$AN$18:$AN$199,2*(ROWS(R$4:R7)-1)+1),"")</f>
        <v/>
      </c>
      <c r="S7" s="405"/>
      <c r="T7" s="405"/>
      <c r="U7" s="405"/>
      <c r="V7" s="325"/>
      <c r="W7" s="417"/>
      <c r="X7" s="417"/>
      <c r="Y7" s="408"/>
      <c r="Z7" s="408"/>
      <c r="AA7" s="418"/>
      <c r="AB7" s="418"/>
      <c r="AC7" s="325"/>
      <c r="AD7" s="415" t="str">
        <f>IFERROR(INDEX('M03-S02'!$AX$18:$AX$199,2*(ROWS(AD$4:AD7)-1)+1),"")</f>
        <v/>
      </c>
      <c r="AE7" s="415" t="str">
        <f>IFERROR(INDEX('M03-S02'!$AY$18:$AY$199,2*(ROWS(AE$4:AE7)-1)+1),"")</f>
        <v/>
      </c>
      <c r="AF7" s="173" t="str">
        <f>IFERROR(INDEX('M03-S02'!$R$18:$R$199,2*(ROWS(AF$4:AF7)-1)+1),"")</f>
        <v/>
      </c>
      <c r="AG7" s="173" t="str">
        <f>IFERROR(INDEX('M03-S02'!$T$18:$T$199,2*(ROWS(AG$4:AG7)-1)+1),"")</f>
        <v/>
      </c>
      <c r="AH7" s="408"/>
      <c r="AI7" s="178">
        <f>IFERROR(INDEX('M03-S02'!$B$18:$B$199,2*(ROWS(AI$4:AI7)-1)+1),"")</f>
        <v>4</v>
      </c>
      <c r="AJ7" s="325"/>
      <c r="AK7" s="178">
        <f>IFERROR(INDEX('M03-S02'!$G$18:$G$199,2*(ROWS(AK$4:AK7)-1)+1),"")</f>
        <v>0</v>
      </c>
      <c r="AL7" s="178">
        <f>IFERROR(INDEX('M03-S02'!$O$18:$O$199,2*(ROWS(AL$4:AL7)-1)+1),"")</f>
        <v>0</v>
      </c>
      <c r="AM7" s="178">
        <f>IFERROR(INDEX('M03-S02'!$Z$18:$Z$199,2*(ROWS(AM$4:AM7)-1)+1),"")</f>
        <v>0</v>
      </c>
      <c r="AN7" s="405"/>
      <c r="AO7" s="405"/>
      <c r="AP7" s="178" t="str">
        <f>IFERROR(INDEX('M03-S02'!$AU$18:$AU$199,2*(ROWS(AP$4:AP7)-1)+1),"")</f>
        <v/>
      </c>
      <c r="AQ7" s="325"/>
      <c r="AR7" s="178" t="str">
        <f>IFERROR(INDEX(STDLIGHT[Reporting Methodology],MATCH(EXPORT!C7,STDLIGHT[Measure Number],0)),"")</f>
        <v/>
      </c>
      <c r="AS7" s="178" t="str">
        <f>IFERROR(INDEX(STDLIGHT[Primary Key],MATCH(C7,STDLIGHT[Measure Number],0)),"")</f>
        <v/>
      </c>
      <c r="AT7" s="200" t="str">
        <f>IFERROR(INDEX('M03-S02'!$AN$18:$AN$199,2*(ROWS(R$4:R7)-1)+1)-MIN(INDEX('M03-S02'!$AT$18:$AT$199,2*(ROWS(AT$4:AT7)-1)+1),(ROUND(INDEX('M03-S02'!$V$18:$V$199,2*(ROWS(AT$4:AT7)-1)+1),3)*INDEX(STDLIGHT[Previous Incentive],MATCH('M03-S02'!G24,STDLIGHT[Measure Name],0)))),"")</f>
        <v/>
      </c>
      <c r="AU7" s="278"/>
      <c r="AV7" s="278"/>
      <c r="AW7" s="278"/>
      <c r="AX7" s="278"/>
      <c r="AY7" s="278"/>
      <c r="AZ7" s="278"/>
      <c r="BA7" s="278"/>
      <c r="BB7" s="278"/>
      <c r="BC7" s="278"/>
      <c r="BD7" s="278"/>
      <c r="BE7" s="279"/>
      <c r="BL7" s="180"/>
      <c r="BP7"/>
      <c r="BQ7"/>
      <c r="BR7"/>
      <c r="CD7" s="180"/>
      <c r="CE7" s="180"/>
      <c r="CF7" s="180"/>
      <c r="CH7"/>
      <c r="CI7"/>
      <c r="CJ7"/>
      <c r="CK7"/>
      <c r="CL7"/>
      <c r="CM7"/>
      <c r="CN7"/>
      <c r="CQ7" s="180"/>
      <c r="CR7" s="180"/>
      <c r="CS7" s="180"/>
      <c r="DS7" s="180"/>
      <c r="DT7" s="180"/>
      <c r="DU7" s="180"/>
    </row>
    <row r="8" spans="1:157" s="54" customFormat="1" hidden="1">
      <c r="A8" s="135">
        <f t="shared" si="0"/>
        <v>0</v>
      </c>
      <c r="B8" s="178" t="str">
        <f t="shared" si="1"/>
        <v/>
      </c>
      <c r="C8" s="178" t="str">
        <f>IFERROR(IF(R8&gt;0,INDEX('M03-S02'!$BC$18:$BC$199,2*(ROWS($C$4:C8)-1)+1),""),"")</f>
        <v/>
      </c>
      <c r="D8" s="180" t="s">
        <v>1443</v>
      </c>
      <c r="E8" s="178" t="str">
        <f>IFERROR(INDEX('M03-S02'!$AZ$18:$AZ$199,2*(ROWS($E$4:E8)-1)+1),"")</f>
        <v/>
      </c>
      <c r="F8" s="173">
        <f>IFERROR(INDEX('M03-S02'!$X$18:$X$199,2*(ROWS($F$4:F8)-1)+1),"")</f>
        <v>0</v>
      </c>
      <c r="G8" s="178">
        <f>IFERROR(INDEX('M03-S02'!$AC$18:$AC$199,2*(ROWS($G$4:G8)-1)+1),"")</f>
        <v>0</v>
      </c>
      <c r="H8" s="200">
        <f>IFERROR(INDEX('M03-S02'!$AE$18:$AE$199,2*(ROWS(H$4:H8)-1)+1),"")</f>
        <v>0</v>
      </c>
      <c r="I8" s="200">
        <f>IFERROR(INDEX('M03-S02'!$AG$18:$AG$199,2*(ROWS($I$4:I8)-1)+1),"")</f>
        <v>0</v>
      </c>
      <c r="J8" s="200" t="str">
        <f>IFERROR(INDEX('M03-S02'!$AT$18:$AT$199,2*(ROWS(J$4:J8)-1)+1),"")</f>
        <v/>
      </c>
      <c r="K8" s="178" t="s">
        <v>84</v>
      </c>
      <c r="L8" s="116">
        <f>IFERROR(ROUND(INDEX('M03-S02'!$V$18:$V$199,2*(ROWS(L$4:L8)-1)+1),3),"")</f>
        <v>0</v>
      </c>
      <c r="M8" s="116">
        <f>IFERROR(ROUND(INDEX('M03-S02'!$V$18:$V$199,2*(ROWS(M$4:M8)-1)+1),3),"")</f>
        <v>0</v>
      </c>
      <c r="N8" s="415" t="str">
        <f>IFERROR(INDEX('M03-S02'!$AV$18:$AV$199,2*(ROWS(N$4:N8)-1)+1),"")</f>
        <v/>
      </c>
      <c r="O8" s="415" t="str">
        <f>IFERROR(INDEX('M03-S02'!$BA$18:$BA$199,2*(ROWS(O$4:O8)-1)+1),"")</f>
        <v/>
      </c>
      <c r="P8" s="415" t="str">
        <f>IFERROR(INDEX('M03-S02'!$AW$18:$AW$199,2*(ROWS(P$4:P8)-1)+1),"")</f>
        <v/>
      </c>
      <c r="Q8" s="415" t="str">
        <f>IFERROR(INDEX('M03-S02'!$BB$18:$BB$199,2*(ROWS(Q$4:Q8)-1)+1),"")</f>
        <v/>
      </c>
      <c r="R8" s="200" t="str">
        <f>IFERROR(INDEX('M03-S02'!$AN$18:$AN$199,2*(ROWS(R$4:R8)-1)+1),"")</f>
        <v/>
      </c>
      <c r="S8" s="405"/>
      <c r="T8" s="405"/>
      <c r="U8" s="405"/>
      <c r="V8" s="325"/>
      <c r="W8" s="417"/>
      <c r="X8" s="417"/>
      <c r="Y8" s="408"/>
      <c r="Z8" s="408"/>
      <c r="AA8" s="418"/>
      <c r="AB8" s="418"/>
      <c r="AC8" s="325"/>
      <c r="AD8" s="415" t="str">
        <f>IFERROR(INDEX('M03-S02'!$AX$18:$AX$199,2*(ROWS(AD$4:AD8)-1)+1),"")</f>
        <v/>
      </c>
      <c r="AE8" s="415" t="str">
        <f>IFERROR(INDEX('M03-S02'!$AY$18:$AY$199,2*(ROWS(AE$4:AE8)-1)+1),"")</f>
        <v/>
      </c>
      <c r="AF8" s="173" t="str">
        <f>IFERROR(INDEX('M03-S02'!$R$18:$R$199,2*(ROWS(AF$4:AF8)-1)+1),"")</f>
        <v/>
      </c>
      <c r="AG8" s="173" t="str">
        <f>IFERROR(INDEX('M03-S02'!$T$18:$T$199,2*(ROWS(AG$4:AG8)-1)+1),"")</f>
        <v/>
      </c>
      <c r="AH8" s="408"/>
      <c r="AI8" s="178">
        <f>IFERROR(INDEX('M03-S02'!$B$18:$B$199,2*(ROWS(AI$4:AI8)-1)+1),"")</f>
        <v>5</v>
      </c>
      <c r="AJ8" s="325"/>
      <c r="AK8" s="178">
        <f>IFERROR(INDEX('M03-S02'!$G$18:$G$199,2*(ROWS(AK$4:AK8)-1)+1),"")</f>
        <v>0</v>
      </c>
      <c r="AL8" s="178">
        <f>IFERROR(INDEX('M03-S02'!$O$18:$O$199,2*(ROWS(AL$4:AL8)-1)+1),"")</f>
        <v>0</v>
      </c>
      <c r="AM8" s="178">
        <f>IFERROR(INDEX('M03-S02'!$Z$18:$Z$199,2*(ROWS(AM$4:AM8)-1)+1),"")</f>
        <v>0</v>
      </c>
      <c r="AN8" s="405"/>
      <c r="AO8" s="405"/>
      <c r="AP8" s="178" t="str">
        <f>IFERROR(INDEX('M03-S02'!$AU$18:$AU$199,2*(ROWS(AP$4:AP8)-1)+1),"")</f>
        <v/>
      </c>
      <c r="AQ8" s="325"/>
      <c r="AR8" s="178" t="str">
        <f>IFERROR(INDEX(STDLIGHT[Reporting Methodology],MATCH(EXPORT!C8,STDLIGHT[Measure Number],0)),"")</f>
        <v/>
      </c>
      <c r="AS8" s="178" t="str">
        <f>IFERROR(INDEX(STDLIGHT[Primary Key],MATCH(C8,STDLIGHT[Measure Number],0)),"")</f>
        <v/>
      </c>
      <c r="AT8" s="200" t="str">
        <f>IFERROR(INDEX('M03-S02'!$AN$18:$AN$199,2*(ROWS(R$4:R8)-1)+1)-MIN(INDEX('M03-S02'!$AT$18:$AT$199,2*(ROWS(AT$4:AT8)-1)+1),(ROUND(INDEX('M03-S02'!$V$18:$V$199,2*(ROWS(AT$4:AT8)-1)+1),3)*INDEX(STDLIGHT[Previous Incentive],MATCH('M03-S02'!G26,STDLIGHT[Measure Name],0)))),"")</f>
        <v/>
      </c>
      <c r="AU8" s="278"/>
      <c r="AV8" s="278"/>
      <c r="AW8" s="278"/>
      <c r="AX8" s="278"/>
      <c r="AY8" s="278"/>
      <c r="AZ8" s="278"/>
      <c r="BA8" s="278"/>
      <c r="BB8" s="278"/>
      <c r="BC8" s="278"/>
      <c r="BD8" s="278"/>
      <c r="BE8" s="279"/>
      <c r="BL8" s="180"/>
      <c r="BP8"/>
      <c r="BQ8"/>
      <c r="BR8"/>
      <c r="CD8" s="180"/>
      <c r="CE8" s="180"/>
      <c r="CF8" s="180"/>
      <c r="CH8"/>
      <c r="CI8"/>
      <c r="CJ8"/>
      <c r="CK8"/>
      <c r="CL8"/>
      <c r="CM8"/>
      <c r="CN8"/>
      <c r="CQ8" s="180"/>
      <c r="CR8" s="180"/>
      <c r="CS8" s="180"/>
      <c r="DS8" s="180"/>
      <c r="DT8" s="180"/>
      <c r="DU8" s="180"/>
    </row>
    <row r="9" spans="1:157" s="54" customFormat="1" hidden="1">
      <c r="A9" s="135">
        <f t="shared" si="0"/>
        <v>0</v>
      </c>
      <c r="B9" s="178" t="str">
        <f t="shared" si="1"/>
        <v/>
      </c>
      <c r="C9" s="178" t="str">
        <f>IFERROR(IF(R9&gt;0,INDEX('M03-S02'!$BC$18:$BC$199,2*(ROWS($C$4:C9)-1)+1),""),"")</f>
        <v/>
      </c>
      <c r="D9" s="180" t="s">
        <v>1443</v>
      </c>
      <c r="E9" s="178" t="str">
        <f>IFERROR(INDEX('M03-S02'!$AZ$18:$AZ$199,2*(ROWS($E$4:E9)-1)+1),"")</f>
        <v/>
      </c>
      <c r="F9" s="173">
        <f>IFERROR(INDEX('M03-S02'!$X$18:$X$199,2*(ROWS($F$4:F9)-1)+1),"")</f>
        <v>0</v>
      </c>
      <c r="G9" s="178">
        <f>IFERROR(INDEX('M03-S02'!$AC$18:$AC$199,2*(ROWS($G$4:G9)-1)+1),"")</f>
        <v>0</v>
      </c>
      <c r="H9" s="200">
        <f>IFERROR(INDEX('M03-S02'!$AE$18:$AE$199,2*(ROWS(H$4:H9)-1)+1),"")</f>
        <v>0</v>
      </c>
      <c r="I9" s="200">
        <f>IFERROR(INDEX('M03-S02'!$AG$18:$AG$199,2*(ROWS($I$4:I9)-1)+1),"")</f>
        <v>0</v>
      </c>
      <c r="J9" s="200" t="str">
        <f>IFERROR(INDEX('M03-S02'!$AT$18:$AT$199,2*(ROWS(J$4:J9)-1)+1),"")</f>
        <v/>
      </c>
      <c r="K9" s="178" t="s">
        <v>84</v>
      </c>
      <c r="L9" s="116">
        <f>IFERROR(ROUND(INDEX('M03-S02'!$V$18:$V$199,2*(ROWS(L$4:L9)-1)+1),3),"")</f>
        <v>0</v>
      </c>
      <c r="M9" s="116">
        <f>IFERROR(ROUND(INDEX('M03-S02'!$V$18:$V$199,2*(ROWS(M$4:M9)-1)+1),3),"")</f>
        <v>0</v>
      </c>
      <c r="N9" s="415" t="str">
        <f>IFERROR(INDEX('M03-S02'!$AV$18:$AV$199,2*(ROWS(N$4:N9)-1)+1),"")</f>
        <v/>
      </c>
      <c r="O9" s="415" t="str">
        <f>IFERROR(INDEX('M03-S02'!$BA$18:$BA$199,2*(ROWS(O$4:O9)-1)+1),"")</f>
        <v/>
      </c>
      <c r="P9" s="415" t="str">
        <f>IFERROR(INDEX('M03-S02'!$AW$18:$AW$199,2*(ROWS(P$4:P9)-1)+1),"")</f>
        <v/>
      </c>
      <c r="Q9" s="415" t="str">
        <f>IFERROR(INDEX('M03-S02'!$BB$18:$BB$199,2*(ROWS(Q$4:Q9)-1)+1),"")</f>
        <v/>
      </c>
      <c r="R9" s="200" t="str">
        <f>IFERROR(INDEX('M03-S02'!$AN$18:$AN$199,2*(ROWS(R$4:R9)-1)+1),"")</f>
        <v/>
      </c>
      <c r="S9" s="405"/>
      <c r="T9" s="405"/>
      <c r="U9" s="405"/>
      <c r="V9" s="325"/>
      <c r="W9" s="417"/>
      <c r="X9" s="417"/>
      <c r="Y9" s="408"/>
      <c r="Z9" s="408"/>
      <c r="AA9" s="418"/>
      <c r="AB9" s="418"/>
      <c r="AC9" s="325"/>
      <c r="AD9" s="415" t="str">
        <f>IFERROR(INDEX('M03-S02'!$AX$18:$AX$199,2*(ROWS(AD$4:AD9)-1)+1),"")</f>
        <v/>
      </c>
      <c r="AE9" s="415" t="str">
        <f>IFERROR(INDEX('M03-S02'!$AY$18:$AY$199,2*(ROWS(AE$4:AE9)-1)+1),"")</f>
        <v/>
      </c>
      <c r="AF9" s="173" t="str">
        <f>IFERROR(INDEX('M03-S02'!$R$18:$R$199,2*(ROWS(AF$4:AF9)-1)+1),"")</f>
        <v/>
      </c>
      <c r="AG9" s="173" t="str">
        <f>IFERROR(INDEX('M03-S02'!$T$18:$T$199,2*(ROWS(AG$4:AG9)-1)+1),"")</f>
        <v/>
      </c>
      <c r="AH9" s="408"/>
      <c r="AI9" s="178">
        <f>IFERROR(INDEX('M03-S02'!$B$18:$B$199,2*(ROWS(AI$4:AI9)-1)+1),"")</f>
        <v>6</v>
      </c>
      <c r="AJ9" s="325"/>
      <c r="AK9" s="178">
        <f>IFERROR(INDEX('M03-S02'!$G$18:$G$199,2*(ROWS(AK$4:AK9)-1)+1),"")</f>
        <v>0</v>
      </c>
      <c r="AL9" s="178">
        <f>IFERROR(INDEX('M03-S02'!$O$18:$O$199,2*(ROWS(AL$4:AL9)-1)+1),"")</f>
        <v>0</v>
      </c>
      <c r="AM9" s="178">
        <f>IFERROR(INDEX('M03-S02'!$Z$18:$Z$199,2*(ROWS(AM$4:AM9)-1)+1),"")</f>
        <v>0</v>
      </c>
      <c r="AN9" s="405"/>
      <c r="AO9" s="405"/>
      <c r="AP9" s="178" t="str">
        <f>IFERROR(INDEX('M03-S02'!$AU$18:$AU$199,2*(ROWS(AP$4:AP9)-1)+1),"")</f>
        <v/>
      </c>
      <c r="AQ9" s="325"/>
      <c r="AR9" s="178" t="str">
        <f>IFERROR(INDEX(STDLIGHT[Reporting Methodology],MATCH(EXPORT!C9,STDLIGHT[Measure Number],0)),"")</f>
        <v/>
      </c>
      <c r="AS9" s="178" t="str">
        <f>IFERROR(INDEX(STDLIGHT[Primary Key],MATCH(C9,STDLIGHT[Measure Number],0)),"")</f>
        <v/>
      </c>
      <c r="AT9" s="200" t="str">
        <f>IFERROR(INDEX('M03-S02'!$AN$18:$AN$199,2*(ROWS(R$4:R9)-1)+1)-MIN(INDEX('M03-S02'!$AT$18:$AT$199,2*(ROWS(AT$4:AT9)-1)+1),(ROUND(INDEX('M03-S02'!$V$18:$V$199,2*(ROWS(AT$4:AT9)-1)+1),3)*INDEX(STDLIGHT[Previous Incentive],MATCH('M03-S02'!G28,STDLIGHT[Measure Name],0)))),"")</f>
        <v/>
      </c>
      <c r="AU9" s="278"/>
      <c r="AV9" s="278"/>
      <c r="AW9" s="278"/>
      <c r="AX9" s="278"/>
      <c r="AY9" s="278"/>
      <c r="AZ9" s="278"/>
      <c r="BA9" s="278"/>
      <c r="BB9" s="278"/>
      <c r="BC9" s="278"/>
      <c r="BD9" s="278"/>
      <c r="BE9" s="279"/>
      <c r="BL9" s="180"/>
      <c r="BP9"/>
      <c r="BQ9"/>
      <c r="BR9"/>
      <c r="CD9" s="180"/>
      <c r="CE9" s="180"/>
      <c r="CF9" s="180"/>
      <c r="CH9"/>
      <c r="CI9"/>
      <c r="CJ9"/>
      <c r="CK9"/>
      <c r="CL9"/>
      <c r="CM9"/>
      <c r="CN9"/>
      <c r="CQ9" s="180"/>
      <c r="CR9" s="180"/>
      <c r="CS9" s="180"/>
      <c r="DS9" s="180"/>
      <c r="DT9" s="180"/>
      <c r="DU9" s="180"/>
    </row>
    <row r="10" spans="1:157" s="54" customFormat="1" hidden="1">
      <c r="A10" s="135">
        <f t="shared" si="0"/>
        <v>0</v>
      </c>
      <c r="B10" s="178" t="str">
        <f t="shared" si="1"/>
        <v/>
      </c>
      <c r="C10" s="178" t="str">
        <f>IFERROR(IF(R10&gt;0,INDEX('M03-S02'!$BC$18:$BC$199,2*(ROWS($C$4:C10)-1)+1),""),"")</f>
        <v/>
      </c>
      <c r="D10" s="180" t="s">
        <v>1443</v>
      </c>
      <c r="E10" s="178" t="str">
        <f>IFERROR(INDEX('M03-S02'!$AZ$18:$AZ$199,2*(ROWS($E$4:E10)-1)+1),"")</f>
        <v/>
      </c>
      <c r="F10" s="173">
        <f>IFERROR(INDEX('M03-S02'!$X$18:$X$199,2*(ROWS($F$4:F10)-1)+1),"")</f>
        <v>0</v>
      </c>
      <c r="G10" s="178">
        <f>IFERROR(INDEX('M03-S02'!$AC$18:$AC$199,2*(ROWS($G$4:G10)-1)+1),"")</f>
        <v>0</v>
      </c>
      <c r="H10" s="200">
        <f>IFERROR(INDEX('M03-S02'!$AE$18:$AE$199,2*(ROWS(H$4:H10)-1)+1),"")</f>
        <v>0</v>
      </c>
      <c r="I10" s="200">
        <f>IFERROR(INDEX('M03-S02'!$AG$18:$AG$199,2*(ROWS($I$4:I10)-1)+1),"")</f>
        <v>0</v>
      </c>
      <c r="J10" s="200" t="str">
        <f>IFERROR(INDEX('M03-S02'!$AT$18:$AT$199,2*(ROWS(J$4:J10)-1)+1),"")</f>
        <v/>
      </c>
      <c r="K10" s="178" t="s">
        <v>84</v>
      </c>
      <c r="L10" s="116">
        <f>IFERROR(ROUND(INDEX('M03-S02'!$V$18:$V$199,2*(ROWS(L$4:L10)-1)+1),3),"")</f>
        <v>0</v>
      </c>
      <c r="M10" s="116">
        <f>IFERROR(ROUND(INDEX('M03-S02'!$V$18:$V$199,2*(ROWS(M$4:M10)-1)+1),3),"")</f>
        <v>0</v>
      </c>
      <c r="N10" s="415" t="str">
        <f>IFERROR(INDEX('M03-S02'!$AV$18:$AV$199,2*(ROWS(N$4:N10)-1)+1),"")</f>
        <v/>
      </c>
      <c r="O10" s="415" t="str">
        <f>IFERROR(INDEX('M03-S02'!$BA$18:$BA$199,2*(ROWS(O$4:O10)-1)+1),"")</f>
        <v/>
      </c>
      <c r="P10" s="415" t="str">
        <f>IFERROR(INDEX('M03-S02'!$AW$18:$AW$199,2*(ROWS(P$4:P10)-1)+1),"")</f>
        <v/>
      </c>
      <c r="Q10" s="415" t="str">
        <f>IFERROR(INDEX('M03-S02'!$BB$18:$BB$199,2*(ROWS(Q$4:Q10)-1)+1),"")</f>
        <v/>
      </c>
      <c r="R10" s="200" t="str">
        <f>IFERROR(INDEX('M03-S02'!$AN$18:$AN$199,2*(ROWS(R$4:R10)-1)+1),"")</f>
        <v/>
      </c>
      <c r="S10" s="405"/>
      <c r="T10" s="405"/>
      <c r="U10" s="405"/>
      <c r="V10" s="325"/>
      <c r="W10" s="417"/>
      <c r="X10" s="417"/>
      <c r="Y10" s="408"/>
      <c r="Z10" s="408"/>
      <c r="AA10" s="418"/>
      <c r="AB10" s="418"/>
      <c r="AC10" s="325"/>
      <c r="AD10" s="415" t="str">
        <f>IFERROR(INDEX('M03-S02'!$AX$18:$AX$199,2*(ROWS(AD$4:AD10)-1)+1),"")</f>
        <v/>
      </c>
      <c r="AE10" s="415" t="str">
        <f>IFERROR(INDEX('M03-S02'!$AY$18:$AY$199,2*(ROWS(AE$4:AE10)-1)+1),"")</f>
        <v/>
      </c>
      <c r="AF10" s="173" t="str">
        <f>IFERROR(INDEX('M03-S02'!$R$18:$R$199,2*(ROWS(AF$4:AF10)-1)+1),"")</f>
        <v/>
      </c>
      <c r="AG10" s="173" t="str">
        <f>IFERROR(INDEX('M03-S02'!$T$18:$T$199,2*(ROWS(AG$4:AG10)-1)+1),"")</f>
        <v/>
      </c>
      <c r="AH10" s="408"/>
      <c r="AI10" s="178">
        <f>IFERROR(INDEX('M03-S02'!$B$18:$B$199,2*(ROWS(AI$4:AI10)-1)+1),"")</f>
        <v>7</v>
      </c>
      <c r="AJ10" s="325"/>
      <c r="AK10" s="178">
        <f>IFERROR(INDEX('M03-S02'!$G$18:$G$199,2*(ROWS(AK$4:AK10)-1)+1),"")</f>
        <v>0</v>
      </c>
      <c r="AL10" s="178">
        <f>IFERROR(INDEX('M03-S02'!$O$18:$O$199,2*(ROWS(AL$4:AL10)-1)+1),"")</f>
        <v>0</v>
      </c>
      <c r="AM10" s="178">
        <f>IFERROR(INDEX('M03-S02'!$Z$18:$Z$199,2*(ROWS(AM$4:AM10)-1)+1),"")</f>
        <v>0</v>
      </c>
      <c r="AN10" s="405"/>
      <c r="AO10" s="405"/>
      <c r="AP10" s="178" t="str">
        <f>IFERROR(INDEX('M03-S02'!$AU$18:$AU$199,2*(ROWS(AP$4:AP10)-1)+1),"")</f>
        <v/>
      </c>
      <c r="AQ10" s="325"/>
      <c r="AR10" s="178" t="str">
        <f>IFERROR(INDEX(STDLIGHT[Reporting Methodology],MATCH(EXPORT!C10,STDLIGHT[Measure Number],0)),"")</f>
        <v/>
      </c>
      <c r="AS10" s="178" t="str">
        <f>IFERROR(INDEX(STDLIGHT[Primary Key],MATCH(C10,STDLIGHT[Measure Number],0)),"")</f>
        <v/>
      </c>
      <c r="AT10" s="200" t="str">
        <f>IFERROR(INDEX('M03-S02'!$AN$18:$AN$199,2*(ROWS(R$4:R10)-1)+1)-MIN(INDEX('M03-S02'!$AT$18:$AT$199,2*(ROWS(AT$4:AT10)-1)+1),(ROUND(INDEX('M03-S02'!$V$18:$V$199,2*(ROWS(AT$4:AT10)-1)+1),3)*INDEX(STDLIGHT[Previous Incentive],MATCH('M03-S02'!G30,STDLIGHT[Measure Name],0)))),"")</f>
        <v/>
      </c>
      <c r="AU10" s="278"/>
      <c r="AV10" s="278"/>
      <c r="AW10" s="278"/>
      <c r="AX10" s="278"/>
      <c r="AY10" s="278"/>
      <c r="AZ10" s="278"/>
      <c r="BA10" s="278"/>
      <c r="BB10" s="278"/>
      <c r="BC10" s="278"/>
      <c r="BD10" s="278"/>
      <c r="BE10" s="279"/>
      <c r="BL10" s="180"/>
      <c r="BP10"/>
      <c r="BQ10"/>
      <c r="BR10"/>
      <c r="CD10" s="180"/>
      <c r="CE10" s="180"/>
      <c r="CF10" s="180"/>
      <c r="CH10"/>
      <c r="CI10"/>
      <c r="CJ10"/>
      <c r="CK10"/>
      <c r="CL10"/>
      <c r="CM10"/>
      <c r="CN10"/>
      <c r="CQ10" s="180"/>
      <c r="CR10" s="180"/>
      <c r="CS10" s="180"/>
      <c r="DS10" s="180"/>
      <c r="DT10" s="180"/>
      <c r="DU10" s="180"/>
    </row>
    <row r="11" spans="1:157" s="54" customFormat="1" hidden="1">
      <c r="A11" s="135">
        <f t="shared" si="0"/>
        <v>0</v>
      </c>
      <c r="B11" s="178" t="str">
        <f t="shared" si="1"/>
        <v/>
      </c>
      <c r="C11" s="178" t="str">
        <f>IFERROR(IF(R11&gt;0,INDEX('M03-S02'!$BC$18:$BC$199,2*(ROWS($C$4:C11)-1)+1),""),"")</f>
        <v/>
      </c>
      <c r="D11" s="180" t="s">
        <v>1443</v>
      </c>
      <c r="E11" s="178" t="str">
        <f>IFERROR(INDEX('M03-S02'!$AZ$18:$AZ$199,2*(ROWS($E$4:E11)-1)+1),"")</f>
        <v/>
      </c>
      <c r="F11" s="173">
        <f>IFERROR(INDEX('M03-S02'!$X$18:$X$199,2*(ROWS($F$4:F11)-1)+1),"")</f>
        <v>0</v>
      </c>
      <c r="G11" s="178">
        <f>IFERROR(INDEX('M03-S02'!$AC$18:$AC$199,2*(ROWS($G$4:G11)-1)+1),"")</f>
        <v>0</v>
      </c>
      <c r="H11" s="200">
        <f>IFERROR(INDEX('M03-S02'!$AE$18:$AE$199,2*(ROWS(H$4:H11)-1)+1),"")</f>
        <v>0</v>
      </c>
      <c r="I11" s="200">
        <f>IFERROR(INDEX('M03-S02'!$AG$18:$AG$199,2*(ROWS($I$4:I11)-1)+1),"")</f>
        <v>0</v>
      </c>
      <c r="J11" s="200" t="str">
        <f>IFERROR(INDEX('M03-S02'!$AT$18:$AT$199,2*(ROWS(J$4:J11)-1)+1),"")</f>
        <v/>
      </c>
      <c r="K11" s="178" t="s">
        <v>84</v>
      </c>
      <c r="L11" s="116">
        <f>IFERROR(ROUND(INDEX('M03-S02'!$V$18:$V$199,2*(ROWS(L$4:L11)-1)+1),3),"")</f>
        <v>0</v>
      </c>
      <c r="M11" s="116">
        <f>IFERROR(ROUND(INDEX('M03-S02'!$V$18:$V$199,2*(ROWS(M$4:M11)-1)+1),3),"")</f>
        <v>0</v>
      </c>
      <c r="N11" s="415" t="str">
        <f>IFERROR(INDEX('M03-S02'!$AV$18:$AV$199,2*(ROWS(N$4:N11)-1)+1),"")</f>
        <v/>
      </c>
      <c r="O11" s="415" t="str">
        <f>IFERROR(INDEX('M03-S02'!$BA$18:$BA$199,2*(ROWS(O$4:O11)-1)+1),"")</f>
        <v/>
      </c>
      <c r="P11" s="415" t="str">
        <f>IFERROR(INDEX('M03-S02'!$AW$18:$AW$199,2*(ROWS(P$4:P11)-1)+1),"")</f>
        <v/>
      </c>
      <c r="Q11" s="415" t="str">
        <f>IFERROR(INDEX('M03-S02'!$BB$18:$BB$199,2*(ROWS(Q$4:Q11)-1)+1),"")</f>
        <v/>
      </c>
      <c r="R11" s="200" t="str">
        <f>IFERROR(INDEX('M03-S02'!$AN$18:$AN$199,2*(ROWS(R$4:R11)-1)+1),"")</f>
        <v/>
      </c>
      <c r="S11" s="405"/>
      <c r="T11" s="405"/>
      <c r="U11" s="405"/>
      <c r="V11" s="325"/>
      <c r="W11" s="417"/>
      <c r="X11" s="417"/>
      <c r="Y11" s="408"/>
      <c r="Z11" s="408"/>
      <c r="AA11" s="418"/>
      <c r="AB11" s="418"/>
      <c r="AC11" s="325"/>
      <c r="AD11" s="415" t="str">
        <f>IFERROR(INDEX('M03-S02'!$AX$18:$AX$199,2*(ROWS(AD$4:AD11)-1)+1),"")</f>
        <v/>
      </c>
      <c r="AE11" s="415" t="str">
        <f>IFERROR(INDEX('M03-S02'!$AY$18:$AY$199,2*(ROWS(AE$4:AE11)-1)+1),"")</f>
        <v/>
      </c>
      <c r="AF11" s="173" t="str">
        <f>IFERROR(INDEX('M03-S02'!$R$18:$R$199,2*(ROWS(AF$4:AF11)-1)+1),"")</f>
        <v/>
      </c>
      <c r="AG11" s="173" t="str">
        <f>IFERROR(INDEX('M03-S02'!$T$18:$T$199,2*(ROWS(AG$4:AG11)-1)+1),"")</f>
        <v/>
      </c>
      <c r="AH11" s="408"/>
      <c r="AI11" s="178">
        <f>IFERROR(INDEX('M03-S02'!$B$18:$B$199,2*(ROWS(AI$4:AI11)-1)+1),"")</f>
        <v>8</v>
      </c>
      <c r="AJ11" s="325"/>
      <c r="AK11" s="178">
        <f>IFERROR(INDEX('M03-S02'!$G$18:$G$199,2*(ROWS(AK$4:AK11)-1)+1),"")</f>
        <v>0</v>
      </c>
      <c r="AL11" s="178">
        <f>IFERROR(INDEX('M03-S02'!$O$18:$O$199,2*(ROWS(AL$4:AL11)-1)+1),"")</f>
        <v>0</v>
      </c>
      <c r="AM11" s="178">
        <f>IFERROR(INDEX('M03-S02'!$Z$18:$Z$199,2*(ROWS(AM$4:AM11)-1)+1),"")</f>
        <v>0</v>
      </c>
      <c r="AN11" s="405"/>
      <c r="AO11" s="405"/>
      <c r="AP11" s="178" t="str">
        <f>IFERROR(INDEX('M03-S02'!$AU$18:$AU$199,2*(ROWS(AP$4:AP11)-1)+1),"")</f>
        <v/>
      </c>
      <c r="AQ11" s="325"/>
      <c r="AR11" s="178" t="str">
        <f>IFERROR(INDEX(STDLIGHT[Reporting Methodology],MATCH(EXPORT!C11,STDLIGHT[Measure Number],0)),"")</f>
        <v/>
      </c>
      <c r="AS11" s="178" t="str">
        <f>IFERROR(INDEX(STDLIGHT[Primary Key],MATCH(C11,STDLIGHT[Measure Number],0)),"")</f>
        <v/>
      </c>
      <c r="AT11" s="200" t="str">
        <f>IFERROR(INDEX('M03-S02'!$AN$18:$AN$199,2*(ROWS(R$4:R11)-1)+1)-MIN(INDEX('M03-S02'!$AT$18:$AT$199,2*(ROWS(AT$4:AT11)-1)+1),(ROUND(INDEX('M03-S02'!$V$18:$V$199,2*(ROWS(AT$4:AT11)-1)+1),3)*INDEX(STDLIGHT[Previous Incentive],MATCH('M03-S02'!G32,STDLIGHT[Measure Name],0)))),"")</f>
        <v/>
      </c>
      <c r="AU11" s="278"/>
      <c r="AV11" s="278"/>
      <c r="AW11" s="278"/>
      <c r="AX11" s="278"/>
      <c r="AY11" s="278"/>
      <c r="AZ11" s="278"/>
      <c r="BA11" s="278"/>
      <c r="BB11" s="278"/>
      <c r="BC11" s="278"/>
      <c r="BD11" s="278"/>
      <c r="BE11" s="279"/>
      <c r="BL11" s="180"/>
      <c r="BP11"/>
      <c r="BQ11"/>
      <c r="BR11"/>
      <c r="CD11" s="180"/>
      <c r="CE11" s="180"/>
      <c r="CF11" s="180"/>
      <c r="CH11"/>
      <c r="CI11"/>
      <c r="CJ11"/>
      <c r="CK11"/>
      <c r="CL11"/>
      <c r="CM11"/>
      <c r="CN11"/>
      <c r="CQ11" s="180"/>
      <c r="CR11" s="180"/>
      <c r="CS11" s="180"/>
      <c r="DS11" s="180"/>
      <c r="DT11" s="180"/>
      <c r="DU11" s="180"/>
    </row>
    <row r="12" spans="1:157" s="54" customFormat="1" hidden="1">
      <c r="A12" s="135">
        <f t="shared" si="0"/>
        <v>0</v>
      </c>
      <c r="B12" s="178" t="str">
        <f t="shared" si="1"/>
        <v/>
      </c>
      <c r="C12" s="178" t="str">
        <f>IFERROR(IF(R12&gt;0,INDEX('M03-S02'!$BC$18:$BC$199,2*(ROWS($C$4:C12)-1)+1),""),"")</f>
        <v/>
      </c>
      <c r="D12" s="180" t="s">
        <v>1443</v>
      </c>
      <c r="E12" s="178" t="str">
        <f>IFERROR(INDEX('M03-S02'!$AZ$18:$AZ$199,2*(ROWS($E$4:E12)-1)+1),"")</f>
        <v/>
      </c>
      <c r="F12" s="173">
        <f>IFERROR(INDEX('M03-S02'!$X$18:$X$199,2*(ROWS($F$4:F12)-1)+1),"")</f>
        <v>0</v>
      </c>
      <c r="G12" s="178">
        <f>IFERROR(INDEX('M03-S02'!$AC$18:$AC$199,2*(ROWS($G$4:G12)-1)+1),"")</f>
        <v>0</v>
      </c>
      <c r="H12" s="200">
        <f>IFERROR(INDEX('M03-S02'!$AE$18:$AE$199,2*(ROWS(H$4:H12)-1)+1),"")</f>
        <v>0</v>
      </c>
      <c r="I12" s="200">
        <f>IFERROR(INDEX('M03-S02'!$AG$18:$AG$199,2*(ROWS($I$4:I12)-1)+1),"")</f>
        <v>0</v>
      </c>
      <c r="J12" s="200" t="str">
        <f>IFERROR(INDEX('M03-S02'!$AT$18:$AT$199,2*(ROWS(J$4:J12)-1)+1),"")</f>
        <v/>
      </c>
      <c r="K12" s="178" t="s">
        <v>84</v>
      </c>
      <c r="L12" s="116">
        <f>IFERROR(ROUND(INDEX('M03-S02'!$V$18:$V$199,2*(ROWS(L$4:L12)-1)+1),3),"")</f>
        <v>0</v>
      </c>
      <c r="M12" s="116">
        <f>IFERROR(ROUND(INDEX('M03-S02'!$V$18:$V$199,2*(ROWS(M$4:M12)-1)+1),3),"")</f>
        <v>0</v>
      </c>
      <c r="N12" s="415" t="str">
        <f>IFERROR(INDEX('M03-S02'!$AV$18:$AV$199,2*(ROWS(N$4:N12)-1)+1),"")</f>
        <v/>
      </c>
      <c r="O12" s="415" t="str">
        <f>IFERROR(INDEX('M03-S02'!$BA$18:$BA$199,2*(ROWS(O$4:O12)-1)+1),"")</f>
        <v/>
      </c>
      <c r="P12" s="415" t="str">
        <f>IFERROR(INDEX('M03-S02'!$AW$18:$AW$199,2*(ROWS(P$4:P12)-1)+1),"")</f>
        <v/>
      </c>
      <c r="Q12" s="415" t="str">
        <f>IFERROR(INDEX('M03-S02'!$BB$18:$BB$199,2*(ROWS(Q$4:Q12)-1)+1),"")</f>
        <v/>
      </c>
      <c r="R12" s="200" t="str">
        <f>IFERROR(INDEX('M03-S02'!$AN$18:$AN$199,2*(ROWS(R$4:R12)-1)+1),"")</f>
        <v/>
      </c>
      <c r="S12" s="405"/>
      <c r="T12" s="405"/>
      <c r="U12" s="405"/>
      <c r="V12" s="325"/>
      <c r="W12" s="417"/>
      <c r="X12" s="417"/>
      <c r="Y12" s="408"/>
      <c r="Z12" s="408"/>
      <c r="AA12" s="418"/>
      <c r="AB12" s="418"/>
      <c r="AC12" s="325"/>
      <c r="AD12" s="415" t="str">
        <f>IFERROR(INDEX('M03-S02'!$AX$18:$AX$199,2*(ROWS(AD$4:AD12)-1)+1),"")</f>
        <v/>
      </c>
      <c r="AE12" s="415" t="str">
        <f>IFERROR(INDEX('M03-S02'!$AY$18:$AY$199,2*(ROWS(AE$4:AE12)-1)+1),"")</f>
        <v/>
      </c>
      <c r="AF12" s="173" t="str">
        <f>IFERROR(INDEX('M03-S02'!$R$18:$R$199,2*(ROWS(AF$4:AF12)-1)+1),"")</f>
        <v/>
      </c>
      <c r="AG12" s="173" t="str">
        <f>IFERROR(INDEX('M03-S02'!$T$18:$T$199,2*(ROWS(AG$4:AG12)-1)+1),"")</f>
        <v/>
      </c>
      <c r="AH12" s="408"/>
      <c r="AI12" s="178">
        <f>IFERROR(INDEX('M03-S02'!$B$18:$B$199,2*(ROWS(AI$4:AI12)-1)+1),"")</f>
        <v>9</v>
      </c>
      <c r="AJ12" s="325"/>
      <c r="AK12" s="178">
        <f>IFERROR(INDEX('M03-S02'!$G$18:$G$199,2*(ROWS(AK$4:AK12)-1)+1),"")</f>
        <v>0</v>
      </c>
      <c r="AL12" s="178">
        <f>IFERROR(INDEX('M03-S02'!$O$18:$O$199,2*(ROWS(AL$4:AL12)-1)+1),"")</f>
        <v>0</v>
      </c>
      <c r="AM12" s="178">
        <f>IFERROR(INDEX('M03-S02'!$Z$18:$Z$199,2*(ROWS(AM$4:AM12)-1)+1),"")</f>
        <v>0</v>
      </c>
      <c r="AN12" s="405"/>
      <c r="AO12" s="405"/>
      <c r="AP12" s="178" t="str">
        <f>IFERROR(INDEX('M03-S02'!$AU$18:$AU$199,2*(ROWS(AP$4:AP12)-1)+1),"")</f>
        <v/>
      </c>
      <c r="AQ12" s="325"/>
      <c r="AR12" s="178" t="str">
        <f>IFERROR(INDEX(STDLIGHT[Reporting Methodology],MATCH(EXPORT!C12,STDLIGHT[Measure Number],0)),"")</f>
        <v/>
      </c>
      <c r="AS12" s="178" t="str">
        <f>IFERROR(INDEX(STDLIGHT[Primary Key],MATCH(C12,STDLIGHT[Measure Number],0)),"")</f>
        <v/>
      </c>
      <c r="AT12" s="200" t="str">
        <f>IFERROR(INDEX('M03-S02'!$AN$18:$AN$199,2*(ROWS(R$4:R12)-1)+1)-MIN(INDEX('M03-S02'!$AT$18:$AT$199,2*(ROWS(AT$4:AT12)-1)+1),(ROUND(INDEX('M03-S02'!$V$18:$V$199,2*(ROWS(AT$4:AT12)-1)+1),3)*INDEX(STDLIGHT[Previous Incentive],MATCH('M03-S02'!G34,STDLIGHT[Measure Name],0)))),"")</f>
        <v/>
      </c>
      <c r="AU12" s="278"/>
      <c r="AV12" s="278"/>
      <c r="AW12" s="278"/>
      <c r="AX12" s="278"/>
      <c r="AY12" s="278"/>
      <c r="AZ12" s="278"/>
      <c r="BA12" s="278"/>
      <c r="BB12" s="278"/>
      <c r="BC12" s="278"/>
      <c r="BD12" s="278"/>
      <c r="BE12" s="279"/>
      <c r="BL12" s="180"/>
      <c r="BP12"/>
      <c r="BQ12"/>
      <c r="BR12"/>
      <c r="CD12" s="180"/>
      <c r="CE12" s="180"/>
      <c r="CF12" s="180"/>
      <c r="CH12"/>
      <c r="CI12"/>
      <c r="CJ12"/>
      <c r="CK12"/>
      <c r="CL12"/>
      <c r="CM12"/>
      <c r="CN12"/>
      <c r="CQ12" s="180"/>
      <c r="CR12" s="180"/>
      <c r="CS12" s="180"/>
      <c r="DS12" s="180"/>
      <c r="DT12" s="180"/>
      <c r="DU12" s="180"/>
    </row>
    <row r="13" spans="1:157" s="54" customFormat="1" hidden="1">
      <c r="A13" s="135">
        <f t="shared" si="0"/>
        <v>0</v>
      </c>
      <c r="B13" s="178" t="str">
        <f t="shared" si="1"/>
        <v/>
      </c>
      <c r="C13" s="178" t="str">
        <f>IFERROR(IF(R13&gt;0,INDEX('M03-S02'!$BC$18:$BC$199,2*(ROWS($C$4:C13)-1)+1),""),"")</f>
        <v/>
      </c>
      <c r="D13" s="180" t="s">
        <v>1443</v>
      </c>
      <c r="E13" s="178" t="str">
        <f>IFERROR(INDEX('M03-S02'!$AZ$18:$AZ$199,2*(ROWS($E$4:E13)-1)+1),"")</f>
        <v/>
      </c>
      <c r="F13" s="173">
        <f>IFERROR(INDEX('M03-S02'!$X$18:$X$199,2*(ROWS($F$4:F13)-1)+1),"")</f>
        <v>0</v>
      </c>
      <c r="G13" s="178">
        <f>IFERROR(INDEX('M03-S02'!$AC$18:$AC$199,2*(ROWS($G$4:G13)-1)+1),"")</f>
        <v>0</v>
      </c>
      <c r="H13" s="200">
        <f>IFERROR(INDEX('M03-S02'!$AE$18:$AE$199,2*(ROWS(H$4:H13)-1)+1),"")</f>
        <v>0</v>
      </c>
      <c r="I13" s="200">
        <f>IFERROR(INDEX('M03-S02'!$AG$18:$AG$199,2*(ROWS($I$4:I13)-1)+1),"")</f>
        <v>0</v>
      </c>
      <c r="J13" s="200" t="str">
        <f>IFERROR(INDEX('M03-S02'!$AT$18:$AT$199,2*(ROWS(J$4:J13)-1)+1),"")</f>
        <v/>
      </c>
      <c r="K13" s="178" t="s">
        <v>84</v>
      </c>
      <c r="L13" s="116">
        <f>IFERROR(ROUND(INDEX('M03-S02'!$V$18:$V$199,2*(ROWS(L$4:L13)-1)+1),3),"")</f>
        <v>0</v>
      </c>
      <c r="M13" s="116">
        <f>IFERROR(ROUND(INDEX('M03-S02'!$V$18:$V$199,2*(ROWS(M$4:M13)-1)+1),3),"")</f>
        <v>0</v>
      </c>
      <c r="N13" s="415" t="str">
        <f>IFERROR(INDEX('M03-S02'!$AV$18:$AV$199,2*(ROWS(N$4:N13)-1)+1),"")</f>
        <v/>
      </c>
      <c r="O13" s="415" t="str">
        <f>IFERROR(INDEX('M03-S02'!$BA$18:$BA$199,2*(ROWS(O$4:O13)-1)+1),"")</f>
        <v/>
      </c>
      <c r="P13" s="415" t="str">
        <f>IFERROR(INDEX('M03-S02'!$AW$18:$AW$199,2*(ROWS(P$4:P13)-1)+1),"")</f>
        <v/>
      </c>
      <c r="Q13" s="415" t="str">
        <f>IFERROR(INDEX('M03-S02'!$BB$18:$BB$199,2*(ROWS(Q$4:Q13)-1)+1),"")</f>
        <v/>
      </c>
      <c r="R13" s="200" t="str">
        <f>IFERROR(INDEX('M03-S02'!$AN$18:$AN$199,2*(ROWS(R$4:R13)-1)+1),"")</f>
        <v/>
      </c>
      <c r="S13" s="405"/>
      <c r="T13" s="405"/>
      <c r="U13" s="405"/>
      <c r="V13" s="325"/>
      <c r="W13" s="417"/>
      <c r="X13" s="417"/>
      <c r="Y13" s="408"/>
      <c r="Z13" s="408"/>
      <c r="AA13" s="418"/>
      <c r="AB13" s="418"/>
      <c r="AC13" s="325"/>
      <c r="AD13" s="415" t="str">
        <f>IFERROR(INDEX('M03-S02'!$AX$18:$AX$199,2*(ROWS(AD$4:AD13)-1)+1),"")</f>
        <v/>
      </c>
      <c r="AE13" s="415" t="str">
        <f>IFERROR(INDEX('M03-S02'!$AY$18:$AY$199,2*(ROWS(AE$4:AE13)-1)+1),"")</f>
        <v/>
      </c>
      <c r="AF13" s="173" t="str">
        <f>IFERROR(INDEX('M03-S02'!$R$18:$R$199,2*(ROWS(AF$4:AF13)-1)+1),"")</f>
        <v/>
      </c>
      <c r="AG13" s="173" t="str">
        <f>IFERROR(INDEX('M03-S02'!$T$18:$T$199,2*(ROWS(AG$4:AG13)-1)+1),"")</f>
        <v/>
      </c>
      <c r="AH13" s="408"/>
      <c r="AI13" s="178">
        <f>IFERROR(INDEX('M03-S02'!$B$18:$B$199,2*(ROWS(AI$4:AI13)-1)+1),"")</f>
        <v>10</v>
      </c>
      <c r="AJ13" s="325"/>
      <c r="AK13" s="178">
        <f>IFERROR(INDEX('M03-S02'!$G$18:$G$199,2*(ROWS(AK$4:AK13)-1)+1),"")</f>
        <v>0</v>
      </c>
      <c r="AL13" s="178">
        <f>IFERROR(INDEX('M03-S02'!$O$18:$O$199,2*(ROWS(AL$4:AL13)-1)+1),"")</f>
        <v>0</v>
      </c>
      <c r="AM13" s="178">
        <f>IFERROR(INDEX('M03-S02'!$Z$18:$Z$199,2*(ROWS(AM$4:AM13)-1)+1),"")</f>
        <v>0</v>
      </c>
      <c r="AN13" s="405"/>
      <c r="AO13" s="405"/>
      <c r="AP13" s="178" t="str">
        <f>IFERROR(INDEX('M03-S02'!$AU$18:$AU$199,2*(ROWS(AP$4:AP13)-1)+1),"")</f>
        <v/>
      </c>
      <c r="AQ13" s="325"/>
      <c r="AR13" s="178" t="str">
        <f>IFERROR(INDEX(STDLIGHT[Reporting Methodology],MATCH(EXPORT!C13,STDLIGHT[Measure Number],0)),"")</f>
        <v/>
      </c>
      <c r="AS13" s="178" t="str">
        <f>IFERROR(INDEX(STDLIGHT[Primary Key],MATCH(C13,STDLIGHT[Measure Number],0)),"")</f>
        <v/>
      </c>
      <c r="AT13" s="200" t="str">
        <f>IFERROR(INDEX('M03-S02'!$AN$18:$AN$199,2*(ROWS(R$4:R13)-1)+1)-MIN(INDEX('M03-S02'!$AT$18:$AT$199,2*(ROWS(AT$4:AT13)-1)+1),(ROUND(INDEX('M03-S02'!$V$18:$V$199,2*(ROWS(AT$4:AT13)-1)+1),3)*INDEX(STDLIGHT[Previous Incentive],MATCH('M03-S02'!G36,STDLIGHT[Measure Name],0)))),"")</f>
        <v/>
      </c>
      <c r="AU13" s="278"/>
      <c r="AV13" s="278"/>
      <c r="AW13" s="278"/>
      <c r="AX13" s="278"/>
      <c r="AY13" s="278"/>
      <c r="AZ13" s="278"/>
      <c r="BA13" s="278"/>
      <c r="BB13" s="278"/>
      <c r="BC13" s="278"/>
      <c r="BD13" s="278"/>
      <c r="BE13" s="279"/>
      <c r="BL13" s="180"/>
      <c r="BP13"/>
      <c r="BQ13"/>
      <c r="BR13"/>
      <c r="CD13" s="180"/>
      <c r="CE13" s="180"/>
      <c r="CF13" s="180"/>
      <c r="CH13"/>
      <c r="CI13"/>
      <c r="CJ13"/>
      <c r="CK13"/>
      <c r="CL13"/>
      <c r="CM13"/>
      <c r="CN13"/>
      <c r="CQ13" s="180"/>
      <c r="CR13" s="180"/>
      <c r="CS13" s="180"/>
      <c r="DS13" s="180"/>
      <c r="DT13" s="180"/>
      <c r="DU13" s="180"/>
    </row>
    <row r="14" spans="1:157" s="54" customFormat="1" hidden="1">
      <c r="A14" s="135">
        <f t="shared" si="0"/>
        <v>0</v>
      </c>
      <c r="B14" s="178" t="str">
        <f t="shared" si="1"/>
        <v/>
      </c>
      <c r="C14" s="178" t="str">
        <f>IFERROR(IF(R14&gt;0,INDEX('M03-S02'!$BC$18:$BC$199,2*(ROWS($C$4:C14)-1)+1),""),"")</f>
        <v/>
      </c>
      <c r="D14" s="180" t="s">
        <v>1443</v>
      </c>
      <c r="E14" s="178" t="str">
        <f>IFERROR(INDEX('M03-S02'!$AZ$18:$AZ$199,2*(ROWS($E$4:E14)-1)+1),"")</f>
        <v/>
      </c>
      <c r="F14" s="173">
        <f>IFERROR(INDEX('M03-S02'!$X$18:$X$199,2*(ROWS($F$4:F14)-1)+1),"")</f>
        <v>0</v>
      </c>
      <c r="G14" s="178">
        <f>IFERROR(INDEX('M03-S02'!$AC$18:$AC$199,2*(ROWS($G$4:G14)-1)+1),"")</f>
        <v>0</v>
      </c>
      <c r="H14" s="200">
        <f>IFERROR(INDEX('M03-S02'!$AE$18:$AE$199,2*(ROWS(H$4:H14)-1)+1),"")</f>
        <v>0</v>
      </c>
      <c r="I14" s="200">
        <f>IFERROR(INDEX('M03-S02'!$AG$18:$AG$199,2*(ROWS($I$4:I14)-1)+1),"")</f>
        <v>0</v>
      </c>
      <c r="J14" s="200" t="str">
        <f>IFERROR(INDEX('M03-S02'!$AT$18:$AT$199,2*(ROWS(J$4:J14)-1)+1),"")</f>
        <v/>
      </c>
      <c r="K14" s="178" t="s">
        <v>84</v>
      </c>
      <c r="L14" s="116">
        <f>IFERROR(ROUND(INDEX('M03-S02'!$V$18:$V$199,2*(ROWS(L$4:L14)-1)+1),3),"")</f>
        <v>0</v>
      </c>
      <c r="M14" s="116">
        <f>IFERROR(ROUND(INDEX('M03-S02'!$V$18:$V$199,2*(ROWS(M$4:M14)-1)+1),3),"")</f>
        <v>0</v>
      </c>
      <c r="N14" s="415" t="str">
        <f>IFERROR(INDEX('M03-S02'!$AV$18:$AV$199,2*(ROWS(N$4:N14)-1)+1),"")</f>
        <v/>
      </c>
      <c r="O14" s="415" t="str">
        <f>IFERROR(INDEX('M03-S02'!$BA$18:$BA$199,2*(ROWS(O$4:O14)-1)+1),"")</f>
        <v/>
      </c>
      <c r="P14" s="415" t="str">
        <f>IFERROR(INDEX('M03-S02'!$AW$18:$AW$199,2*(ROWS(P$4:P14)-1)+1),"")</f>
        <v/>
      </c>
      <c r="Q14" s="415" t="str">
        <f>IFERROR(INDEX('M03-S02'!$BB$18:$BB$199,2*(ROWS(Q$4:Q14)-1)+1),"")</f>
        <v/>
      </c>
      <c r="R14" s="200" t="str">
        <f>IFERROR(INDEX('M03-S02'!$AN$18:$AN$199,2*(ROWS(R$4:R14)-1)+1),"")</f>
        <v/>
      </c>
      <c r="S14" s="405"/>
      <c r="T14" s="405"/>
      <c r="U14" s="405"/>
      <c r="V14" s="325"/>
      <c r="W14" s="417"/>
      <c r="X14" s="417"/>
      <c r="Y14" s="408"/>
      <c r="Z14" s="408"/>
      <c r="AA14" s="418"/>
      <c r="AB14" s="418"/>
      <c r="AC14" s="325"/>
      <c r="AD14" s="415" t="str">
        <f>IFERROR(INDEX('M03-S02'!$AX$18:$AX$199,2*(ROWS(AD$4:AD14)-1)+1),"")</f>
        <v/>
      </c>
      <c r="AE14" s="415" t="str">
        <f>IFERROR(INDEX('M03-S02'!$AY$18:$AY$199,2*(ROWS(AE$4:AE14)-1)+1),"")</f>
        <v/>
      </c>
      <c r="AF14" s="173" t="str">
        <f>IFERROR(INDEX('M03-S02'!$R$18:$R$199,2*(ROWS(AF$4:AF14)-1)+1),"")</f>
        <v/>
      </c>
      <c r="AG14" s="173" t="str">
        <f>IFERROR(INDEX('M03-S02'!$T$18:$T$199,2*(ROWS(AG$4:AG14)-1)+1),"")</f>
        <v/>
      </c>
      <c r="AH14" s="408"/>
      <c r="AI14" s="178">
        <f>IFERROR(INDEX('M03-S02'!$B$18:$B$199,2*(ROWS(AI$4:AI14)-1)+1),"")</f>
        <v>11</v>
      </c>
      <c r="AJ14" s="325"/>
      <c r="AK14" s="178">
        <f>IFERROR(INDEX('M03-S02'!$G$18:$G$199,2*(ROWS(AK$4:AK14)-1)+1),"")</f>
        <v>0</v>
      </c>
      <c r="AL14" s="178">
        <f>IFERROR(INDEX('M03-S02'!$O$18:$O$199,2*(ROWS(AL$4:AL14)-1)+1),"")</f>
        <v>0</v>
      </c>
      <c r="AM14" s="178">
        <f>IFERROR(INDEX('M03-S02'!$Z$18:$Z$199,2*(ROWS(AM$4:AM14)-1)+1),"")</f>
        <v>0</v>
      </c>
      <c r="AN14" s="405"/>
      <c r="AO14" s="405"/>
      <c r="AP14" s="178" t="str">
        <f>IFERROR(INDEX('M03-S02'!$AU$18:$AU$199,2*(ROWS(AP$4:AP14)-1)+1),"")</f>
        <v/>
      </c>
      <c r="AQ14" s="325"/>
      <c r="AR14" s="178" t="str">
        <f>IFERROR(INDEX(STDLIGHT[Reporting Methodology],MATCH(EXPORT!C14,STDLIGHT[Measure Number],0)),"")</f>
        <v/>
      </c>
      <c r="AS14" s="178" t="str">
        <f>IFERROR(INDEX(STDLIGHT[Primary Key],MATCH(C14,STDLIGHT[Measure Number],0)),"")</f>
        <v/>
      </c>
      <c r="AT14" s="200" t="str">
        <f>IFERROR(INDEX('M03-S02'!$AN$18:$AN$199,2*(ROWS(R$4:R14)-1)+1)-MIN(INDEX('M03-S02'!$AT$18:$AT$199,2*(ROWS(AT$4:AT14)-1)+1),(ROUND(INDEX('M03-S02'!$V$18:$V$199,2*(ROWS(AT$4:AT14)-1)+1),3)*INDEX(STDLIGHT[Previous Incentive],MATCH('M03-S02'!G38,STDLIGHT[Measure Name],0)))),"")</f>
        <v/>
      </c>
      <c r="AU14" s="278"/>
      <c r="AV14" s="278"/>
      <c r="AW14" s="278"/>
      <c r="AX14" s="278"/>
      <c r="AY14" s="278"/>
      <c r="AZ14" s="278"/>
      <c r="BA14" s="278"/>
      <c r="BB14" s="278"/>
      <c r="BC14" s="278"/>
      <c r="BD14" s="278"/>
      <c r="BE14" s="279"/>
      <c r="BL14" s="180"/>
      <c r="BP14"/>
      <c r="BQ14"/>
      <c r="BR14"/>
      <c r="CD14" s="180"/>
      <c r="CE14" s="180"/>
      <c r="CF14" s="180"/>
      <c r="CH14"/>
      <c r="CI14"/>
      <c r="CJ14"/>
      <c r="CK14"/>
      <c r="CL14"/>
      <c r="CM14"/>
      <c r="CN14"/>
      <c r="CQ14" s="180"/>
      <c r="CR14" s="180"/>
      <c r="CS14" s="180"/>
      <c r="DS14" s="180"/>
      <c r="DT14" s="180"/>
      <c r="DU14" s="180"/>
    </row>
    <row r="15" spans="1:157" s="54" customFormat="1" hidden="1">
      <c r="A15" s="135">
        <f t="shared" si="0"/>
        <v>0</v>
      </c>
      <c r="B15" s="178" t="str">
        <f t="shared" si="1"/>
        <v/>
      </c>
      <c r="C15" s="178" t="str">
        <f>IFERROR(IF(R15&gt;0,INDEX('M03-S02'!$BC$18:$BC$199,2*(ROWS($C$4:C15)-1)+1),""),"")</f>
        <v/>
      </c>
      <c r="D15" s="180" t="s">
        <v>1443</v>
      </c>
      <c r="E15" s="178" t="str">
        <f>IFERROR(INDEX('M03-S02'!$AZ$18:$AZ$199,2*(ROWS($E$4:E15)-1)+1),"")</f>
        <v/>
      </c>
      <c r="F15" s="173">
        <f>IFERROR(INDEX('M03-S02'!$X$18:$X$199,2*(ROWS($F$4:F15)-1)+1),"")</f>
        <v>0</v>
      </c>
      <c r="G15" s="178">
        <f>IFERROR(INDEX('M03-S02'!$AC$18:$AC$199,2*(ROWS($G$4:G15)-1)+1),"")</f>
        <v>0</v>
      </c>
      <c r="H15" s="200">
        <f>IFERROR(INDEX('M03-S02'!$AE$18:$AE$199,2*(ROWS(H$4:H15)-1)+1),"")</f>
        <v>0</v>
      </c>
      <c r="I15" s="200">
        <f>IFERROR(INDEX('M03-S02'!$AG$18:$AG$199,2*(ROWS($I$4:I15)-1)+1),"")</f>
        <v>0</v>
      </c>
      <c r="J15" s="200" t="str">
        <f>IFERROR(INDEX('M03-S02'!$AT$18:$AT$199,2*(ROWS(J$4:J15)-1)+1),"")</f>
        <v/>
      </c>
      <c r="K15" s="178" t="s">
        <v>84</v>
      </c>
      <c r="L15" s="116">
        <f>IFERROR(ROUND(INDEX('M03-S02'!$V$18:$V$199,2*(ROWS(L$4:L15)-1)+1),3),"")</f>
        <v>0</v>
      </c>
      <c r="M15" s="116">
        <f>IFERROR(ROUND(INDEX('M03-S02'!$V$18:$V$199,2*(ROWS(M$4:M15)-1)+1),3),"")</f>
        <v>0</v>
      </c>
      <c r="N15" s="415" t="str">
        <f>IFERROR(INDEX('M03-S02'!$AV$18:$AV$199,2*(ROWS(N$4:N15)-1)+1),"")</f>
        <v/>
      </c>
      <c r="O15" s="415" t="str">
        <f>IFERROR(INDEX('M03-S02'!$BA$18:$BA$199,2*(ROWS(O$4:O15)-1)+1),"")</f>
        <v/>
      </c>
      <c r="P15" s="415" t="str">
        <f>IFERROR(INDEX('M03-S02'!$AW$18:$AW$199,2*(ROWS(P$4:P15)-1)+1),"")</f>
        <v/>
      </c>
      <c r="Q15" s="415" t="str">
        <f>IFERROR(INDEX('M03-S02'!$BB$18:$BB$199,2*(ROWS(Q$4:Q15)-1)+1),"")</f>
        <v/>
      </c>
      <c r="R15" s="200" t="str">
        <f>IFERROR(INDEX('M03-S02'!$AN$18:$AN$199,2*(ROWS(R$4:R15)-1)+1),"")</f>
        <v/>
      </c>
      <c r="S15" s="405"/>
      <c r="T15" s="405"/>
      <c r="U15" s="405"/>
      <c r="V15" s="325"/>
      <c r="W15" s="417"/>
      <c r="X15" s="417"/>
      <c r="Y15" s="408"/>
      <c r="Z15" s="408"/>
      <c r="AA15" s="418"/>
      <c r="AB15" s="418"/>
      <c r="AC15" s="325"/>
      <c r="AD15" s="415" t="str">
        <f>IFERROR(INDEX('M03-S02'!$AX$18:$AX$199,2*(ROWS(AD$4:AD15)-1)+1),"")</f>
        <v/>
      </c>
      <c r="AE15" s="415" t="str">
        <f>IFERROR(INDEX('M03-S02'!$AY$18:$AY$199,2*(ROWS(AE$4:AE15)-1)+1),"")</f>
        <v/>
      </c>
      <c r="AF15" s="173" t="str">
        <f>IFERROR(INDEX('M03-S02'!$R$18:$R$199,2*(ROWS(AF$4:AF15)-1)+1),"")</f>
        <v/>
      </c>
      <c r="AG15" s="173" t="str">
        <f>IFERROR(INDEX('M03-S02'!$T$18:$T$199,2*(ROWS(AG$4:AG15)-1)+1),"")</f>
        <v/>
      </c>
      <c r="AH15" s="408"/>
      <c r="AI15" s="178">
        <f>IFERROR(INDEX('M03-S02'!$B$18:$B$199,2*(ROWS(AI$4:AI15)-1)+1),"")</f>
        <v>12</v>
      </c>
      <c r="AJ15" s="325"/>
      <c r="AK15" s="178">
        <f>IFERROR(INDEX('M03-S02'!$G$18:$G$199,2*(ROWS(AK$4:AK15)-1)+1),"")</f>
        <v>0</v>
      </c>
      <c r="AL15" s="178">
        <f>IFERROR(INDEX('M03-S02'!$O$18:$O$199,2*(ROWS(AL$4:AL15)-1)+1),"")</f>
        <v>0</v>
      </c>
      <c r="AM15" s="178">
        <f>IFERROR(INDEX('M03-S02'!$Z$18:$Z$199,2*(ROWS(AM$4:AM15)-1)+1),"")</f>
        <v>0</v>
      </c>
      <c r="AN15" s="405"/>
      <c r="AO15" s="405"/>
      <c r="AP15" s="178" t="str">
        <f>IFERROR(INDEX('M03-S02'!$AU$18:$AU$199,2*(ROWS(AP$4:AP15)-1)+1),"")</f>
        <v/>
      </c>
      <c r="AQ15" s="325"/>
      <c r="AR15" s="178" t="str">
        <f>IFERROR(INDEX(STDLIGHT[Reporting Methodology],MATCH(EXPORT!C15,STDLIGHT[Measure Number],0)),"")</f>
        <v/>
      </c>
      <c r="AS15" s="178" t="str">
        <f>IFERROR(INDEX(STDLIGHT[Primary Key],MATCH(C15,STDLIGHT[Measure Number],0)),"")</f>
        <v/>
      </c>
      <c r="AT15" s="200" t="str">
        <f>IFERROR(INDEX('M03-S02'!$AN$18:$AN$199,2*(ROWS(R$4:R15)-1)+1)-MIN(INDEX('M03-S02'!$AT$18:$AT$199,2*(ROWS(AT$4:AT15)-1)+1),(ROUND(INDEX('M03-S02'!$V$18:$V$199,2*(ROWS(AT$4:AT15)-1)+1),3)*INDEX(STDLIGHT[Previous Incentive],MATCH('M03-S02'!G40,STDLIGHT[Measure Name],0)))),"")</f>
        <v/>
      </c>
      <c r="AU15" s="278"/>
      <c r="AV15" s="278"/>
      <c r="AW15" s="278"/>
      <c r="AX15" s="278"/>
      <c r="AY15" s="278"/>
      <c r="AZ15" s="278"/>
      <c r="BA15" s="278"/>
      <c r="BB15" s="278"/>
      <c r="BC15" s="278"/>
      <c r="BD15" s="278"/>
      <c r="BE15" s="279"/>
      <c r="BL15" s="180"/>
      <c r="BP15"/>
      <c r="BQ15"/>
      <c r="BR15"/>
      <c r="CD15" s="180"/>
      <c r="CE15" s="180"/>
      <c r="CF15" s="180"/>
      <c r="CH15"/>
      <c r="CI15"/>
      <c r="CJ15"/>
      <c r="CK15"/>
      <c r="CL15"/>
      <c r="CM15"/>
      <c r="CN15"/>
      <c r="CQ15" s="180"/>
      <c r="CR15" s="180"/>
      <c r="CS15" s="180"/>
      <c r="DS15" s="180"/>
      <c r="DT15" s="180"/>
      <c r="DU15" s="180"/>
    </row>
    <row r="16" spans="1:157" s="54" customFormat="1" hidden="1">
      <c r="A16" s="135">
        <f t="shared" si="0"/>
        <v>0</v>
      </c>
      <c r="B16" s="178" t="str">
        <f t="shared" si="1"/>
        <v/>
      </c>
      <c r="C16" s="178" t="str">
        <f>IFERROR(IF(R16&gt;0,INDEX('M03-S02'!$BC$18:$BC$199,2*(ROWS($C$4:C16)-1)+1),""),"")</f>
        <v/>
      </c>
      <c r="D16" s="180" t="s">
        <v>1443</v>
      </c>
      <c r="E16" s="178" t="str">
        <f>IFERROR(INDEX('M03-S02'!$AZ$18:$AZ$199,2*(ROWS($E$4:E16)-1)+1),"")</f>
        <v/>
      </c>
      <c r="F16" s="173">
        <f>IFERROR(INDEX('M03-S02'!$X$18:$X$199,2*(ROWS($F$4:F16)-1)+1),"")</f>
        <v>0</v>
      </c>
      <c r="G16" s="178">
        <f>IFERROR(INDEX('M03-S02'!$AC$18:$AC$199,2*(ROWS($G$4:G16)-1)+1),"")</f>
        <v>0</v>
      </c>
      <c r="H16" s="200">
        <f>IFERROR(INDEX('M03-S02'!$AE$18:$AE$199,2*(ROWS(H$4:H16)-1)+1),"")</f>
        <v>0</v>
      </c>
      <c r="I16" s="200">
        <f>IFERROR(INDEX('M03-S02'!$AG$18:$AG$199,2*(ROWS($I$4:I16)-1)+1),"")</f>
        <v>0</v>
      </c>
      <c r="J16" s="200" t="str">
        <f>IFERROR(INDEX('M03-S02'!$AT$18:$AT$199,2*(ROWS(J$4:J16)-1)+1),"")</f>
        <v/>
      </c>
      <c r="K16" s="178" t="s">
        <v>84</v>
      </c>
      <c r="L16" s="116">
        <f>IFERROR(ROUND(INDEX('M03-S02'!$V$18:$V$199,2*(ROWS(L$4:L16)-1)+1),3),"")</f>
        <v>0</v>
      </c>
      <c r="M16" s="116">
        <f>IFERROR(ROUND(INDEX('M03-S02'!$V$18:$V$199,2*(ROWS(M$4:M16)-1)+1),3),"")</f>
        <v>0</v>
      </c>
      <c r="N16" s="415" t="str">
        <f>IFERROR(INDEX('M03-S02'!$AV$18:$AV$199,2*(ROWS(N$4:N16)-1)+1),"")</f>
        <v/>
      </c>
      <c r="O16" s="415" t="str">
        <f>IFERROR(INDEX('M03-S02'!$BA$18:$BA$199,2*(ROWS(O$4:O16)-1)+1),"")</f>
        <v/>
      </c>
      <c r="P16" s="415" t="str">
        <f>IFERROR(INDEX('M03-S02'!$AW$18:$AW$199,2*(ROWS(P$4:P16)-1)+1),"")</f>
        <v/>
      </c>
      <c r="Q16" s="415" t="str">
        <f>IFERROR(INDEX('M03-S02'!$BB$18:$BB$199,2*(ROWS(Q$4:Q16)-1)+1),"")</f>
        <v/>
      </c>
      <c r="R16" s="200" t="str">
        <f>IFERROR(INDEX('M03-S02'!$AN$18:$AN$199,2*(ROWS(R$4:R16)-1)+1),"")</f>
        <v/>
      </c>
      <c r="S16" s="405"/>
      <c r="T16" s="405"/>
      <c r="U16" s="405"/>
      <c r="V16" s="325"/>
      <c r="W16" s="417"/>
      <c r="X16" s="417"/>
      <c r="Y16" s="408"/>
      <c r="Z16" s="408"/>
      <c r="AA16" s="418"/>
      <c r="AB16" s="418"/>
      <c r="AC16" s="325"/>
      <c r="AD16" s="415" t="str">
        <f>IFERROR(INDEX('M03-S02'!$AX$18:$AX$199,2*(ROWS(AD$4:AD16)-1)+1),"")</f>
        <v/>
      </c>
      <c r="AE16" s="415" t="str">
        <f>IFERROR(INDEX('M03-S02'!$AY$18:$AY$199,2*(ROWS(AE$4:AE16)-1)+1),"")</f>
        <v/>
      </c>
      <c r="AF16" s="173" t="str">
        <f>IFERROR(INDEX('M03-S02'!$R$18:$R$199,2*(ROWS(AF$4:AF16)-1)+1),"")</f>
        <v/>
      </c>
      <c r="AG16" s="173" t="str">
        <f>IFERROR(INDEX('M03-S02'!$T$18:$T$199,2*(ROWS(AG$4:AG16)-1)+1),"")</f>
        <v/>
      </c>
      <c r="AH16" s="408"/>
      <c r="AI16" s="178">
        <f>IFERROR(INDEX('M03-S02'!$B$18:$B$199,2*(ROWS(AI$4:AI16)-1)+1),"")</f>
        <v>13</v>
      </c>
      <c r="AJ16" s="325"/>
      <c r="AK16" s="178">
        <f>IFERROR(INDEX('M03-S02'!$G$18:$G$199,2*(ROWS(AK$4:AK16)-1)+1),"")</f>
        <v>0</v>
      </c>
      <c r="AL16" s="178">
        <f>IFERROR(INDEX('M03-S02'!$O$18:$O$199,2*(ROWS(AL$4:AL16)-1)+1),"")</f>
        <v>0</v>
      </c>
      <c r="AM16" s="178">
        <f>IFERROR(INDEX('M03-S02'!$Z$18:$Z$199,2*(ROWS(AM$4:AM16)-1)+1),"")</f>
        <v>0</v>
      </c>
      <c r="AN16" s="405"/>
      <c r="AO16" s="405"/>
      <c r="AP16" s="178" t="str">
        <f>IFERROR(INDEX('M03-S02'!$AU$18:$AU$199,2*(ROWS(AP$4:AP16)-1)+1),"")</f>
        <v/>
      </c>
      <c r="AQ16" s="325"/>
      <c r="AR16" s="178" t="str">
        <f>IFERROR(INDEX(STDLIGHT[Reporting Methodology],MATCH(EXPORT!C16,STDLIGHT[Measure Number],0)),"")</f>
        <v/>
      </c>
      <c r="AS16" s="178" t="str">
        <f>IFERROR(INDEX(STDLIGHT[Primary Key],MATCH(C16,STDLIGHT[Measure Number],0)),"")</f>
        <v/>
      </c>
      <c r="AT16" s="200" t="str">
        <f>IFERROR(INDEX('M03-S02'!$AN$18:$AN$199,2*(ROWS(R$4:R16)-1)+1)-MIN(INDEX('M03-S02'!$AT$18:$AT$199,2*(ROWS(AT$4:AT16)-1)+1),(ROUND(INDEX('M03-S02'!$V$18:$V$199,2*(ROWS(AT$4:AT16)-1)+1),3)*INDEX(STDLIGHT[Previous Incentive],MATCH('M03-S02'!G42,STDLIGHT[Measure Name],0)))),"")</f>
        <v/>
      </c>
      <c r="AU16" s="278"/>
      <c r="AV16" s="278"/>
      <c r="AW16" s="278"/>
      <c r="AX16" s="278"/>
      <c r="AY16" s="278"/>
      <c r="AZ16" s="278"/>
      <c r="BA16" s="278"/>
      <c r="BB16" s="278"/>
      <c r="BC16" s="278"/>
      <c r="BD16" s="278"/>
      <c r="BE16" s="279"/>
      <c r="BL16" s="180"/>
      <c r="BP16"/>
      <c r="BQ16"/>
      <c r="BR16"/>
      <c r="CD16" s="180"/>
      <c r="CE16" s="180"/>
      <c r="CF16" s="180"/>
      <c r="CH16"/>
      <c r="CI16"/>
      <c r="CJ16"/>
      <c r="CK16"/>
      <c r="CL16"/>
      <c r="CM16"/>
      <c r="CN16"/>
      <c r="CQ16" s="180"/>
      <c r="CR16" s="180"/>
      <c r="CS16" s="180"/>
      <c r="DS16" s="180"/>
      <c r="DT16" s="180"/>
      <c r="DU16" s="180"/>
    </row>
    <row r="17" spans="1:125" s="54" customFormat="1" hidden="1">
      <c r="A17" s="135">
        <f t="shared" si="0"/>
        <v>0</v>
      </c>
      <c r="B17" s="178" t="str">
        <f t="shared" si="1"/>
        <v/>
      </c>
      <c r="C17" s="178" t="str">
        <f>IFERROR(IF(R17&gt;0,INDEX('M03-S02'!$BC$18:$BC$199,2*(ROWS($C$4:C17)-1)+1),""),"")</f>
        <v/>
      </c>
      <c r="D17" s="180" t="s">
        <v>1443</v>
      </c>
      <c r="E17" s="178" t="str">
        <f>IFERROR(INDEX('M03-S02'!$AZ$18:$AZ$199,2*(ROWS($E$4:E17)-1)+1),"")</f>
        <v/>
      </c>
      <c r="F17" s="173">
        <f>IFERROR(INDEX('M03-S02'!$X$18:$X$199,2*(ROWS($F$4:F17)-1)+1),"")</f>
        <v>0</v>
      </c>
      <c r="G17" s="178">
        <f>IFERROR(INDEX('M03-S02'!$AC$18:$AC$199,2*(ROWS($G$4:G17)-1)+1),"")</f>
        <v>0</v>
      </c>
      <c r="H17" s="200">
        <f>IFERROR(INDEX('M03-S02'!$AE$18:$AE$199,2*(ROWS(H$4:H17)-1)+1),"")</f>
        <v>0</v>
      </c>
      <c r="I17" s="200">
        <f>IFERROR(INDEX('M03-S02'!$AG$18:$AG$199,2*(ROWS($I$4:I17)-1)+1),"")</f>
        <v>0</v>
      </c>
      <c r="J17" s="200" t="str">
        <f>IFERROR(INDEX('M03-S02'!$AT$18:$AT$199,2*(ROWS(J$4:J17)-1)+1),"")</f>
        <v/>
      </c>
      <c r="K17" s="178" t="s">
        <v>84</v>
      </c>
      <c r="L17" s="116">
        <f>IFERROR(ROUND(INDEX('M03-S02'!$V$18:$V$199,2*(ROWS(L$4:L17)-1)+1),3),"")</f>
        <v>0</v>
      </c>
      <c r="M17" s="116">
        <f>IFERROR(ROUND(INDEX('M03-S02'!$V$18:$V$199,2*(ROWS(M$4:M17)-1)+1),3),"")</f>
        <v>0</v>
      </c>
      <c r="N17" s="415" t="str">
        <f>IFERROR(INDEX('M03-S02'!$AV$18:$AV$199,2*(ROWS(N$4:N17)-1)+1),"")</f>
        <v/>
      </c>
      <c r="O17" s="415" t="str">
        <f>IFERROR(INDEX('M03-S02'!$BA$18:$BA$199,2*(ROWS(O$4:O17)-1)+1),"")</f>
        <v/>
      </c>
      <c r="P17" s="415" t="str">
        <f>IFERROR(INDEX('M03-S02'!$AW$18:$AW$199,2*(ROWS(P$4:P17)-1)+1),"")</f>
        <v/>
      </c>
      <c r="Q17" s="415" t="str">
        <f>IFERROR(INDEX('M03-S02'!$BB$18:$BB$199,2*(ROWS(Q$4:Q17)-1)+1),"")</f>
        <v/>
      </c>
      <c r="R17" s="200" t="str">
        <f>IFERROR(INDEX('M03-S02'!$AN$18:$AN$199,2*(ROWS(R$4:R17)-1)+1),"")</f>
        <v/>
      </c>
      <c r="S17" s="405"/>
      <c r="T17" s="405"/>
      <c r="U17" s="405"/>
      <c r="V17" s="325"/>
      <c r="W17" s="417"/>
      <c r="X17" s="417"/>
      <c r="Y17" s="408"/>
      <c r="Z17" s="408"/>
      <c r="AA17" s="418"/>
      <c r="AB17" s="418"/>
      <c r="AC17" s="325"/>
      <c r="AD17" s="415" t="str">
        <f>IFERROR(INDEX('M03-S02'!$AX$18:$AX$199,2*(ROWS(AD$4:AD17)-1)+1),"")</f>
        <v/>
      </c>
      <c r="AE17" s="415" t="str">
        <f>IFERROR(INDEX('M03-S02'!$AY$18:$AY$199,2*(ROWS(AE$4:AE17)-1)+1),"")</f>
        <v/>
      </c>
      <c r="AF17" s="173" t="str">
        <f>IFERROR(INDEX('M03-S02'!$R$18:$R$199,2*(ROWS(AF$4:AF17)-1)+1),"")</f>
        <v/>
      </c>
      <c r="AG17" s="173" t="str">
        <f>IFERROR(INDEX('M03-S02'!$T$18:$T$199,2*(ROWS(AG$4:AG17)-1)+1),"")</f>
        <v/>
      </c>
      <c r="AH17" s="408"/>
      <c r="AI17" s="178">
        <f>IFERROR(INDEX('M03-S02'!$B$18:$B$199,2*(ROWS(AI$4:AI17)-1)+1),"")</f>
        <v>14</v>
      </c>
      <c r="AJ17" s="325"/>
      <c r="AK17" s="178">
        <f>IFERROR(INDEX('M03-S02'!$G$18:$G$199,2*(ROWS(AK$4:AK17)-1)+1),"")</f>
        <v>0</v>
      </c>
      <c r="AL17" s="178">
        <f>IFERROR(INDEX('M03-S02'!$O$18:$O$199,2*(ROWS(AL$4:AL17)-1)+1),"")</f>
        <v>0</v>
      </c>
      <c r="AM17" s="178">
        <f>IFERROR(INDEX('M03-S02'!$Z$18:$Z$199,2*(ROWS(AM$4:AM17)-1)+1),"")</f>
        <v>0</v>
      </c>
      <c r="AN17" s="405"/>
      <c r="AO17" s="405"/>
      <c r="AP17" s="178" t="str">
        <f>IFERROR(INDEX('M03-S02'!$AU$18:$AU$199,2*(ROWS(AP$4:AP17)-1)+1),"")</f>
        <v/>
      </c>
      <c r="AQ17" s="325"/>
      <c r="AR17" s="178" t="str">
        <f>IFERROR(INDEX(STDLIGHT[Reporting Methodology],MATCH(EXPORT!C17,STDLIGHT[Measure Number],0)),"")</f>
        <v/>
      </c>
      <c r="AS17" s="178" t="str">
        <f>IFERROR(INDEX(STDLIGHT[Primary Key],MATCH(C17,STDLIGHT[Measure Number],0)),"")</f>
        <v/>
      </c>
      <c r="AT17" s="200" t="str">
        <f>IFERROR(INDEX('M03-S02'!$AN$18:$AN$199,2*(ROWS(R$4:R17)-1)+1)-MIN(INDEX('M03-S02'!$AT$18:$AT$199,2*(ROWS(AT$4:AT17)-1)+1),(ROUND(INDEX('M03-S02'!$V$18:$V$199,2*(ROWS(AT$4:AT17)-1)+1),3)*INDEX(STDLIGHT[Previous Incentive],MATCH('M03-S02'!G44,STDLIGHT[Measure Name],0)))),"")</f>
        <v/>
      </c>
      <c r="AU17" s="278"/>
      <c r="AV17" s="278"/>
      <c r="AW17" s="278"/>
      <c r="AX17" s="278"/>
      <c r="AY17" s="278"/>
      <c r="AZ17" s="278"/>
      <c r="BA17" s="278"/>
      <c r="BB17" s="278"/>
      <c r="BC17" s="278"/>
      <c r="BD17" s="278"/>
      <c r="BE17" s="279"/>
      <c r="BL17" s="180"/>
      <c r="BP17"/>
      <c r="BQ17"/>
      <c r="BR17"/>
      <c r="CD17" s="180"/>
      <c r="CE17" s="180"/>
      <c r="CF17" s="180"/>
      <c r="CH17"/>
      <c r="CI17"/>
      <c r="CJ17"/>
      <c r="CK17"/>
      <c r="CL17"/>
      <c r="CM17"/>
      <c r="CN17"/>
      <c r="CQ17" s="180"/>
      <c r="CR17" s="180"/>
      <c r="CS17" s="180"/>
      <c r="DS17" s="180"/>
      <c r="DT17" s="180"/>
      <c r="DU17" s="180"/>
    </row>
    <row r="18" spans="1:125" s="54" customFormat="1" hidden="1">
      <c r="A18" s="135">
        <f t="shared" si="0"/>
        <v>0</v>
      </c>
      <c r="B18" s="178" t="str">
        <f t="shared" si="1"/>
        <v/>
      </c>
      <c r="C18" s="178" t="str">
        <f>IFERROR(IF(R18&gt;0,INDEX('M03-S02'!$BC$18:$BC$199,2*(ROWS($C$4:C18)-1)+1),""),"")</f>
        <v/>
      </c>
      <c r="D18" s="180" t="s">
        <v>1443</v>
      </c>
      <c r="E18" s="178" t="str">
        <f>IFERROR(INDEX('M03-S02'!$AZ$18:$AZ$199,2*(ROWS($E$4:E18)-1)+1),"")</f>
        <v/>
      </c>
      <c r="F18" s="173">
        <f>IFERROR(INDEX('M03-S02'!$X$18:$X$199,2*(ROWS($F$4:F18)-1)+1),"")</f>
        <v>0</v>
      </c>
      <c r="G18" s="178">
        <f>IFERROR(INDEX('M03-S02'!$AC$18:$AC$199,2*(ROWS($G$4:G18)-1)+1),"")</f>
        <v>0</v>
      </c>
      <c r="H18" s="200">
        <f>IFERROR(INDEX('M03-S02'!$AE$18:$AE$199,2*(ROWS(H$4:H18)-1)+1),"")</f>
        <v>0</v>
      </c>
      <c r="I18" s="200">
        <f>IFERROR(INDEX('M03-S02'!$AG$18:$AG$199,2*(ROWS($I$4:I18)-1)+1),"")</f>
        <v>0</v>
      </c>
      <c r="J18" s="200" t="str">
        <f>IFERROR(INDEX('M03-S02'!$AT$18:$AT$199,2*(ROWS(J$4:J18)-1)+1),"")</f>
        <v/>
      </c>
      <c r="K18" s="178" t="s">
        <v>84</v>
      </c>
      <c r="L18" s="116">
        <f>IFERROR(ROUND(INDEX('M03-S02'!$V$18:$V$199,2*(ROWS(L$4:L18)-1)+1),3),"")</f>
        <v>0</v>
      </c>
      <c r="M18" s="116">
        <f>IFERROR(ROUND(INDEX('M03-S02'!$V$18:$V$199,2*(ROWS(M$4:M18)-1)+1),3),"")</f>
        <v>0</v>
      </c>
      <c r="N18" s="415" t="str">
        <f>IFERROR(INDEX('M03-S02'!$AV$18:$AV$199,2*(ROWS(N$4:N18)-1)+1),"")</f>
        <v/>
      </c>
      <c r="O18" s="415" t="str">
        <f>IFERROR(INDEX('M03-S02'!$BA$18:$BA$199,2*(ROWS(O$4:O18)-1)+1),"")</f>
        <v/>
      </c>
      <c r="P18" s="415" t="str">
        <f>IFERROR(INDEX('M03-S02'!$AW$18:$AW$199,2*(ROWS(P$4:P18)-1)+1),"")</f>
        <v/>
      </c>
      <c r="Q18" s="415" t="str">
        <f>IFERROR(INDEX('M03-S02'!$BB$18:$BB$199,2*(ROWS(Q$4:Q18)-1)+1),"")</f>
        <v/>
      </c>
      <c r="R18" s="200" t="str">
        <f>IFERROR(INDEX('M03-S02'!$AN$18:$AN$199,2*(ROWS(R$4:R18)-1)+1),"")</f>
        <v/>
      </c>
      <c r="S18" s="405"/>
      <c r="T18" s="405"/>
      <c r="U18" s="405"/>
      <c r="V18" s="325"/>
      <c r="W18" s="417"/>
      <c r="X18" s="417"/>
      <c r="Y18" s="408"/>
      <c r="Z18" s="408"/>
      <c r="AA18" s="418"/>
      <c r="AB18" s="418"/>
      <c r="AC18" s="325"/>
      <c r="AD18" s="415" t="str">
        <f>IFERROR(INDEX('M03-S02'!$AX$18:$AX$199,2*(ROWS(AD$4:AD18)-1)+1),"")</f>
        <v/>
      </c>
      <c r="AE18" s="415" t="str">
        <f>IFERROR(INDEX('M03-S02'!$AY$18:$AY$199,2*(ROWS(AE$4:AE18)-1)+1),"")</f>
        <v/>
      </c>
      <c r="AF18" s="173" t="str">
        <f>IFERROR(INDEX('M03-S02'!$R$18:$R$199,2*(ROWS(AF$4:AF18)-1)+1),"")</f>
        <v/>
      </c>
      <c r="AG18" s="173" t="str">
        <f>IFERROR(INDEX('M03-S02'!$T$18:$T$199,2*(ROWS(AG$4:AG18)-1)+1),"")</f>
        <v/>
      </c>
      <c r="AH18" s="408"/>
      <c r="AI18" s="178">
        <f>IFERROR(INDEX('M03-S02'!$B$18:$B$199,2*(ROWS(AI$4:AI18)-1)+1),"")</f>
        <v>15</v>
      </c>
      <c r="AJ18" s="325"/>
      <c r="AK18" s="178">
        <f>IFERROR(INDEX('M03-S02'!$G$18:$G$199,2*(ROWS(AK$4:AK18)-1)+1),"")</f>
        <v>0</v>
      </c>
      <c r="AL18" s="178">
        <f>IFERROR(INDEX('M03-S02'!$O$18:$O$199,2*(ROWS(AL$4:AL18)-1)+1),"")</f>
        <v>0</v>
      </c>
      <c r="AM18" s="178">
        <f>IFERROR(INDEX('M03-S02'!$Z$18:$Z$199,2*(ROWS(AM$4:AM18)-1)+1),"")</f>
        <v>0</v>
      </c>
      <c r="AN18" s="405"/>
      <c r="AO18" s="405"/>
      <c r="AP18" s="178" t="str">
        <f>IFERROR(INDEX('M03-S02'!$AU$18:$AU$199,2*(ROWS(AP$4:AP18)-1)+1),"")</f>
        <v/>
      </c>
      <c r="AQ18" s="325"/>
      <c r="AR18" s="178" t="str">
        <f>IFERROR(INDEX(STDLIGHT[Reporting Methodology],MATCH(EXPORT!C18,STDLIGHT[Measure Number],0)),"")</f>
        <v/>
      </c>
      <c r="AS18" s="178" t="str">
        <f>IFERROR(INDEX(STDLIGHT[Primary Key],MATCH(C18,STDLIGHT[Measure Number],0)),"")</f>
        <v/>
      </c>
      <c r="AT18" s="200" t="str">
        <f>IFERROR(INDEX('M03-S02'!$AN$18:$AN$199,2*(ROWS(R$4:R18)-1)+1)-MIN(INDEX('M03-S02'!$AT$18:$AT$199,2*(ROWS(AT$4:AT18)-1)+1),(ROUND(INDEX('M03-S02'!$V$18:$V$199,2*(ROWS(AT$4:AT18)-1)+1),3)*INDEX(STDLIGHT[Previous Incentive],MATCH('M03-S02'!G46,STDLIGHT[Measure Name],0)))),"")</f>
        <v/>
      </c>
      <c r="AU18" s="278"/>
      <c r="AV18" s="278"/>
      <c r="AW18" s="278"/>
      <c r="AX18" s="278"/>
      <c r="AY18" s="278"/>
      <c r="AZ18" s="278"/>
      <c r="BA18" s="278"/>
      <c r="BB18" s="278"/>
      <c r="BC18" s="278"/>
      <c r="BD18" s="278"/>
      <c r="BE18" s="279"/>
      <c r="BL18" s="180"/>
      <c r="BP18"/>
      <c r="BQ18"/>
      <c r="BR18"/>
      <c r="CD18" s="180"/>
      <c r="CE18" s="180"/>
      <c r="CF18" s="180"/>
      <c r="CH18"/>
      <c r="CI18"/>
      <c r="CJ18"/>
      <c r="CK18"/>
      <c r="CL18"/>
      <c r="CM18"/>
      <c r="CN18"/>
      <c r="CQ18" s="180"/>
      <c r="CR18" s="180"/>
      <c r="CS18" s="180"/>
      <c r="DS18" s="180"/>
      <c r="DT18" s="180"/>
      <c r="DU18" s="180"/>
    </row>
    <row r="19" spans="1:125" s="54" customFormat="1" hidden="1">
      <c r="A19" s="135">
        <f t="shared" si="0"/>
        <v>0</v>
      </c>
      <c r="B19" s="178" t="str">
        <f t="shared" si="1"/>
        <v/>
      </c>
      <c r="C19" s="178" t="str">
        <f>IFERROR(IF(R19&gt;0,INDEX('M03-S02'!$BC$18:$BC$199,2*(ROWS($C$4:C19)-1)+1),""),"")</f>
        <v/>
      </c>
      <c r="D19" s="180" t="s">
        <v>1443</v>
      </c>
      <c r="E19" s="178" t="str">
        <f>IFERROR(INDEX('M03-S02'!$AZ$18:$AZ$199,2*(ROWS($E$4:E19)-1)+1),"")</f>
        <v/>
      </c>
      <c r="F19" s="173">
        <f>IFERROR(INDEX('M03-S02'!$X$18:$X$199,2*(ROWS($F$4:F19)-1)+1),"")</f>
        <v>0</v>
      </c>
      <c r="G19" s="178">
        <f>IFERROR(INDEX('M03-S02'!$AC$18:$AC$199,2*(ROWS($G$4:G19)-1)+1),"")</f>
        <v>0</v>
      </c>
      <c r="H19" s="200">
        <f>IFERROR(INDEX('M03-S02'!$AE$18:$AE$199,2*(ROWS(H$4:H19)-1)+1),"")</f>
        <v>0</v>
      </c>
      <c r="I19" s="200">
        <f>IFERROR(INDEX('M03-S02'!$AG$18:$AG$199,2*(ROWS($I$4:I19)-1)+1),"")</f>
        <v>0</v>
      </c>
      <c r="J19" s="200" t="str">
        <f>IFERROR(INDEX('M03-S02'!$AT$18:$AT$199,2*(ROWS(J$4:J19)-1)+1),"")</f>
        <v/>
      </c>
      <c r="K19" s="178" t="s">
        <v>84</v>
      </c>
      <c r="L19" s="116">
        <f>IFERROR(ROUND(INDEX('M03-S02'!$V$18:$V$199,2*(ROWS(L$4:L19)-1)+1),3),"")</f>
        <v>0</v>
      </c>
      <c r="M19" s="116">
        <f>IFERROR(ROUND(INDEX('M03-S02'!$V$18:$V$199,2*(ROWS(M$4:M19)-1)+1),3),"")</f>
        <v>0</v>
      </c>
      <c r="N19" s="415" t="str">
        <f>IFERROR(INDEX('M03-S02'!$AV$18:$AV$199,2*(ROWS(N$4:N19)-1)+1),"")</f>
        <v/>
      </c>
      <c r="O19" s="415" t="str">
        <f>IFERROR(INDEX('M03-S02'!$BA$18:$BA$199,2*(ROWS(O$4:O19)-1)+1),"")</f>
        <v/>
      </c>
      <c r="P19" s="415" t="str">
        <f>IFERROR(INDEX('M03-S02'!$AW$18:$AW$199,2*(ROWS(P$4:P19)-1)+1),"")</f>
        <v/>
      </c>
      <c r="Q19" s="415" t="str">
        <f>IFERROR(INDEX('M03-S02'!$BB$18:$BB$199,2*(ROWS(Q$4:Q19)-1)+1),"")</f>
        <v/>
      </c>
      <c r="R19" s="200" t="str">
        <f>IFERROR(INDEX('M03-S02'!$AN$18:$AN$199,2*(ROWS(R$4:R19)-1)+1),"")</f>
        <v/>
      </c>
      <c r="S19" s="405"/>
      <c r="T19" s="405"/>
      <c r="U19" s="405"/>
      <c r="V19" s="325"/>
      <c r="W19" s="417"/>
      <c r="X19" s="417"/>
      <c r="Y19" s="408"/>
      <c r="Z19" s="408"/>
      <c r="AA19" s="418"/>
      <c r="AB19" s="418"/>
      <c r="AC19" s="325"/>
      <c r="AD19" s="415" t="str">
        <f>IFERROR(INDEX('M03-S02'!$AX$18:$AX$199,2*(ROWS(AD$4:AD19)-1)+1),"")</f>
        <v/>
      </c>
      <c r="AE19" s="415" t="str">
        <f>IFERROR(INDEX('M03-S02'!$AY$18:$AY$199,2*(ROWS(AE$4:AE19)-1)+1),"")</f>
        <v/>
      </c>
      <c r="AF19" s="173" t="str">
        <f>IFERROR(INDEX('M03-S02'!$R$18:$R$199,2*(ROWS(AF$4:AF19)-1)+1),"")</f>
        <v/>
      </c>
      <c r="AG19" s="173" t="str">
        <f>IFERROR(INDEX('M03-S02'!$T$18:$T$199,2*(ROWS(AG$4:AG19)-1)+1),"")</f>
        <v/>
      </c>
      <c r="AH19" s="408"/>
      <c r="AI19" s="178">
        <f>IFERROR(INDEX('M03-S02'!$B$18:$B$199,2*(ROWS(AI$4:AI19)-1)+1),"")</f>
        <v>16</v>
      </c>
      <c r="AJ19" s="325"/>
      <c r="AK19" s="178">
        <f>IFERROR(INDEX('M03-S02'!$G$18:$G$199,2*(ROWS(AK$4:AK19)-1)+1),"")</f>
        <v>0</v>
      </c>
      <c r="AL19" s="178">
        <f>IFERROR(INDEX('M03-S02'!$O$18:$O$199,2*(ROWS(AL$4:AL19)-1)+1),"")</f>
        <v>0</v>
      </c>
      <c r="AM19" s="178">
        <f>IFERROR(INDEX('M03-S02'!$Z$18:$Z$199,2*(ROWS(AM$4:AM19)-1)+1),"")</f>
        <v>0</v>
      </c>
      <c r="AN19" s="405"/>
      <c r="AO19" s="405"/>
      <c r="AP19" s="178" t="str">
        <f>IFERROR(INDEX('M03-S02'!$AU$18:$AU$199,2*(ROWS(AP$4:AP19)-1)+1),"")</f>
        <v/>
      </c>
      <c r="AQ19" s="325"/>
      <c r="AR19" s="178" t="str">
        <f>IFERROR(INDEX(STDLIGHT[Reporting Methodology],MATCH(EXPORT!C19,STDLIGHT[Measure Number],0)),"")</f>
        <v/>
      </c>
      <c r="AS19" s="178" t="str">
        <f>IFERROR(INDEX(STDLIGHT[Primary Key],MATCH(C19,STDLIGHT[Measure Number],0)),"")</f>
        <v/>
      </c>
      <c r="AT19" s="200" t="str">
        <f>IFERROR(INDEX('M03-S02'!$AN$18:$AN$199,2*(ROWS(R$4:R19)-1)+1)-MIN(INDEX('M03-S02'!$AT$18:$AT$199,2*(ROWS(AT$4:AT19)-1)+1),(ROUND(INDEX('M03-S02'!$V$18:$V$199,2*(ROWS(AT$4:AT19)-1)+1),3)*INDEX(STDLIGHT[Previous Incentive],MATCH('M03-S02'!G48,STDLIGHT[Measure Name],0)))),"")</f>
        <v/>
      </c>
      <c r="AU19" s="278"/>
      <c r="AV19" s="278"/>
      <c r="AW19" s="278"/>
      <c r="AX19" s="278"/>
      <c r="AY19" s="278"/>
      <c r="AZ19" s="278"/>
      <c r="BA19" s="278"/>
      <c r="BB19" s="278"/>
      <c r="BC19" s="278"/>
      <c r="BD19" s="278"/>
      <c r="BE19" s="279"/>
      <c r="BL19" s="180"/>
      <c r="BP19"/>
      <c r="BQ19"/>
      <c r="BR19"/>
      <c r="CD19" s="180"/>
      <c r="CE19" s="180"/>
      <c r="CF19" s="180"/>
      <c r="CH19"/>
      <c r="CI19"/>
      <c r="CJ19"/>
      <c r="CK19"/>
      <c r="CL19"/>
      <c r="CM19"/>
      <c r="CN19"/>
      <c r="CQ19" s="180"/>
      <c r="CR19" s="180"/>
      <c r="CS19" s="180"/>
      <c r="DS19" s="180"/>
      <c r="DT19" s="180"/>
      <c r="DU19" s="180"/>
    </row>
    <row r="20" spans="1:125" s="54" customFormat="1" hidden="1">
      <c r="A20" s="135">
        <f t="shared" si="0"/>
        <v>0</v>
      </c>
      <c r="B20" s="178" t="str">
        <f t="shared" si="1"/>
        <v/>
      </c>
      <c r="C20" s="178" t="str">
        <f>IFERROR(IF(R20&gt;0,INDEX('M03-S02'!$BC$18:$BC$199,2*(ROWS($C$4:C20)-1)+1),""),"")</f>
        <v/>
      </c>
      <c r="D20" s="180" t="s">
        <v>1443</v>
      </c>
      <c r="E20" s="178" t="str">
        <f>IFERROR(INDEX('M03-S02'!$AZ$18:$AZ$199,2*(ROWS($E$4:E20)-1)+1),"")</f>
        <v/>
      </c>
      <c r="F20" s="173">
        <f>IFERROR(INDEX('M03-S02'!$X$18:$X$199,2*(ROWS($F$4:F20)-1)+1),"")</f>
        <v>0</v>
      </c>
      <c r="G20" s="178">
        <f>IFERROR(INDEX('M03-S02'!$AC$18:$AC$199,2*(ROWS($G$4:G20)-1)+1),"")</f>
        <v>0</v>
      </c>
      <c r="H20" s="200">
        <f>IFERROR(INDEX('M03-S02'!$AE$18:$AE$199,2*(ROWS(H$4:H20)-1)+1),"")</f>
        <v>0</v>
      </c>
      <c r="I20" s="200">
        <f>IFERROR(INDEX('M03-S02'!$AG$18:$AG$199,2*(ROWS($I$4:I20)-1)+1),"")</f>
        <v>0</v>
      </c>
      <c r="J20" s="200" t="str">
        <f>IFERROR(INDEX('M03-S02'!$AT$18:$AT$199,2*(ROWS(J$4:J20)-1)+1),"")</f>
        <v/>
      </c>
      <c r="K20" s="178" t="s">
        <v>84</v>
      </c>
      <c r="L20" s="116">
        <f>IFERROR(ROUND(INDEX('M03-S02'!$V$18:$V$199,2*(ROWS(L$4:L20)-1)+1),3),"")</f>
        <v>0</v>
      </c>
      <c r="M20" s="116">
        <f>IFERROR(ROUND(INDEX('M03-S02'!$V$18:$V$199,2*(ROWS(M$4:M20)-1)+1),3),"")</f>
        <v>0</v>
      </c>
      <c r="N20" s="415" t="str">
        <f>IFERROR(INDEX('M03-S02'!$AV$18:$AV$199,2*(ROWS(N$4:N20)-1)+1),"")</f>
        <v/>
      </c>
      <c r="O20" s="415" t="str">
        <f>IFERROR(INDEX('M03-S02'!$BA$18:$BA$199,2*(ROWS(O$4:O20)-1)+1),"")</f>
        <v/>
      </c>
      <c r="P20" s="415" t="str">
        <f>IFERROR(INDEX('M03-S02'!$AW$18:$AW$199,2*(ROWS(P$4:P20)-1)+1),"")</f>
        <v/>
      </c>
      <c r="Q20" s="415" t="str">
        <f>IFERROR(INDEX('M03-S02'!$BB$18:$BB$199,2*(ROWS(Q$4:Q20)-1)+1),"")</f>
        <v/>
      </c>
      <c r="R20" s="200" t="str">
        <f>IFERROR(INDEX('M03-S02'!$AN$18:$AN$199,2*(ROWS(R$4:R20)-1)+1),"")</f>
        <v/>
      </c>
      <c r="S20" s="405"/>
      <c r="T20" s="405"/>
      <c r="U20" s="405"/>
      <c r="V20" s="325"/>
      <c r="W20" s="417"/>
      <c r="X20" s="417"/>
      <c r="Y20" s="408"/>
      <c r="Z20" s="408"/>
      <c r="AA20" s="418"/>
      <c r="AB20" s="418"/>
      <c r="AC20" s="325"/>
      <c r="AD20" s="415" t="str">
        <f>IFERROR(INDEX('M03-S02'!$AX$18:$AX$199,2*(ROWS(AD$4:AD20)-1)+1),"")</f>
        <v/>
      </c>
      <c r="AE20" s="415" t="str">
        <f>IFERROR(INDEX('M03-S02'!$AY$18:$AY$199,2*(ROWS(AE$4:AE20)-1)+1),"")</f>
        <v/>
      </c>
      <c r="AF20" s="173" t="str">
        <f>IFERROR(INDEX('M03-S02'!$R$18:$R$199,2*(ROWS(AF$4:AF20)-1)+1),"")</f>
        <v/>
      </c>
      <c r="AG20" s="173" t="str">
        <f>IFERROR(INDEX('M03-S02'!$T$18:$T$199,2*(ROWS(AG$4:AG20)-1)+1),"")</f>
        <v/>
      </c>
      <c r="AH20" s="408"/>
      <c r="AI20" s="178">
        <f>IFERROR(INDEX('M03-S02'!$B$18:$B$199,2*(ROWS(AI$4:AI20)-1)+1),"")</f>
        <v>17</v>
      </c>
      <c r="AJ20" s="325"/>
      <c r="AK20" s="178">
        <f>IFERROR(INDEX('M03-S02'!$G$18:$G$199,2*(ROWS(AK$4:AK20)-1)+1),"")</f>
        <v>0</v>
      </c>
      <c r="AL20" s="178">
        <f>IFERROR(INDEX('M03-S02'!$O$18:$O$199,2*(ROWS(AL$4:AL20)-1)+1),"")</f>
        <v>0</v>
      </c>
      <c r="AM20" s="178">
        <f>IFERROR(INDEX('M03-S02'!$Z$18:$Z$199,2*(ROWS(AM$4:AM20)-1)+1),"")</f>
        <v>0</v>
      </c>
      <c r="AN20" s="405"/>
      <c r="AO20" s="405"/>
      <c r="AP20" s="178" t="str">
        <f>IFERROR(INDEX('M03-S02'!$AU$18:$AU$199,2*(ROWS(AP$4:AP20)-1)+1),"")</f>
        <v/>
      </c>
      <c r="AQ20" s="325"/>
      <c r="AR20" s="178" t="str">
        <f>IFERROR(INDEX(STDLIGHT[Reporting Methodology],MATCH(EXPORT!C20,STDLIGHT[Measure Number],0)),"")</f>
        <v/>
      </c>
      <c r="AS20" s="178" t="str">
        <f>IFERROR(INDEX(STDLIGHT[Primary Key],MATCH(C20,STDLIGHT[Measure Number],0)),"")</f>
        <v/>
      </c>
      <c r="AT20" s="200" t="str">
        <f>IFERROR(INDEX('M03-S02'!$AN$18:$AN$199,2*(ROWS(R$4:R20)-1)+1)-MIN(INDEX('M03-S02'!$AT$18:$AT$199,2*(ROWS(AT$4:AT20)-1)+1),(ROUND(INDEX('M03-S02'!$V$18:$V$199,2*(ROWS(AT$4:AT20)-1)+1),3)*INDEX(STDLIGHT[Previous Incentive],MATCH('M03-S02'!G50,STDLIGHT[Measure Name],0)))),"")</f>
        <v/>
      </c>
      <c r="AU20" s="278"/>
      <c r="AV20" s="278"/>
      <c r="AW20" s="278"/>
      <c r="AX20" s="278"/>
      <c r="AY20" s="278"/>
      <c r="AZ20" s="278"/>
      <c r="BA20" s="278"/>
      <c r="BB20" s="278"/>
      <c r="BC20" s="278"/>
      <c r="BD20" s="278"/>
      <c r="BE20" s="279"/>
      <c r="BL20" s="180"/>
      <c r="BP20"/>
      <c r="BQ20"/>
      <c r="BR20"/>
      <c r="CD20" s="180"/>
      <c r="CE20" s="180"/>
      <c r="CF20" s="180"/>
      <c r="CH20"/>
      <c r="CI20"/>
      <c r="CJ20"/>
      <c r="CK20"/>
      <c r="CL20"/>
      <c r="CM20"/>
      <c r="CN20"/>
      <c r="CQ20" s="180"/>
      <c r="CR20" s="180"/>
      <c r="CS20" s="180"/>
      <c r="DS20" s="180"/>
      <c r="DT20" s="180"/>
      <c r="DU20" s="180"/>
    </row>
    <row r="21" spans="1:125" s="54" customFormat="1" hidden="1">
      <c r="A21" s="135">
        <f t="shared" si="0"/>
        <v>0</v>
      </c>
      <c r="B21" s="178" t="str">
        <f t="shared" si="1"/>
        <v/>
      </c>
      <c r="C21" s="178" t="str">
        <f>IFERROR(IF(R21&gt;0,INDEX('M03-S02'!$BC$18:$BC$199,2*(ROWS($C$4:C21)-1)+1),""),"")</f>
        <v/>
      </c>
      <c r="D21" s="180" t="s">
        <v>1443</v>
      </c>
      <c r="E21" s="178" t="str">
        <f>IFERROR(INDEX('M03-S02'!$AZ$18:$AZ$199,2*(ROWS($E$4:E21)-1)+1),"")</f>
        <v/>
      </c>
      <c r="F21" s="173">
        <f>IFERROR(INDEX('M03-S02'!$X$18:$X$199,2*(ROWS($F$4:F21)-1)+1),"")</f>
        <v>0</v>
      </c>
      <c r="G21" s="178">
        <f>IFERROR(INDEX('M03-S02'!$AC$18:$AC$199,2*(ROWS($G$4:G21)-1)+1),"")</f>
        <v>0</v>
      </c>
      <c r="H21" s="200">
        <f>IFERROR(INDEX('M03-S02'!$AE$18:$AE$199,2*(ROWS(H$4:H21)-1)+1),"")</f>
        <v>0</v>
      </c>
      <c r="I21" s="200">
        <f>IFERROR(INDEX('M03-S02'!$AG$18:$AG$199,2*(ROWS($I$4:I21)-1)+1),"")</f>
        <v>0</v>
      </c>
      <c r="J21" s="200" t="str">
        <f>IFERROR(INDEX('M03-S02'!$AT$18:$AT$199,2*(ROWS(J$4:J21)-1)+1),"")</f>
        <v/>
      </c>
      <c r="K21" s="178" t="s">
        <v>84</v>
      </c>
      <c r="L21" s="116">
        <f>IFERROR(ROUND(INDEX('M03-S02'!$V$18:$V$199,2*(ROWS(L$4:L21)-1)+1),3),"")</f>
        <v>0</v>
      </c>
      <c r="M21" s="116">
        <f>IFERROR(ROUND(INDEX('M03-S02'!$V$18:$V$199,2*(ROWS(M$4:M21)-1)+1),3),"")</f>
        <v>0</v>
      </c>
      <c r="N21" s="415" t="str">
        <f>IFERROR(INDEX('M03-S02'!$AV$18:$AV$199,2*(ROWS(N$4:N21)-1)+1),"")</f>
        <v/>
      </c>
      <c r="O21" s="415" t="str">
        <f>IFERROR(INDEX('M03-S02'!$BA$18:$BA$199,2*(ROWS(O$4:O21)-1)+1),"")</f>
        <v/>
      </c>
      <c r="P21" s="415" t="str">
        <f>IFERROR(INDEX('M03-S02'!$AW$18:$AW$199,2*(ROWS(P$4:P21)-1)+1),"")</f>
        <v/>
      </c>
      <c r="Q21" s="415" t="str">
        <f>IFERROR(INDEX('M03-S02'!$BB$18:$BB$199,2*(ROWS(Q$4:Q21)-1)+1),"")</f>
        <v/>
      </c>
      <c r="R21" s="200" t="str">
        <f>IFERROR(INDEX('M03-S02'!$AN$18:$AN$199,2*(ROWS(R$4:R21)-1)+1),"")</f>
        <v/>
      </c>
      <c r="S21" s="405"/>
      <c r="T21" s="405"/>
      <c r="U21" s="405"/>
      <c r="V21" s="325"/>
      <c r="W21" s="417"/>
      <c r="X21" s="417"/>
      <c r="Y21" s="408"/>
      <c r="Z21" s="408"/>
      <c r="AA21" s="418"/>
      <c r="AB21" s="418"/>
      <c r="AC21" s="325"/>
      <c r="AD21" s="415" t="str">
        <f>IFERROR(INDEX('M03-S02'!$AX$18:$AX$199,2*(ROWS(AD$4:AD21)-1)+1),"")</f>
        <v/>
      </c>
      <c r="AE21" s="415" t="str">
        <f>IFERROR(INDEX('M03-S02'!$AY$18:$AY$199,2*(ROWS(AE$4:AE21)-1)+1),"")</f>
        <v/>
      </c>
      <c r="AF21" s="173" t="str">
        <f>IFERROR(INDEX('M03-S02'!$R$18:$R$199,2*(ROWS(AF$4:AF21)-1)+1),"")</f>
        <v/>
      </c>
      <c r="AG21" s="173" t="str">
        <f>IFERROR(INDEX('M03-S02'!$T$18:$T$199,2*(ROWS(AG$4:AG21)-1)+1),"")</f>
        <v/>
      </c>
      <c r="AH21" s="408"/>
      <c r="AI21" s="178">
        <f>IFERROR(INDEX('M03-S02'!$B$18:$B$199,2*(ROWS(AI$4:AI21)-1)+1),"")</f>
        <v>18</v>
      </c>
      <c r="AJ21" s="325"/>
      <c r="AK21" s="178">
        <f>IFERROR(INDEX('M03-S02'!$G$18:$G$199,2*(ROWS(AK$4:AK21)-1)+1),"")</f>
        <v>0</v>
      </c>
      <c r="AL21" s="178">
        <f>IFERROR(INDEX('M03-S02'!$O$18:$O$199,2*(ROWS(AL$4:AL21)-1)+1),"")</f>
        <v>0</v>
      </c>
      <c r="AM21" s="178">
        <f>IFERROR(INDEX('M03-S02'!$Z$18:$Z$199,2*(ROWS(AM$4:AM21)-1)+1),"")</f>
        <v>0</v>
      </c>
      <c r="AN21" s="405"/>
      <c r="AO21" s="405"/>
      <c r="AP21" s="178" t="str">
        <f>IFERROR(INDEX('M03-S02'!$AU$18:$AU$199,2*(ROWS(AP$4:AP21)-1)+1),"")</f>
        <v/>
      </c>
      <c r="AQ21" s="325"/>
      <c r="AR21" s="178" t="str">
        <f>IFERROR(INDEX(STDLIGHT[Reporting Methodology],MATCH(EXPORT!C21,STDLIGHT[Measure Number],0)),"")</f>
        <v/>
      </c>
      <c r="AS21" s="178" t="str">
        <f>IFERROR(INDEX(STDLIGHT[Primary Key],MATCH(C21,STDLIGHT[Measure Number],0)),"")</f>
        <v/>
      </c>
      <c r="AT21" s="200" t="str">
        <f>IFERROR(INDEX('M03-S02'!$AN$18:$AN$199,2*(ROWS(R$4:R21)-1)+1)-MIN(INDEX('M03-S02'!$AT$18:$AT$199,2*(ROWS(AT$4:AT21)-1)+1),(ROUND(INDEX('M03-S02'!$V$18:$V$199,2*(ROWS(AT$4:AT21)-1)+1),3)*INDEX(STDLIGHT[Previous Incentive],MATCH('M03-S02'!G52,STDLIGHT[Measure Name],0)))),"")</f>
        <v/>
      </c>
      <c r="AU21" s="278"/>
      <c r="AV21" s="278"/>
      <c r="AW21" s="278"/>
      <c r="AX21" s="278"/>
      <c r="AY21" s="278"/>
      <c r="AZ21" s="278"/>
      <c r="BA21" s="278"/>
      <c r="BB21" s="278"/>
      <c r="BC21" s="278"/>
      <c r="BD21" s="278"/>
      <c r="BE21" s="279"/>
      <c r="BL21" s="180"/>
      <c r="BP21"/>
      <c r="BQ21"/>
      <c r="BR21"/>
      <c r="CD21" s="180"/>
      <c r="CE21" s="180"/>
      <c r="CF21" s="180"/>
      <c r="CH21"/>
      <c r="CI21"/>
      <c r="CJ21"/>
      <c r="CK21"/>
      <c r="CL21"/>
      <c r="CM21"/>
      <c r="CN21"/>
      <c r="CQ21" s="180"/>
      <c r="CR21" s="180"/>
      <c r="CS21" s="180"/>
      <c r="DS21" s="180"/>
      <c r="DT21" s="180"/>
      <c r="DU21" s="180"/>
    </row>
    <row r="22" spans="1:125" s="54" customFormat="1" hidden="1">
      <c r="A22" s="135">
        <f t="shared" si="0"/>
        <v>0</v>
      </c>
      <c r="B22" s="178" t="str">
        <f t="shared" si="1"/>
        <v/>
      </c>
      <c r="C22" s="178" t="str">
        <f>IFERROR(IF(R22&gt;0,INDEX('M03-S02'!$BC$18:$BC$199,2*(ROWS($C$4:C22)-1)+1),""),"")</f>
        <v/>
      </c>
      <c r="D22" s="180" t="s">
        <v>1443</v>
      </c>
      <c r="E22" s="178" t="str">
        <f>IFERROR(INDEX('M03-S02'!$AZ$18:$AZ$199,2*(ROWS($E$4:E22)-1)+1),"")</f>
        <v/>
      </c>
      <c r="F22" s="173">
        <f>IFERROR(INDEX('M03-S02'!$X$18:$X$199,2*(ROWS($F$4:F22)-1)+1),"")</f>
        <v>0</v>
      </c>
      <c r="G22" s="178">
        <f>IFERROR(INDEX('M03-S02'!$AC$18:$AC$199,2*(ROWS($G$4:G22)-1)+1),"")</f>
        <v>0</v>
      </c>
      <c r="H22" s="200">
        <f>IFERROR(INDEX('M03-S02'!$AE$18:$AE$199,2*(ROWS(H$4:H22)-1)+1),"")</f>
        <v>0</v>
      </c>
      <c r="I22" s="200">
        <f>IFERROR(INDEX('M03-S02'!$AG$18:$AG$199,2*(ROWS($I$4:I22)-1)+1),"")</f>
        <v>0</v>
      </c>
      <c r="J22" s="200" t="str">
        <f>IFERROR(INDEX('M03-S02'!$AT$18:$AT$199,2*(ROWS(J$4:J22)-1)+1),"")</f>
        <v/>
      </c>
      <c r="K22" s="178" t="s">
        <v>84</v>
      </c>
      <c r="L22" s="116">
        <f>IFERROR(ROUND(INDEX('M03-S02'!$V$18:$V$199,2*(ROWS(L$4:L22)-1)+1),3),"")</f>
        <v>0</v>
      </c>
      <c r="M22" s="116">
        <f>IFERROR(ROUND(INDEX('M03-S02'!$V$18:$V$199,2*(ROWS(M$4:M22)-1)+1),3),"")</f>
        <v>0</v>
      </c>
      <c r="N22" s="415" t="str">
        <f>IFERROR(INDEX('M03-S02'!$AV$18:$AV$199,2*(ROWS(N$4:N22)-1)+1),"")</f>
        <v/>
      </c>
      <c r="O22" s="415" t="str">
        <f>IFERROR(INDEX('M03-S02'!$BA$18:$BA$199,2*(ROWS(O$4:O22)-1)+1),"")</f>
        <v/>
      </c>
      <c r="P22" s="415" t="str">
        <f>IFERROR(INDEX('M03-S02'!$AW$18:$AW$199,2*(ROWS(P$4:P22)-1)+1),"")</f>
        <v/>
      </c>
      <c r="Q22" s="415" t="str">
        <f>IFERROR(INDEX('M03-S02'!$BB$18:$BB$199,2*(ROWS(Q$4:Q22)-1)+1),"")</f>
        <v/>
      </c>
      <c r="R22" s="200" t="str">
        <f>IFERROR(INDEX('M03-S02'!$AN$18:$AN$199,2*(ROWS(R$4:R22)-1)+1),"")</f>
        <v/>
      </c>
      <c r="S22" s="405"/>
      <c r="T22" s="405"/>
      <c r="U22" s="405"/>
      <c r="V22" s="325"/>
      <c r="W22" s="417"/>
      <c r="X22" s="417"/>
      <c r="Y22" s="408"/>
      <c r="Z22" s="408"/>
      <c r="AA22" s="418"/>
      <c r="AB22" s="418"/>
      <c r="AC22" s="325"/>
      <c r="AD22" s="415" t="str">
        <f>IFERROR(INDEX('M03-S02'!$AX$18:$AX$199,2*(ROWS(AD$4:AD22)-1)+1),"")</f>
        <v/>
      </c>
      <c r="AE22" s="415" t="str">
        <f>IFERROR(INDEX('M03-S02'!$AY$18:$AY$199,2*(ROWS(AE$4:AE22)-1)+1),"")</f>
        <v/>
      </c>
      <c r="AF22" s="173" t="str">
        <f>IFERROR(INDEX('M03-S02'!$R$18:$R$199,2*(ROWS(AF$4:AF22)-1)+1),"")</f>
        <v/>
      </c>
      <c r="AG22" s="173" t="str">
        <f>IFERROR(INDEX('M03-S02'!$T$18:$T$199,2*(ROWS(AG$4:AG22)-1)+1),"")</f>
        <v/>
      </c>
      <c r="AH22" s="408"/>
      <c r="AI22" s="178">
        <f>IFERROR(INDEX('M03-S02'!$B$18:$B$199,2*(ROWS(AI$4:AI22)-1)+1),"")</f>
        <v>19</v>
      </c>
      <c r="AJ22" s="325"/>
      <c r="AK22" s="178">
        <f>IFERROR(INDEX('M03-S02'!$G$18:$G$199,2*(ROWS(AK$4:AK22)-1)+1),"")</f>
        <v>0</v>
      </c>
      <c r="AL22" s="178">
        <f>IFERROR(INDEX('M03-S02'!$O$18:$O$199,2*(ROWS(AL$4:AL22)-1)+1),"")</f>
        <v>0</v>
      </c>
      <c r="AM22" s="178">
        <f>IFERROR(INDEX('M03-S02'!$Z$18:$Z$199,2*(ROWS(AM$4:AM22)-1)+1),"")</f>
        <v>0</v>
      </c>
      <c r="AN22" s="405"/>
      <c r="AO22" s="405"/>
      <c r="AP22" s="178" t="str">
        <f>IFERROR(INDEX('M03-S02'!$AU$18:$AU$199,2*(ROWS(AP$4:AP22)-1)+1),"")</f>
        <v/>
      </c>
      <c r="AQ22" s="325"/>
      <c r="AR22" s="178" t="str">
        <f>IFERROR(INDEX(STDLIGHT[Reporting Methodology],MATCH(EXPORT!C22,STDLIGHT[Measure Number],0)),"")</f>
        <v/>
      </c>
      <c r="AS22" s="178" t="str">
        <f>IFERROR(INDEX(STDLIGHT[Primary Key],MATCH(C22,STDLIGHT[Measure Number],0)),"")</f>
        <v/>
      </c>
      <c r="AT22" s="200" t="str">
        <f>IFERROR(INDEX('M03-S02'!$AN$18:$AN$199,2*(ROWS(R$4:R22)-1)+1)-MIN(INDEX('M03-S02'!$AT$18:$AT$199,2*(ROWS(AT$4:AT22)-1)+1),(ROUND(INDEX('M03-S02'!$V$18:$V$199,2*(ROWS(AT$4:AT22)-1)+1),3)*INDEX(STDLIGHT[Previous Incentive],MATCH('M03-S02'!G54,STDLIGHT[Measure Name],0)))),"")</f>
        <v/>
      </c>
      <c r="AU22" s="278"/>
      <c r="AV22" s="278"/>
      <c r="AW22" s="278"/>
      <c r="AX22" s="278"/>
      <c r="AY22" s="278"/>
      <c r="AZ22" s="278"/>
      <c r="BA22" s="278"/>
      <c r="BB22" s="278"/>
      <c r="BC22" s="278"/>
      <c r="BD22" s="278"/>
      <c r="BE22" s="279"/>
      <c r="BL22" s="180"/>
      <c r="BP22"/>
      <c r="BQ22"/>
      <c r="BR22"/>
      <c r="CD22" s="180"/>
      <c r="CE22" s="180"/>
      <c r="CF22" s="180"/>
      <c r="CH22"/>
      <c r="CI22"/>
      <c r="CJ22"/>
      <c r="CK22"/>
      <c r="CL22"/>
      <c r="CM22"/>
      <c r="CN22"/>
      <c r="CQ22" s="180"/>
      <c r="CR22" s="180"/>
      <c r="CS22" s="180"/>
      <c r="DS22" s="180"/>
      <c r="DT22" s="180"/>
      <c r="DU22" s="180"/>
    </row>
    <row r="23" spans="1:125" s="54" customFormat="1" hidden="1">
      <c r="A23" s="135">
        <f t="shared" si="0"/>
        <v>0</v>
      </c>
      <c r="B23" s="178" t="str">
        <f t="shared" si="1"/>
        <v/>
      </c>
      <c r="C23" s="178" t="str">
        <f>IFERROR(IF(R23&gt;0,INDEX('M03-S02'!$BC$18:$BC$199,2*(ROWS($C$4:C23)-1)+1),""),"")</f>
        <v/>
      </c>
      <c r="D23" s="180" t="s">
        <v>1443</v>
      </c>
      <c r="E23" s="178" t="str">
        <f>IFERROR(INDEX('M03-S02'!$AZ$18:$AZ$199,2*(ROWS($E$4:E23)-1)+1),"")</f>
        <v/>
      </c>
      <c r="F23" s="173">
        <f>IFERROR(INDEX('M03-S02'!$X$18:$X$199,2*(ROWS($F$4:F23)-1)+1),"")</f>
        <v>0</v>
      </c>
      <c r="G23" s="178">
        <f>IFERROR(INDEX('M03-S02'!$AC$18:$AC$199,2*(ROWS($G$4:G23)-1)+1),"")</f>
        <v>0</v>
      </c>
      <c r="H23" s="200">
        <f>IFERROR(INDEX('M03-S02'!$AE$18:$AE$199,2*(ROWS(H$4:H23)-1)+1),"")</f>
        <v>0</v>
      </c>
      <c r="I23" s="200">
        <f>IFERROR(INDEX('M03-S02'!$AG$18:$AG$199,2*(ROWS($I$4:I23)-1)+1),"")</f>
        <v>0</v>
      </c>
      <c r="J23" s="200" t="str">
        <f>IFERROR(INDEX('M03-S02'!$AT$18:$AT$199,2*(ROWS(J$4:J23)-1)+1),"")</f>
        <v/>
      </c>
      <c r="K23" s="178" t="s">
        <v>84</v>
      </c>
      <c r="L23" s="116">
        <f>IFERROR(ROUND(INDEX('M03-S02'!$V$18:$V$199,2*(ROWS(L$4:L23)-1)+1),3),"")</f>
        <v>0</v>
      </c>
      <c r="M23" s="116">
        <f>IFERROR(ROUND(INDEX('M03-S02'!$V$18:$V$199,2*(ROWS(M$4:M23)-1)+1),3),"")</f>
        <v>0</v>
      </c>
      <c r="N23" s="415" t="str">
        <f>IFERROR(INDEX('M03-S02'!$AV$18:$AV$199,2*(ROWS(N$4:N23)-1)+1),"")</f>
        <v/>
      </c>
      <c r="O23" s="415" t="str">
        <f>IFERROR(INDEX('M03-S02'!$BA$18:$BA$199,2*(ROWS(O$4:O23)-1)+1),"")</f>
        <v/>
      </c>
      <c r="P23" s="415" t="str">
        <f>IFERROR(INDEX('M03-S02'!$AW$18:$AW$199,2*(ROWS(P$4:P23)-1)+1),"")</f>
        <v/>
      </c>
      <c r="Q23" s="415" t="str">
        <f>IFERROR(INDEX('M03-S02'!$BB$18:$BB$199,2*(ROWS(Q$4:Q23)-1)+1),"")</f>
        <v/>
      </c>
      <c r="R23" s="200" t="str">
        <f>IFERROR(INDEX('M03-S02'!$AN$18:$AN$199,2*(ROWS(R$4:R23)-1)+1),"")</f>
        <v/>
      </c>
      <c r="S23" s="405"/>
      <c r="T23" s="405"/>
      <c r="U23" s="405"/>
      <c r="V23" s="325"/>
      <c r="W23" s="417"/>
      <c r="X23" s="417"/>
      <c r="Y23" s="408"/>
      <c r="Z23" s="408"/>
      <c r="AA23" s="418"/>
      <c r="AB23" s="418"/>
      <c r="AC23" s="325"/>
      <c r="AD23" s="415" t="str">
        <f>IFERROR(INDEX('M03-S02'!$AX$18:$AX$199,2*(ROWS(AD$4:AD23)-1)+1),"")</f>
        <v/>
      </c>
      <c r="AE23" s="415" t="str">
        <f>IFERROR(INDEX('M03-S02'!$AY$18:$AY$199,2*(ROWS(AE$4:AE23)-1)+1),"")</f>
        <v/>
      </c>
      <c r="AF23" s="173" t="str">
        <f>IFERROR(INDEX('M03-S02'!$R$18:$R$199,2*(ROWS(AF$4:AF23)-1)+1),"")</f>
        <v/>
      </c>
      <c r="AG23" s="173" t="str">
        <f>IFERROR(INDEX('M03-S02'!$T$18:$T$199,2*(ROWS(AG$4:AG23)-1)+1),"")</f>
        <v/>
      </c>
      <c r="AH23" s="408"/>
      <c r="AI23" s="178">
        <f>IFERROR(INDEX('M03-S02'!$B$18:$B$199,2*(ROWS(AI$4:AI23)-1)+1),"")</f>
        <v>20</v>
      </c>
      <c r="AJ23" s="325"/>
      <c r="AK23" s="178">
        <f>IFERROR(INDEX('M03-S02'!$G$18:$G$199,2*(ROWS(AK$4:AK23)-1)+1),"")</f>
        <v>0</v>
      </c>
      <c r="AL23" s="178">
        <f>IFERROR(INDEX('M03-S02'!$O$18:$O$199,2*(ROWS(AL$4:AL23)-1)+1),"")</f>
        <v>0</v>
      </c>
      <c r="AM23" s="178">
        <f>IFERROR(INDEX('M03-S02'!$Z$18:$Z$199,2*(ROWS(AM$4:AM23)-1)+1),"")</f>
        <v>0</v>
      </c>
      <c r="AN23" s="405"/>
      <c r="AO23" s="405"/>
      <c r="AP23" s="178" t="str">
        <f>IFERROR(INDEX('M03-S02'!$AU$18:$AU$199,2*(ROWS(AP$4:AP23)-1)+1),"")</f>
        <v/>
      </c>
      <c r="AQ23" s="325"/>
      <c r="AR23" s="178" t="str">
        <f>IFERROR(INDEX(STDLIGHT[Reporting Methodology],MATCH(EXPORT!C23,STDLIGHT[Measure Number],0)),"")</f>
        <v/>
      </c>
      <c r="AS23" s="178" t="str">
        <f>IFERROR(INDEX(STDLIGHT[Primary Key],MATCH(C23,STDLIGHT[Measure Number],0)),"")</f>
        <v/>
      </c>
      <c r="AT23" s="200" t="str">
        <f>IFERROR(INDEX('M03-S02'!$AN$18:$AN$199,2*(ROWS(R$4:R23)-1)+1)-MIN(INDEX('M03-S02'!$AT$18:$AT$199,2*(ROWS(AT$4:AT23)-1)+1),(ROUND(INDEX('M03-S02'!$V$18:$V$199,2*(ROWS(AT$4:AT23)-1)+1),3)*INDEX(STDLIGHT[Previous Incentive],MATCH('M03-S02'!G56,STDLIGHT[Measure Name],0)))),"")</f>
        <v/>
      </c>
      <c r="AU23" s="278"/>
      <c r="AV23" s="278"/>
      <c r="AW23" s="278"/>
      <c r="AX23" s="278"/>
      <c r="AY23" s="278"/>
      <c r="AZ23" s="278"/>
      <c r="BA23" s="278"/>
      <c r="BB23" s="278"/>
      <c r="BC23" s="278"/>
      <c r="BD23" s="278"/>
      <c r="BE23" s="279"/>
      <c r="BL23" s="180"/>
      <c r="BP23"/>
      <c r="BQ23"/>
      <c r="BR23"/>
      <c r="CD23" s="180"/>
      <c r="CE23" s="180"/>
      <c r="CF23" s="180"/>
      <c r="CH23"/>
      <c r="CI23"/>
      <c r="CJ23"/>
      <c r="CK23"/>
      <c r="CL23"/>
      <c r="CM23"/>
      <c r="CN23"/>
      <c r="CQ23" s="180"/>
      <c r="CR23" s="180"/>
      <c r="CS23" s="180"/>
      <c r="DS23" s="180"/>
      <c r="DT23" s="180"/>
      <c r="DU23" s="180"/>
    </row>
    <row r="24" spans="1:125" s="54" customFormat="1" hidden="1">
      <c r="A24" s="135">
        <f t="shared" si="0"/>
        <v>0</v>
      </c>
      <c r="B24" s="178" t="str">
        <f t="shared" si="1"/>
        <v/>
      </c>
      <c r="C24" s="178" t="str">
        <f>IFERROR(IF(R24&gt;0,INDEX('M03-S02'!$BC$18:$BC$199,2*(ROWS($C$4:C24)-1)+1),""),"")</f>
        <v/>
      </c>
      <c r="D24" s="180" t="s">
        <v>1443</v>
      </c>
      <c r="E24" s="178" t="str">
        <f>IFERROR(INDEX('M03-S02'!$AZ$18:$AZ$199,2*(ROWS($E$4:E24)-1)+1),"")</f>
        <v/>
      </c>
      <c r="F24" s="173">
        <f>IFERROR(INDEX('M03-S02'!$X$18:$X$199,2*(ROWS($F$4:F24)-1)+1),"")</f>
        <v>0</v>
      </c>
      <c r="G24" s="178">
        <f>IFERROR(INDEX('M03-S02'!$AC$18:$AC$199,2*(ROWS($G$4:G24)-1)+1),"")</f>
        <v>0</v>
      </c>
      <c r="H24" s="200">
        <f>IFERROR(INDEX('M03-S02'!$AE$18:$AE$199,2*(ROWS(H$4:H24)-1)+1),"")</f>
        <v>0</v>
      </c>
      <c r="I24" s="200">
        <f>IFERROR(INDEX('M03-S02'!$AG$18:$AG$199,2*(ROWS($I$4:I24)-1)+1),"")</f>
        <v>0</v>
      </c>
      <c r="J24" s="200" t="str">
        <f>IFERROR(INDEX('M03-S02'!$AT$18:$AT$199,2*(ROWS(J$4:J24)-1)+1),"")</f>
        <v/>
      </c>
      <c r="K24" s="178" t="s">
        <v>84</v>
      </c>
      <c r="L24" s="116">
        <f>IFERROR(ROUND(INDEX('M03-S02'!$V$18:$V$199,2*(ROWS(L$4:L24)-1)+1),3),"")</f>
        <v>0</v>
      </c>
      <c r="M24" s="116">
        <f>IFERROR(ROUND(INDEX('M03-S02'!$V$18:$V$199,2*(ROWS(M$4:M24)-1)+1),3),"")</f>
        <v>0</v>
      </c>
      <c r="N24" s="415" t="str">
        <f>IFERROR(INDEX('M03-S02'!$AV$18:$AV$199,2*(ROWS(N$4:N24)-1)+1),"")</f>
        <v/>
      </c>
      <c r="O24" s="415" t="str">
        <f>IFERROR(INDEX('M03-S02'!$BA$18:$BA$199,2*(ROWS(O$4:O24)-1)+1),"")</f>
        <v/>
      </c>
      <c r="P24" s="415" t="str">
        <f>IFERROR(INDEX('M03-S02'!$AW$18:$AW$199,2*(ROWS(P$4:P24)-1)+1),"")</f>
        <v/>
      </c>
      <c r="Q24" s="415" t="str">
        <f>IFERROR(INDEX('M03-S02'!$BB$18:$BB$199,2*(ROWS(Q$4:Q24)-1)+1),"")</f>
        <v/>
      </c>
      <c r="R24" s="200" t="str">
        <f>IFERROR(INDEX('M03-S02'!$AN$18:$AN$199,2*(ROWS(R$4:R24)-1)+1),"")</f>
        <v/>
      </c>
      <c r="S24" s="405"/>
      <c r="T24" s="405"/>
      <c r="U24" s="405"/>
      <c r="V24" s="325"/>
      <c r="W24" s="417"/>
      <c r="X24" s="417"/>
      <c r="Y24" s="408"/>
      <c r="Z24" s="408"/>
      <c r="AA24" s="418"/>
      <c r="AB24" s="418"/>
      <c r="AC24" s="325"/>
      <c r="AD24" s="415" t="str">
        <f>IFERROR(INDEX('M03-S02'!$AX$18:$AX$199,2*(ROWS(AD$4:AD24)-1)+1),"")</f>
        <v/>
      </c>
      <c r="AE24" s="415" t="str">
        <f>IFERROR(INDEX('M03-S02'!$AY$18:$AY$199,2*(ROWS(AE$4:AE24)-1)+1),"")</f>
        <v/>
      </c>
      <c r="AF24" s="173" t="str">
        <f>IFERROR(INDEX('M03-S02'!$R$18:$R$199,2*(ROWS(AF$4:AF24)-1)+1),"")</f>
        <v/>
      </c>
      <c r="AG24" s="173" t="str">
        <f>IFERROR(INDEX('M03-S02'!$T$18:$T$199,2*(ROWS(AG$4:AG24)-1)+1),"")</f>
        <v/>
      </c>
      <c r="AH24" s="408"/>
      <c r="AI24" s="178">
        <f>IFERROR(INDEX('M03-S02'!$B$18:$B$199,2*(ROWS(AI$4:AI24)-1)+1),"")</f>
        <v>21</v>
      </c>
      <c r="AJ24" s="325"/>
      <c r="AK24" s="178">
        <f>IFERROR(INDEX('M03-S02'!$G$18:$G$199,2*(ROWS(AK$4:AK24)-1)+1),"")</f>
        <v>0</v>
      </c>
      <c r="AL24" s="178">
        <f>IFERROR(INDEX('M03-S02'!$O$18:$O$199,2*(ROWS(AL$4:AL24)-1)+1),"")</f>
        <v>0</v>
      </c>
      <c r="AM24" s="178">
        <f>IFERROR(INDEX('M03-S02'!$Z$18:$Z$199,2*(ROWS(AM$4:AM24)-1)+1),"")</f>
        <v>0</v>
      </c>
      <c r="AN24" s="405"/>
      <c r="AO24" s="405"/>
      <c r="AP24" s="178" t="str">
        <f>IFERROR(INDEX('M03-S02'!$AU$18:$AU$199,2*(ROWS(AP$4:AP24)-1)+1),"")</f>
        <v/>
      </c>
      <c r="AQ24" s="325"/>
      <c r="AR24" s="178" t="str">
        <f>IFERROR(INDEX(STDLIGHT[Reporting Methodology],MATCH(EXPORT!C24,STDLIGHT[Measure Number],0)),"")</f>
        <v/>
      </c>
      <c r="AS24" s="178" t="str">
        <f>IFERROR(INDEX(STDLIGHT[Primary Key],MATCH(C24,STDLIGHT[Measure Number],0)),"")</f>
        <v/>
      </c>
      <c r="AT24" s="200" t="str">
        <f>IFERROR(INDEX('M03-S02'!$AN$18:$AN$199,2*(ROWS(R$4:R24)-1)+1)-MIN(INDEX('M03-S02'!$AT$18:$AT$199,2*(ROWS(AT$4:AT24)-1)+1),(ROUND(INDEX('M03-S02'!$V$18:$V$199,2*(ROWS(AT$4:AT24)-1)+1),3)*INDEX(STDLIGHT[Previous Incentive],MATCH('M03-S02'!G58,STDLIGHT[Measure Name],0)))),"")</f>
        <v/>
      </c>
      <c r="AU24" s="278"/>
      <c r="AV24" s="278"/>
      <c r="AW24" s="278"/>
      <c r="AX24" s="278"/>
      <c r="AY24" s="278"/>
      <c r="AZ24" s="278"/>
      <c r="BA24" s="278"/>
      <c r="BB24" s="278"/>
      <c r="BC24" s="278"/>
      <c r="BD24" s="278"/>
      <c r="BE24" s="279"/>
      <c r="BL24" s="180"/>
      <c r="BP24"/>
      <c r="BQ24"/>
      <c r="BR24"/>
      <c r="CD24" s="180"/>
      <c r="CE24" s="180"/>
      <c r="CF24" s="180"/>
      <c r="CH24"/>
      <c r="CI24"/>
      <c r="CJ24"/>
      <c r="CK24"/>
      <c r="CL24"/>
      <c r="CM24"/>
      <c r="CN24"/>
      <c r="CQ24" s="180"/>
      <c r="CR24" s="180"/>
      <c r="CS24" s="180"/>
      <c r="DS24" s="180"/>
      <c r="DT24" s="180"/>
      <c r="DU24" s="180"/>
    </row>
    <row r="25" spans="1:125" s="54" customFormat="1" hidden="1">
      <c r="A25" s="135">
        <f t="shared" si="0"/>
        <v>0</v>
      </c>
      <c r="B25" s="178" t="str">
        <f t="shared" si="1"/>
        <v/>
      </c>
      <c r="C25" s="178" t="str">
        <f>IFERROR(IF(R25&gt;0,INDEX('M03-S02'!$BC$18:$BC$199,2*(ROWS($C$4:C25)-1)+1),""),"")</f>
        <v/>
      </c>
      <c r="D25" s="180" t="s">
        <v>1443</v>
      </c>
      <c r="E25" s="178" t="str">
        <f>IFERROR(INDEX('M03-S02'!$AZ$18:$AZ$199,2*(ROWS($E$4:E25)-1)+1),"")</f>
        <v/>
      </c>
      <c r="F25" s="173">
        <f>IFERROR(INDEX('M03-S02'!$X$18:$X$199,2*(ROWS($F$4:F25)-1)+1),"")</f>
        <v>0</v>
      </c>
      <c r="G25" s="178">
        <f>IFERROR(INDEX('M03-S02'!$AC$18:$AC$199,2*(ROWS($G$4:G25)-1)+1),"")</f>
        <v>0</v>
      </c>
      <c r="H25" s="200">
        <f>IFERROR(INDEX('M03-S02'!$AE$18:$AE$199,2*(ROWS(H$4:H25)-1)+1),"")</f>
        <v>0</v>
      </c>
      <c r="I25" s="200">
        <f>IFERROR(INDEX('M03-S02'!$AG$18:$AG$199,2*(ROWS($I$4:I25)-1)+1),"")</f>
        <v>0</v>
      </c>
      <c r="J25" s="200" t="str">
        <f>IFERROR(INDEX('M03-S02'!$AT$18:$AT$199,2*(ROWS(J$4:J25)-1)+1),"")</f>
        <v/>
      </c>
      <c r="K25" s="178" t="s">
        <v>84</v>
      </c>
      <c r="L25" s="116">
        <f>IFERROR(ROUND(INDEX('M03-S02'!$V$18:$V$199,2*(ROWS(L$4:L25)-1)+1),3),"")</f>
        <v>0</v>
      </c>
      <c r="M25" s="116">
        <f>IFERROR(ROUND(INDEX('M03-S02'!$V$18:$V$199,2*(ROWS(M$4:M25)-1)+1),3),"")</f>
        <v>0</v>
      </c>
      <c r="N25" s="415" t="str">
        <f>IFERROR(INDEX('M03-S02'!$AV$18:$AV$199,2*(ROWS(N$4:N25)-1)+1),"")</f>
        <v/>
      </c>
      <c r="O25" s="415" t="str">
        <f>IFERROR(INDEX('M03-S02'!$BA$18:$BA$199,2*(ROWS(O$4:O25)-1)+1),"")</f>
        <v/>
      </c>
      <c r="P25" s="415" t="str">
        <f>IFERROR(INDEX('M03-S02'!$AW$18:$AW$199,2*(ROWS(P$4:P25)-1)+1),"")</f>
        <v/>
      </c>
      <c r="Q25" s="415" t="str">
        <f>IFERROR(INDEX('M03-S02'!$BB$18:$BB$199,2*(ROWS(Q$4:Q25)-1)+1),"")</f>
        <v/>
      </c>
      <c r="R25" s="200" t="str">
        <f>IFERROR(INDEX('M03-S02'!$AN$18:$AN$199,2*(ROWS(R$4:R25)-1)+1),"")</f>
        <v/>
      </c>
      <c r="S25" s="405"/>
      <c r="T25" s="405"/>
      <c r="U25" s="405"/>
      <c r="V25" s="325"/>
      <c r="W25" s="417"/>
      <c r="X25" s="417"/>
      <c r="Y25" s="408"/>
      <c r="Z25" s="408"/>
      <c r="AA25" s="418"/>
      <c r="AB25" s="418"/>
      <c r="AC25" s="325"/>
      <c r="AD25" s="415" t="str">
        <f>IFERROR(INDEX('M03-S02'!$AX$18:$AX$199,2*(ROWS(AD$4:AD25)-1)+1),"")</f>
        <v/>
      </c>
      <c r="AE25" s="415" t="str">
        <f>IFERROR(INDEX('M03-S02'!$AY$18:$AY$199,2*(ROWS(AE$4:AE25)-1)+1),"")</f>
        <v/>
      </c>
      <c r="AF25" s="173" t="str">
        <f>IFERROR(INDEX('M03-S02'!$R$18:$R$199,2*(ROWS(AF$4:AF25)-1)+1),"")</f>
        <v/>
      </c>
      <c r="AG25" s="173" t="str">
        <f>IFERROR(INDEX('M03-S02'!$T$18:$T$199,2*(ROWS(AG$4:AG25)-1)+1),"")</f>
        <v/>
      </c>
      <c r="AH25" s="408"/>
      <c r="AI25" s="178">
        <f>IFERROR(INDEX('M03-S02'!$B$18:$B$199,2*(ROWS(AI$4:AI25)-1)+1),"")</f>
        <v>22</v>
      </c>
      <c r="AJ25" s="325"/>
      <c r="AK25" s="178">
        <f>IFERROR(INDEX('M03-S02'!$G$18:$G$199,2*(ROWS(AK$4:AK25)-1)+1),"")</f>
        <v>0</v>
      </c>
      <c r="AL25" s="178">
        <f>IFERROR(INDEX('M03-S02'!$O$18:$O$199,2*(ROWS(AL$4:AL25)-1)+1),"")</f>
        <v>0</v>
      </c>
      <c r="AM25" s="178">
        <f>IFERROR(INDEX('M03-S02'!$Z$18:$Z$199,2*(ROWS(AM$4:AM25)-1)+1),"")</f>
        <v>0</v>
      </c>
      <c r="AN25" s="405"/>
      <c r="AO25" s="405"/>
      <c r="AP25" s="178" t="str">
        <f>IFERROR(INDEX('M03-S02'!$AU$18:$AU$199,2*(ROWS(AP$4:AP25)-1)+1),"")</f>
        <v/>
      </c>
      <c r="AQ25" s="325"/>
      <c r="AR25" s="178" t="str">
        <f>IFERROR(INDEX(STDLIGHT[Reporting Methodology],MATCH(EXPORT!C25,STDLIGHT[Measure Number],0)),"")</f>
        <v/>
      </c>
      <c r="AS25" s="178" t="str">
        <f>IFERROR(INDEX(STDLIGHT[Primary Key],MATCH(C25,STDLIGHT[Measure Number],0)),"")</f>
        <v/>
      </c>
      <c r="AT25" s="200" t="str">
        <f>IFERROR(INDEX('M03-S02'!$AN$18:$AN$199,2*(ROWS(R$4:R25)-1)+1)-MIN(INDEX('M03-S02'!$AT$18:$AT$199,2*(ROWS(AT$4:AT25)-1)+1),(ROUND(INDEX('M03-S02'!$V$18:$V$199,2*(ROWS(AT$4:AT25)-1)+1),3)*INDEX(STDLIGHT[Previous Incentive],MATCH('M03-S02'!G60,STDLIGHT[Measure Name],0)))),"")</f>
        <v/>
      </c>
      <c r="AU25" s="278"/>
      <c r="AV25" s="278"/>
      <c r="AW25" s="278"/>
      <c r="AX25" s="278"/>
      <c r="AY25" s="278"/>
      <c r="AZ25" s="278"/>
      <c r="BA25" s="278"/>
      <c r="BB25" s="278"/>
      <c r="BC25" s="278"/>
      <c r="BD25" s="278"/>
      <c r="BE25" s="279"/>
      <c r="BL25" s="180"/>
      <c r="BP25"/>
      <c r="BQ25"/>
      <c r="BR25"/>
      <c r="CD25" s="180"/>
      <c r="CE25" s="180"/>
      <c r="CF25" s="180"/>
      <c r="CH25"/>
      <c r="CI25"/>
      <c r="CJ25"/>
      <c r="CK25"/>
      <c r="CL25"/>
      <c r="CM25"/>
      <c r="CN25"/>
      <c r="CQ25" s="180"/>
      <c r="CR25" s="180"/>
      <c r="CS25" s="180"/>
      <c r="DS25" s="180"/>
      <c r="DT25" s="180"/>
      <c r="DU25" s="180"/>
    </row>
    <row r="26" spans="1:125" s="54" customFormat="1" hidden="1">
      <c r="A26" s="135">
        <f t="shared" si="0"/>
        <v>0</v>
      </c>
      <c r="B26" s="178" t="str">
        <f t="shared" si="1"/>
        <v/>
      </c>
      <c r="C26" s="178" t="str">
        <f>IFERROR(IF(R26&gt;0,INDEX('M03-S02'!$BC$18:$BC$199,2*(ROWS($C$4:C26)-1)+1),""),"")</f>
        <v/>
      </c>
      <c r="D26" s="180" t="s">
        <v>1443</v>
      </c>
      <c r="E26" s="178" t="str">
        <f>IFERROR(INDEX('M03-S02'!$AZ$18:$AZ$199,2*(ROWS($E$4:E26)-1)+1),"")</f>
        <v/>
      </c>
      <c r="F26" s="173">
        <f>IFERROR(INDEX('M03-S02'!$X$18:$X$199,2*(ROWS($F$4:F26)-1)+1),"")</f>
        <v>0</v>
      </c>
      <c r="G26" s="178">
        <f>IFERROR(INDEX('M03-S02'!$AC$18:$AC$199,2*(ROWS($G$4:G26)-1)+1),"")</f>
        <v>0</v>
      </c>
      <c r="H26" s="200">
        <f>IFERROR(INDEX('M03-S02'!$AE$18:$AE$199,2*(ROWS(H$4:H26)-1)+1),"")</f>
        <v>0</v>
      </c>
      <c r="I26" s="200">
        <f>IFERROR(INDEX('M03-S02'!$AG$18:$AG$199,2*(ROWS($I$4:I26)-1)+1),"")</f>
        <v>0</v>
      </c>
      <c r="J26" s="200" t="str">
        <f>IFERROR(INDEX('M03-S02'!$AT$18:$AT$199,2*(ROWS(J$4:J26)-1)+1),"")</f>
        <v/>
      </c>
      <c r="K26" s="178" t="s">
        <v>84</v>
      </c>
      <c r="L26" s="116">
        <f>IFERROR(ROUND(INDEX('M03-S02'!$V$18:$V$199,2*(ROWS(L$4:L26)-1)+1),3),"")</f>
        <v>0</v>
      </c>
      <c r="M26" s="116">
        <f>IFERROR(ROUND(INDEX('M03-S02'!$V$18:$V$199,2*(ROWS(M$4:M26)-1)+1),3),"")</f>
        <v>0</v>
      </c>
      <c r="N26" s="415" t="str">
        <f>IFERROR(INDEX('M03-S02'!$AV$18:$AV$199,2*(ROWS(N$4:N26)-1)+1),"")</f>
        <v/>
      </c>
      <c r="O26" s="415" t="str">
        <f>IFERROR(INDEX('M03-S02'!$BA$18:$BA$199,2*(ROWS(O$4:O26)-1)+1),"")</f>
        <v/>
      </c>
      <c r="P26" s="415" t="str">
        <f>IFERROR(INDEX('M03-S02'!$AW$18:$AW$199,2*(ROWS(P$4:P26)-1)+1),"")</f>
        <v/>
      </c>
      <c r="Q26" s="415" t="str">
        <f>IFERROR(INDEX('M03-S02'!$BB$18:$BB$199,2*(ROWS(Q$4:Q26)-1)+1),"")</f>
        <v/>
      </c>
      <c r="R26" s="200" t="str">
        <f>IFERROR(INDEX('M03-S02'!$AN$18:$AN$199,2*(ROWS(R$4:R26)-1)+1),"")</f>
        <v/>
      </c>
      <c r="S26" s="405"/>
      <c r="T26" s="405"/>
      <c r="U26" s="405"/>
      <c r="V26" s="325"/>
      <c r="W26" s="417"/>
      <c r="X26" s="417"/>
      <c r="Y26" s="408"/>
      <c r="Z26" s="408"/>
      <c r="AA26" s="418"/>
      <c r="AB26" s="418"/>
      <c r="AC26" s="325"/>
      <c r="AD26" s="415" t="str">
        <f>IFERROR(INDEX('M03-S02'!$AX$18:$AX$199,2*(ROWS(AD$4:AD26)-1)+1),"")</f>
        <v/>
      </c>
      <c r="AE26" s="415" t="str">
        <f>IFERROR(INDEX('M03-S02'!$AY$18:$AY$199,2*(ROWS(AE$4:AE26)-1)+1),"")</f>
        <v/>
      </c>
      <c r="AF26" s="173" t="str">
        <f>IFERROR(INDEX('M03-S02'!$R$18:$R$199,2*(ROWS(AF$4:AF26)-1)+1),"")</f>
        <v/>
      </c>
      <c r="AG26" s="173" t="str">
        <f>IFERROR(INDEX('M03-S02'!$T$18:$T$199,2*(ROWS(AG$4:AG26)-1)+1),"")</f>
        <v/>
      </c>
      <c r="AH26" s="408"/>
      <c r="AI26" s="178">
        <f>IFERROR(INDEX('M03-S02'!$B$18:$B$199,2*(ROWS(AI$4:AI26)-1)+1),"")</f>
        <v>23</v>
      </c>
      <c r="AJ26" s="325"/>
      <c r="AK26" s="178">
        <f>IFERROR(INDEX('M03-S02'!$G$18:$G$199,2*(ROWS(AK$4:AK26)-1)+1),"")</f>
        <v>0</v>
      </c>
      <c r="AL26" s="178">
        <f>IFERROR(INDEX('M03-S02'!$O$18:$O$199,2*(ROWS(AL$4:AL26)-1)+1),"")</f>
        <v>0</v>
      </c>
      <c r="AM26" s="178">
        <f>IFERROR(INDEX('M03-S02'!$Z$18:$Z$199,2*(ROWS(AM$4:AM26)-1)+1),"")</f>
        <v>0</v>
      </c>
      <c r="AN26" s="405"/>
      <c r="AO26" s="405"/>
      <c r="AP26" s="178" t="str">
        <f>IFERROR(INDEX('M03-S02'!$AU$18:$AU$199,2*(ROWS(AP$4:AP26)-1)+1),"")</f>
        <v/>
      </c>
      <c r="AQ26" s="325"/>
      <c r="AR26" s="178" t="str">
        <f>IFERROR(INDEX(STDLIGHT[Reporting Methodology],MATCH(EXPORT!C26,STDLIGHT[Measure Number],0)),"")</f>
        <v/>
      </c>
      <c r="AS26" s="178" t="str">
        <f>IFERROR(INDEX(STDLIGHT[Primary Key],MATCH(C26,STDLIGHT[Measure Number],0)),"")</f>
        <v/>
      </c>
      <c r="AT26" s="200" t="str">
        <f>IFERROR(INDEX('M03-S02'!$AN$18:$AN$199,2*(ROWS(R$4:R26)-1)+1)-MIN(INDEX('M03-S02'!$AT$18:$AT$199,2*(ROWS(AT$4:AT26)-1)+1),(ROUND(INDEX('M03-S02'!$V$18:$V$199,2*(ROWS(AT$4:AT26)-1)+1),3)*INDEX(STDLIGHT[Previous Incentive],MATCH('M03-S02'!G62,STDLIGHT[Measure Name],0)))),"")</f>
        <v/>
      </c>
      <c r="AU26" s="278"/>
      <c r="AV26" s="278"/>
      <c r="AW26" s="278"/>
      <c r="AX26" s="278"/>
      <c r="AY26" s="278"/>
      <c r="AZ26" s="278"/>
      <c r="BA26" s="278"/>
      <c r="BB26" s="278"/>
      <c r="BC26" s="278"/>
      <c r="BD26" s="278"/>
      <c r="BE26" s="279"/>
      <c r="BL26" s="180"/>
      <c r="BP26"/>
      <c r="BQ26"/>
      <c r="BR26"/>
      <c r="CD26" s="180"/>
      <c r="CE26" s="180"/>
      <c r="CF26" s="180"/>
      <c r="CH26"/>
      <c r="CI26"/>
      <c r="CJ26"/>
      <c r="CK26"/>
      <c r="CL26"/>
      <c r="CM26"/>
      <c r="CN26"/>
      <c r="CQ26" s="180"/>
      <c r="CR26" s="180"/>
      <c r="CS26" s="180"/>
      <c r="DS26" s="180"/>
      <c r="DT26" s="180"/>
      <c r="DU26" s="180"/>
    </row>
    <row r="27" spans="1:125" s="54" customFormat="1" hidden="1">
      <c r="A27" s="135">
        <f t="shared" si="0"/>
        <v>0</v>
      </c>
      <c r="B27" s="178" t="str">
        <f t="shared" si="1"/>
        <v/>
      </c>
      <c r="C27" s="178" t="str">
        <f>IFERROR(IF(R27&gt;0,INDEX('M03-S02'!$BC$18:$BC$199,2*(ROWS($C$4:C27)-1)+1),""),"")</f>
        <v/>
      </c>
      <c r="D27" s="180" t="s">
        <v>1443</v>
      </c>
      <c r="E27" s="178" t="str">
        <f>IFERROR(INDEX('M03-S02'!$AZ$18:$AZ$199,2*(ROWS($E$4:E27)-1)+1),"")</f>
        <v/>
      </c>
      <c r="F27" s="173">
        <f>IFERROR(INDEX('M03-S02'!$X$18:$X$199,2*(ROWS($F$4:F27)-1)+1),"")</f>
        <v>0</v>
      </c>
      <c r="G27" s="178">
        <f>IFERROR(INDEX('M03-S02'!$AC$18:$AC$199,2*(ROWS($G$4:G27)-1)+1),"")</f>
        <v>0</v>
      </c>
      <c r="H27" s="200">
        <f>IFERROR(INDEX('M03-S02'!$AE$18:$AE$199,2*(ROWS(H$4:H27)-1)+1),"")</f>
        <v>0</v>
      </c>
      <c r="I27" s="200">
        <f>IFERROR(INDEX('M03-S02'!$AG$18:$AG$199,2*(ROWS($I$4:I27)-1)+1),"")</f>
        <v>0</v>
      </c>
      <c r="J27" s="200" t="str">
        <f>IFERROR(INDEX('M03-S02'!$AT$18:$AT$199,2*(ROWS(J$4:J27)-1)+1),"")</f>
        <v/>
      </c>
      <c r="K27" s="178" t="s">
        <v>84</v>
      </c>
      <c r="L27" s="116">
        <f>IFERROR(ROUND(INDEX('M03-S02'!$V$18:$V$199,2*(ROWS(L$4:L27)-1)+1),3),"")</f>
        <v>0</v>
      </c>
      <c r="M27" s="116">
        <f>IFERROR(ROUND(INDEX('M03-S02'!$V$18:$V$199,2*(ROWS(M$4:M27)-1)+1),3),"")</f>
        <v>0</v>
      </c>
      <c r="N27" s="415" t="str">
        <f>IFERROR(INDEX('M03-S02'!$AV$18:$AV$199,2*(ROWS(N$4:N27)-1)+1),"")</f>
        <v/>
      </c>
      <c r="O27" s="415" t="str">
        <f>IFERROR(INDEX('M03-S02'!$BA$18:$BA$199,2*(ROWS(O$4:O27)-1)+1),"")</f>
        <v/>
      </c>
      <c r="P27" s="415" t="str">
        <f>IFERROR(INDEX('M03-S02'!$AW$18:$AW$199,2*(ROWS(P$4:P27)-1)+1),"")</f>
        <v/>
      </c>
      <c r="Q27" s="415" t="str">
        <f>IFERROR(INDEX('M03-S02'!$BB$18:$BB$199,2*(ROWS(Q$4:Q27)-1)+1),"")</f>
        <v/>
      </c>
      <c r="R27" s="200" t="str">
        <f>IFERROR(INDEX('M03-S02'!$AN$18:$AN$199,2*(ROWS(R$4:R27)-1)+1),"")</f>
        <v/>
      </c>
      <c r="S27" s="405"/>
      <c r="T27" s="405"/>
      <c r="U27" s="405"/>
      <c r="V27" s="325"/>
      <c r="W27" s="417"/>
      <c r="X27" s="417"/>
      <c r="Y27" s="408"/>
      <c r="Z27" s="408"/>
      <c r="AA27" s="418"/>
      <c r="AB27" s="418"/>
      <c r="AC27" s="325"/>
      <c r="AD27" s="415" t="str">
        <f>IFERROR(INDEX('M03-S02'!$AX$18:$AX$199,2*(ROWS(AD$4:AD27)-1)+1),"")</f>
        <v/>
      </c>
      <c r="AE27" s="415" t="str">
        <f>IFERROR(INDEX('M03-S02'!$AY$18:$AY$199,2*(ROWS(AE$4:AE27)-1)+1),"")</f>
        <v/>
      </c>
      <c r="AF27" s="173" t="str">
        <f>IFERROR(INDEX('M03-S02'!$R$18:$R$199,2*(ROWS(AF$4:AF27)-1)+1),"")</f>
        <v/>
      </c>
      <c r="AG27" s="173" t="str">
        <f>IFERROR(INDEX('M03-S02'!$T$18:$T$199,2*(ROWS(AG$4:AG27)-1)+1),"")</f>
        <v/>
      </c>
      <c r="AH27" s="408"/>
      <c r="AI27" s="178">
        <f>IFERROR(INDEX('M03-S02'!$B$18:$B$199,2*(ROWS(AI$4:AI27)-1)+1),"")</f>
        <v>24</v>
      </c>
      <c r="AJ27" s="325"/>
      <c r="AK27" s="178">
        <f>IFERROR(INDEX('M03-S02'!$G$18:$G$199,2*(ROWS(AK$4:AK27)-1)+1),"")</f>
        <v>0</v>
      </c>
      <c r="AL27" s="178">
        <f>IFERROR(INDEX('M03-S02'!$O$18:$O$199,2*(ROWS(AL$4:AL27)-1)+1),"")</f>
        <v>0</v>
      </c>
      <c r="AM27" s="178">
        <f>IFERROR(INDEX('M03-S02'!$Z$18:$Z$199,2*(ROWS(AM$4:AM27)-1)+1),"")</f>
        <v>0</v>
      </c>
      <c r="AN27" s="405"/>
      <c r="AO27" s="405"/>
      <c r="AP27" s="178" t="str">
        <f>IFERROR(INDEX('M03-S02'!$AU$18:$AU$199,2*(ROWS(AP$4:AP27)-1)+1),"")</f>
        <v/>
      </c>
      <c r="AQ27" s="325"/>
      <c r="AR27" s="178" t="str">
        <f>IFERROR(INDEX(STDLIGHT[Reporting Methodology],MATCH(EXPORT!C27,STDLIGHT[Measure Number],0)),"")</f>
        <v/>
      </c>
      <c r="AS27" s="178" t="str">
        <f>IFERROR(INDEX(STDLIGHT[Primary Key],MATCH(C27,STDLIGHT[Measure Number],0)),"")</f>
        <v/>
      </c>
      <c r="AT27" s="200" t="str">
        <f>IFERROR(INDEX('M03-S02'!$AN$18:$AN$199,2*(ROWS(R$4:R27)-1)+1)-MIN(INDEX('M03-S02'!$AT$18:$AT$199,2*(ROWS(AT$4:AT27)-1)+1),(ROUND(INDEX('M03-S02'!$V$18:$V$199,2*(ROWS(AT$4:AT27)-1)+1),3)*INDEX(STDLIGHT[Previous Incentive],MATCH('M03-S02'!G64,STDLIGHT[Measure Name],0)))),"")</f>
        <v/>
      </c>
      <c r="AU27" s="278"/>
      <c r="AV27" s="278"/>
      <c r="AW27" s="278"/>
      <c r="AX27" s="278"/>
      <c r="AY27" s="278"/>
      <c r="AZ27" s="278"/>
      <c r="BA27" s="278"/>
      <c r="BB27" s="278"/>
      <c r="BC27" s="278"/>
      <c r="BD27" s="278"/>
      <c r="BE27" s="279"/>
      <c r="BL27" s="180"/>
      <c r="BP27"/>
      <c r="BQ27"/>
      <c r="BR27"/>
      <c r="CD27" s="180"/>
      <c r="CE27" s="180"/>
      <c r="CF27" s="180"/>
      <c r="CH27"/>
      <c r="CI27"/>
      <c r="CJ27"/>
      <c r="CK27"/>
      <c r="CL27"/>
      <c r="CM27"/>
      <c r="CN27"/>
      <c r="CQ27" s="180"/>
      <c r="CR27" s="180"/>
      <c r="CS27" s="180"/>
      <c r="DS27" s="180"/>
      <c r="DT27" s="180"/>
      <c r="DU27" s="180"/>
    </row>
    <row r="28" spans="1:125" s="54" customFormat="1" hidden="1">
      <c r="A28" s="135">
        <f t="shared" si="0"/>
        <v>0</v>
      </c>
      <c r="B28" s="178" t="str">
        <f t="shared" si="1"/>
        <v/>
      </c>
      <c r="C28" s="178" t="str">
        <f>IFERROR(IF(R28&gt;0,INDEX('M03-S02'!$BC$18:$BC$199,2*(ROWS($C$4:C28)-1)+1),""),"")</f>
        <v/>
      </c>
      <c r="D28" s="180" t="s">
        <v>1443</v>
      </c>
      <c r="E28" s="178" t="str">
        <f>IFERROR(INDEX('M03-S02'!$AZ$18:$AZ$199,2*(ROWS($E$4:E28)-1)+1),"")</f>
        <v/>
      </c>
      <c r="F28" s="173">
        <f>IFERROR(INDEX('M03-S02'!$X$18:$X$199,2*(ROWS($F$4:F28)-1)+1),"")</f>
        <v>0</v>
      </c>
      <c r="G28" s="178">
        <f>IFERROR(INDEX('M03-S02'!$AC$18:$AC$199,2*(ROWS($G$4:G28)-1)+1),"")</f>
        <v>0</v>
      </c>
      <c r="H28" s="200">
        <f>IFERROR(INDEX('M03-S02'!$AE$18:$AE$199,2*(ROWS(H$4:H28)-1)+1),"")</f>
        <v>0</v>
      </c>
      <c r="I28" s="200">
        <f>IFERROR(INDEX('M03-S02'!$AG$18:$AG$199,2*(ROWS($I$4:I28)-1)+1),"")</f>
        <v>0</v>
      </c>
      <c r="J28" s="200" t="str">
        <f>IFERROR(INDEX('M03-S02'!$AT$18:$AT$199,2*(ROWS(J$4:J28)-1)+1),"")</f>
        <v/>
      </c>
      <c r="K28" s="178" t="s">
        <v>84</v>
      </c>
      <c r="L28" s="116">
        <f>IFERROR(ROUND(INDEX('M03-S02'!$V$18:$V$199,2*(ROWS(L$4:L28)-1)+1),3),"")</f>
        <v>0</v>
      </c>
      <c r="M28" s="116">
        <f>IFERROR(ROUND(INDEX('M03-S02'!$V$18:$V$199,2*(ROWS(M$4:M28)-1)+1),3),"")</f>
        <v>0</v>
      </c>
      <c r="N28" s="415" t="str">
        <f>IFERROR(INDEX('M03-S02'!$AV$18:$AV$199,2*(ROWS(N$4:N28)-1)+1),"")</f>
        <v/>
      </c>
      <c r="O28" s="415" t="str">
        <f>IFERROR(INDEX('M03-S02'!$BA$18:$BA$199,2*(ROWS(O$4:O28)-1)+1),"")</f>
        <v/>
      </c>
      <c r="P28" s="415" t="str">
        <f>IFERROR(INDEX('M03-S02'!$AW$18:$AW$199,2*(ROWS(P$4:P28)-1)+1),"")</f>
        <v/>
      </c>
      <c r="Q28" s="415" t="str">
        <f>IFERROR(INDEX('M03-S02'!$BB$18:$BB$199,2*(ROWS(Q$4:Q28)-1)+1),"")</f>
        <v/>
      </c>
      <c r="R28" s="200" t="str">
        <f>IFERROR(INDEX('M03-S02'!$AN$18:$AN$199,2*(ROWS(R$4:R28)-1)+1),"")</f>
        <v/>
      </c>
      <c r="S28" s="405"/>
      <c r="T28" s="405"/>
      <c r="U28" s="405"/>
      <c r="V28" s="325"/>
      <c r="W28" s="417"/>
      <c r="X28" s="417"/>
      <c r="Y28" s="408"/>
      <c r="Z28" s="408"/>
      <c r="AA28" s="418"/>
      <c r="AB28" s="418"/>
      <c r="AC28" s="325"/>
      <c r="AD28" s="415" t="str">
        <f>IFERROR(INDEX('M03-S02'!$AX$18:$AX$199,2*(ROWS(AD$4:AD28)-1)+1),"")</f>
        <v/>
      </c>
      <c r="AE28" s="415" t="str">
        <f>IFERROR(INDEX('M03-S02'!$AY$18:$AY$199,2*(ROWS(AE$4:AE28)-1)+1),"")</f>
        <v/>
      </c>
      <c r="AF28" s="173" t="str">
        <f>IFERROR(INDEX('M03-S02'!$R$18:$R$199,2*(ROWS(AF$4:AF28)-1)+1),"")</f>
        <v/>
      </c>
      <c r="AG28" s="173" t="str">
        <f>IFERROR(INDEX('M03-S02'!$T$18:$T$199,2*(ROWS(AG$4:AG28)-1)+1),"")</f>
        <v/>
      </c>
      <c r="AH28" s="408"/>
      <c r="AI28" s="178">
        <f>IFERROR(INDEX('M03-S02'!$B$18:$B$199,2*(ROWS(AI$4:AI28)-1)+1),"")</f>
        <v>25</v>
      </c>
      <c r="AJ28" s="325"/>
      <c r="AK28" s="178">
        <f>IFERROR(INDEX('M03-S02'!$G$18:$G$199,2*(ROWS(AK$4:AK28)-1)+1),"")</f>
        <v>0</v>
      </c>
      <c r="AL28" s="178">
        <f>IFERROR(INDEX('M03-S02'!$O$18:$O$199,2*(ROWS(AL$4:AL28)-1)+1),"")</f>
        <v>0</v>
      </c>
      <c r="AM28" s="178">
        <f>IFERROR(INDEX('M03-S02'!$Z$18:$Z$199,2*(ROWS(AM$4:AM28)-1)+1),"")</f>
        <v>0</v>
      </c>
      <c r="AN28" s="405"/>
      <c r="AO28" s="405"/>
      <c r="AP28" s="178" t="str">
        <f>IFERROR(INDEX('M03-S02'!$AU$18:$AU$199,2*(ROWS(AP$4:AP28)-1)+1),"")</f>
        <v/>
      </c>
      <c r="AQ28" s="325"/>
      <c r="AR28" s="178" t="str">
        <f>IFERROR(INDEX(STDLIGHT[Reporting Methodology],MATCH(EXPORT!C28,STDLIGHT[Measure Number],0)),"")</f>
        <v/>
      </c>
      <c r="AS28" s="178" t="str">
        <f>IFERROR(INDEX(STDLIGHT[Primary Key],MATCH(C28,STDLIGHT[Measure Number],0)),"")</f>
        <v/>
      </c>
      <c r="AT28" s="200" t="str">
        <f>IFERROR(INDEX('M03-S02'!$AN$18:$AN$199,2*(ROWS(R$4:R28)-1)+1)-MIN(INDEX('M03-S02'!$AT$18:$AT$199,2*(ROWS(AT$4:AT28)-1)+1),(ROUND(INDEX('M03-S02'!$V$18:$V$199,2*(ROWS(AT$4:AT28)-1)+1),3)*INDEX(STDLIGHT[Previous Incentive],MATCH('M03-S02'!G66,STDLIGHT[Measure Name],0)))),"")</f>
        <v/>
      </c>
      <c r="AU28" s="278"/>
      <c r="AV28" s="278"/>
      <c r="AW28" s="278"/>
      <c r="AX28" s="278"/>
      <c r="AY28" s="278"/>
      <c r="AZ28" s="278"/>
      <c r="BA28" s="278"/>
      <c r="BB28" s="278"/>
      <c r="BC28" s="278"/>
      <c r="BD28" s="278"/>
      <c r="BE28" s="279"/>
      <c r="BL28" s="180"/>
      <c r="BP28"/>
      <c r="BQ28"/>
      <c r="BR28"/>
      <c r="CD28" s="180"/>
      <c r="CE28" s="180"/>
      <c r="CF28" s="180"/>
      <c r="CH28"/>
      <c r="CI28"/>
      <c r="CJ28"/>
      <c r="CK28"/>
      <c r="CL28"/>
      <c r="CM28"/>
      <c r="CN28"/>
      <c r="CQ28" s="180"/>
      <c r="CR28" s="180"/>
      <c r="CS28" s="180"/>
      <c r="DS28" s="180"/>
      <c r="DT28" s="180"/>
      <c r="DU28" s="180"/>
    </row>
    <row r="29" spans="1:125" s="54" customFormat="1" hidden="1">
      <c r="A29" s="135">
        <f t="shared" si="0"/>
        <v>0</v>
      </c>
      <c r="B29" s="178" t="str">
        <f t="shared" si="1"/>
        <v/>
      </c>
      <c r="C29" s="178" t="str">
        <f>IFERROR(IF(R29&gt;0,INDEX('M03-S02'!$BC$18:$BC$199,2*(ROWS($C$4:C29)-1)+1),""),"")</f>
        <v/>
      </c>
      <c r="D29" s="180" t="s">
        <v>1443</v>
      </c>
      <c r="E29" s="178" t="str">
        <f>IFERROR(INDEX('M03-S02'!$AZ$18:$AZ$199,2*(ROWS($E$4:E29)-1)+1),"")</f>
        <v/>
      </c>
      <c r="F29" s="173">
        <f>IFERROR(INDEX('M03-S02'!$X$18:$X$199,2*(ROWS($F$4:F29)-1)+1),"")</f>
        <v>0</v>
      </c>
      <c r="G29" s="178">
        <f>IFERROR(INDEX('M03-S02'!$AC$18:$AC$199,2*(ROWS($G$4:G29)-1)+1),"")</f>
        <v>0</v>
      </c>
      <c r="H29" s="200">
        <f>IFERROR(INDEX('M03-S02'!$AE$18:$AE$199,2*(ROWS(H$4:H29)-1)+1),"")</f>
        <v>0</v>
      </c>
      <c r="I29" s="200">
        <f>IFERROR(INDEX('M03-S02'!$AG$18:$AG$199,2*(ROWS($I$4:I29)-1)+1),"")</f>
        <v>0</v>
      </c>
      <c r="J29" s="200" t="str">
        <f>IFERROR(INDEX('M03-S02'!$AT$18:$AT$199,2*(ROWS(J$4:J29)-1)+1),"")</f>
        <v/>
      </c>
      <c r="K29" s="178" t="s">
        <v>84</v>
      </c>
      <c r="L29" s="116">
        <f>IFERROR(ROUND(INDEX('M03-S02'!$V$18:$V$199,2*(ROWS(L$4:L29)-1)+1),3),"")</f>
        <v>0</v>
      </c>
      <c r="M29" s="116">
        <f>IFERROR(ROUND(INDEX('M03-S02'!$V$18:$V$199,2*(ROWS(M$4:M29)-1)+1),3),"")</f>
        <v>0</v>
      </c>
      <c r="N29" s="415" t="str">
        <f>IFERROR(INDEX('M03-S02'!$AV$18:$AV$199,2*(ROWS(N$4:N29)-1)+1),"")</f>
        <v/>
      </c>
      <c r="O29" s="415" t="str">
        <f>IFERROR(INDEX('M03-S02'!$BA$18:$BA$199,2*(ROWS(O$4:O29)-1)+1),"")</f>
        <v/>
      </c>
      <c r="P29" s="415" t="str">
        <f>IFERROR(INDEX('M03-S02'!$AW$18:$AW$199,2*(ROWS(P$4:P29)-1)+1),"")</f>
        <v/>
      </c>
      <c r="Q29" s="415" t="str">
        <f>IFERROR(INDEX('M03-S02'!$BB$18:$BB$199,2*(ROWS(Q$4:Q29)-1)+1),"")</f>
        <v/>
      </c>
      <c r="R29" s="200" t="str">
        <f>IFERROR(INDEX('M03-S02'!$AN$18:$AN$199,2*(ROWS(R$4:R29)-1)+1),"")</f>
        <v/>
      </c>
      <c r="S29" s="405"/>
      <c r="T29" s="405"/>
      <c r="U29" s="405"/>
      <c r="V29" s="325"/>
      <c r="W29" s="417"/>
      <c r="X29" s="417"/>
      <c r="Y29" s="408"/>
      <c r="Z29" s="408"/>
      <c r="AA29" s="418"/>
      <c r="AB29" s="418"/>
      <c r="AC29" s="325"/>
      <c r="AD29" s="415" t="str">
        <f>IFERROR(INDEX('M03-S02'!$AX$18:$AX$199,2*(ROWS(AD$4:AD29)-1)+1),"")</f>
        <v/>
      </c>
      <c r="AE29" s="415" t="str">
        <f>IFERROR(INDEX('M03-S02'!$AY$18:$AY$199,2*(ROWS(AE$4:AE29)-1)+1),"")</f>
        <v/>
      </c>
      <c r="AF29" s="173" t="str">
        <f>IFERROR(INDEX('M03-S02'!$R$18:$R$199,2*(ROWS(AF$4:AF29)-1)+1),"")</f>
        <v/>
      </c>
      <c r="AG29" s="173" t="str">
        <f>IFERROR(INDEX('M03-S02'!$T$18:$T$199,2*(ROWS(AG$4:AG29)-1)+1),"")</f>
        <v/>
      </c>
      <c r="AH29" s="408"/>
      <c r="AI29" s="178">
        <f>IFERROR(INDEX('M03-S02'!$B$18:$B$199,2*(ROWS(AI$4:AI29)-1)+1),"")</f>
        <v>26</v>
      </c>
      <c r="AJ29" s="325"/>
      <c r="AK29" s="178">
        <f>IFERROR(INDEX('M03-S02'!$G$18:$G$199,2*(ROWS(AK$4:AK29)-1)+1),"")</f>
        <v>0</v>
      </c>
      <c r="AL29" s="178">
        <f>IFERROR(INDEX('M03-S02'!$O$18:$O$199,2*(ROWS(AL$4:AL29)-1)+1),"")</f>
        <v>0</v>
      </c>
      <c r="AM29" s="178">
        <f>IFERROR(INDEX('M03-S02'!$Z$18:$Z$199,2*(ROWS(AM$4:AM29)-1)+1),"")</f>
        <v>0</v>
      </c>
      <c r="AN29" s="405"/>
      <c r="AO29" s="405"/>
      <c r="AP29" s="178" t="str">
        <f>IFERROR(INDEX('M03-S02'!$AU$18:$AU$199,2*(ROWS(AP$4:AP29)-1)+1),"")</f>
        <v/>
      </c>
      <c r="AQ29" s="325"/>
      <c r="AR29" s="178" t="str">
        <f>IFERROR(INDEX(STDLIGHT[Reporting Methodology],MATCH(EXPORT!C29,STDLIGHT[Measure Number],0)),"")</f>
        <v/>
      </c>
      <c r="AS29" s="178" t="str">
        <f>IFERROR(INDEX(STDLIGHT[Primary Key],MATCH(C29,STDLIGHT[Measure Number],0)),"")</f>
        <v/>
      </c>
      <c r="AT29" s="200" t="str">
        <f>IFERROR(INDEX('M03-S02'!$AN$18:$AN$199,2*(ROWS(R$4:R29)-1)+1)-MIN(INDEX('M03-S02'!$AT$18:$AT$199,2*(ROWS(AT$4:AT29)-1)+1),(ROUND(INDEX('M03-S02'!$V$18:$V$199,2*(ROWS(AT$4:AT29)-1)+1),3)*INDEX(STDLIGHT[Previous Incentive],MATCH('M03-S02'!G68,STDLIGHT[Measure Name],0)))),"")</f>
        <v/>
      </c>
      <c r="AU29" s="278"/>
      <c r="AV29" s="278"/>
      <c r="AW29" s="278"/>
      <c r="AX29" s="278"/>
      <c r="AY29" s="278"/>
      <c r="AZ29" s="278"/>
      <c r="BA29" s="278"/>
      <c r="BB29" s="278"/>
      <c r="BC29" s="278"/>
      <c r="BD29" s="278"/>
      <c r="BE29" s="279"/>
      <c r="BL29" s="180"/>
      <c r="BP29"/>
      <c r="BQ29"/>
      <c r="BR29"/>
      <c r="CD29" s="180"/>
      <c r="CE29" s="180"/>
      <c r="CF29" s="180"/>
      <c r="CH29"/>
      <c r="CI29"/>
      <c r="CJ29"/>
      <c r="CK29"/>
      <c r="CL29"/>
      <c r="CM29"/>
      <c r="CN29"/>
      <c r="CQ29" s="180"/>
      <c r="CR29" s="180"/>
      <c r="CS29" s="180"/>
      <c r="DS29" s="180"/>
      <c r="DT29" s="180"/>
      <c r="DU29" s="180"/>
    </row>
    <row r="30" spans="1:125" s="54" customFormat="1" hidden="1">
      <c r="A30" s="135">
        <f t="shared" si="0"/>
        <v>0</v>
      </c>
      <c r="B30" s="178" t="str">
        <f t="shared" si="1"/>
        <v/>
      </c>
      <c r="C30" s="178" t="str">
        <f>IFERROR(IF(R30&gt;0,INDEX('M03-S02'!$BC$18:$BC$199,2*(ROWS($C$4:C30)-1)+1),""),"")</f>
        <v/>
      </c>
      <c r="D30" s="180" t="s">
        <v>1443</v>
      </c>
      <c r="E30" s="178" t="str">
        <f>IFERROR(INDEX('M03-S02'!$AZ$18:$AZ$199,2*(ROWS($E$4:E30)-1)+1),"")</f>
        <v/>
      </c>
      <c r="F30" s="173">
        <f>IFERROR(INDEX('M03-S02'!$X$18:$X$199,2*(ROWS($F$4:F30)-1)+1),"")</f>
        <v>0</v>
      </c>
      <c r="G30" s="178">
        <f>IFERROR(INDEX('M03-S02'!$AC$18:$AC$199,2*(ROWS($G$4:G30)-1)+1),"")</f>
        <v>0</v>
      </c>
      <c r="H30" s="200">
        <f>IFERROR(INDEX('M03-S02'!$AE$18:$AE$199,2*(ROWS(H$4:H30)-1)+1),"")</f>
        <v>0</v>
      </c>
      <c r="I30" s="200">
        <f>IFERROR(INDEX('M03-S02'!$AG$18:$AG$199,2*(ROWS($I$4:I30)-1)+1),"")</f>
        <v>0</v>
      </c>
      <c r="J30" s="200" t="str">
        <f>IFERROR(INDEX('M03-S02'!$AT$18:$AT$199,2*(ROWS(J$4:J30)-1)+1),"")</f>
        <v/>
      </c>
      <c r="K30" s="178" t="s">
        <v>84</v>
      </c>
      <c r="L30" s="116">
        <f>IFERROR(ROUND(INDEX('M03-S02'!$V$18:$V$199,2*(ROWS(L$4:L30)-1)+1),3),"")</f>
        <v>0</v>
      </c>
      <c r="M30" s="116">
        <f>IFERROR(ROUND(INDEX('M03-S02'!$V$18:$V$199,2*(ROWS(M$4:M30)-1)+1),3),"")</f>
        <v>0</v>
      </c>
      <c r="N30" s="415" t="str">
        <f>IFERROR(INDEX('M03-S02'!$AV$18:$AV$199,2*(ROWS(N$4:N30)-1)+1),"")</f>
        <v/>
      </c>
      <c r="O30" s="415" t="str">
        <f>IFERROR(INDEX('M03-S02'!$BA$18:$BA$199,2*(ROWS(O$4:O30)-1)+1),"")</f>
        <v/>
      </c>
      <c r="P30" s="415" t="str">
        <f>IFERROR(INDEX('M03-S02'!$AW$18:$AW$199,2*(ROWS(P$4:P30)-1)+1),"")</f>
        <v/>
      </c>
      <c r="Q30" s="415" t="str">
        <f>IFERROR(INDEX('M03-S02'!$BB$18:$BB$199,2*(ROWS(Q$4:Q30)-1)+1),"")</f>
        <v/>
      </c>
      <c r="R30" s="200" t="str">
        <f>IFERROR(INDEX('M03-S02'!$AN$18:$AN$199,2*(ROWS(R$4:R30)-1)+1),"")</f>
        <v/>
      </c>
      <c r="S30" s="405"/>
      <c r="T30" s="405"/>
      <c r="U30" s="405"/>
      <c r="V30" s="325"/>
      <c r="W30" s="417"/>
      <c r="X30" s="417"/>
      <c r="Y30" s="408"/>
      <c r="Z30" s="408"/>
      <c r="AA30" s="418"/>
      <c r="AB30" s="418"/>
      <c r="AC30" s="325"/>
      <c r="AD30" s="415" t="str">
        <f>IFERROR(INDEX('M03-S02'!$AX$18:$AX$199,2*(ROWS(AD$4:AD30)-1)+1),"")</f>
        <v/>
      </c>
      <c r="AE30" s="415" t="str">
        <f>IFERROR(INDEX('M03-S02'!$AY$18:$AY$199,2*(ROWS(AE$4:AE30)-1)+1),"")</f>
        <v/>
      </c>
      <c r="AF30" s="173" t="str">
        <f>IFERROR(INDEX('M03-S02'!$R$18:$R$199,2*(ROWS(AF$4:AF30)-1)+1),"")</f>
        <v/>
      </c>
      <c r="AG30" s="173" t="str">
        <f>IFERROR(INDEX('M03-S02'!$T$18:$T$199,2*(ROWS(AG$4:AG30)-1)+1),"")</f>
        <v/>
      </c>
      <c r="AH30" s="408"/>
      <c r="AI30" s="178">
        <f>IFERROR(INDEX('M03-S02'!$B$18:$B$199,2*(ROWS(AI$4:AI30)-1)+1),"")</f>
        <v>27</v>
      </c>
      <c r="AJ30" s="325"/>
      <c r="AK30" s="178">
        <f>IFERROR(INDEX('M03-S02'!$G$18:$G$199,2*(ROWS(AK$4:AK30)-1)+1),"")</f>
        <v>0</v>
      </c>
      <c r="AL30" s="178">
        <f>IFERROR(INDEX('M03-S02'!$O$18:$O$199,2*(ROWS(AL$4:AL30)-1)+1),"")</f>
        <v>0</v>
      </c>
      <c r="AM30" s="178">
        <f>IFERROR(INDEX('M03-S02'!$Z$18:$Z$199,2*(ROWS(AM$4:AM30)-1)+1),"")</f>
        <v>0</v>
      </c>
      <c r="AN30" s="405"/>
      <c r="AO30" s="405"/>
      <c r="AP30" s="178" t="str">
        <f>IFERROR(INDEX('M03-S02'!$AU$18:$AU$199,2*(ROWS(AP$4:AP30)-1)+1),"")</f>
        <v/>
      </c>
      <c r="AQ30" s="325"/>
      <c r="AR30" s="178" t="str">
        <f>IFERROR(INDEX(STDLIGHT[Reporting Methodology],MATCH(EXPORT!C30,STDLIGHT[Measure Number],0)),"")</f>
        <v/>
      </c>
      <c r="AS30" s="178" t="str">
        <f>IFERROR(INDEX(STDLIGHT[Primary Key],MATCH(C30,STDLIGHT[Measure Number],0)),"")</f>
        <v/>
      </c>
      <c r="AT30" s="200" t="str">
        <f>IFERROR(INDEX('M03-S02'!$AN$18:$AN$199,2*(ROWS(R$4:R30)-1)+1)-MIN(INDEX('M03-S02'!$AT$18:$AT$199,2*(ROWS(AT$4:AT30)-1)+1),(ROUND(INDEX('M03-S02'!$V$18:$V$199,2*(ROWS(AT$4:AT30)-1)+1),3)*INDEX(STDLIGHT[Previous Incentive],MATCH('M03-S02'!G70,STDLIGHT[Measure Name],0)))),"")</f>
        <v/>
      </c>
      <c r="AU30" s="278"/>
      <c r="AV30" s="278"/>
      <c r="AW30" s="278"/>
      <c r="AX30" s="278"/>
      <c r="AY30" s="278"/>
      <c r="AZ30" s="278"/>
      <c r="BA30" s="278"/>
      <c r="BB30" s="278"/>
      <c r="BC30" s="278"/>
      <c r="BD30" s="278"/>
      <c r="BE30" s="279"/>
      <c r="BL30" s="180"/>
      <c r="BP30" s="180"/>
      <c r="BQ30" s="180"/>
      <c r="BR30" s="180"/>
      <c r="CD30" s="180"/>
      <c r="CE30" s="180"/>
      <c r="CF30" s="180"/>
      <c r="CH30" s="180"/>
      <c r="CI30" s="180"/>
      <c r="CJ30" s="180"/>
      <c r="CK30" s="180"/>
      <c r="CL30" s="180"/>
      <c r="CM30" s="180"/>
      <c r="CN30" s="180"/>
      <c r="CQ30" s="180"/>
      <c r="CR30" s="180"/>
      <c r="CS30" s="180"/>
      <c r="DS30" s="180"/>
      <c r="DT30" s="180"/>
      <c r="DU30" s="180"/>
    </row>
    <row r="31" spans="1:125" s="54" customFormat="1" hidden="1">
      <c r="A31" s="135">
        <f t="shared" si="0"/>
        <v>0</v>
      </c>
      <c r="B31" s="178" t="str">
        <f t="shared" si="1"/>
        <v/>
      </c>
      <c r="C31" s="178" t="str">
        <f>IFERROR(IF(R31&gt;0,INDEX('M03-S02'!$BC$18:$BC$199,2*(ROWS($C$4:C31)-1)+1),""),"")</f>
        <v/>
      </c>
      <c r="D31" s="180" t="s">
        <v>1443</v>
      </c>
      <c r="E31" s="178" t="str">
        <f>IFERROR(INDEX('M03-S02'!$AZ$18:$AZ$199,2*(ROWS($E$4:E31)-1)+1),"")</f>
        <v/>
      </c>
      <c r="F31" s="173">
        <f>IFERROR(INDEX('M03-S02'!$X$18:$X$199,2*(ROWS($F$4:F31)-1)+1),"")</f>
        <v>0</v>
      </c>
      <c r="G31" s="178">
        <f>IFERROR(INDEX('M03-S02'!$AC$18:$AC$199,2*(ROWS($G$4:G31)-1)+1),"")</f>
        <v>0</v>
      </c>
      <c r="H31" s="200">
        <f>IFERROR(INDEX('M03-S02'!$AE$18:$AE$199,2*(ROWS(H$4:H31)-1)+1),"")</f>
        <v>0</v>
      </c>
      <c r="I31" s="200">
        <f>IFERROR(INDEX('M03-S02'!$AG$18:$AG$199,2*(ROWS($I$4:I31)-1)+1),"")</f>
        <v>0</v>
      </c>
      <c r="J31" s="200" t="str">
        <f>IFERROR(INDEX('M03-S02'!$AT$18:$AT$199,2*(ROWS(J$4:J31)-1)+1),"")</f>
        <v/>
      </c>
      <c r="K31" s="178" t="s">
        <v>84</v>
      </c>
      <c r="L31" s="116">
        <f>IFERROR(ROUND(INDEX('M03-S02'!$V$18:$V$199,2*(ROWS(L$4:L31)-1)+1),3),"")</f>
        <v>0</v>
      </c>
      <c r="M31" s="116">
        <f>IFERROR(ROUND(INDEX('M03-S02'!$V$18:$V$199,2*(ROWS(M$4:M31)-1)+1),3),"")</f>
        <v>0</v>
      </c>
      <c r="N31" s="415" t="str">
        <f>IFERROR(INDEX('M03-S02'!$AV$18:$AV$199,2*(ROWS(N$4:N31)-1)+1),"")</f>
        <v/>
      </c>
      <c r="O31" s="415" t="str">
        <f>IFERROR(INDEX('M03-S02'!$BA$18:$BA$199,2*(ROWS(O$4:O31)-1)+1),"")</f>
        <v/>
      </c>
      <c r="P31" s="415" t="str">
        <f>IFERROR(INDEX('M03-S02'!$AW$18:$AW$199,2*(ROWS(P$4:P31)-1)+1),"")</f>
        <v/>
      </c>
      <c r="Q31" s="415" t="str">
        <f>IFERROR(INDEX('M03-S02'!$BB$18:$BB$199,2*(ROWS(Q$4:Q31)-1)+1),"")</f>
        <v/>
      </c>
      <c r="R31" s="200" t="str">
        <f>IFERROR(INDEX('M03-S02'!$AN$18:$AN$199,2*(ROWS(R$4:R31)-1)+1),"")</f>
        <v/>
      </c>
      <c r="S31" s="405"/>
      <c r="T31" s="405"/>
      <c r="U31" s="405"/>
      <c r="V31" s="325"/>
      <c r="W31" s="417"/>
      <c r="X31" s="417"/>
      <c r="Y31" s="408"/>
      <c r="Z31" s="408"/>
      <c r="AA31" s="418"/>
      <c r="AB31" s="418"/>
      <c r="AC31" s="325"/>
      <c r="AD31" s="415" t="str">
        <f>IFERROR(INDEX('M03-S02'!$AX$18:$AX$199,2*(ROWS(AD$4:AD31)-1)+1),"")</f>
        <v/>
      </c>
      <c r="AE31" s="415" t="str">
        <f>IFERROR(INDEX('M03-S02'!$AY$18:$AY$199,2*(ROWS(AE$4:AE31)-1)+1),"")</f>
        <v/>
      </c>
      <c r="AF31" s="173" t="str">
        <f>IFERROR(INDEX('M03-S02'!$R$18:$R$199,2*(ROWS(AF$4:AF31)-1)+1),"")</f>
        <v/>
      </c>
      <c r="AG31" s="173" t="str">
        <f>IFERROR(INDEX('M03-S02'!$T$18:$T$199,2*(ROWS(AG$4:AG31)-1)+1),"")</f>
        <v/>
      </c>
      <c r="AH31" s="408"/>
      <c r="AI31" s="178">
        <f>IFERROR(INDEX('M03-S02'!$B$18:$B$199,2*(ROWS(AI$4:AI31)-1)+1),"")</f>
        <v>28</v>
      </c>
      <c r="AJ31" s="325"/>
      <c r="AK31" s="178">
        <f>IFERROR(INDEX('M03-S02'!$G$18:$G$199,2*(ROWS(AK$4:AK31)-1)+1),"")</f>
        <v>0</v>
      </c>
      <c r="AL31" s="178">
        <f>IFERROR(INDEX('M03-S02'!$O$18:$O$199,2*(ROWS(AL$4:AL31)-1)+1),"")</f>
        <v>0</v>
      </c>
      <c r="AM31" s="178">
        <f>IFERROR(INDEX('M03-S02'!$Z$18:$Z$199,2*(ROWS(AM$4:AM31)-1)+1),"")</f>
        <v>0</v>
      </c>
      <c r="AN31" s="405"/>
      <c r="AO31" s="405"/>
      <c r="AP31" s="178" t="str">
        <f>IFERROR(INDEX('M03-S02'!$AU$18:$AU$199,2*(ROWS(AP$4:AP31)-1)+1),"")</f>
        <v/>
      </c>
      <c r="AQ31" s="325"/>
      <c r="AR31" s="178" t="str">
        <f>IFERROR(INDEX(STDLIGHT[Reporting Methodology],MATCH(EXPORT!C31,STDLIGHT[Measure Number],0)),"")</f>
        <v/>
      </c>
      <c r="AS31" s="178" t="str">
        <f>IFERROR(INDEX(STDLIGHT[Primary Key],MATCH(C31,STDLIGHT[Measure Number],0)),"")</f>
        <v/>
      </c>
      <c r="AT31" s="200" t="str">
        <f>IFERROR(INDEX('M03-S02'!$AN$18:$AN$199,2*(ROWS(R$4:R31)-1)+1)-MIN(INDEX('M03-S02'!$AT$18:$AT$199,2*(ROWS(AT$4:AT31)-1)+1),(ROUND(INDEX('M03-S02'!$V$18:$V$199,2*(ROWS(AT$4:AT31)-1)+1),3)*INDEX(STDLIGHT[Previous Incentive],MATCH('M03-S02'!G72,STDLIGHT[Measure Name],0)))),"")</f>
        <v/>
      </c>
      <c r="AU31" s="278"/>
      <c r="AV31" s="278"/>
      <c r="AW31" s="278"/>
      <c r="AX31" s="278"/>
      <c r="AY31" s="278"/>
      <c r="AZ31" s="278"/>
      <c r="BA31" s="278"/>
      <c r="BB31" s="278"/>
      <c r="BC31" s="278"/>
      <c r="BD31" s="278"/>
      <c r="BE31" s="279"/>
      <c r="BL31" s="180"/>
      <c r="BP31" s="180"/>
      <c r="BQ31" s="180"/>
      <c r="BR31" s="180"/>
      <c r="CD31" s="180"/>
      <c r="CE31" s="180"/>
      <c r="CF31" s="180"/>
      <c r="CH31" s="180"/>
      <c r="CI31" s="180"/>
      <c r="CJ31" s="180"/>
      <c r="CK31" s="180"/>
      <c r="CL31" s="180"/>
      <c r="CM31" s="180"/>
      <c r="CN31" s="180"/>
      <c r="CQ31" s="180"/>
      <c r="CR31" s="180"/>
      <c r="CS31" s="180"/>
      <c r="DS31" s="180"/>
      <c r="DT31" s="180"/>
      <c r="DU31" s="180"/>
    </row>
    <row r="32" spans="1:125" s="54" customFormat="1" hidden="1">
      <c r="A32" s="135">
        <f t="shared" si="0"/>
        <v>0</v>
      </c>
      <c r="B32" s="178" t="str">
        <f t="shared" si="1"/>
        <v/>
      </c>
      <c r="C32" s="178" t="str">
        <f>IFERROR(IF(R32&gt;0,INDEX('M03-S02'!$BC$18:$BC$199,2*(ROWS($C$4:C32)-1)+1),""),"")</f>
        <v/>
      </c>
      <c r="D32" s="180" t="s">
        <v>1443</v>
      </c>
      <c r="E32" s="178" t="str">
        <f>IFERROR(INDEX('M03-S02'!$AZ$18:$AZ$199,2*(ROWS($E$4:E32)-1)+1),"")</f>
        <v/>
      </c>
      <c r="F32" s="173">
        <f>IFERROR(INDEX('M03-S02'!$X$18:$X$199,2*(ROWS($F$4:F32)-1)+1),"")</f>
        <v>0</v>
      </c>
      <c r="G32" s="178">
        <f>IFERROR(INDEX('M03-S02'!$AC$18:$AC$199,2*(ROWS($G$4:G32)-1)+1),"")</f>
        <v>0</v>
      </c>
      <c r="H32" s="200">
        <f>IFERROR(INDEX('M03-S02'!$AE$18:$AE$199,2*(ROWS(H$4:H32)-1)+1),"")</f>
        <v>0</v>
      </c>
      <c r="I32" s="200">
        <f>IFERROR(INDEX('M03-S02'!$AG$18:$AG$199,2*(ROWS($I$4:I32)-1)+1),"")</f>
        <v>0</v>
      </c>
      <c r="J32" s="200" t="str">
        <f>IFERROR(INDEX('M03-S02'!$AT$18:$AT$199,2*(ROWS(J$4:J32)-1)+1),"")</f>
        <v/>
      </c>
      <c r="K32" s="178" t="s">
        <v>84</v>
      </c>
      <c r="L32" s="116">
        <f>IFERROR(ROUND(INDEX('M03-S02'!$V$18:$V$199,2*(ROWS(L$4:L32)-1)+1),3),"")</f>
        <v>0</v>
      </c>
      <c r="M32" s="116">
        <f>IFERROR(ROUND(INDEX('M03-S02'!$V$18:$V$199,2*(ROWS(M$4:M32)-1)+1),3),"")</f>
        <v>0</v>
      </c>
      <c r="N32" s="415" t="str">
        <f>IFERROR(INDEX('M03-S02'!$AV$18:$AV$199,2*(ROWS(N$4:N32)-1)+1),"")</f>
        <v/>
      </c>
      <c r="O32" s="415" t="str">
        <f>IFERROR(INDEX('M03-S02'!$BA$18:$BA$199,2*(ROWS(O$4:O32)-1)+1),"")</f>
        <v/>
      </c>
      <c r="P32" s="415" t="str">
        <f>IFERROR(INDEX('M03-S02'!$AW$18:$AW$199,2*(ROWS(P$4:P32)-1)+1),"")</f>
        <v/>
      </c>
      <c r="Q32" s="415" t="str">
        <f>IFERROR(INDEX('M03-S02'!$BB$18:$BB$199,2*(ROWS(Q$4:Q32)-1)+1),"")</f>
        <v/>
      </c>
      <c r="R32" s="200" t="str">
        <f>IFERROR(INDEX('M03-S02'!$AN$18:$AN$199,2*(ROWS(R$4:R32)-1)+1),"")</f>
        <v/>
      </c>
      <c r="S32" s="405"/>
      <c r="T32" s="405"/>
      <c r="U32" s="405"/>
      <c r="V32" s="325"/>
      <c r="W32" s="417"/>
      <c r="X32" s="417"/>
      <c r="Y32" s="408"/>
      <c r="Z32" s="408"/>
      <c r="AA32" s="418"/>
      <c r="AB32" s="418"/>
      <c r="AC32" s="325"/>
      <c r="AD32" s="415" t="str">
        <f>IFERROR(INDEX('M03-S02'!$AX$18:$AX$199,2*(ROWS(AD$4:AD32)-1)+1),"")</f>
        <v/>
      </c>
      <c r="AE32" s="415" t="str">
        <f>IFERROR(INDEX('M03-S02'!$AY$18:$AY$199,2*(ROWS(AE$4:AE32)-1)+1),"")</f>
        <v/>
      </c>
      <c r="AF32" s="173" t="str">
        <f>IFERROR(INDEX('M03-S02'!$R$18:$R$199,2*(ROWS(AF$4:AF32)-1)+1),"")</f>
        <v/>
      </c>
      <c r="AG32" s="173" t="str">
        <f>IFERROR(INDEX('M03-S02'!$T$18:$T$199,2*(ROWS(AG$4:AG32)-1)+1),"")</f>
        <v/>
      </c>
      <c r="AH32" s="408"/>
      <c r="AI32" s="178">
        <f>IFERROR(INDEX('M03-S02'!$B$18:$B$199,2*(ROWS(AI$4:AI32)-1)+1),"")</f>
        <v>29</v>
      </c>
      <c r="AJ32" s="325"/>
      <c r="AK32" s="178">
        <f>IFERROR(INDEX('M03-S02'!$G$18:$G$199,2*(ROWS(AK$4:AK32)-1)+1),"")</f>
        <v>0</v>
      </c>
      <c r="AL32" s="178">
        <f>IFERROR(INDEX('M03-S02'!$O$18:$O$199,2*(ROWS(AL$4:AL32)-1)+1),"")</f>
        <v>0</v>
      </c>
      <c r="AM32" s="178">
        <f>IFERROR(INDEX('M03-S02'!$Z$18:$Z$199,2*(ROWS(AM$4:AM32)-1)+1),"")</f>
        <v>0</v>
      </c>
      <c r="AN32" s="405"/>
      <c r="AO32" s="405"/>
      <c r="AP32" s="178" t="str">
        <f>IFERROR(INDEX('M03-S02'!$AU$18:$AU$199,2*(ROWS(AP$4:AP32)-1)+1),"")</f>
        <v/>
      </c>
      <c r="AQ32" s="325"/>
      <c r="AR32" s="178" t="str">
        <f>IFERROR(INDEX(STDLIGHT[Reporting Methodology],MATCH(EXPORT!C32,STDLIGHT[Measure Number],0)),"")</f>
        <v/>
      </c>
      <c r="AS32" s="178" t="str">
        <f>IFERROR(INDEX(STDLIGHT[Primary Key],MATCH(C32,STDLIGHT[Measure Number],0)),"")</f>
        <v/>
      </c>
      <c r="AT32" s="200" t="str">
        <f>IFERROR(INDEX('M03-S02'!$AN$18:$AN$199,2*(ROWS(R$4:R32)-1)+1)-MIN(INDEX('M03-S02'!$AT$18:$AT$199,2*(ROWS(AT$4:AT32)-1)+1),(ROUND(INDEX('M03-S02'!$V$18:$V$199,2*(ROWS(AT$4:AT32)-1)+1),3)*INDEX(STDLIGHT[Previous Incentive],MATCH('M03-S02'!G74,STDLIGHT[Measure Name],0)))),"")</f>
        <v/>
      </c>
      <c r="AU32" s="278"/>
      <c r="AV32" s="278"/>
      <c r="AW32" s="278"/>
      <c r="AX32" s="278"/>
      <c r="AY32" s="278"/>
      <c r="AZ32" s="278"/>
      <c r="BA32" s="278"/>
      <c r="BB32" s="278"/>
      <c r="BC32" s="278"/>
      <c r="BD32" s="278"/>
      <c r="BE32" s="279"/>
      <c r="BL32" s="180"/>
      <c r="BP32" s="180"/>
      <c r="BQ32" s="180"/>
      <c r="BR32" s="180"/>
      <c r="CD32" s="180"/>
      <c r="CE32" s="180"/>
      <c r="CF32" s="180"/>
      <c r="CH32" s="180"/>
      <c r="CI32" s="180"/>
      <c r="CJ32" s="180"/>
      <c r="CK32" s="180"/>
      <c r="CL32" s="180"/>
      <c r="CM32" s="180"/>
      <c r="CN32" s="180"/>
      <c r="CQ32" s="180"/>
      <c r="CR32" s="180"/>
      <c r="CS32" s="180"/>
      <c r="DS32" s="180"/>
      <c r="DT32" s="180"/>
      <c r="DU32" s="180"/>
    </row>
    <row r="33" spans="1:125" s="54" customFormat="1" hidden="1">
      <c r="A33" s="135">
        <f t="shared" si="0"/>
        <v>0</v>
      </c>
      <c r="B33" s="178" t="str">
        <f t="shared" si="1"/>
        <v/>
      </c>
      <c r="C33" s="178" t="str">
        <f>IFERROR(IF(R33&gt;0,INDEX('M03-S02'!$BC$18:$BC$199,2*(ROWS($C$4:C33)-1)+1),""),"")</f>
        <v/>
      </c>
      <c r="D33" s="180" t="s">
        <v>1443</v>
      </c>
      <c r="E33" s="178" t="str">
        <f>IFERROR(INDEX('M03-S02'!$AZ$18:$AZ$199,2*(ROWS($E$4:E33)-1)+1),"")</f>
        <v/>
      </c>
      <c r="F33" s="173">
        <f>IFERROR(INDEX('M03-S02'!$X$18:$X$199,2*(ROWS($F$4:F33)-1)+1),"")</f>
        <v>0</v>
      </c>
      <c r="G33" s="178">
        <f>IFERROR(INDEX('M03-S02'!$AC$18:$AC$199,2*(ROWS($G$4:G33)-1)+1),"")</f>
        <v>0</v>
      </c>
      <c r="H33" s="200">
        <f>IFERROR(INDEX('M03-S02'!$AE$18:$AE$199,2*(ROWS(H$4:H33)-1)+1),"")</f>
        <v>0</v>
      </c>
      <c r="I33" s="200">
        <f>IFERROR(INDEX('M03-S02'!$AG$18:$AG$199,2*(ROWS($I$4:I33)-1)+1),"")</f>
        <v>0</v>
      </c>
      <c r="J33" s="200" t="str">
        <f>IFERROR(INDEX('M03-S02'!$AT$18:$AT$199,2*(ROWS(J$4:J33)-1)+1),"")</f>
        <v/>
      </c>
      <c r="K33" s="178" t="s">
        <v>84</v>
      </c>
      <c r="L33" s="116">
        <f>IFERROR(ROUND(INDEX('M03-S02'!$V$18:$V$199,2*(ROWS(L$4:L33)-1)+1),3),"")</f>
        <v>0</v>
      </c>
      <c r="M33" s="116">
        <f>IFERROR(ROUND(INDEX('M03-S02'!$V$18:$V$199,2*(ROWS(M$4:M33)-1)+1),3),"")</f>
        <v>0</v>
      </c>
      <c r="N33" s="415" t="str">
        <f>IFERROR(INDEX('M03-S02'!$AV$18:$AV$199,2*(ROWS(N$4:N33)-1)+1),"")</f>
        <v/>
      </c>
      <c r="O33" s="415" t="str">
        <f>IFERROR(INDEX('M03-S02'!$BA$18:$BA$199,2*(ROWS(O$4:O33)-1)+1),"")</f>
        <v/>
      </c>
      <c r="P33" s="415" t="str">
        <f>IFERROR(INDEX('M03-S02'!$AW$18:$AW$199,2*(ROWS(P$4:P33)-1)+1),"")</f>
        <v/>
      </c>
      <c r="Q33" s="415" t="str">
        <f>IFERROR(INDEX('M03-S02'!$BB$18:$BB$199,2*(ROWS(Q$4:Q33)-1)+1),"")</f>
        <v/>
      </c>
      <c r="R33" s="200" t="str">
        <f>IFERROR(INDEX('M03-S02'!$AN$18:$AN$199,2*(ROWS(R$4:R33)-1)+1),"")</f>
        <v/>
      </c>
      <c r="S33" s="405"/>
      <c r="T33" s="405"/>
      <c r="U33" s="405"/>
      <c r="V33" s="325"/>
      <c r="W33" s="417"/>
      <c r="X33" s="417"/>
      <c r="Y33" s="408"/>
      <c r="Z33" s="408"/>
      <c r="AA33" s="418"/>
      <c r="AB33" s="418"/>
      <c r="AC33" s="325"/>
      <c r="AD33" s="415" t="str">
        <f>IFERROR(INDEX('M03-S02'!$AX$18:$AX$199,2*(ROWS(AD$4:AD33)-1)+1),"")</f>
        <v/>
      </c>
      <c r="AE33" s="415" t="str">
        <f>IFERROR(INDEX('M03-S02'!$AY$18:$AY$199,2*(ROWS(AE$4:AE33)-1)+1),"")</f>
        <v/>
      </c>
      <c r="AF33" s="173" t="str">
        <f>IFERROR(INDEX('M03-S02'!$R$18:$R$199,2*(ROWS(AF$4:AF33)-1)+1),"")</f>
        <v/>
      </c>
      <c r="AG33" s="173" t="str">
        <f>IFERROR(INDEX('M03-S02'!$T$18:$T$199,2*(ROWS(AG$4:AG33)-1)+1),"")</f>
        <v/>
      </c>
      <c r="AH33" s="408"/>
      <c r="AI33" s="178">
        <f>IFERROR(INDEX('M03-S02'!$B$18:$B$199,2*(ROWS(AI$4:AI33)-1)+1),"")</f>
        <v>30</v>
      </c>
      <c r="AJ33" s="325"/>
      <c r="AK33" s="178">
        <f>IFERROR(INDEX('M03-S02'!$G$18:$G$199,2*(ROWS(AK$4:AK33)-1)+1),"")</f>
        <v>0</v>
      </c>
      <c r="AL33" s="178">
        <f>IFERROR(INDEX('M03-S02'!$O$18:$O$199,2*(ROWS(AL$4:AL33)-1)+1),"")</f>
        <v>0</v>
      </c>
      <c r="AM33" s="178">
        <f>IFERROR(INDEX('M03-S02'!$Z$18:$Z$199,2*(ROWS(AM$4:AM33)-1)+1),"")</f>
        <v>0</v>
      </c>
      <c r="AN33" s="405"/>
      <c r="AO33" s="405"/>
      <c r="AP33" s="178" t="str">
        <f>IFERROR(INDEX('M03-S02'!$AU$18:$AU$199,2*(ROWS(AP$4:AP33)-1)+1),"")</f>
        <v/>
      </c>
      <c r="AQ33" s="325"/>
      <c r="AR33" s="178" t="str">
        <f>IFERROR(INDEX(STDLIGHT[Reporting Methodology],MATCH(EXPORT!C33,STDLIGHT[Measure Number],0)),"")</f>
        <v/>
      </c>
      <c r="AS33" s="178" t="str">
        <f>IFERROR(INDEX(STDLIGHT[Primary Key],MATCH(C33,STDLIGHT[Measure Number],0)),"")</f>
        <v/>
      </c>
      <c r="AT33" s="200" t="str">
        <f>IFERROR(INDEX('M03-S02'!$AN$18:$AN$199,2*(ROWS(R$4:R33)-1)+1)-MIN(INDEX('M03-S02'!$AT$18:$AT$199,2*(ROWS(AT$4:AT33)-1)+1),(ROUND(INDEX('M03-S02'!$V$18:$V$199,2*(ROWS(AT$4:AT33)-1)+1),3)*INDEX(STDLIGHT[Previous Incentive],MATCH('M03-S02'!G76,STDLIGHT[Measure Name],0)))),"")</f>
        <v/>
      </c>
      <c r="AU33" s="278"/>
      <c r="AV33" s="278"/>
      <c r="AW33" s="278"/>
      <c r="AX33" s="278"/>
      <c r="AY33" s="278"/>
      <c r="AZ33" s="278"/>
      <c r="BA33" s="278"/>
      <c r="BB33" s="278"/>
      <c r="BC33" s="278"/>
      <c r="BD33" s="278"/>
      <c r="BE33" s="279"/>
      <c r="BL33" s="180"/>
      <c r="BP33" s="180"/>
      <c r="BQ33" s="180"/>
      <c r="BR33" s="180"/>
      <c r="CD33" s="180"/>
      <c r="CE33" s="180"/>
      <c r="CF33" s="180"/>
      <c r="CH33" s="180"/>
      <c r="CI33" s="180"/>
      <c r="CJ33" s="180"/>
      <c r="CK33" s="180"/>
      <c r="CL33" s="180"/>
      <c r="CM33" s="180"/>
      <c r="CN33" s="180"/>
      <c r="CQ33" s="180"/>
      <c r="CR33" s="180"/>
      <c r="CS33" s="180"/>
      <c r="DS33" s="180"/>
      <c r="DT33" s="180"/>
      <c r="DU33" s="180"/>
    </row>
    <row r="34" spans="1:125" s="331" customFormat="1">
      <c r="A34" s="429" t="str">
        <f>"Standard "&amp;M3S3</f>
        <v>Standard Lighting Controls</v>
      </c>
      <c r="B34" s="327"/>
      <c r="C34" s="327"/>
      <c r="D34" s="327"/>
      <c r="E34" s="327"/>
      <c r="F34" s="407"/>
      <c r="G34" s="327"/>
      <c r="H34" s="403"/>
      <c r="I34" s="403"/>
      <c r="J34" s="403"/>
      <c r="K34" s="327"/>
      <c r="L34" s="411"/>
      <c r="M34" s="411"/>
      <c r="N34" s="414"/>
      <c r="O34" s="414"/>
      <c r="P34" s="414"/>
      <c r="Q34" s="414"/>
      <c r="R34" s="403"/>
      <c r="S34" s="403"/>
      <c r="T34" s="403"/>
      <c r="U34" s="403"/>
      <c r="V34" s="327"/>
      <c r="W34" s="411"/>
      <c r="X34" s="411"/>
      <c r="Y34" s="407"/>
      <c r="Z34" s="407"/>
      <c r="AA34" s="414"/>
      <c r="AB34" s="414"/>
      <c r="AC34" s="327"/>
      <c r="AD34" s="414"/>
      <c r="AE34" s="414"/>
      <c r="AF34" s="407"/>
      <c r="AG34" s="407"/>
      <c r="AH34" s="407"/>
      <c r="AI34" s="327"/>
      <c r="AJ34" s="327"/>
      <c r="AK34" s="328"/>
      <c r="AL34" s="327"/>
      <c r="AM34" s="327"/>
      <c r="AN34" s="403"/>
      <c r="AO34" s="403"/>
      <c r="AP34" s="327"/>
      <c r="AQ34" s="327"/>
      <c r="AR34" s="327"/>
      <c r="AS34" s="327"/>
      <c r="AT34" s="327"/>
      <c r="AU34" s="329"/>
      <c r="AV34" s="329"/>
      <c r="AW34" s="329"/>
      <c r="AX34" s="329"/>
      <c r="AY34" s="329"/>
      <c r="AZ34" s="329"/>
      <c r="BA34" s="329"/>
      <c r="BB34" s="329"/>
      <c r="BC34" s="329"/>
      <c r="BD34" s="329"/>
      <c r="BE34" s="330"/>
    </row>
    <row r="35" spans="1:125" s="54" customFormat="1" hidden="1">
      <c r="A35" s="135">
        <f t="shared" ref="A35:A49" si="2">PROJID</f>
        <v>0</v>
      </c>
      <c r="B35" s="178" t="str">
        <f>IF(C35="","",CONCATENATE(ROW(),"-",C35))</f>
        <v/>
      </c>
      <c r="C35" s="178" t="str">
        <f>IFERROR(IF(R35&gt;0,INDEX('M03-S03'!$BC$18:$BC$199,2*(ROWS($C$35:C35)-1)+1),""),"")</f>
        <v/>
      </c>
      <c r="D35" s="180" t="s">
        <v>1443</v>
      </c>
      <c r="E35" s="178" t="str">
        <f>IFERROR(INDEX('M03-S03'!$AZ$18:$AZ$199,2*(ROWS($E$35:E35)-1)+1),"")</f>
        <v/>
      </c>
      <c r="F35" s="173">
        <f>IFERROR(INDEX('M03-S03'!$T$18:$T$199,2*(ROWS($F$35:F35)-1)+1),"")</f>
        <v>0</v>
      </c>
      <c r="G35" s="178">
        <f>IFERROR(INDEX('M03-S03'!$AB$18:$AB$199,2*(ROWS($G$35:G35)-1)+1),"")</f>
        <v>0</v>
      </c>
      <c r="H35" s="200">
        <f>IFERROR(INDEX('M03-S03'!$AE$18:$AE$199,2*(ROWS(H$35:H35)-1)+1),"")</f>
        <v>0</v>
      </c>
      <c r="I35" s="200">
        <f>IFERROR(INDEX('M03-S03'!$AG$18:$AG$199,2*(ROWS(I$35:I35)-1)+1),"")</f>
        <v>0</v>
      </c>
      <c r="J35" s="200" t="str">
        <f>IFERROR(INDEX('M03-S03'!$AT$18:$AT$199,2*(ROWS(J$35:J35)-1)+1),"")</f>
        <v/>
      </c>
      <c r="K35" s="178" t="s">
        <v>84</v>
      </c>
      <c r="L35" s="116">
        <f>IFERROR(ROUND(INDEX('M03-S03'!$O$18:$O$199,2*(ROWS(L$35:L35)-1)+1),3),"")</f>
        <v>0</v>
      </c>
      <c r="M35" s="116">
        <f>IFERROR(ROUND(INDEX('M03-S03'!$O$18:$O$199,2*(ROWS(M$35:M35)-1)+1),3),"")</f>
        <v>0</v>
      </c>
      <c r="N35" s="415" t="str">
        <f>IFERROR(INDEX('M03-S03'!$AV$18:$AV$199,2*(ROWS(N$35:N35)-1)+1),"")</f>
        <v/>
      </c>
      <c r="O35" s="415" t="str">
        <f>IFERROR(INDEX('M03-S03'!$BA$18:$BA$199,2*(ROWS(O$35:O35)-1)+1),"")</f>
        <v/>
      </c>
      <c r="P35" s="415" t="str">
        <f>IFERROR(INDEX('M03-S03'!$AW$18:$AW$199,2*(ROWS(P$35:P35)-1)+1),"")</f>
        <v/>
      </c>
      <c r="Q35" s="415" t="str">
        <f>IFERROR(INDEX('M03-S03'!$BB$18:$BB$199,2*(ROWS(Q$35:Q35)-1)+1),"")</f>
        <v/>
      </c>
      <c r="R35" s="200" t="str">
        <f>IFERROR(INDEX('M03-S03'!$AN$18:$AN$199,2*(ROWS(R$35:R35)-1)+1),"")</f>
        <v/>
      </c>
      <c r="S35" s="405"/>
      <c r="T35" s="405"/>
      <c r="U35" s="405"/>
      <c r="V35" s="325"/>
      <c r="W35" s="417"/>
      <c r="X35" s="417"/>
      <c r="Y35" s="408"/>
      <c r="Z35" s="408"/>
      <c r="AA35" s="418"/>
      <c r="AB35" s="418"/>
      <c r="AC35" s="325"/>
      <c r="AD35" s="415">
        <f>IFERROR(INDEX('M03-S03'!$AX$18:$AX$199,2*(ROWS(AD$35:AD35)-1)+1),"")</f>
        <v>0</v>
      </c>
      <c r="AE35" s="415">
        <f>IFERROR(INDEX('M03-S03'!$AY$18:$AY$199,2*(ROWS(AE$35:AE35)-1)+1),"")</f>
        <v>0</v>
      </c>
      <c r="AF35" s="408"/>
      <c r="AG35" s="408"/>
      <c r="AH35" s="173">
        <f>IFERROR(INDEX('M03-S03'!$Q$18:$Q$199,2*(ROWS(AH$35:AH35)-1)+1),"")</f>
        <v>0</v>
      </c>
      <c r="AI35" s="178">
        <f>IFERROR(INDEX('M03-S03'!$B$18:$B$199,2*(ROWS(AI$35:AI35)-1)+1),"")</f>
        <v>1</v>
      </c>
      <c r="AJ35" s="325"/>
      <c r="AK35" s="178">
        <f>IFERROR(INDEX('M03-S03'!$C$18:$C$199,2*(ROWS(AK$35:AK35)-1)+1),"")</f>
        <v>0</v>
      </c>
      <c r="AL35" s="325"/>
      <c r="AM35" s="178">
        <f>IFERROR(INDEX('M03-S03'!$X$18:$X$199,2*(ROWS(AM$35:AM35)-1)+1),"")</f>
        <v>0</v>
      </c>
      <c r="AN35" s="405"/>
      <c r="AO35" s="405"/>
      <c r="AP35" s="178" t="str">
        <f>IFERROR(INDEX('M03-S03'!$AU$18:$AU$199,2*(ROWS(AP$35:AP35)-1)+1),"")</f>
        <v/>
      </c>
      <c r="AQ35" s="325"/>
      <c r="AR35" s="178" t="str">
        <f>IFERROR(INDEX(STDLIGHTCONT[Reporting Methodology],MATCH(EXPORT!C35,STDLIGHTCONT[Measure Number],0)),"")</f>
        <v/>
      </c>
      <c r="AS35" s="178" t="str">
        <f>IFERROR(INDEX(STDLIGHTCONT[Primary Key],MATCH(C35,STDLIGHTCONT[Measure Number],0)),"")</f>
        <v/>
      </c>
      <c r="AT35" s="200" t="str">
        <f>IFERROR(INDEX('M03-S03'!$AN$18:$AN$199,2*(ROWS(AT$35:AT35)-1)+1)-MIN(INDEX('M03-S03'!$AT$18:$AT$199,2*(ROWS(AT$35:AT35)-1)+1),(ROUND(INDEX('M03-S03'!$O$18:$O$199,2*(ROWS(AT$35:AT35)-1)+1),3)*INDEX(STDLIGHTCONT[Previous Incentive],MATCH('M03-S03'!C18,STDLIGHTCONT[Measure Name],0)))),"")</f>
        <v/>
      </c>
      <c r="AU35" s="278"/>
      <c r="AV35" s="278"/>
      <c r="AW35" s="278"/>
      <c r="AX35" s="278"/>
      <c r="AY35" s="278"/>
      <c r="AZ35" s="278"/>
      <c r="BA35" s="278"/>
      <c r="BB35" s="278"/>
      <c r="BC35" s="278"/>
      <c r="BD35" s="278"/>
      <c r="BE35" s="279"/>
      <c r="BL35" s="180"/>
      <c r="BP35" s="180"/>
      <c r="BQ35" s="180"/>
      <c r="BR35" s="180"/>
      <c r="CD35" s="180"/>
      <c r="CE35" s="180"/>
      <c r="CF35" s="180"/>
      <c r="CH35" s="180"/>
      <c r="CI35" s="180"/>
      <c r="CJ35" s="180"/>
      <c r="CK35" s="180"/>
      <c r="CL35" s="180"/>
      <c r="CM35" s="180"/>
      <c r="CN35" s="180"/>
      <c r="CQ35" s="180"/>
      <c r="CR35" s="180"/>
      <c r="CS35" s="180"/>
      <c r="DS35" s="180"/>
      <c r="DT35" s="180"/>
      <c r="DU35" s="180"/>
    </row>
    <row r="36" spans="1:125" s="54" customFormat="1" hidden="1">
      <c r="A36" s="135">
        <f t="shared" si="2"/>
        <v>0</v>
      </c>
      <c r="B36" s="178" t="str">
        <f t="shared" ref="B36:B49" si="3">IF(C36="","",CONCATENATE(ROW(),"-",C36))</f>
        <v/>
      </c>
      <c r="C36" s="178" t="str">
        <f>IFERROR(IF(R36&gt;0,INDEX('M03-S03'!$BC$18:$BC$199,2*(ROWS($C$35:C36)-1)+1),""),"")</f>
        <v/>
      </c>
      <c r="D36" s="180" t="s">
        <v>1443</v>
      </c>
      <c r="E36" s="178" t="str">
        <f>IFERROR(INDEX('M03-S03'!$AZ$18:$AZ$199,2*(ROWS($E$35:E36)-1)+1),"")</f>
        <v/>
      </c>
      <c r="F36" s="173">
        <f>IFERROR(INDEX('M03-S03'!$T$18:$T$199,2*(ROWS($F$35:F36)-1)+1),"")</f>
        <v>0</v>
      </c>
      <c r="G36" s="178">
        <f>IFERROR(INDEX('M03-S03'!$AB$18:$AB$199,2*(ROWS($G$35:G36)-1)+1),"")</f>
        <v>0</v>
      </c>
      <c r="H36" s="200">
        <f>IFERROR(INDEX('M03-S03'!$AE$18:$AE$199,2*(ROWS(H$35:H36)-1)+1),"")</f>
        <v>0</v>
      </c>
      <c r="I36" s="200">
        <f>IFERROR(INDEX('M03-S03'!$AG$18:$AG$199,2*(ROWS(I$35:I36)-1)+1),"")</f>
        <v>0</v>
      </c>
      <c r="J36" s="200" t="str">
        <f>IFERROR(INDEX('M03-S03'!$AT$18:$AT$199,2*(ROWS(J$35:J36)-1)+1),"")</f>
        <v/>
      </c>
      <c r="K36" s="178" t="s">
        <v>84</v>
      </c>
      <c r="L36" s="116">
        <f>IFERROR(ROUND(INDEX('M03-S03'!$O$18:$O$199,2*(ROWS(L$35:L36)-1)+1),3),"")</f>
        <v>0</v>
      </c>
      <c r="M36" s="116">
        <f>IFERROR(ROUND(INDEX('M03-S03'!$O$18:$O$199,2*(ROWS(M$35:M36)-1)+1),3),"")</f>
        <v>0</v>
      </c>
      <c r="N36" s="415" t="str">
        <f>IFERROR(INDEX('M03-S03'!$AV$18:$AV$199,2*(ROWS(N$35:N36)-1)+1),"")</f>
        <v/>
      </c>
      <c r="O36" s="415" t="str">
        <f>IFERROR(INDEX('M03-S03'!$BA$18:$BA$199,2*(ROWS(O$35:O36)-1)+1),"")</f>
        <v/>
      </c>
      <c r="P36" s="415" t="str">
        <f>IFERROR(INDEX('M03-S03'!$AW$18:$AW$199,2*(ROWS(P$35:P36)-1)+1),"")</f>
        <v/>
      </c>
      <c r="Q36" s="415" t="str">
        <f>IFERROR(INDEX('M03-S03'!$BB$18:$BB$199,2*(ROWS(Q$35:Q36)-1)+1),"")</f>
        <v/>
      </c>
      <c r="R36" s="200" t="str">
        <f>IFERROR(INDEX('M03-S03'!$AN$18:$AN$199,2*(ROWS(R$35:R36)-1)+1),"")</f>
        <v/>
      </c>
      <c r="S36" s="405"/>
      <c r="T36" s="405"/>
      <c r="U36" s="405"/>
      <c r="V36" s="325"/>
      <c r="W36" s="417"/>
      <c r="X36" s="417"/>
      <c r="Y36" s="408"/>
      <c r="Z36" s="408"/>
      <c r="AA36" s="418"/>
      <c r="AB36" s="418"/>
      <c r="AC36" s="325"/>
      <c r="AD36" s="415">
        <f>IFERROR(INDEX('M03-S03'!$AX$18:$AX$199,2*(ROWS(AD$35:AD36)-1)+1),"")</f>
        <v>0</v>
      </c>
      <c r="AE36" s="415">
        <f>IFERROR(INDEX('M03-S03'!$AY$18:$AY$199,2*(ROWS(AE$35:AE36)-1)+1),"")</f>
        <v>0</v>
      </c>
      <c r="AF36" s="408"/>
      <c r="AG36" s="408"/>
      <c r="AH36" s="173">
        <f>IFERROR(INDEX('M03-S03'!$Q$18:$Q$199,2*(ROWS(AH$35:AH36)-1)+1),"")</f>
        <v>0</v>
      </c>
      <c r="AI36" s="178">
        <f>IFERROR(INDEX('M03-S03'!$B$18:$B$199,2*(ROWS(AI$35:AI36)-1)+1),"")</f>
        <v>2</v>
      </c>
      <c r="AJ36" s="325"/>
      <c r="AK36" s="178">
        <f>IFERROR(INDEX('M03-S03'!$C$18:$C$199,2*(ROWS(AK$35:AK36)-1)+1),"")</f>
        <v>0</v>
      </c>
      <c r="AL36" s="325"/>
      <c r="AM36" s="178">
        <f>IFERROR(INDEX('M03-S03'!$X$18:$X$199,2*(ROWS(AM$35:AM36)-1)+1),"")</f>
        <v>0</v>
      </c>
      <c r="AN36" s="405"/>
      <c r="AO36" s="405"/>
      <c r="AP36" s="178" t="str">
        <f>IFERROR(INDEX('M03-S03'!$AU$18:$AU$199,2*(ROWS(AP$35:AP36)-1)+1),"")</f>
        <v/>
      </c>
      <c r="AQ36" s="325"/>
      <c r="AR36" s="178" t="str">
        <f>IFERROR(INDEX(STDLIGHTCONT[Reporting Methodology],MATCH(EXPORT!C36,STDLIGHTCONT[Measure Number],0)),"")</f>
        <v/>
      </c>
      <c r="AS36" s="178" t="str">
        <f>IFERROR(INDEX(STDLIGHTCONT[Primary Key],MATCH(C36,STDLIGHTCONT[Measure Number],0)),"")</f>
        <v/>
      </c>
      <c r="AT36" s="200" t="str">
        <f>IFERROR(INDEX('M03-S03'!$AN$18:$AN$199,2*(ROWS(AT$35:AT36)-1)+1)-MIN(INDEX('M03-S03'!$AT$18:$AT$199,2*(ROWS(AT$35:AT36)-1)+1),(ROUND(INDEX('M03-S03'!$O$18:$O$199,2*(ROWS(AT$35:AT36)-1)+1),3)*INDEX(STDLIGHTCONT[Previous Incentive],MATCH('M03-S03'!C20,STDLIGHTCONT[Measure Name],0)))),"")</f>
        <v/>
      </c>
      <c r="AU36" s="278"/>
      <c r="AV36" s="278"/>
      <c r="AW36" s="278"/>
      <c r="AX36" s="278"/>
      <c r="AY36" s="278"/>
      <c r="AZ36" s="278"/>
      <c r="BA36" s="278"/>
      <c r="BB36" s="278"/>
      <c r="BC36" s="278"/>
      <c r="BD36" s="278"/>
      <c r="BE36" s="279"/>
      <c r="BL36" s="180"/>
      <c r="BP36" s="180"/>
      <c r="BQ36" s="180"/>
      <c r="BR36" s="180"/>
      <c r="CD36" s="180"/>
      <c r="CE36" s="180"/>
      <c r="CF36" s="180"/>
      <c r="CH36" s="180"/>
      <c r="CI36" s="180"/>
      <c r="CJ36" s="180"/>
      <c r="CK36" s="180"/>
      <c r="CL36" s="180"/>
      <c r="CM36" s="180"/>
      <c r="CN36" s="180"/>
      <c r="CQ36" s="180"/>
      <c r="CR36" s="180"/>
      <c r="CS36" s="180"/>
      <c r="DS36" s="180"/>
      <c r="DT36" s="180"/>
      <c r="DU36" s="180"/>
    </row>
    <row r="37" spans="1:125" s="54" customFormat="1" hidden="1">
      <c r="A37" s="135">
        <f t="shared" si="2"/>
        <v>0</v>
      </c>
      <c r="B37" s="178" t="str">
        <f t="shared" si="3"/>
        <v/>
      </c>
      <c r="C37" s="178" t="str">
        <f>IFERROR(IF(R37&gt;0,INDEX('M03-S03'!$BC$18:$BC$199,2*(ROWS($C$35:C37)-1)+1),""),"")</f>
        <v/>
      </c>
      <c r="D37" s="180" t="s">
        <v>1443</v>
      </c>
      <c r="E37" s="178" t="str">
        <f>IFERROR(INDEX('M03-S03'!$AZ$18:$AZ$199,2*(ROWS($E$35:E37)-1)+1),"")</f>
        <v/>
      </c>
      <c r="F37" s="173">
        <f>IFERROR(INDEX('M03-S03'!$T$18:$T$199,2*(ROWS($F$35:F37)-1)+1),"")</f>
        <v>0</v>
      </c>
      <c r="G37" s="178">
        <f>IFERROR(INDEX('M03-S03'!$AB$18:$AB$199,2*(ROWS($G$35:G37)-1)+1),"")</f>
        <v>0</v>
      </c>
      <c r="H37" s="200">
        <f>IFERROR(INDEX('M03-S03'!$AE$18:$AE$199,2*(ROWS(H$35:H37)-1)+1),"")</f>
        <v>0</v>
      </c>
      <c r="I37" s="200">
        <f>IFERROR(INDEX('M03-S03'!$AG$18:$AG$199,2*(ROWS(I$35:I37)-1)+1),"")</f>
        <v>0</v>
      </c>
      <c r="J37" s="200" t="str">
        <f>IFERROR(INDEX('M03-S03'!$AT$18:$AT$199,2*(ROWS(J$35:J37)-1)+1),"")</f>
        <v/>
      </c>
      <c r="K37" s="178" t="s">
        <v>84</v>
      </c>
      <c r="L37" s="116">
        <f>IFERROR(ROUND(INDEX('M03-S03'!$O$18:$O$199,2*(ROWS(L$35:L37)-1)+1),3),"")</f>
        <v>0</v>
      </c>
      <c r="M37" s="116">
        <f>IFERROR(ROUND(INDEX('M03-S03'!$O$18:$O$199,2*(ROWS(M$35:M37)-1)+1),3),"")</f>
        <v>0</v>
      </c>
      <c r="N37" s="415" t="str">
        <f>IFERROR(INDEX('M03-S03'!$AV$18:$AV$199,2*(ROWS(N$35:N37)-1)+1),"")</f>
        <v/>
      </c>
      <c r="O37" s="415" t="str">
        <f>IFERROR(INDEX('M03-S03'!$BA$18:$BA$199,2*(ROWS(O$35:O37)-1)+1),"")</f>
        <v/>
      </c>
      <c r="P37" s="415" t="str">
        <f>IFERROR(INDEX('M03-S03'!$AW$18:$AW$199,2*(ROWS(P$35:P37)-1)+1),"")</f>
        <v/>
      </c>
      <c r="Q37" s="415" t="str">
        <f>IFERROR(INDEX('M03-S03'!$BB$18:$BB$199,2*(ROWS(Q$35:Q37)-1)+1),"")</f>
        <v/>
      </c>
      <c r="R37" s="200" t="str">
        <f>IFERROR(INDEX('M03-S03'!$AN$18:$AN$199,2*(ROWS(R$35:R37)-1)+1),"")</f>
        <v/>
      </c>
      <c r="S37" s="405"/>
      <c r="T37" s="405"/>
      <c r="U37" s="405"/>
      <c r="V37" s="325"/>
      <c r="W37" s="417"/>
      <c r="X37" s="417"/>
      <c r="Y37" s="408"/>
      <c r="Z37" s="408"/>
      <c r="AA37" s="418"/>
      <c r="AB37" s="418"/>
      <c r="AC37" s="325"/>
      <c r="AD37" s="415">
        <f>IFERROR(INDEX('M03-S03'!$AX$18:$AX$199,2*(ROWS(AD$35:AD37)-1)+1),"")</f>
        <v>0</v>
      </c>
      <c r="AE37" s="415">
        <f>IFERROR(INDEX('M03-S03'!$AY$18:$AY$199,2*(ROWS(AE$35:AE37)-1)+1),"")</f>
        <v>0</v>
      </c>
      <c r="AF37" s="408"/>
      <c r="AG37" s="408"/>
      <c r="AH37" s="173">
        <f>IFERROR(INDEX('M03-S03'!$Q$18:$Q$199,2*(ROWS(AH$35:AH37)-1)+1),"")</f>
        <v>0</v>
      </c>
      <c r="AI37" s="178">
        <f>IFERROR(INDEX('M03-S03'!$B$18:$B$199,2*(ROWS(AI$35:AI37)-1)+1),"")</f>
        <v>3</v>
      </c>
      <c r="AJ37" s="325"/>
      <c r="AK37" s="178">
        <f>IFERROR(INDEX('M03-S03'!$C$18:$C$199,2*(ROWS(AK$35:AK37)-1)+1),"")</f>
        <v>0</v>
      </c>
      <c r="AL37" s="325"/>
      <c r="AM37" s="178">
        <f>IFERROR(INDEX('M03-S03'!$X$18:$X$199,2*(ROWS(AM$35:AM37)-1)+1),"")</f>
        <v>0</v>
      </c>
      <c r="AN37" s="405"/>
      <c r="AO37" s="405"/>
      <c r="AP37" s="178" t="str">
        <f>IFERROR(INDEX('M03-S03'!$AU$18:$AU$199,2*(ROWS(AP$35:AP37)-1)+1),"")</f>
        <v/>
      </c>
      <c r="AQ37" s="325"/>
      <c r="AR37" s="178" t="str">
        <f>IFERROR(INDEX(STDLIGHTCONT[Reporting Methodology],MATCH(EXPORT!C37,STDLIGHTCONT[Measure Number],0)),"")</f>
        <v/>
      </c>
      <c r="AS37" s="178" t="str">
        <f>IFERROR(INDEX(STDLIGHTCONT[Primary Key],MATCH(C37,STDLIGHTCONT[Measure Number],0)),"")</f>
        <v/>
      </c>
      <c r="AT37" s="200" t="str">
        <f>IFERROR(INDEX('M03-S03'!$AN$18:$AN$199,2*(ROWS(AT$35:AT37)-1)+1)-MIN(INDEX('M03-S03'!$AT$18:$AT$199,2*(ROWS(AT$35:AT37)-1)+1),(ROUND(INDEX('M03-S03'!$O$18:$O$199,2*(ROWS(AT$35:AT37)-1)+1),3)*INDEX(STDLIGHTCONT[Previous Incentive],MATCH('M03-S03'!C22,STDLIGHTCONT[Measure Name],0)))),"")</f>
        <v/>
      </c>
      <c r="AU37" s="278"/>
      <c r="AV37" s="278"/>
      <c r="AW37" s="278"/>
      <c r="AX37" s="278"/>
      <c r="AY37" s="278"/>
      <c r="AZ37" s="278"/>
      <c r="BA37" s="278"/>
      <c r="BB37" s="278"/>
      <c r="BC37" s="278"/>
      <c r="BD37" s="278"/>
      <c r="BE37" s="279"/>
      <c r="BL37" s="180"/>
      <c r="BP37" s="180"/>
      <c r="BQ37" s="180"/>
      <c r="BR37" s="180"/>
      <c r="CD37" s="180"/>
      <c r="CE37" s="180"/>
      <c r="CF37" s="180"/>
      <c r="CH37" s="180"/>
      <c r="CI37" s="180"/>
      <c r="CJ37" s="180"/>
      <c r="CK37" s="180"/>
      <c r="CL37" s="180"/>
      <c r="CM37" s="180"/>
      <c r="CN37" s="180"/>
      <c r="CQ37" s="180"/>
      <c r="CR37" s="180"/>
      <c r="CS37" s="180"/>
      <c r="DS37" s="180"/>
      <c r="DT37" s="180"/>
      <c r="DU37" s="180"/>
    </row>
    <row r="38" spans="1:125" s="54" customFormat="1" hidden="1">
      <c r="A38" s="135">
        <f t="shared" si="2"/>
        <v>0</v>
      </c>
      <c r="B38" s="178" t="str">
        <f t="shared" si="3"/>
        <v/>
      </c>
      <c r="C38" s="178" t="str">
        <f>IFERROR(IF(R38&gt;0,INDEX('M03-S03'!$BC$18:$BC$199,2*(ROWS($C$35:C38)-1)+1),""),"")</f>
        <v/>
      </c>
      <c r="D38" s="180" t="s">
        <v>1443</v>
      </c>
      <c r="E38" s="178" t="str">
        <f>IFERROR(INDEX('M03-S03'!$AZ$18:$AZ$199,2*(ROWS($E$35:E38)-1)+1),"")</f>
        <v/>
      </c>
      <c r="F38" s="173">
        <f>IFERROR(INDEX('M03-S03'!$T$18:$T$199,2*(ROWS($F$35:F38)-1)+1),"")</f>
        <v>0</v>
      </c>
      <c r="G38" s="178">
        <f>IFERROR(INDEX('M03-S03'!$AB$18:$AB$199,2*(ROWS($G$35:G38)-1)+1),"")</f>
        <v>0</v>
      </c>
      <c r="H38" s="200">
        <f>IFERROR(INDEX('M03-S03'!$AE$18:$AE$199,2*(ROWS(H$35:H38)-1)+1),"")</f>
        <v>0</v>
      </c>
      <c r="I38" s="200">
        <f>IFERROR(INDEX('M03-S03'!$AG$18:$AG$199,2*(ROWS(I$35:I38)-1)+1),"")</f>
        <v>0</v>
      </c>
      <c r="J38" s="200" t="str">
        <f>IFERROR(INDEX('M03-S03'!$AT$18:$AT$199,2*(ROWS(J$35:J38)-1)+1),"")</f>
        <v/>
      </c>
      <c r="K38" s="178" t="s">
        <v>84</v>
      </c>
      <c r="L38" s="116">
        <f>IFERROR(ROUND(INDEX('M03-S03'!$O$18:$O$199,2*(ROWS(L$35:L38)-1)+1),3),"")</f>
        <v>0</v>
      </c>
      <c r="M38" s="116">
        <f>IFERROR(ROUND(INDEX('M03-S03'!$O$18:$O$199,2*(ROWS(M$35:M38)-1)+1),3),"")</f>
        <v>0</v>
      </c>
      <c r="N38" s="415" t="str">
        <f>IFERROR(INDEX('M03-S03'!$AV$18:$AV$199,2*(ROWS(N$35:N38)-1)+1),"")</f>
        <v/>
      </c>
      <c r="O38" s="415" t="str">
        <f>IFERROR(INDEX('M03-S03'!$BA$18:$BA$199,2*(ROWS(O$35:O38)-1)+1),"")</f>
        <v/>
      </c>
      <c r="P38" s="415" t="str">
        <f>IFERROR(INDEX('M03-S03'!$AW$18:$AW$199,2*(ROWS(P$35:P38)-1)+1),"")</f>
        <v/>
      </c>
      <c r="Q38" s="415" t="str">
        <f>IFERROR(INDEX('M03-S03'!$BB$18:$BB$199,2*(ROWS(Q$35:Q38)-1)+1),"")</f>
        <v/>
      </c>
      <c r="R38" s="200" t="str">
        <f>IFERROR(INDEX('M03-S03'!$AN$18:$AN$199,2*(ROWS(R$35:R38)-1)+1),"")</f>
        <v/>
      </c>
      <c r="S38" s="405"/>
      <c r="T38" s="405"/>
      <c r="U38" s="405"/>
      <c r="V38" s="325"/>
      <c r="W38" s="417"/>
      <c r="X38" s="417"/>
      <c r="Y38" s="408"/>
      <c r="Z38" s="408"/>
      <c r="AA38" s="418"/>
      <c r="AB38" s="418"/>
      <c r="AC38" s="325"/>
      <c r="AD38" s="415">
        <f>IFERROR(INDEX('M03-S03'!$AX$18:$AX$199,2*(ROWS(AD$35:AD38)-1)+1),"")</f>
        <v>0</v>
      </c>
      <c r="AE38" s="415">
        <f>IFERROR(INDEX('M03-S03'!$AY$18:$AY$199,2*(ROWS(AE$35:AE38)-1)+1),"")</f>
        <v>0</v>
      </c>
      <c r="AF38" s="408"/>
      <c r="AG38" s="408"/>
      <c r="AH38" s="173">
        <f>IFERROR(INDEX('M03-S03'!$Q$18:$Q$199,2*(ROWS(AH$35:AH38)-1)+1),"")</f>
        <v>0</v>
      </c>
      <c r="AI38" s="178">
        <f>IFERROR(INDEX('M03-S03'!$B$18:$B$199,2*(ROWS(AI$35:AI38)-1)+1),"")</f>
        <v>4</v>
      </c>
      <c r="AJ38" s="325"/>
      <c r="AK38" s="178">
        <f>IFERROR(INDEX('M03-S03'!$C$18:$C$199,2*(ROWS(AK$35:AK38)-1)+1),"")</f>
        <v>0</v>
      </c>
      <c r="AL38" s="325"/>
      <c r="AM38" s="178">
        <f>IFERROR(INDEX('M03-S03'!$X$18:$X$199,2*(ROWS(AM$35:AM38)-1)+1),"")</f>
        <v>0</v>
      </c>
      <c r="AN38" s="405"/>
      <c r="AO38" s="405"/>
      <c r="AP38" s="178" t="str">
        <f>IFERROR(INDEX('M03-S03'!$AU$18:$AU$199,2*(ROWS(AP$35:AP38)-1)+1),"")</f>
        <v/>
      </c>
      <c r="AQ38" s="325"/>
      <c r="AR38" s="178" t="str">
        <f>IFERROR(INDEX(STDLIGHTCONT[Reporting Methodology],MATCH(EXPORT!C38,STDLIGHTCONT[Measure Number],0)),"")</f>
        <v/>
      </c>
      <c r="AS38" s="178" t="str">
        <f>IFERROR(INDEX(STDLIGHTCONT[Primary Key],MATCH(C38,STDLIGHTCONT[Measure Number],0)),"")</f>
        <v/>
      </c>
      <c r="AT38" s="200" t="str">
        <f>IFERROR(INDEX('M03-S03'!$AN$18:$AN$199,2*(ROWS(AT$35:AT38)-1)+1)-MIN(INDEX('M03-S03'!$AT$18:$AT$199,2*(ROWS(AT$35:AT38)-1)+1),(ROUND(INDEX('M03-S03'!$O$18:$O$199,2*(ROWS(AT$35:AT38)-1)+1),3)*INDEX(STDLIGHTCONT[Previous Incentive],MATCH('M03-S03'!C24,STDLIGHTCONT[Measure Name],0)))),"")</f>
        <v/>
      </c>
      <c r="AU38" s="278"/>
      <c r="AV38" s="278"/>
      <c r="AW38" s="278"/>
      <c r="AX38" s="278"/>
      <c r="AY38" s="278"/>
      <c r="AZ38" s="278"/>
      <c r="BA38" s="278"/>
      <c r="BB38" s="278"/>
      <c r="BC38" s="278"/>
      <c r="BD38" s="278"/>
      <c r="BE38" s="279"/>
      <c r="BL38" s="180"/>
      <c r="BP38" s="180"/>
      <c r="BQ38" s="180"/>
      <c r="BR38" s="180"/>
      <c r="CD38" s="180"/>
      <c r="CE38" s="180"/>
      <c r="CF38" s="180"/>
      <c r="CH38" s="180"/>
      <c r="CI38" s="180"/>
      <c r="CJ38" s="180"/>
      <c r="CK38" s="180"/>
      <c r="CL38" s="180"/>
      <c r="CM38" s="180"/>
      <c r="CN38" s="180"/>
      <c r="CQ38" s="180"/>
      <c r="CR38" s="180"/>
      <c r="CS38" s="180"/>
      <c r="DS38" s="180"/>
      <c r="DT38" s="180"/>
      <c r="DU38" s="180"/>
    </row>
    <row r="39" spans="1:125" s="54" customFormat="1" hidden="1">
      <c r="A39" s="135">
        <f t="shared" si="2"/>
        <v>0</v>
      </c>
      <c r="B39" s="178" t="str">
        <f t="shared" si="3"/>
        <v/>
      </c>
      <c r="C39" s="178" t="str">
        <f>IFERROR(IF(R39&gt;0,INDEX('M03-S03'!$BC$18:$BC$199,2*(ROWS($C$35:C39)-1)+1),""),"")</f>
        <v/>
      </c>
      <c r="D39" s="180" t="s">
        <v>1443</v>
      </c>
      <c r="E39" s="178" t="str">
        <f>IFERROR(INDEX('M03-S03'!$AZ$18:$AZ$199,2*(ROWS($E$35:E39)-1)+1),"")</f>
        <v/>
      </c>
      <c r="F39" s="173">
        <f>IFERROR(INDEX('M03-S03'!$T$18:$T$199,2*(ROWS($F$35:F39)-1)+1),"")</f>
        <v>0</v>
      </c>
      <c r="G39" s="178">
        <f>IFERROR(INDEX('M03-S03'!$AB$18:$AB$199,2*(ROWS($G$35:G39)-1)+1),"")</f>
        <v>0</v>
      </c>
      <c r="H39" s="200">
        <f>IFERROR(INDEX('M03-S03'!$AE$18:$AE$199,2*(ROWS(H$35:H39)-1)+1),"")</f>
        <v>0</v>
      </c>
      <c r="I39" s="200">
        <f>IFERROR(INDEX('M03-S03'!$AG$18:$AG$199,2*(ROWS(I$35:I39)-1)+1),"")</f>
        <v>0</v>
      </c>
      <c r="J39" s="200" t="str">
        <f>IFERROR(INDEX('M03-S03'!$AT$18:$AT$199,2*(ROWS(J$35:J39)-1)+1),"")</f>
        <v/>
      </c>
      <c r="K39" s="178" t="s">
        <v>84</v>
      </c>
      <c r="L39" s="116">
        <f>IFERROR(ROUND(INDEX('M03-S03'!$O$18:$O$199,2*(ROWS(L$35:L39)-1)+1),3),"")</f>
        <v>0</v>
      </c>
      <c r="M39" s="116">
        <f>IFERROR(ROUND(INDEX('M03-S03'!$O$18:$O$199,2*(ROWS(M$35:M39)-1)+1),3),"")</f>
        <v>0</v>
      </c>
      <c r="N39" s="415" t="str">
        <f>IFERROR(INDEX('M03-S03'!$AV$18:$AV$199,2*(ROWS(N$35:N39)-1)+1),"")</f>
        <v/>
      </c>
      <c r="O39" s="415" t="str">
        <f>IFERROR(INDEX('M03-S03'!$BA$18:$BA$199,2*(ROWS(O$35:O39)-1)+1),"")</f>
        <v/>
      </c>
      <c r="P39" s="415" t="str">
        <f>IFERROR(INDEX('M03-S03'!$AW$18:$AW$199,2*(ROWS(P$35:P39)-1)+1),"")</f>
        <v/>
      </c>
      <c r="Q39" s="415" t="str">
        <f>IFERROR(INDEX('M03-S03'!$BB$18:$BB$199,2*(ROWS(Q$35:Q39)-1)+1),"")</f>
        <v/>
      </c>
      <c r="R39" s="200" t="str">
        <f>IFERROR(INDEX('M03-S03'!$AN$18:$AN$199,2*(ROWS(R$35:R39)-1)+1),"")</f>
        <v/>
      </c>
      <c r="S39" s="405"/>
      <c r="T39" s="405"/>
      <c r="U39" s="405"/>
      <c r="V39" s="325"/>
      <c r="W39" s="417"/>
      <c r="X39" s="417"/>
      <c r="Y39" s="408"/>
      <c r="Z39" s="408"/>
      <c r="AA39" s="418"/>
      <c r="AB39" s="418"/>
      <c r="AC39" s="325"/>
      <c r="AD39" s="415">
        <f>IFERROR(INDEX('M03-S03'!$AX$18:$AX$199,2*(ROWS(AD$35:AD39)-1)+1),"")</f>
        <v>0</v>
      </c>
      <c r="AE39" s="415">
        <f>IFERROR(INDEX('M03-S03'!$AY$18:$AY$199,2*(ROWS(AE$35:AE39)-1)+1),"")</f>
        <v>0</v>
      </c>
      <c r="AF39" s="408"/>
      <c r="AG39" s="408"/>
      <c r="AH39" s="173">
        <f>IFERROR(INDEX('M03-S03'!$Q$18:$Q$199,2*(ROWS(AH$35:AH39)-1)+1),"")</f>
        <v>0</v>
      </c>
      <c r="AI39" s="178">
        <f>IFERROR(INDEX('M03-S03'!$B$18:$B$199,2*(ROWS(AI$35:AI39)-1)+1),"")</f>
        <v>5</v>
      </c>
      <c r="AJ39" s="325"/>
      <c r="AK39" s="178">
        <f>IFERROR(INDEX('M03-S03'!$C$18:$C$199,2*(ROWS(AK$35:AK39)-1)+1),"")</f>
        <v>0</v>
      </c>
      <c r="AL39" s="325"/>
      <c r="AM39" s="178">
        <f>IFERROR(INDEX('M03-S03'!$X$18:$X$199,2*(ROWS(AM$35:AM39)-1)+1),"")</f>
        <v>0</v>
      </c>
      <c r="AN39" s="405"/>
      <c r="AO39" s="405"/>
      <c r="AP39" s="178" t="str">
        <f>IFERROR(INDEX('M03-S03'!$AU$18:$AU$199,2*(ROWS(AP$35:AP39)-1)+1),"")</f>
        <v/>
      </c>
      <c r="AQ39" s="325"/>
      <c r="AR39" s="178" t="str">
        <f>IFERROR(INDEX(STDLIGHTCONT[Reporting Methodology],MATCH(EXPORT!C39,STDLIGHTCONT[Measure Number],0)),"")</f>
        <v/>
      </c>
      <c r="AS39" s="178" t="str">
        <f>IFERROR(INDEX(STDLIGHTCONT[Primary Key],MATCH(C39,STDLIGHTCONT[Measure Number],0)),"")</f>
        <v/>
      </c>
      <c r="AT39" s="200" t="str">
        <f>IFERROR(INDEX('M03-S03'!$AN$18:$AN$199,2*(ROWS(AT$35:AT39)-1)+1)-MIN(INDEX('M03-S03'!$AT$18:$AT$199,2*(ROWS(AT$35:AT39)-1)+1),(ROUND(INDEX('M03-S03'!$O$18:$O$199,2*(ROWS(AT$35:AT39)-1)+1),3)*INDEX(STDLIGHTCONT[Previous Incentive],MATCH('M03-S03'!C26,STDLIGHTCONT[Measure Name],0)))),"")</f>
        <v/>
      </c>
      <c r="AU39" s="278"/>
      <c r="AV39" s="278"/>
      <c r="AW39" s="278"/>
      <c r="AX39" s="278"/>
      <c r="AY39" s="278"/>
      <c r="AZ39" s="278"/>
      <c r="BA39" s="278"/>
      <c r="BB39" s="278"/>
      <c r="BC39" s="278"/>
      <c r="BD39" s="278"/>
      <c r="BE39" s="279"/>
      <c r="BL39" s="180"/>
      <c r="BP39" s="180"/>
      <c r="BQ39" s="180"/>
      <c r="BR39" s="180"/>
      <c r="CD39" s="180"/>
      <c r="CE39" s="180"/>
      <c r="CF39" s="180"/>
      <c r="CH39" s="180"/>
      <c r="CI39" s="180"/>
      <c r="CJ39" s="180"/>
      <c r="CK39" s="180"/>
      <c r="CL39" s="180"/>
      <c r="CM39" s="180"/>
      <c r="CN39" s="180"/>
      <c r="CQ39" s="180"/>
      <c r="CR39" s="180"/>
      <c r="CS39" s="180"/>
      <c r="DS39" s="180"/>
      <c r="DT39" s="180"/>
      <c r="DU39" s="180"/>
    </row>
    <row r="40" spans="1:125" s="54" customFormat="1" hidden="1">
      <c r="A40" s="135">
        <f t="shared" si="2"/>
        <v>0</v>
      </c>
      <c r="B40" s="178" t="str">
        <f t="shared" si="3"/>
        <v/>
      </c>
      <c r="C40" s="178" t="str">
        <f>IFERROR(IF(R40&gt;0,INDEX('M03-S03'!$BC$18:$BC$199,2*(ROWS($C$35:C40)-1)+1),""),"")</f>
        <v/>
      </c>
      <c r="D40" s="180" t="s">
        <v>1443</v>
      </c>
      <c r="E40" s="178" t="str">
        <f>IFERROR(INDEX('M03-S03'!$AZ$18:$AZ$199,2*(ROWS($E$35:E40)-1)+1),"")</f>
        <v/>
      </c>
      <c r="F40" s="173">
        <f>IFERROR(INDEX('M03-S03'!$T$18:$T$199,2*(ROWS($F$35:F40)-1)+1),"")</f>
        <v>0</v>
      </c>
      <c r="G40" s="178">
        <f>IFERROR(INDEX('M03-S03'!$AB$18:$AB$199,2*(ROWS($G$35:G40)-1)+1),"")</f>
        <v>0</v>
      </c>
      <c r="H40" s="200">
        <f>IFERROR(INDEX('M03-S03'!$AE$18:$AE$199,2*(ROWS(H$35:H40)-1)+1),"")</f>
        <v>0</v>
      </c>
      <c r="I40" s="200">
        <f>IFERROR(INDEX('M03-S03'!$AG$18:$AG$199,2*(ROWS(I$35:I40)-1)+1),"")</f>
        <v>0</v>
      </c>
      <c r="J40" s="200" t="str">
        <f>IFERROR(INDEX('M03-S03'!$AT$18:$AT$199,2*(ROWS(J$35:J40)-1)+1),"")</f>
        <v/>
      </c>
      <c r="K40" s="178" t="s">
        <v>84</v>
      </c>
      <c r="L40" s="116">
        <f>IFERROR(ROUND(INDEX('M03-S03'!$O$18:$O$199,2*(ROWS(L$35:L40)-1)+1),3),"")</f>
        <v>0</v>
      </c>
      <c r="M40" s="116">
        <f>IFERROR(ROUND(INDEX('M03-S03'!$O$18:$O$199,2*(ROWS(M$35:M40)-1)+1),3),"")</f>
        <v>0</v>
      </c>
      <c r="N40" s="415" t="str">
        <f>IFERROR(INDEX('M03-S03'!$AV$18:$AV$199,2*(ROWS(N$35:N40)-1)+1),"")</f>
        <v/>
      </c>
      <c r="O40" s="415" t="str">
        <f>IFERROR(INDEX('M03-S03'!$BA$18:$BA$199,2*(ROWS(O$35:O40)-1)+1),"")</f>
        <v/>
      </c>
      <c r="P40" s="415" t="str">
        <f>IFERROR(INDEX('M03-S03'!$AW$18:$AW$199,2*(ROWS(P$35:P40)-1)+1),"")</f>
        <v/>
      </c>
      <c r="Q40" s="415" t="str">
        <f>IFERROR(INDEX('M03-S03'!$BB$18:$BB$199,2*(ROWS(Q$35:Q40)-1)+1),"")</f>
        <v/>
      </c>
      <c r="R40" s="200" t="str">
        <f>IFERROR(INDEX('M03-S03'!$AN$18:$AN$199,2*(ROWS(R$35:R40)-1)+1),"")</f>
        <v/>
      </c>
      <c r="S40" s="405"/>
      <c r="T40" s="405"/>
      <c r="U40" s="405"/>
      <c r="V40" s="325"/>
      <c r="W40" s="417"/>
      <c r="X40" s="417"/>
      <c r="Y40" s="408"/>
      <c r="Z40" s="408"/>
      <c r="AA40" s="418"/>
      <c r="AB40" s="418"/>
      <c r="AC40" s="325"/>
      <c r="AD40" s="415">
        <f>IFERROR(INDEX('M03-S03'!$AX$18:$AX$199,2*(ROWS(AD$35:AD40)-1)+1),"")</f>
        <v>0</v>
      </c>
      <c r="AE40" s="415">
        <f>IFERROR(INDEX('M03-S03'!$AY$18:$AY$199,2*(ROWS(AE$35:AE40)-1)+1),"")</f>
        <v>0</v>
      </c>
      <c r="AF40" s="408"/>
      <c r="AG40" s="408"/>
      <c r="AH40" s="173">
        <f>IFERROR(INDEX('M03-S03'!$Q$18:$Q$199,2*(ROWS(AH$35:AH40)-1)+1),"")</f>
        <v>0</v>
      </c>
      <c r="AI40" s="178">
        <f>IFERROR(INDEX('M03-S03'!$B$18:$B$199,2*(ROWS(AI$35:AI40)-1)+1),"")</f>
        <v>6</v>
      </c>
      <c r="AJ40" s="325"/>
      <c r="AK40" s="178">
        <f>IFERROR(INDEX('M03-S03'!$C$18:$C$199,2*(ROWS(AK$35:AK40)-1)+1),"")</f>
        <v>0</v>
      </c>
      <c r="AL40" s="325"/>
      <c r="AM40" s="178">
        <f>IFERROR(INDEX('M03-S03'!$X$18:$X$199,2*(ROWS(AM$35:AM40)-1)+1),"")</f>
        <v>0</v>
      </c>
      <c r="AN40" s="405"/>
      <c r="AO40" s="405"/>
      <c r="AP40" s="178" t="str">
        <f>IFERROR(INDEX('M03-S03'!$AU$18:$AU$199,2*(ROWS(AP$35:AP40)-1)+1),"")</f>
        <v/>
      </c>
      <c r="AQ40" s="325"/>
      <c r="AR40" s="178" t="str">
        <f>IFERROR(INDEX(STDLIGHTCONT[Reporting Methodology],MATCH(EXPORT!C40,STDLIGHTCONT[Measure Number],0)),"")</f>
        <v/>
      </c>
      <c r="AS40" s="178" t="str">
        <f>IFERROR(INDEX(STDLIGHTCONT[Primary Key],MATCH(C40,STDLIGHTCONT[Measure Number],0)),"")</f>
        <v/>
      </c>
      <c r="AT40" s="200" t="str">
        <f>IFERROR(INDEX('M03-S03'!$AN$18:$AN$199,2*(ROWS(AT$35:AT40)-1)+1)-MIN(INDEX('M03-S03'!$AT$18:$AT$199,2*(ROWS(AT$35:AT40)-1)+1),(ROUND(INDEX('M03-S03'!$O$18:$O$199,2*(ROWS(AT$35:AT40)-1)+1),3)*INDEX(STDLIGHTCONT[Previous Incentive],MATCH('M03-S03'!C28,STDLIGHTCONT[Measure Name],0)))),"")</f>
        <v/>
      </c>
      <c r="AU40" s="278"/>
      <c r="AV40" s="278"/>
      <c r="AW40" s="278"/>
      <c r="AX40" s="278"/>
      <c r="AY40" s="278"/>
      <c r="AZ40" s="278"/>
      <c r="BA40" s="278"/>
      <c r="BB40" s="278"/>
      <c r="BC40" s="278"/>
      <c r="BD40" s="278"/>
      <c r="BE40" s="279"/>
      <c r="BL40" s="180"/>
      <c r="BP40" s="180"/>
      <c r="BQ40" s="180"/>
      <c r="BR40" s="180"/>
      <c r="CD40" s="180"/>
      <c r="CE40" s="180"/>
      <c r="CF40" s="180"/>
      <c r="CH40" s="180"/>
      <c r="CI40" s="180"/>
      <c r="CJ40" s="180"/>
      <c r="CK40" s="180"/>
      <c r="CL40" s="180"/>
      <c r="CM40" s="180"/>
      <c r="CN40" s="180"/>
      <c r="CQ40" s="180"/>
      <c r="CR40" s="180"/>
      <c r="CS40" s="180"/>
      <c r="DS40" s="180"/>
      <c r="DT40" s="180"/>
      <c r="DU40" s="180"/>
    </row>
    <row r="41" spans="1:125" s="54" customFormat="1" hidden="1">
      <c r="A41" s="135">
        <f t="shared" si="2"/>
        <v>0</v>
      </c>
      <c r="B41" s="178" t="str">
        <f t="shared" si="3"/>
        <v/>
      </c>
      <c r="C41" s="178" t="str">
        <f>IFERROR(IF(R41&gt;0,INDEX('M03-S03'!$BC$18:$BC$199,2*(ROWS($C$35:C41)-1)+1),""),"")</f>
        <v/>
      </c>
      <c r="D41" s="180" t="s">
        <v>1443</v>
      </c>
      <c r="E41" s="178" t="str">
        <f>IFERROR(INDEX('M03-S03'!$AZ$18:$AZ$199,2*(ROWS($E$35:E41)-1)+1),"")</f>
        <v/>
      </c>
      <c r="F41" s="173">
        <f>IFERROR(INDEX('M03-S03'!$T$18:$T$199,2*(ROWS($F$35:F41)-1)+1),"")</f>
        <v>0</v>
      </c>
      <c r="G41" s="178">
        <f>IFERROR(INDEX('M03-S03'!$AB$18:$AB$199,2*(ROWS($G$35:G41)-1)+1),"")</f>
        <v>0</v>
      </c>
      <c r="H41" s="200">
        <f>IFERROR(INDEX('M03-S03'!$AE$18:$AE$199,2*(ROWS(H$35:H41)-1)+1),"")</f>
        <v>0</v>
      </c>
      <c r="I41" s="200">
        <f>IFERROR(INDEX('M03-S03'!$AG$18:$AG$199,2*(ROWS(I$35:I41)-1)+1),"")</f>
        <v>0</v>
      </c>
      <c r="J41" s="200" t="str">
        <f>IFERROR(INDEX('M03-S03'!$AT$18:$AT$199,2*(ROWS(J$35:J41)-1)+1),"")</f>
        <v/>
      </c>
      <c r="K41" s="178" t="s">
        <v>84</v>
      </c>
      <c r="L41" s="116">
        <f>IFERROR(ROUND(INDEX('M03-S03'!$O$18:$O$199,2*(ROWS(L$35:L41)-1)+1),3),"")</f>
        <v>0</v>
      </c>
      <c r="M41" s="116">
        <f>IFERROR(ROUND(INDEX('M03-S03'!$O$18:$O$199,2*(ROWS(M$35:M41)-1)+1),3),"")</f>
        <v>0</v>
      </c>
      <c r="N41" s="415" t="str">
        <f>IFERROR(INDEX('M03-S03'!$AV$18:$AV$199,2*(ROWS(N$35:N41)-1)+1),"")</f>
        <v/>
      </c>
      <c r="O41" s="415" t="str">
        <f>IFERROR(INDEX('M03-S03'!$BA$18:$BA$199,2*(ROWS(O$35:O41)-1)+1),"")</f>
        <v/>
      </c>
      <c r="P41" s="415" t="str">
        <f>IFERROR(INDEX('M03-S03'!$AW$18:$AW$199,2*(ROWS(P$35:P41)-1)+1),"")</f>
        <v/>
      </c>
      <c r="Q41" s="415" t="str">
        <f>IFERROR(INDEX('M03-S03'!$BB$18:$BB$199,2*(ROWS(Q$35:Q41)-1)+1),"")</f>
        <v/>
      </c>
      <c r="R41" s="200" t="str">
        <f>IFERROR(INDEX('M03-S03'!$AN$18:$AN$199,2*(ROWS(R$35:R41)-1)+1),"")</f>
        <v/>
      </c>
      <c r="S41" s="405"/>
      <c r="T41" s="405"/>
      <c r="U41" s="405"/>
      <c r="V41" s="325"/>
      <c r="W41" s="417"/>
      <c r="X41" s="417"/>
      <c r="Y41" s="408"/>
      <c r="Z41" s="408"/>
      <c r="AA41" s="418"/>
      <c r="AB41" s="418"/>
      <c r="AC41" s="325"/>
      <c r="AD41" s="415">
        <f>IFERROR(INDEX('M03-S03'!$AX$18:$AX$199,2*(ROWS(AD$35:AD41)-1)+1),"")</f>
        <v>0</v>
      </c>
      <c r="AE41" s="415">
        <f>IFERROR(INDEX('M03-S03'!$AY$18:$AY$199,2*(ROWS(AE$35:AE41)-1)+1),"")</f>
        <v>0</v>
      </c>
      <c r="AF41" s="408"/>
      <c r="AG41" s="408"/>
      <c r="AH41" s="173">
        <f>IFERROR(INDEX('M03-S03'!$Q$18:$Q$199,2*(ROWS(AH$35:AH41)-1)+1),"")</f>
        <v>0</v>
      </c>
      <c r="AI41" s="178">
        <f>IFERROR(INDEX('M03-S03'!$B$18:$B$199,2*(ROWS(AI$35:AI41)-1)+1),"")</f>
        <v>7</v>
      </c>
      <c r="AJ41" s="325"/>
      <c r="AK41" s="178">
        <f>IFERROR(INDEX('M03-S03'!$C$18:$C$199,2*(ROWS(AK$35:AK41)-1)+1),"")</f>
        <v>0</v>
      </c>
      <c r="AL41" s="325"/>
      <c r="AM41" s="178">
        <f>IFERROR(INDEX('M03-S03'!$X$18:$X$199,2*(ROWS(AM$35:AM41)-1)+1),"")</f>
        <v>0</v>
      </c>
      <c r="AN41" s="405"/>
      <c r="AO41" s="405"/>
      <c r="AP41" s="178" t="str">
        <f>IFERROR(INDEX('M03-S03'!$AU$18:$AU$199,2*(ROWS(AP$35:AP41)-1)+1),"")</f>
        <v/>
      </c>
      <c r="AQ41" s="325"/>
      <c r="AR41" s="178" t="str">
        <f>IFERROR(INDEX(STDLIGHTCONT[Reporting Methodology],MATCH(EXPORT!C41,STDLIGHTCONT[Measure Number],0)),"")</f>
        <v/>
      </c>
      <c r="AS41" s="178" t="str">
        <f>IFERROR(INDEX(STDLIGHTCONT[Primary Key],MATCH(C41,STDLIGHTCONT[Measure Number],0)),"")</f>
        <v/>
      </c>
      <c r="AT41" s="200" t="str">
        <f>IFERROR(INDEX('M03-S03'!$AN$18:$AN$199,2*(ROWS(AT$35:AT41)-1)+1)-MIN(INDEX('M03-S03'!$AT$18:$AT$199,2*(ROWS(AT$35:AT41)-1)+1),(ROUND(INDEX('M03-S03'!$O$18:$O$199,2*(ROWS(AT$35:AT41)-1)+1),3)*INDEX(STDLIGHTCONT[Previous Incentive],MATCH('M03-S03'!C30,STDLIGHTCONT[Measure Name],0)))),"")</f>
        <v/>
      </c>
      <c r="AU41" s="278"/>
      <c r="AV41" s="278"/>
      <c r="AW41" s="278"/>
      <c r="AX41" s="278"/>
      <c r="AY41" s="278"/>
      <c r="AZ41" s="278"/>
      <c r="BA41" s="278"/>
      <c r="BB41" s="278"/>
      <c r="BC41" s="278"/>
      <c r="BD41" s="278"/>
      <c r="BE41" s="279"/>
      <c r="BL41" s="180"/>
      <c r="BP41" s="180"/>
      <c r="BQ41" s="180"/>
      <c r="BR41" s="180"/>
      <c r="CD41" s="180"/>
      <c r="CE41" s="180"/>
      <c r="CF41" s="180"/>
      <c r="CH41" s="180"/>
      <c r="CI41" s="180"/>
      <c r="CJ41" s="180"/>
      <c r="CK41" s="180"/>
      <c r="CL41" s="180"/>
      <c r="CM41" s="180"/>
      <c r="CN41" s="180"/>
      <c r="CQ41" s="180"/>
      <c r="CR41" s="180"/>
      <c r="CS41" s="180"/>
      <c r="DS41" s="180"/>
      <c r="DT41" s="180"/>
      <c r="DU41" s="180"/>
    </row>
    <row r="42" spans="1:125" s="54" customFormat="1" hidden="1">
      <c r="A42" s="135">
        <f t="shared" si="2"/>
        <v>0</v>
      </c>
      <c r="B42" s="178" t="str">
        <f t="shared" si="3"/>
        <v/>
      </c>
      <c r="C42" s="178" t="str">
        <f>IFERROR(IF(R42&gt;0,INDEX('M03-S03'!$BC$18:$BC$199,2*(ROWS($C$35:C42)-1)+1),""),"")</f>
        <v/>
      </c>
      <c r="D42" s="180" t="s">
        <v>1443</v>
      </c>
      <c r="E42" s="178" t="str">
        <f>IFERROR(INDEX('M03-S03'!$AZ$18:$AZ$199,2*(ROWS($E$35:E42)-1)+1),"")</f>
        <v/>
      </c>
      <c r="F42" s="173">
        <f>IFERROR(INDEX('M03-S03'!$T$18:$T$199,2*(ROWS($F$35:F42)-1)+1),"")</f>
        <v>0</v>
      </c>
      <c r="G42" s="178">
        <f>IFERROR(INDEX('M03-S03'!$AB$18:$AB$199,2*(ROWS($G$35:G42)-1)+1),"")</f>
        <v>0</v>
      </c>
      <c r="H42" s="200">
        <f>IFERROR(INDEX('M03-S03'!$AE$18:$AE$199,2*(ROWS(H$35:H42)-1)+1),"")</f>
        <v>0</v>
      </c>
      <c r="I42" s="200">
        <f>IFERROR(INDEX('M03-S03'!$AG$18:$AG$199,2*(ROWS(I$35:I42)-1)+1),"")</f>
        <v>0</v>
      </c>
      <c r="J42" s="200" t="str">
        <f>IFERROR(INDEX('M03-S03'!$AT$18:$AT$199,2*(ROWS(J$35:J42)-1)+1),"")</f>
        <v/>
      </c>
      <c r="K42" s="178" t="s">
        <v>84</v>
      </c>
      <c r="L42" s="116">
        <f>IFERROR(ROUND(INDEX('M03-S03'!$O$18:$O$199,2*(ROWS(L$35:L42)-1)+1),3),"")</f>
        <v>0</v>
      </c>
      <c r="M42" s="116">
        <f>IFERROR(ROUND(INDEX('M03-S03'!$O$18:$O$199,2*(ROWS(M$35:M42)-1)+1),3),"")</f>
        <v>0</v>
      </c>
      <c r="N42" s="415" t="str">
        <f>IFERROR(INDEX('M03-S03'!$AV$18:$AV$199,2*(ROWS(N$35:N42)-1)+1),"")</f>
        <v/>
      </c>
      <c r="O42" s="415" t="str">
        <f>IFERROR(INDEX('M03-S03'!$BA$18:$BA$199,2*(ROWS(O$35:O42)-1)+1),"")</f>
        <v/>
      </c>
      <c r="P42" s="415" t="str">
        <f>IFERROR(INDEX('M03-S03'!$AW$18:$AW$199,2*(ROWS(P$35:P42)-1)+1),"")</f>
        <v/>
      </c>
      <c r="Q42" s="415" t="str">
        <f>IFERROR(INDEX('M03-S03'!$BB$18:$BB$199,2*(ROWS(Q$35:Q42)-1)+1),"")</f>
        <v/>
      </c>
      <c r="R42" s="200" t="str">
        <f>IFERROR(INDEX('M03-S03'!$AN$18:$AN$199,2*(ROWS(R$35:R42)-1)+1),"")</f>
        <v/>
      </c>
      <c r="S42" s="405"/>
      <c r="T42" s="405"/>
      <c r="U42" s="405"/>
      <c r="V42" s="325"/>
      <c r="W42" s="417"/>
      <c r="X42" s="417"/>
      <c r="Y42" s="408"/>
      <c r="Z42" s="408"/>
      <c r="AA42" s="418"/>
      <c r="AB42" s="418"/>
      <c r="AC42" s="325"/>
      <c r="AD42" s="415">
        <f>IFERROR(INDEX('M03-S03'!$AX$18:$AX$199,2*(ROWS(AD$35:AD42)-1)+1),"")</f>
        <v>0</v>
      </c>
      <c r="AE42" s="415">
        <f>IFERROR(INDEX('M03-S03'!$AY$18:$AY$199,2*(ROWS(AE$35:AE42)-1)+1),"")</f>
        <v>0</v>
      </c>
      <c r="AF42" s="408"/>
      <c r="AG42" s="408"/>
      <c r="AH42" s="173">
        <f>IFERROR(INDEX('M03-S03'!$Q$18:$Q$199,2*(ROWS(AH$35:AH42)-1)+1),"")</f>
        <v>0</v>
      </c>
      <c r="AI42" s="178">
        <f>IFERROR(INDEX('M03-S03'!$B$18:$B$199,2*(ROWS(AI$35:AI42)-1)+1),"")</f>
        <v>8</v>
      </c>
      <c r="AJ42" s="325"/>
      <c r="AK42" s="178">
        <f>IFERROR(INDEX('M03-S03'!$C$18:$C$199,2*(ROWS(AK$35:AK42)-1)+1),"")</f>
        <v>0</v>
      </c>
      <c r="AL42" s="325"/>
      <c r="AM42" s="178">
        <f>IFERROR(INDEX('M03-S03'!$X$18:$X$199,2*(ROWS(AM$35:AM42)-1)+1),"")</f>
        <v>0</v>
      </c>
      <c r="AN42" s="405"/>
      <c r="AO42" s="405"/>
      <c r="AP42" s="178" t="str">
        <f>IFERROR(INDEX('M03-S03'!$AU$18:$AU$199,2*(ROWS(AP$35:AP42)-1)+1),"")</f>
        <v/>
      </c>
      <c r="AQ42" s="325"/>
      <c r="AR42" s="178" t="str">
        <f>IFERROR(INDEX(STDLIGHTCONT[Reporting Methodology],MATCH(EXPORT!C42,STDLIGHTCONT[Measure Number],0)),"")</f>
        <v/>
      </c>
      <c r="AS42" s="178" t="str">
        <f>IFERROR(INDEX(STDLIGHTCONT[Primary Key],MATCH(C42,STDLIGHTCONT[Measure Number],0)),"")</f>
        <v/>
      </c>
      <c r="AT42" s="200" t="str">
        <f>IFERROR(INDEX('M03-S03'!$AN$18:$AN$199,2*(ROWS(AT$35:AT42)-1)+1)-MIN(INDEX('M03-S03'!$AT$18:$AT$199,2*(ROWS(AT$35:AT42)-1)+1),(ROUND(INDEX('M03-S03'!$O$18:$O$199,2*(ROWS(AT$35:AT42)-1)+1),3)*INDEX(STDLIGHTCONT[Previous Incentive],MATCH('M03-S03'!C32,STDLIGHTCONT[Measure Name],0)))),"")</f>
        <v/>
      </c>
      <c r="AU42" s="278"/>
      <c r="AV42" s="278"/>
      <c r="AW42" s="278"/>
      <c r="AX42" s="278"/>
      <c r="AY42" s="278"/>
      <c r="AZ42" s="278"/>
      <c r="BA42" s="278"/>
      <c r="BB42" s="278"/>
      <c r="BC42" s="278"/>
      <c r="BD42" s="278"/>
      <c r="BE42" s="279"/>
      <c r="BL42" s="180"/>
      <c r="BP42" s="180"/>
      <c r="BQ42" s="180"/>
      <c r="BR42" s="180"/>
      <c r="CD42" s="180"/>
      <c r="CE42" s="180"/>
      <c r="CF42" s="180"/>
      <c r="CH42" s="180"/>
      <c r="CI42" s="180"/>
      <c r="CJ42" s="180"/>
      <c r="CK42" s="180"/>
      <c r="CL42" s="180"/>
      <c r="CM42" s="180"/>
      <c r="CN42" s="180"/>
      <c r="CQ42" s="180"/>
      <c r="CR42" s="180"/>
      <c r="CS42" s="180"/>
      <c r="DS42" s="180"/>
      <c r="DT42" s="180"/>
      <c r="DU42" s="180"/>
    </row>
    <row r="43" spans="1:125" s="54" customFormat="1" hidden="1">
      <c r="A43" s="135">
        <f t="shared" si="2"/>
        <v>0</v>
      </c>
      <c r="B43" s="178" t="str">
        <f t="shared" si="3"/>
        <v/>
      </c>
      <c r="C43" s="178" t="str">
        <f>IFERROR(IF(R43&gt;0,INDEX('M03-S03'!$BC$18:$BC$199,2*(ROWS($C$35:C43)-1)+1),""),"")</f>
        <v/>
      </c>
      <c r="D43" s="180" t="s">
        <v>1443</v>
      </c>
      <c r="E43" s="178" t="str">
        <f>IFERROR(INDEX('M03-S03'!$AZ$18:$AZ$199,2*(ROWS($E$35:E43)-1)+1),"")</f>
        <v/>
      </c>
      <c r="F43" s="173">
        <f>IFERROR(INDEX('M03-S03'!$T$18:$T$199,2*(ROWS($F$35:F43)-1)+1),"")</f>
        <v>0</v>
      </c>
      <c r="G43" s="178">
        <f>IFERROR(INDEX('M03-S03'!$AB$18:$AB$199,2*(ROWS($G$35:G43)-1)+1),"")</f>
        <v>0</v>
      </c>
      <c r="H43" s="200">
        <f>IFERROR(INDEX('M03-S03'!$AE$18:$AE$199,2*(ROWS(H$35:H43)-1)+1),"")</f>
        <v>0</v>
      </c>
      <c r="I43" s="200">
        <f>IFERROR(INDEX('M03-S03'!$AG$18:$AG$199,2*(ROWS(I$35:I43)-1)+1),"")</f>
        <v>0</v>
      </c>
      <c r="J43" s="200" t="str">
        <f>IFERROR(INDEX('M03-S03'!$AT$18:$AT$199,2*(ROWS(J$35:J43)-1)+1),"")</f>
        <v/>
      </c>
      <c r="K43" s="178" t="s">
        <v>84</v>
      </c>
      <c r="L43" s="116">
        <f>IFERROR(ROUND(INDEX('M03-S03'!$O$18:$O$199,2*(ROWS(L$35:L43)-1)+1),3),"")</f>
        <v>0</v>
      </c>
      <c r="M43" s="116">
        <f>IFERROR(ROUND(INDEX('M03-S03'!$O$18:$O$199,2*(ROWS(M$35:M43)-1)+1),3),"")</f>
        <v>0</v>
      </c>
      <c r="N43" s="415" t="str">
        <f>IFERROR(INDEX('M03-S03'!$AV$18:$AV$199,2*(ROWS(N$35:N43)-1)+1),"")</f>
        <v/>
      </c>
      <c r="O43" s="415" t="str">
        <f>IFERROR(INDEX('M03-S03'!$BA$18:$BA$199,2*(ROWS(O$35:O43)-1)+1),"")</f>
        <v/>
      </c>
      <c r="P43" s="415" t="str">
        <f>IFERROR(INDEX('M03-S03'!$AW$18:$AW$199,2*(ROWS(P$35:P43)-1)+1),"")</f>
        <v/>
      </c>
      <c r="Q43" s="415" t="str">
        <f>IFERROR(INDEX('M03-S03'!$BB$18:$BB$199,2*(ROWS(Q$35:Q43)-1)+1),"")</f>
        <v/>
      </c>
      <c r="R43" s="200" t="str">
        <f>IFERROR(INDEX('M03-S03'!$AN$18:$AN$199,2*(ROWS(R$35:R43)-1)+1),"")</f>
        <v/>
      </c>
      <c r="S43" s="405"/>
      <c r="T43" s="405"/>
      <c r="U43" s="405"/>
      <c r="V43" s="325"/>
      <c r="W43" s="417"/>
      <c r="X43" s="417"/>
      <c r="Y43" s="408"/>
      <c r="Z43" s="408"/>
      <c r="AA43" s="418"/>
      <c r="AB43" s="418"/>
      <c r="AC43" s="325"/>
      <c r="AD43" s="415">
        <f>IFERROR(INDEX('M03-S03'!$AX$18:$AX$199,2*(ROWS(AD$35:AD43)-1)+1),"")</f>
        <v>0</v>
      </c>
      <c r="AE43" s="415">
        <f>IFERROR(INDEX('M03-S03'!$AY$18:$AY$199,2*(ROWS(AE$35:AE43)-1)+1),"")</f>
        <v>0</v>
      </c>
      <c r="AF43" s="408"/>
      <c r="AG43" s="408"/>
      <c r="AH43" s="173">
        <f>IFERROR(INDEX('M03-S03'!$Q$18:$Q$199,2*(ROWS(AH$35:AH43)-1)+1),"")</f>
        <v>0</v>
      </c>
      <c r="AI43" s="178">
        <f>IFERROR(INDEX('M03-S03'!$B$18:$B$199,2*(ROWS(AI$35:AI43)-1)+1),"")</f>
        <v>9</v>
      </c>
      <c r="AJ43" s="325"/>
      <c r="AK43" s="178">
        <f>IFERROR(INDEX('M03-S03'!$C$18:$C$199,2*(ROWS(AK$35:AK43)-1)+1),"")</f>
        <v>0</v>
      </c>
      <c r="AL43" s="325"/>
      <c r="AM43" s="178">
        <f>IFERROR(INDEX('M03-S03'!$X$18:$X$199,2*(ROWS(AM$35:AM43)-1)+1),"")</f>
        <v>0</v>
      </c>
      <c r="AN43" s="405"/>
      <c r="AO43" s="405"/>
      <c r="AP43" s="178" t="str">
        <f>IFERROR(INDEX('M03-S03'!$AU$18:$AU$199,2*(ROWS(AP$35:AP43)-1)+1),"")</f>
        <v/>
      </c>
      <c r="AQ43" s="325"/>
      <c r="AR43" s="178" t="str">
        <f>IFERROR(INDEX(STDLIGHTCONT[Reporting Methodology],MATCH(EXPORT!C43,STDLIGHTCONT[Measure Number],0)),"")</f>
        <v/>
      </c>
      <c r="AS43" s="178" t="str">
        <f>IFERROR(INDEX(STDLIGHTCONT[Primary Key],MATCH(C43,STDLIGHTCONT[Measure Number],0)),"")</f>
        <v/>
      </c>
      <c r="AT43" s="200" t="str">
        <f>IFERROR(INDEX('M03-S03'!$AN$18:$AN$199,2*(ROWS(AT$35:AT43)-1)+1)-MIN(INDEX('M03-S03'!$AT$18:$AT$199,2*(ROWS(AT$35:AT43)-1)+1),(ROUND(INDEX('M03-S03'!$O$18:$O$199,2*(ROWS(AT$35:AT43)-1)+1),3)*INDEX(STDLIGHTCONT[Previous Incentive],MATCH('M03-S03'!C34,STDLIGHTCONT[Measure Name],0)))),"")</f>
        <v/>
      </c>
      <c r="AU43" s="278"/>
      <c r="AV43" s="278"/>
      <c r="AW43" s="278"/>
      <c r="AX43" s="278"/>
      <c r="AY43" s="278"/>
      <c r="AZ43" s="278"/>
      <c r="BA43" s="278"/>
      <c r="BB43" s="278"/>
      <c r="BC43" s="278"/>
      <c r="BD43" s="278"/>
      <c r="BE43" s="279"/>
      <c r="BL43" s="180"/>
      <c r="BP43" s="180"/>
      <c r="BQ43" s="180"/>
      <c r="BR43" s="180"/>
      <c r="CD43" s="180"/>
      <c r="CE43" s="180"/>
      <c r="CF43" s="180"/>
      <c r="CH43" s="180"/>
      <c r="CI43" s="180"/>
      <c r="CJ43" s="180"/>
      <c r="CK43" s="180"/>
      <c r="CL43" s="180"/>
      <c r="CM43" s="180"/>
      <c r="CN43" s="180"/>
      <c r="CQ43" s="180"/>
      <c r="CR43" s="180"/>
      <c r="CS43" s="180"/>
      <c r="DS43" s="180"/>
      <c r="DT43" s="180"/>
      <c r="DU43" s="180"/>
    </row>
    <row r="44" spans="1:125" s="54" customFormat="1" hidden="1">
      <c r="A44" s="135">
        <f t="shared" si="2"/>
        <v>0</v>
      </c>
      <c r="B44" s="178" t="str">
        <f t="shared" si="3"/>
        <v/>
      </c>
      <c r="C44" s="178" t="str">
        <f>IFERROR(IF(R44&gt;0,INDEX('M03-S03'!$BC$18:$BC$199,2*(ROWS($C$35:C44)-1)+1),""),"")</f>
        <v/>
      </c>
      <c r="D44" s="180" t="s">
        <v>1443</v>
      </c>
      <c r="E44" s="178" t="str">
        <f>IFERROR(INDEX('M03-S03'!$AZ$18:$AZ$199,2*(ROWS($E$35:E44)-1)+1),"")</f>
        <v/>
      </c>
      <c r="F44" s="173">
        <f>IFERROR(INDEX('M03-S03'!$T$18:$T$199,2*(ROWS($F$35:F44)-1)+1),"")</f>
        <v>0</v>
      </c>
      <c r="G44" s="178">
        <f>IFERROR(INDEX('M03-S03'!$AB$18:$AB$199,2*(ROWS($G$35:G44)-1)+1),"")</f>
        <v>0</v>
      </c>
      <c r="H44" s="200">
        <f>IFERROR(INDEX('M03-S03'!$AE$18:$AE$199,2*(ROWS(H$35:H44)-1)+1),"")</f>
        <v>0</v>
      </c>
      <c r="I44" s="200">
        <f>IFERROR(INDEX('M03-S03'!$AG$18:$AG$199,2*(ROWS(I$35:I44)-1)+1),"")</f>
        <v>0</v>
      </c>
      <c r="J44" s="200" t="str">
        <f>IFERROR(INDEX('M03-S03'!$AT$18:$AT$199,2*(ROWS(J$35:J44)-1)+1),"")</f>
        <v/>
      </c>
      <c r="K44" s="178" t="s">
        <v>84</v>
      </c>
      <c r="L44" s="116">
        <f>IFERROR(ROUND(INDEX('M03-S03'!$O$18:$O$199,2*(ROWS(L$35:L44)-1)+1),3),"")</f>
        <v>0</v>
      </c>
      <c r="M44" s="116">
        <f>IFERROR(ROUND(INDEX('M03-S03'!$O$18:$O$199,2*(ROWS(M$35:M44)-1)+1),3),"")</f>
        <v>0</v>
      </c>
      <c r="N44" s="415" t="str">
        <f>IFERROR(INDEX('M03-S03'!$AV$18:$AV$199,2*(ROWS(N$35:N44)-1)+1),"")</f>
        <v/>
      </c>
      <c r="O44" s="415" t="str">
        <f>IFERROR(INDEX('M03-S03'!$BA$18:$BA$199,2*(ROWS(O$35:O44)-1)+1),"")</f>
        <v/>
      </c>
      <c r="P44" s="415" t="str">
        <f>IFERROR(INDEX('M03-S03'!$AW$18:$AW$199,2*(ROWS(P$35:P44)-1)+1),"")</f>
        <v/>
      </c>
      <c r="Q44" s="415" t="str">
        <f>IFERROR(INDEX('M03-S03'!$BB$18:$BB$199,2*(ROWS(Q$35:Q44)-1)+1),"")</f>
        <v/>
      </c>
      <c r="R44" s="200" t="str">
        <f>IFERROR(INDEX('M03-S03'!$AN$18:$AN$199,2*(ROWS(R$35:R44)-1)+1),"")</f>
        <v/>
      </c>
      <c r="S44" s="405"/>
      <c r="T44" s="405"/>
      <c r="U44" s="405"/>
      <c r="V44" s="325"/>
      <c r="W44" s="417"/>
      <c r="X44" s="417"/>
      <c r="Y44" s="408"/>
      <c r="Z44" s="408"/>
      <c r="AA44" s="418"/>
      <c r="AB44" s="418"/>
      <c r="AC44" s="325"/>
      <c r="AD44" s="415">
        <f>IFERROR(INDEX('M03-S03'!$AX$18:$AX$199,2*(ROWS(AD$35:AD44)-1)+1),"")</f>
        <v>0</v>
      </c>
      <c r="AE44" s="415">
        <f>IFERROR(INDEX('M03-S03'!$AY$18:$AY$199,2*(ROWS(AE$35:AE44)-1)+1),"")</f>
        <v>0</v>
      </c>
      <c r="AF44" s="408"/>
      <c r="AG44" s="408"/>
      <c r="AH44" s="173">
        <f>IFERROR(INDEX('M03-S03'!$Q$18:$Q$199,2*(ROWS(AH$35:AH44)-1)+1),"")</f>
        <v>0</v>
      </c>
      <c r="AI44" s="178">
        <f>IFERROR(INDEX('M03-S03'!$B$18:$B$199,2*(ROWS(AI$35:AI44)-1)+1),"")</f>
        <v>10</v>
      </c>
      <c r="AJ44" s="325"/>
      <c r="AK44" s="178">
        <f>IFERROR(INDEX('M03-S03'!$C$18:$C$199,2*(ROWS(AK$35:AK44)-1)+1),"")</f>
        <v>0</v>
      </c>
      <c r="AL44" s="325"/>
      <c r="AM44" s="178">
        <f>IFERROR(INDEX('M03-S03'!$X$18:$X$199,2*(ROWS(AM$35:AM44)-1)+1),"")</f>
        <v>0</v>
      </c>
      <c r="AN44" s="405"/>
      <c r="AO44" s="405"/>
      <c r="AP44" s="178" t="str">
        <f>IFERROR(INDEX('M03-S03'!$AU$18:$AU$199,2*(ROWS(AP$35:AP44)-1)+1),"")</f>
        <v/>
      </c>
      <c r="AQ44" s="325"/>
      <c r="AR44" s="178" t="str">
        <f>IFERROR(INDEX(STDLIGHTCONT[Reporting Methodology],MATCH(EXPORT!C44,STDLIGHTCONT[Measure Number],0)),"")</f>
        <v/>
      </c>
      <c r="AS44" s="178" t="str">
        <f>IFERROR(INDEX(STDLIGHTCONT[Primary Key],MATCH(C44,STDLIGHTCONT[Measure Number],0)),"")</f>
        <v/>
      </c>
      <c r="AT44" s="200" t="str">
        <f>IFERROR(INDEX('M03-S03'!$AN$18:$AN$199,2*(ROWS(AT$35:AT44)-1)+1)-MIN(INDEX('M03-S03'!$AT$18:$AT$199,2*(ROWS(AT$35:AT44)-1)+1),(ROUND(INDEX('M03-S03'!$O$18:$O$199,2*(ROWS(AT$35:AT44)-1)+1),3)*INDEX(STDLIGHTCONT[Previous Incentive],MATCH('M03-S03'!C36,STDLIGHTCONT[Measure Name],0)))),"")</f>
        <v/>
      </c>
      <c r="AU44" s="278"/>
      <c r="AV44" s="278"/>
      <c r="AW44" s="278"/>
      <c r="AX44" s="278"/>
      <c r="AY44" s="278"/>
      <c r="AZ44" s="278"/>
      <c r="BA44" s="278"/>
      <c r="BB44" s="278"/>
      <c r="BC44" s="278"/>
      <c r="BD44" s="278"/>
      <c r="BE44" s="279"/>
      <c r="BL44" s="180"/>
      <c r="BP44" s="180"/>
      <c r="BQ44" s="180"/>
      <c r="BR44" s="180"/>
      <c r="CD44" s="180"/>
      <c r="CE44" s="180"/>
      <c r="CF44" s="180"/>
      <c r="CH44" s="180"/>
      <c r="CI44" s="180"/>
      <c r="CJ44" s="180"/>
      <c r="CK44" s="180"/>
      <c r="CL44" s="180"/>
      <c r="CM44" s="180"/>
      <c r="CN44" s="180"/>
      <c r="CQ44" s="180"/>
      <c r="CR44" s="180"/>
      <c r="CS44" s="180"/>
      <c r="DS44" s="180"/>
      <c r="DT44" s="180"/>
      <c r="DU44" s="180"/>
    </row>
    <row r="45" spans="1:125" s="54" customFormat="1" hidden="1">
      <c r="A45" s="135">
        <f t="shared" si="2"/>
        <v>0</v>
      </c>
      <c r="B45" s="178" t="str">
        <f t="shared" si="3"/>
        <v/>
      </c>
      <c r="C45" s="178" t="str">
        <f>IFERROR(IF(R45&gt;0,INDEX('M03-S03'!$BC$18:$BC$199,2*(ROWS($C$35:C45)-1)+1),""),"")</f>
        <v/>
      </c>
      <c r="D45" s="180" t="s">
        <v>1443</v>
      </c>
      <c r="E45" s="178">
        <f>IFERROR(INDEX('M03-S03'!$AZ$18:$AZ$199,2*(ROWS($E$35:E45)-1)+1),"")</f>
        <v>0</v>
      </c>
      <c r="F45" s="173">
        <f>IFERROR(INDEX('M03-S03'!$T$18:$T$199,2*(ROWS($F$35:F45)-1)+1),"")</f>
        <v>0</v>
      </c>
      <c r="G45" s="178">
        <f>IFERROR(INDEX('M03-S03'!$AB$18:$AB$199,2*(ROWS($G$35:G45)-1)+1),"")</f>
        <v>0</v>
      </c>
      <c r="H45" s="200">
        <f>IFERROR(INDEX('M03-S03'!$AE$18:$AE$199,2*(ROWS(H$35:H45)-1)+1),"")</f>
        <v>0</v>
      </c>
      <c r="I45" s="200">
        <f>IFERROR(INDEX('M03-S03'!$AG$18:$AG$199,2*(ROWS(I$35:I45)-1)+1),"")</f>
        <v>0</v>
      </c>
      <c r="J45" s="200">
        <f>IFERROR(INDEX('M03-S03'!$AT$18:$AT$199,2*(ROWS(J$35:J45)-1)+1),"")</f>
        <v>0</v>
      </c>
      <c r="K45" s="178" t="s">
        <v>84</v>
      </c>
      <c r="L45" s="116">
        <f>IFERROR(ROUND(INDEX('M03-S03'!$O$18:$O$199,2*(ROWS(L$35:L45)-1)+1),3),"")</f>
        <v>0</v>
      </c>
      <c r="M45" s="116">
        <f>IFERROR(ROUND(INDEX('M03-S03'!$O$18:$O$199,2*(ROWS(M$35:M45)-1)+1),3),"")</f>
        <v>0</v>
      </c>
      <c r="N45" s="415">
        <f>IFERROR(INDEX('M03-S03'!$AV$18:$AV$199,2*(ROWS(N$35:N45)-1)+1),"")</f>
        <v>0</v>
      </c>
      <c r="O45" s="415">
        <f>IFERROR(INDEX('M03-S03'!$BA$18:$BA$199,2*(ROWS(O$35:O45)-1)+1),"")</f>
        <v>0</v>
      </c>
      <c r="P45" s="415">
        <f>IFERROR(INDEX('M03-S03'!$AW$18:$AW$199,2*(ROWS(P$35:P45)-1)+1),"")</f>
        <v>0</v>
      </c>
      <c r="Q45" s="415">
        <f>IFERROR(INDEX('M03-S03'!$BB$18:$BB$199,2*(ROWS(Q$35:Q45)-1)+1),"")</f>
        <v>0</v>
      </c>
      <c r="R45" s="200">
        <f>IFERROR(INDEX('M03-S03'!$AN$18:$AN$199,2*(ROWS(R$35:R45)-1)+1),"")</f>
        <v>0</v>
      </c>
      <c r="S45" s="405"/>
      <c r="T45" s="405"/>
      <c r="U45" s="405"/>
      <c r="V45" s="325"/>
      <c r="W45" s="417"/>
      <c r="X45" s="417"/>
      <c r="Y45" s="408"/>
      <c r="Z45" s="408"/>
      <c r="AA45" s="418"/>
      <c r="AB45" s="418"/>
      <c r="AC45" s="325"/>
      <c r="AD45" s="415">
        <f>IFERROR(INDEX('M03-S03'!$AX$18:$AX$199,2*(ROWS(AD$35:AD45)-1)+1),"")</f>
        <v>0</v>
      </c>
      <c r="AE45" s="415">
        <f>IFERROR(INDEX('M03-S03'!$AY$18:$AY$199,2*(ROWS(AE$35:AE45)-1)+1),"")</f>
        <v>0</v>
      </c>
      <c r="AF45" s="408"/>
      <c r="AG45" s="408"/>
      <c r="AH45" s="173">
        <f>IFERROR(INDEX('M03-S03'!$Q$18:$Q$199,2*(ROWS(AH$35:AH45)-1)+1),"")</f>
        <v>0</v>
      </c>
      <c r="AI45" s="178">
        <f>IFERROR(INDEX('M03-S03'!$B$18:$B$199,2*(ROWS(AI$35:AI45)-1)+1),"")</f>
        <v>0</v>
      </c>
      <c r="AJ45" s="325"/>
      <c r="AK45" s="178">
        <f>IFERROR(INDEX('M03-S03'!$C$18:$C$199,2*(ROWS(AK$35:AK45)-1)+1),"")</f>
        <v>0</v>
      </c>
      <c r="AL45" s="325"/>
      <c r="AM45" s="178">
        <f>IFERROR(INDEX('M03-S03'!$X$18:$X$199,2*(ROWS(AM$35:AM45)-1)+1),"")</f>
        <v>0</v>
      </c>
      <c r="AN45" s="405"/>
      <c r="AO45" s="405"/>
      <c r="AP45" s="178">
        <f>IFERROR(INDEX('M03-S03'!$AU$18:$AU$199,2*(ROWS(AP$35:AP45)-1)+1),"")</f>
        <v>0</v>
      </c>
      <c r="AQ45" s="325"/>
      <c r="AR45" s="178" t="str">
        <f>IFERROR(INDEX(STDLIGHTCONT[Reporting Methodology],MATCH(EXPORT!C45,STDLIGHTCONT[Measure Number],0)),"")</f>
        <v/>
      </c>
      <c r="AS45" s="178" t="str">
        <f>IFERROR(INDEX(STDLIGHTCONT[Primary Key],MATCH(C45,STDLIGHTCONT[Measure Number],0)),"")</f>
        <v/>
      </c>
      <c r="AT45" s="200" t="str">
        <f>IFERROR(INDEX('M03-S03'!$AN$18:$AN$199,2*(ROWS(AT$35:AT45)-1)+1)-MIN(INDEX('M03-S03'!$AT$18:$AT$199,2*(ROWS(AT$35:AT45)-1)+1),(ROUND(INDEX('M03-S03'!$O$18:$O$199,2*(ROWS(AT$35:AT45)-1)+1),3)*INDEX(STDLIGHTCONT[Previous Incentive],MATCH('M03-S03'!C38,STDLIGHTCONT[Measure Name],0)))),"")</f>
        <v/>
      </c>
      <c r="AU45" s="278"/>
      <c r="AV45" s="278"/>
      <c r="AW45" s="278"/>
      <c r="AX45" s="278"/>
      <c r="AY45" s="278"/>
      <c r="AZ45" s="278"/>
      <c r="BA45" s="278"/>
      <c r="BB45" s="278"/>
      <c r="BC45" s="278"/>
      <c r="BD45" s="278"/>
      <c r="BE45" s="279"/>
      <c r="BL45" s="180"/>
      <c r="BP45" s="180"/>
      <c r="BQ45" s="180"/>
      <c r="BR45" s="180"/>
      <c r="CD45" s="180"/>
      <c r="CE45" s="180"/>
      <c r="CF45" s="180"/>
      <c r="CH45" s="180"/>
      <c r="CI45" s="180"/>
      <c r="CJ45" s="180"/>
      <c r="CK45" s="180"/>
      <c r="CL45" s="180"/>
      <c r="CM45" s="180"/>
      <c r="CN45" s="180"/>
      <c r="CQ45" s="180"/>
      <c r="CR45" s="180"/>
      <c r="CS45" s="180"/>
      <c r="DS45" s="180"/>
      <c r="DT45" s="180"/>
      <c r="DU45" s="180"/>
    </row>
    <row r="46" spans="1:125" s="54" customFormat="1" hidden="1">
      <c r="A46" s="135">
        <f t="shared" si="2"/>
        <v>0</v>
      </c>
      <c r="B46" s="178" t="str">
        <f t="shared" si="3"/>
        <v/>
      </c>
      <c r="C46" s="178" t="str">
        <f>IFERROR(IF(R46&gt;0,INDEX('M03-S03'!$BC$18:$BC$199,2*(ROWS($C$35:C46)-1)+1),""),"")</f>
        <v/>
      </c>
      <c r="D46" s="180" t="s">
        <v>1443</v>
      </c>
      <c r="E46" s="178">
        <f>IFERROR(INDEX('M03-S03'!$AZ$18:$AZ$199,2*(ROWS($E$35:E46)-1)+1),"")</f>
        <v>0</v>
      </c>
      <c r="F46" s="173">
        <f>IFERROR(INDEX('M03-S03'!$T$18:$T$199,2*(ROWS($F$35:F46)-1)+1),"")</f>
        <v>0</v>
      </c>
      <c r="G46" s="178">
        <f>IFERROR(INDEX('M03-S03'!$AB$18:$AB$199,2*(ROWS($G$35:G46)-1)+1),"")</f>
        <v>0</v>
      </c>
      <c r="H46" s="200">
        <f>IFERROR(INDEX('M03-S03'!$AE$18:$AE$199,2*(ROWS(H$35:H46)-1)+1),"")</f>
        <v>0</v>
      </c>
      <c r="I46" s="200">
        <f>IFERROR(INDEX('M03-S03'!$AG$18:$AG$199,2*(ROWS(I$35:I46)-1)+1),"")</f>
        <v>0</v>
      </c>
      <c r="J46" s="200">
        <f>IFERROR(INDEX('M03-S03'!$AT$18:$AT$199,2*(ROWS(J$35:J46)-1)+1),"")</f>
        <v>0</v>
      </c>
      <c r="K46" s="178" t="s">
        <v>84</v>
      </c>
      <c r="L46" s="116">
        <f>IFERROR(ROUND(INDEX('M03-S03'!$O$18:$O$199,2*(ROWS(L$35:L46)-1)+1),3),"")</f>
        <v>0</v>
      </c>
      <c r="M46" s="116">
        <f>IFERROR(ROUND(INDEX('M03-S03'!$O$18:$O$199,2*(ROWS(M$35:M46)-1)+1),3),"")</f>
        <v>0</v>
      </c>
      <c r="N46" s="415">
        <f>IFERROR(INDEX('M03-S03'!$AV$18:$AV$199,2*(ROWS(N$35:N46)-1)+1),"")</f>
        <v>0</v>
      </c>
      <c r="O46" s="415">
        <f>IFERROR(INDEX('M03-S03'!$BA$18:$BA$199,2*(ROWS(O$35:O46)-1)+1),"")</f>
        <v>0</v>
      </c>
      <c r="P46" s="415">
        <f>IFERROR(INDEX('M03-S03'!$AW$18:$AW$199,2*(ROWS(P$35:P46)-1)+1),"")</f>
        <v>0</v>
      </c>
      <c r="Q46" s="415">
        <f>IFERROR(INDEX('M03-S03'!$BB$18:$BB$199,2*(ROWS(Q$35:Q46)-1)+1),"")</f>
        <v>0</v>
      </c>
      <c r="R46" s="200">
        <f>IFERROR(INDEX('M03-S03'!$AN$18:$AN$199,2*(ROWS(R$35:R46)-1)+1),"")</f>
        <v>0</v>
      </c>
      <c r="S46" s="405"/>
      <c r="T46" s="405"/>
      <c r="U46" s="405"/>
      <c r="V46" s="325"/>
      <c r="W46" s="417"/>
      <c r="X46" s="417"/>
      <c r="Y46" s="408"/>
      <c r="Z46" s="408"/>
      <c r="AA46" s="418"/>
      <c r="AB46" s="418"/>
      <c r="AC46" s="325"/>
      <c r="AD46" s="415">
        <f>IFERROR(INDEX('M03-S03'!$AX$18:$AX$199,2*(ROWS(AD$35:AD46)-1)+1),"")</f>
        <v>0</v>
      </c>
      <c r="AE46" s="415">
        <f>IFERROR(INDEX('M03-S03'!$AY$18:$AY$199,2*(ROWS(AE$35:AE46)-1)+1),"")</f>
        <v>0</v>
      </c>
      <c r="AF46" s="408"/>
      <c r="AG46" s="408"/>
      <c r="AH46" s="173">
        <f>IFERROR(INDEX('M03-S03'!$Q$18:$Q$199,2*(ROWS(AH$35:AH46)-1)+1),"")</f>
        <v>0</v>
      </c>
      <c r="AI46" s="178">
        <f>IFERROR(INDEX('M03-S03'!$B$18:$B$199,2*(ROWS(AI$35:AI46)-1)+1),"")</f>
        <v>0</v>
      </c>
      <c r="AJ46" s="325"/>
      <c r="AK46" s="178">
        <f>IFERROR(INDEX('M03-S03'!$C$18:$C$199,2*(ROWS(AK$35:AK46)-1)+1),"")</f>
        <v>0</v>
      </c>
      <c r="AL46" s="325"/>
      <c r="AM46" s="178">
        <f>IFERROR(INDEX('M03-S03'!$X$18:$X$199,2*(ROWS(AM$35:AM46)-1)+1),"")</f>
        <v>0</v>
      </c>
      <c r="AN46" s="405"/>
      <c r="AO46" s="405"/>
      <c r="AP46" s="178">
        <f>IFERROR(INDEX('M03-S03'!$AU$18:$AU$199,2*(ROWS(AP$35:AP46)-1)+1),"")</f>
        <v>0</v>
      </c>
      <c r="AQ46" s="325"/>
      <c r="AR46" s="178" t="str">
        <f>IFERROR(INDEX(STDLIGHTCONT[Reporting Methodology],MATCH(EXPORT!C46,STDLIGHTCONT[Measure Number],0)),"")</f>
        <v/>
      </c>
      <c r="AS46" s="178" t="str">
        <f>IFERROR(INDEX(STDLIGHTCONT[Primary Key],MATCH(C46,STDLIGHTCONT[Measure Number],0)),"")</f>
        <v/>
      </c>
      <c r="AT46" s="200" t="str">
        <f>IFERROR(INDEX('M03-S03'!$AN$18:$AN$199,2*(ROWS(AT$35:AT46)-1)+1)-MIN(INDEX('M03-S03'!$AT$18:$AT$199,2*(ROWS(AT$35:AT46)-1)+1),(ROUND(INDEX('M03-S03'!$O$18:$O$199,2*(ROWS(AT$35:AT46)-1)+1),3)*INDEX(STDLIGHTCONT[Previous Incentive],MATCH('M03-S03'!C40,STDLIGHTCONT[Measure Name],0)))),"")</f>
        <v/>
      </c>
      <c r="AU46" s="278"/>
      <c r="AV46" s="278"/>
      <c r="AW46" s="278"/>
      <c r="AX46" s="278"/>
      <c r="AY46" s="278"/>
      <c r="AZ46" s="278"/>
      <c r="BA46" s="278"/>
      <c r="BB46" s="278"/>
      <c r="BC46" s="278"/>
      <c r="BD46" s="278"/>
      <c r="BE46" s="279"/>
      <c r="BL46" s="180"/>
      <c r="BP46" s="180"/>
      <c r="BQ46" s="180"/>
      <c r="BR46" s="180"/>
      <c r="CD46" s="180"/>
      <c r="CE46" s="180"/>
      <c r="CF46" s="180"/>
      <c r="CH46" s="180"/>
      <c r="CI46" s="180"/>
      <c r="CJ46" s="180"/>
      <c r="CK46" s="180"/>
      <c r="CL46" s="180"/>
      <c r="CM46" s="180"/>
      <c r="CN46" s="180"/>
      <c r="CQ46" s="180"/>
      <c r="CR46" s="180"/>
      <c r="CS46" s="180"/>
      <c r="DS46" s="180"/>
      <c r="DT46" s="180"/>
      <c r="DU46" s="180"/>
    </row>
    <row r="47" spans="1:125" s="54" customFormat="1" hidden="1">
      <c r="A47" s="135">
        <f t="shared" si="2"/>
        <v>0</v>
      </c>
      <c r="B47" s="178" t="str">
        <f t="shared" si="3"/>
        <v/>
      </c>
      <c r="C47" s="178" t="str">
        <f>IFERROR(IF(R47&gt;0,INDEX('M03-S03'!$BC$18:$BC$199,2*(ROWS($C$35:C47)-1)+1),""),"")</f>
        <v/>
      </c>
      <c r="D47" s="180" t="s">
        <v>1443</v>
      </c>
      <c r="E47" s="178">
        <f>IFERROR(INDEX('M03-S03'!$AZ$18:$AZ$199,2*(ROWS($E$35:E47)-1)+1),"")</f>
        <v>0</v>
      </c>
      <c r="F47" s="173">
        <f>IFERROR(INDEX('M03-S03'!$T$18:$T$199,2*(ROWS($F$35:F47)-1)+1),"")</f>
        <v>0</v>
      </c>
      <c r="G47" s="178">
        <f>IFERROR(INDEX('M03-S03'!$AB$18:$AB$199,2*(ROWS($G$35:G47)-1)+1),"")</f>
        <v>0</v>
      </c>
      <c r="H47" s="200">
        <f>IFERROR(INDEX('M03-S03'!$AE$18:$AE$199,2*(ROWS(H$35:H47)-1)+1),"")</f>
        <v>0</v>
      </c>
      <c r="I47" s="200">
        <f>IFERROR(INDEX('M03-S03'!$AG$18:$AG$199,2*(ROWS(I$35:I47)-1)+1),"")</f>
        <v>0</v>
      </c>
      <c r="J47" s="200">
        <f>IFERROR(INDEX('M03-S03'!$AT$18:$AT$199,2*(ROWS(J$35:J47)-1)+1),"")</f>
        <v>0</v>
      </c>
      <c r="K47" s="178" t="s">
        <v>84</v>
      </c>
      <c r="L47" s="116">
        <f>IFERROR(ROUND(INDEX('M03-S03'!$O$18:$O$199,2*(ROWS(L$35:L47)-1)+1),3),"")</f>
        <v>0</v>
      </c>
      <c r="M47" s="116">
        <f>IFERROR(ROUND(INDEX('M03-S03'!$O$18:$O$199,2*(ROWS(M$35:M47)-1)+1),3),"")</f>
        <v>0</v>
      </c>
      <c r="N47" s="415">
        <f>IFERROR(INDEX('M03-S03'!$AV$18:$AV$199,2*(ROWS(N$35:N47)-1)+1),"")</f>
        <v>0</v>
      </c>
      <c r="O47" s="415">
        <f>IFERROR(INDEX('M03-S03'!$BA$18:$BA$199,2*(ROWS(O$35:O47)-1)+1),"")</f>
        <v>0</v>
      </c>
      <c r="P47" s="415">
        <f>IFERROR(INDEX('M03-S03'!$AW$18:$AW$199,2*(ROWS(P$35:P47)-1)+1),"")</f>
        <v>0</v>
      </c>
      <c r="Q47" s="415">
        <f>IFERROR(INDEX('M03-S03'!$BB$18:$BB$199,2*(ROWS(Q$35:Q47)-1)+1),"")</f>
        <v>0</v>
      </c>
      <c r="R47" s="200">
        <f>IFERROR(INDEX('M03-S03'!$AN$18:$AN$199,2*(ROWS(R$35:R47)-1)+1),"")</f>
        <v>0</v>
      </c>
      <c r="S47" s="405"/>
      <c r="T47" s="405"/>
      <c r="U47" s="405"/>
      <c r="V47" s="325"/>
      <c r="W47" s="417"/>
      <c r="X47" s="417"/>
      <c r="Y47" s="408"/>
      <c r="Z47" s="408"/>
      <c r="AA47" s="418"/>
      <c r="AB47" s="418"/>
      <c r="AC47" s="325"/>
      <c r="AD47" s="415">
        <f>IFERROR(INDEX('M03-S03'!$AX$18:$AX$199,2*(ROWS(AD$35:AD47)-1)+1),"")</f>
        <v>0</v>
      </c>
      <c r="AE47" s="415">
        <f>IFERROR(INDEX('M03-S03'!$AY$18:$AY$199,2*(ROWS(AE$35:AE47)-1)+1),"")</f>
        <v>0</v>
      </c>
      <c r="AF47" s="408"/>
      <c r="AG47" s="408"/>
      <c r="AH47" s="173">
        <f>IFERROR(INDEX('M03-S03'!$Q$18:$Q$199,2*(ROWS(AH$35:AH47)-1)+1),"")</f>
        <v>0</v>
      </c>
      <c r="AI47" s="178">
        <f>IFERROR(INDEX('M03-S03'!$B$18:$B$199,2*(ROWS(AI$35:AI47)-1)+1),"")</f>
        <v>0</v>
      </c>
      <c r="AJ47" s="325"/>
      <c r="AK47" s="178">
        <f>IFERROR(INDEX('M03-S03'!$C$18:$C$199,2*(ROWS(AK$35:AK47)-1)+1),"")</f>
        <v>0</v>
      </c>
      <c r="AL47" s="325"/>
      <c r="AM47" s="178">
        <f>IFERROR(INDEX('M03-S03'!$X$18:$X$199,2*(ROWS(AM$35:AM47)-1)+1),"")</f>
        <v>0</v>
      </c>
      <c r="AN47" s="405"/>
      <c r="AO47" s="405"/>
      <c r="AP47" s="178">
        <f>IFERROR(INDEX('M03-S03'!$AU$18:$AU$199,2*(ROWS(AP$35:AP47)-1)+1),"")</f>
        <v>0</v>
      </c>
      <c r="AQ47" s="325"/>
      <c r="AR47" s="178" t="str">
        <f>IFERROR(INDEX(STDLIGHTCONT[Reporting Methodology],MATCH(EXPORT!C47,STDLIGHTCONT[Measure Number],0)),"")</f>
        <v/>
      </c>
      <c r="AS47" s="178" t="str">
        <f>IFERROR(INDEX(STDLIGHTCONT[Primary Key],MATCH(C47,STDLIGHTCONT[Measure Number],0)),"")</f>
        <v/>
      </c>
      <c r="AT47" s="200" t="str">
        <f>IFERROR(INDEX('M03-S03'!$AN$18:$AN$199,2*(ROWS(AT$35:AT47)-1)+1)-MIN(INDEX('M03-S03'!$AT$18:$AT$199,2*(ROWS(AT$35:AT47)-1)+1),(ROUND(INDEX('M03-S03'!$O$18:$O$199,2*(ROWS(AT$35:AT47)-1)+1),3)*INDEX(STDLIGHTCONT[Previous Incentive],MATCH('M03-S03'!C42,STDLIGHTCONT[Measure Name],0)))),"")</f>
        <v/>
      </c>
      <c r="AU47" s="278"/>
      <c r="AV47" s="278"/>
      <c r="AW47" s="278"/>
      <c r="AX47" s="278"/>
      <c r="AY47" s="278"/>
      <c r="AZ47" s="278"/>
      <c r="BA47" s="278"/>
      <c r="BB47" s="278"/>
      <c r="BC47" s="278"/>
      <c r="BD47" s="278"/>
      <c r="BE47" s="279"/>
      <c r="BL47" s="180"/>
      <c r="BP47" s="180"/>
      <c r="BQ47" s="180"/>
      <c r="BR47" s="180"/>
      <c r="CD47" s="180"/>
      <c r="CE47" s="180"/>
      <c r="CF47" s="180"/>
      <c r="CH47" s="180"/>
      <c r="CI47" s="180"/>
      <c r="CJ47" s="180"/>
      <c r="CK47" s="180"/>
      <c r="CL47" s="180"/>
      <c r="CM47" s="180"/>
      <c r="CN47" s="180"/>
      <c r="CQ47" s="180"/>
      <c r="CR47" s="180"/>
      <c r="CS47" s="180"/>
      <c r="DS47" s="180"/>
      <c r="DT47" s="180"/>
      <c r="DU47" s="180"/>
    </row>
    <row r="48" spans="1:125" s="54" customFormat="1" hidden="1">
      <c r="A48" s="135">
        <f t="shared" si="2"/>
        <v>0</v>
      </c>
      <c r="B48" s="178" t="str">
        <f t="shared" si="3"/>
        <v/>
      </c>
      <c r="C48" s="178" t="str">
        <f>IFERROR(IF(R48&gt;0,INDEX('M03-S03'!$BC$18:$BC$199,2*(ROWS($C$35:C48)-1)+1),""),"")</f>
        <v/>
      </c>
      <c r="D48" s="180" t="s">
        <v>1443</v>
      </c>
      <c r="E48" s="178">
        <f>IFERROR(INDEX('M03-S03'!$AZ$18:$AZ$199,2*(ROWS($E$35:E48)-1)+1),"")</f>
        <v>0</v>
      </c>
      <c r="F48" s="173">
        <f>IFERROR(INDEX('M03-S03'!$T$18:$T$199,2*(ROWS($F$35:F48)-1)+1),"")</f>
        <v>0</v>
      </c>
      <c r="G48" s="178">
        <f>IFERROR(INDEX('M03-S03'!$AB$18:$AB$199,2*(ROWS($G$35:G48)-1)+1),"")</f>
        <v>0</v>
      </c>
      <c r="H48" s="200">
        <f>IFERROR(INDEX('M03-S03'!$AE$18:$AE$199,2*(ROWS(H$35:H48)-1)+1),"")</f>
        <v>0</v>
      </c>
      <c r="I48" s="200">
        <f>IFERROR(INDEX('M03-S03'!$AG$18:$AG$199,2*(ROWS(I$35:I48)-1)+1),"")</f>
        <v>0</v>
      </c>
      <c r="J48" s="200">
        <f>IFERROR(INDEX('M03-S03'!$AT$18:$AT$199,2*(ROWS(J$35:J48)-1)+1),"")</f>
        <v>0</v>
      </c>
      <c r="K48" s="178" t="s">
        <v>84</v>
      </c>
      <c r="L48" s="116">
        <f>IFERROR(ROUND(INDEX('M03-S03'!$O$18:$O$199,2*(ROWS(L$35:L48)-1)+1),3),"")</f>
        <v>0</v>
      </c>
      <c r="M48" s="116">
        <f>IFERROR(ROUND(INDEX('M03-S03'!$O$18:$O$199,2*(ROWS(M$35:M48)-1)+1),3),"")</f>
        <v>0</v>
      </c>
      <c r="N48" s="415">
        <f>IFERROR(INDEX('M03-S03'!$AV$18:$AV$199,2*(ROWS(N$35:N48)-1)+1),"")</f>
        <v>0</v>
      </c>
      <c r="O48" s="415">
        <f>IFERROR(INDEX('M03-S03'!$BA$18:$BA$199,2*(ROWS(O$35:O48)-1)+1),"")</f>
        <v>0</v>
      </c>
      <c r="P48" s="415">
        <f>IFERROR(INDEX('M03-S03'!$AW$18:$AW$199,2*(ROWS(P$35:P48)-1)+1),"")</f>
        <v>0</v>
      </c>
      <c r="Q48" s="415">
        <f>IFERROR(INDEX('M03-S03'!$BB$18:$BB$199,2*(ROWS(Q$35:Q48)-1)+1),"")</f>
        <v>0</v>
      </c>
      <c r="R48" s="200">
        <f>IFERROR(INDEX('M03-S03'!$AN$18:$AN$199,2*(ROWS(R$35:R48)-1)+1),"")</f>
        <v>0</v>
      </c>
      <c r="S48" s="405"/>
      <c r="T48" s="405"/>
      <c r="U48" s="405"/>
      <c r="V48" s="325"/>
      <c r="W48" s="417"/>
      <c r="X48" s="417"/>
      <c r="Y48" s="408"/>
      <c r="Z48" s="408"/>
      <c r="AA48" s="418"/>
      <c r="AB48" s="418"/>
      <c r="AC48" s="325"/>
      <c r="AD48" s="415">
        <f>IFERROR(INDEX('M03-S03'!$AX$18:$AX$199,2*(ROWS(AD$35:AD48)-1)+1),"")</f>
        <v>0</v>
      </c>
      <c r="AE48" s="415">
        <f>IFERROR(INDEX('M03-S03'!$AY$18:$AY$199,2*(ROWS(AE$35:AE48)-1)+1),"")</f>
        <v>0</v>
      </c>
      <c r="AF48" s="408"/>
      <c r="AG48" s="408"/>
      <c r="AH48" s="173">
        <f>IFERROR(INDEX('M03-S03'!$Q$18:$Q$199,2*(ROWS(AH$35:AH48)-1)+1),"")</f>
        <v>0</v>
      </c>
      <c r="AI48" s="178">
        <f>IFERROR(INDEX('M03-S03'!$B$18:$B$199,2*(ROWS(AI$35:AI48)-1)+1),"")</f>
        <v>0</v>
      </c>
      <c r="AJ48" s="325"/>
      <c r="AK48" s="178">
        <f>IFERROR(INDEX('M03-S03'!$C$18:$C$199,2*(ROWS(AK$35:AK48)-1)+1),"")</f>
        <v>0</v>
      </c>
      <c r="AL48" s="325"/>
      <c r="AM48" s="178">
        <f>IFERROR(INDEX('M03-S03'!$X$18:$X$199,2*(ROWS(AM$35:AM48)-1)+1),"")</f>
        <v>0</v>
      </c>
      <c r="AN48" s="405"/>
      <c r="AO48" s="405"/>
      <c r="AP48" s="178">
        <f>IFERROR(INDEX('M03-S03'!$AU$18:$AU$199,2*(ROWS(AP$35:AP48)-1)+1),"")</f>
        <v>0</v>
      </c>
      <c r="AQ48" s="325"/>
      <c r="AR48" s="178" t="str">
        <f>IFERROR(INDEX(STDLIGHTCONT[Reporting Methodology],MATCH(EXPORT!C48,STDLIGHTCONT[Measure Number],0)),"")</f>
        <v/>
      </c>
      <c r="AS48" s="178" t="str">
        <f>IFERROR(INDEX(STDLIGHTCONT[Primary Key],MATCH(C48,STDLIGHTCONT[Measure Number],0)),"")</f>
        <v/>
      </c>
      <c r="AT48" s="200" t="str">
        <f>IFERROR(INDEX('M03-S03'!$AN$18:$AN$199,2*(ROWS(AT$35:AT48)-1)+1)-MIN(INDEX('M03-S03'!$AT$18:$AT$199,2*(ROWS(AT$35:AT48)-1)+1),(ROUND(INDEX('M03-S03'!$O$18:$O$199,2*(ROWS(AT$35:AT48)-1)+1),3)*INDEX(STDLIGHTCONT[Previous Incentive],MATCH('M03-S03'!C44,STDLIGHTCONT[Measure Name],0)))),"")</f>
        <v/>
      </c>
      <c r="AU48" s="278"/>
      <c r="AV48" s="278"/>
      <c r="AW48" s="278"/>
      <c r="AX48" s="278"/>
      <c r="AY48" s="278"/>
      <c r="AZ48" s="278"/>
      <c r="BA48" s="278"/>
      <c r="BB48" s="278"/>
      <c r="BC48" s="278"/>
      <c r="BD48" s="278"/>
      <c r="BE48" s="279"/>
      <c r="BL48" s="180"/>
      <c r="BP48" s="180"/>
      <c r="BQ48" s="180"/>
      <c r="BR48" s="180"/>
      <c r="CD48" s="180"/>
      <c r="CE48" s="180"/>
      <c r="CF48" s="180"/>
      <c r="CH48" s="180"/>
      <c r="CI48" s="180"/>
      <c r="CJ48" s="180"/>
      <c r="CK48" s="180"/>
      <c r="CL48" s="180"/>
      <c r="CM48" s="180"/>
      <c r="CN48" s="180"/>
      <c r="CQ48" s="180"/>
      <c r="CR48" s="180"/>
      <c r="CS48" s="180"/>
      <c r="DS48" s="180"/>
      <c r="DT48" s="180"/>
      <c r="DU48" s="180"/>
    </row>
    <row r="49" spans="1:125" s="54" customFormat="1" hidden="1">
      <c r="A49" s="135">
        <f t="shared" si="2"/>
        <v>0</v>
      </c>
      <c r="B49" s="178" t="str">
        <f t="shared" si="3"/>
        <v/>
      </c>
      <c r="C49" s="178" t="str">
        <f>IFERROR(IF(R49&gt;0,INDEX('M03-S03'!$BC$18:$BC$199,2*(ROWS($C$35:C49)-1)+1),""),"")</f>
        <v/>
      </c>
      <c r="D49" s="180" t="s">
        <v>1443</v>
      </c>
      <c r="E49" s="178">
        <f>IFERROR(INDEX('M03-S03'!$AZ$18:$AZ$199,2*(ROWS($E$35:E49)-1)+1),"")</f>
        <v>0</v>
      </c>
      <c r="F49" s="173">
        <f>IFERROR(INDEX('M03-S03'!$T$18:$T$199,2*(ROWS($F$35:F49)-1)+1),"")</f>
        <v>0</v>
      </c>
      <c r="G49" s="178">
        <f>IFERROR(INDEX('M03-S03'!$AB$18:$AB$199,2*(ROWS($G$35:G49)-1)+1),"")</f>
        <v>0</v>
      </c>
      <c r="H49" s="200">
        <f>IFERROR(INDEX('M03-S03'!$AE$18:$AE$199,2*(ROWS(H$35:H49)-1)+1),"")</f>
        <v>0</v>
      </c>
      <c r="I49" s="200">
        <f>IFERROR(INDEX('M03-S03'!$AG$18:$AG$199,2*(ROWS(I$35:I49)-1)+1),"")</f>
        <v>0</v>
      </c>
      <c r="J49" s="200">
        <f>IFERROR(INDEX('M03-S03'!$AT$18:$AT$199,2*(ROWS(J$35:J49)-1)+1),"")</f>
        <v>0</v>
      </c>
      <c r="K49" s="178" t="s">
        <v>84</v>
      </c>
      <c r="L49" s="116">
        <f>IFERROR(ROUND(INDEX('M03-S03'!$O$18:$O$199,2*(ROWS(L$35:L49)-1)+1),3),"")</f>
        <v>0</v>
      </c>
      <c r="M49" s="116">
        <f>IFERROR(ROUND(INDEX('M03-S03'!$O$18:$O$199,2*(ROWS(M$35:M49)-1)+1),3),"")</f>
        <v>0</v>
      </c>
      <c r="N49" s="415">
        <f>IFERROR(INDEX('M03-S03'!$AV$18:$AV$199,2*(ROWS(N$35:N49)-1)+1),"")</f>
        <v>0</v>
      </c>
      <c r="O49" s="415">
        <f>IFERROR(INDEX('M03-S03'!$BA$18:$BA$199,2*(ROWS(O$35:O49)-1)+1),"")</f>
        <v>0</v>
      </c>
      <c r="P49" s="415">
        <f>IFERROR(INDEX('M03-S03'!$AW$18:$AW$199,2*(ROWS(P$35:P49)-1)+1),"")</f>
        <v>0</v>
      </c>
      <c r="Q49" s="415">
        <f>IFERROR(INDEX('M03-S03'!$BB$18:$BB$199,2*(ROWS(Q$35:Q49)-1)+1),"")</f>
        <v>0</v>
      </c>
      <c r="R49" s="200">
        <f>IFERROR(INDEX('M03-S03'!$AN$18:$AN$199,2*(ROWS(R$35:R49)-1)+1),"")</f>
        <v>0</v>
      </c>
      <c r="S49" s="405"/>
      <c r="T49" s="405"/>
      <c r="U49" s="405"/>
      <c r="V49" s="325"/>
      <c r="W49" s="417"/>
      <c r="X49" s="417"/>
      <c r="Y49" s="408"/>
      <c r="Z49" s="408"/>
      <c r="AA49" s="418"/>
      <c r="AB49" s="418"/>
      <c r="AC49" s="325"/>
      <c r="AD49" s="415">
        <f>IFERROR(INDEX('M03-S03'!$AX$18:$AX$199,2*(ROWS(AD$35:AD49)-1)+1),"")</f>
        <v>0</v>
      </c>
      <c r="AE49" s="415">
        <f>IFERROR(INDEX('M03-S03'!$AY$18:$AY$199,2*(ROWS(AE$35:AE49)-1)+1),"")</f>
        <v>0</v>
      </c>
      <c r="AF49" s="408"/>
      <c r="AG49" s="408"/>
      <c r="AH49" s="173">
        <f>IFERROR(INDEX('M03-S03'!$Q$18:$Q$199,2*(ROWS(AH$35:AH49)-1)+1),"")</f>
        <v>0</v>
      </c>
      <c r="AI49" s="178">
        <f>IFERROR(INDEX('M03-S03'!$B$18:$B$199,2*(ROWS(AI$35:AI49)-1)+1),"")</f>
        <v>0</v>
      </c>
      <c r="AJ49" s="325"/>
      <c r="AK49" s="178">
        <f>IFERROR(INDEX('M03-S03'!$C$18:$C$199,2*(ROWS(AK$35:AK49)-1)+1),"")</f>
        <v>0</v>
      </c>
      <c r="AL49" s="325"/>
      <c r="AM49" s="178">
        <f>IFERROR(INDEX('M03-S03'!$X$18:$X$199,2*(ROWS(AM$35:AM49)-1)+1),"")</f>
        <v>0</v>
      </c>
      <c r="AN49" s="405"/>
      <c r="AO49" s="405"/>
      <c r="AP49" s="178">
        <f>IFERROR(INDEX('M03-S03'!$AU$18:$AU$199,2*(ROWS(AP$35:AP49)-1)+1),"")</f>
        <v>0</v>
      </c>
      <c r="AQ49" s="325"/>
      <c r="AR49" s="178" t="str">
        <f>IFERROR(INDEX(STDLIGHTCONT[Reporting Methodology],MATCH(EXPORT!C49,STDLIGHTCONT[Measure Number],0)),"")</f>
        <v/>
      </c>
      <c r="AS49" s="178" t="str">
        <f>IFERROR(INDEX(STDLIGHTCONT[Primary Key],MATCH(C49,STDLIGHTCONT[Measure Number],0)),"")</f>
        <v/>
      </c>
      <c r="AT49" s="200" t="str">
        <f>IFERROR(INDEX('M03-S03'!$AN$18:$AN$199,2*(ROWS(AT$35:AT49)-1)+1)-MIN(INDEX('M03-S03'!$AT$18:$AT$199,2*(ROWS(AT$35:AT49)-1)+1),(ROUND(INDEX('M03-S03'!$O$18:$O$199,2*(ROWS(AT$35:AT49)-1)+1),3)*INDEX(STDLIGHTCONT[Previous Incentive],MATCH('M03-S03'!C46,STDLIGHTCONT[Measure Name],0)))),"")</f>
        <v/>
      </c>
      <c r="AU49" s="278"/>
      <c r="AV49" s="278"/>
      <c r="AW49" s="278"/>
      <c r="AX49" s="278"/>
      <c r="AY49" s="278"/>
      <c r="AZ49" s="278"/>
      <c r="BA49" s="278"/>
      <c r="BB49" s="278"/>
      <c r="BC49" s="278"/>
      <c r="BD49" s="278"/>
      <c r="BE49" s="279"/>
      <c r="BL49" s="180"/>
      <c r="BP49" s="180"/>
      <c r="BQ49" s="180"/>
      <c r="BR49" s="180"/>
      <c r="CD49" s="180"/>
      <c r="CE49" s="180"/>
      <c r="CF49" s="180"/>
      <c r="CH49" s="180"/>
      <c r="CI49" s="180"/>
      <c r="CJ49" s="180"/>
      <c r="CK49" s="180"/>
      <c r="CL49" s="180"/>
      <c r="CM49" s="180"/>
      <c r="CN49" s="180"/>
      <c r="CQ49" s="180"/>
      <c r="CR49" s="180"/>
      <c r="CS49" s="180"/>
      <c r="DS49" s="180"/>
      <c r="DT49" s="180"/>
      <c r="DU49" s="180"/>
    </row>
    <row r="50" spans="1:125" s="331" customFormat="1">
      <c r="A50" s="428" t="str">
        <f>"Standard "&amp;M3S4</f>
        <v>Standard Refrigeration</v>
      </c>
      <c r="B50" s="327"/>
      <c r="C50" s="327"/>
      <c r="D50" s="327"/>
      <c r="E50" s="327"/>
      <c r="F50" s="407"/>
      <c r="G50" s="327"/>
      <c r="H50" s="403"/>
      <c r="I50" s="403"/>
      <c r="J50" s="403"/>
      <c r="K50" s="327"/>
      <c r="L50" s="411"/>
      <c r="M50" s="411"/>
      <c r="N50" s="414"/>
      <c r="O50" s="414"/>
      <c r="P50" s="414"/>
      <c r="Q50" s="414"/>
      <c r="R50" s="403"/>
      <c r="S50" s="403"/>
      <c r="T50" s="403"/>
      <c r="U50" s="403"/>
      <c r="V50" s="327"/>
      <c r="W50" s="411"/>
      <c r="X50" s="411"/>
      <c r="Y50" s="407"/>
      <c r="Z50" s="407"/>
      <c r="AA50" s="414"/>
      <c r="AB50" s="414"/>
      <c r="AC50" s="327"/>
      <c r="AD50" s="414"/>
      <c r="AE50" s="414"/>
      <c r="AF50" s="407"/>
      <c r="AG50" s="407"/>
      <c r="AH50" s="407"/>
      <c r="AI50" s="327"/>
      <c r="AJ50" s="327"/>
      <c r="AK50" s="328"/>
      <c r="AL50" s="327"/>
      <c r="AM50" s="327"/>
      <c r="AN50" s="403"/>
      <c r="AO50" s="403"/>
      <c r="AP50" s="327"/>
      <c r="AQ50" s="327"/>
      <c r="AR50" s="327"/>
      <c r="AS50" s="327"/>
      <c r="AT50" s="327"/>
      <c r="AU50" s="329"/>
      <c r="AV50" s="329"/>
      <c r="AW50" s="329"/>
      <c r="AX50" s="329"/>
      <c r="AY50" s="329"/>
      <c r="AZ50" s="329"/>
      <c r="BA50" s="329"/>
      <c r="BB50" s="329"/>
      <c r="BC50" s="329"/>
      <c r="BD50" s="329"/>
      <c r="BE50" s="330"/>
    </row>
    <row r="51" spans="1:125" s="54" customFormat="1" hidden="1">
      <c r="A51" s="135">
        <f t="shared" ref="A51:A65" si="4">PROJID</f>
        <v>0</v>
      </c>
      <c r="B51" s="178" t="str">
        <f>IF(C51="","",CONCATENATE(ROW(),"-",C51))</f>
        <v/>
      </c>
      <c r="C51" s="178" t="str">
        <f>IFERROR(IF(R51&gt;0,INDEX('M03-S04'!$BC$18:$BC$199,2*(ROWS($C$51:C51)-1)+1),""),"")</f>
        <v/>
      </c>
      <c r="D51" s="180" t="s">
        <v>1443</v>
      </c>
      <c r="E51" s="178" t="str">
        <f>IFERROR(INDEX('M03-S04'!$AZ$18:$AZ$199,2*(ROWS($E$51:E51)-1)+1),"")</f>
        <v/>
      </c>
      <c r="F51" s="408"/>
      <c r="G51" s="178">
        <f>IFERROR(INDEX('M03-S04'!$AA$18:$AA$199,2*(ROWS($G$51:G51)-1)+1),"")</f>
        <v>0</v>
      </c>
      <c r="H51" s="200">
        <f>IFERROR(INDEX('M03-S04'!$AE$18:$AE$199,2*(ROWS(H$51:H51)-1)+1),"")</f>
        <v>0</v>
      </c>
      <c r="I51" s="200">
        <f>IFERROR(INDEX('M03-S04'!$AG$18:$AG$199,2*(ROWS(I$51:I51)-1)+1),"")</f>
        <v>0</v>
      </c>
      <c r="J51" s="200" t="str">
        <f>IFERROR(INDEX('M03-S04'!$AT$18:$AT$199,2*(ROWS(J$51:J51)-1)+1),"")</f>
        <v/>
      </c>
      <c r="K51" s="178" t="s">
        <v>84</v>
      </c>
      <c r="L51" s="116">
        <f>IFERROR(ROUND(INDEX('M03-S04'!$U$18:$U$199,2*(ROWS(L$51:L51)-1)+1),3),"")</f>
        <v>0</v>
      </c>
      <c r="M51" s="116">
        <f>IFERROR(ROUND(INDEX('M03-S04'!$U$18:$U$199,2*(ROWS(M$51:M51)-1)+1),3),"")</f>
        <v>0</v>
      </c>
      <c r="N51" s="415" t="str">
        <f>IFERROR(INDEX('M03-S04'!$AV$18:$AV$199,2*(ROWS(N$51:N51)-1)+1),"")</f>
        <v/>
      </c>
      <c r="O51" s="415">
        <f>IFERROR(INDEX('M03-S04'!$BA$18:$BA$199,2*(ROWS(O$51:O51)-1)+1),"")</f>
        <v>0</v>
      </c>
      <c r="P51" s="415" t="str">
        <f>IFERROR(INDEX('M03-S04'!$AW$18:$AW$199,2*(ROWS(P$51:P51)-1)+1),"")</f>
        <v/>
      </c>
      <c r="Q51" s="415">
        <f>IFERROR(INDEX('M03-S04'!$BB$18:$BB$199,2*(ROWS(Q$51:Q51)-1)+1),"")</f>
        <v>0</v>
      </c>
      <c r="R51" s="200" t="str">
        <f>IFERROR(INDEX('M03-S04'!$AN$18:$AN$199,2*(ROWS(R$51:R51)-1)+1),"")</f>
        <v/>
      </c>
      <c r="S51" s="405"/>
      <c r="T51" s="405"/>
      <c r="U51" s="405"/>
      <c r="V51" s="325"/>
      <c r="W51" s="417"/>
      <c r="X51" s="417"/>
      <c r="Y51" s="408"/>
      <c r="Z51" s="408"/>
      <c r="AA51" s="418"/>
      <c r="AB51" s="418"/>
      <c r="AC51" s="325"/>
      <c r="AD51" s="415">
        <f>IFERROR(INDEX('M03-S04'!$AX$18:$AX$199,2*(ROWS(AD$51:AD51)-1)+1),"")</f>
        <v>0</v>
      </c>
      <c r="AE51" s="415">
        <f>IFERROR(INDEX('M03-S04'!$AY$18:$AY$199,2*(ROWS(AE$51:AE51)-1)+1),"")</f>
        <v>0</v>
      </c>
      <c r="AF51" s="408"/>
      <c r="AG51" s="408"/>
      <c r="AH51" s="408"/>
      <c r="AI51" s="178">
        <f>IFERROR(INDEX('M03-S04'!$B$18:$B$199,2*(ROWS(AI$51:AI51)-1)+1),"")</f>
        <v>1</v>
      </c>
      <c r="AJ51" s="325"/>
      <c r="AK51" s="178">
        <f>IFERROR(INDEX('M03-S04'!$C$18:$C$199,2*(ROWS(AK$51:AK51)-1)+1),"")</f>
        <v>0</v>
      </c>
      <c r="AL51" s="325"/>
      <c r="AM51" s="178">
        <f>IFERROR(INDEX('M03-S04'!$W$18:$W$199,2*(ROWS(AM$51:AM51)-1)+1),"")</f>
        <v>0</v>
      </c>
      <c r="AN51" s="405"/>
      <c r="AO51" s="405"/>
      <c r="AP51" s="178" t="str">
        <f>IFERROR(INDEX('M03-S04'!$AU$18:$AU$199,2*(ROWS(AP$51:AP51)-1)+1),"")</f>
        <v/>
      </c>
      <c r="AQ51" s="325"/>
      <c r="AR51" s="178" t="str">
        <f>IFERROR(INDEX(STDREFRIG[Reporting Methodology],MATCH(EXPORT!C51,STDREFRIG[Measure Number],0)),"")</f>
        <v/>
      </c>
      <c r="AS51" s="178" t="str">
        <f>IFERROR(INDEX(STDREFRIG[Primary Key],MATCH(C51,STDREFRIG[Measure Number],0)),"")</f>
        <v/>
      </c>
      <c r="AT51" s="200" t="str">
        <f>IFERROR(INDEX('M03-S04'!$AN$18:$AN$199,2*(ROWS(AT$51:AT51)-1)+1)-MIN(INDEX('M03-S04'!$AT$18:$AT$199,2*(ROWS(AT$51:AT51)-1)+1),(ROUND(INDEX('M03-S04'!$U$18:$U$199,2*(ROWS(AT$51:AT51)-1)+1),3)*INDEX(STDREFRIG[Previous Incentive],MATCH('M03-S04'!C18,STDREFRIG[Measure Name],0)))),"")</f>
        <v/>
      </c>
      <c r="AU51" s="278"/>
      <c r="AV51" s="278"/>
      <c r="AW51" s="278"/>
      <c r="AX51" s="278"/>
      <c r="AY51" s="278"/>
      <c r="AZ51" s="278"/>
      <c r="BA51" s="278"/>
      <c r="BB51" s="278"/>
      <c r="BC51" s="278"/>
      <c r="BD51" s="278"/>
      <c r="BE51" s="279"/>
      <c r="BL51" s="180"/>
      <c r="BP51" s="180"/>
      <c r="BQ51" s="180"/>
      <c r="BR51" s="180"/>
      <c r="CD51" s="180"/>
      <c r="CE51" s="180"/>
      <c r="CF51" s="180"/>
      <c r="CH51" s="180"/>
      <c r="CI51" s="180"/>
      <c r="CJ51" s="180"/>
      <c r="CK51" s="180"/>
      <c r="CL51" s="180"/>
      <c r="CM51" s="180"/>
      <c r="CN51" s="180"/>
      <c r="CQ51" s="180"/>
      <c r="CR51" s="180"/>
      <c r="CS51" s="180"/>
      <c r="DS51" s="180"/>
      <c r="DT51" s="180"/>
      <c r="DU51" s="180"/>
    </row>
    <row r="52" spans="1:125" s="54" customFormat="1" hidden="1">
      <c r="A52" s="135">
        <f t="shared" si="4"/>
        <v>0</v>
      </c>
      <c r="B52" s="178" t="str">
        <f t="shared" ref="B52:B65" si="5">IF(C52="","",CONCATENATE(ROW(),"-",C52))</f>
        <v/>
      </c>
      <c r="C52" s="178" t="str">
        <f>IFERROR(IF(R52&gt;0,INDEX('M03-S04'!$BC$18:$BC$199,2*(ROWS($C$51:C52)-1)+1),""),"")</f>
        <v/>
      </c>
      <c r="D52" s="180" t="s">
        <v>1443</v>
      </c>
      <c r="E52" s="178" t="str">
        <f>IFERROR(INDEX('M03-S04'!$AZ$18:$AZ$199,2*(ROWS($E$51:E52)-1)+1),"")</f>
        <v/>
      </c>
      <c r="F52" s="408"/>
      <c r="G52" s="178">
        <f>IFERROR(INDEX('M03-S04'!$AA$18:$AA$199,2*(ROWS($G$51:G52)-1)+1),"")</f>
        <v>0</v>
      </c>
      <c r="H52" s="200">
        <f>IFERROR(INDEX('M03-S04'!$AE$18:$AE$199,2*(ROWS(H$51:H52)-1)+1),"")</f>
        <v>0</v>
      </c>
      <c r="I52" s="200">
        <f>IFERROR(INDEX('M03-S04'!$AG$18:$AG$199,2*(ROWS(I$51:I52)-1)+1),"")</f>
        <v>0</v>
      </c>
      <c r="J52" s="200" t="str">
        <f>IFERROR(INDEX('M03-S04'!$AT$18:$AT$199,2*(ROWS(J$51:J52)-1)+1),"")</f>
        <v/>
      </c>
      <c r="K52" s="178" t="s">
        <v>84</v>
      </c>
      <c r="L52" s="116">
        <f>IFERROR(ROUND(INDEX('M03-S04'!$U$18:$U$199,2*(ROWS(L$51:L52)-1)+1),3),"")</f>
        <v>0</v>
      </c>
      <c r="M52" s="116">
        <f>IFERROR(ROUND(INDEX('M03-S04'!$U$18:$U$199,2*(ROWS(M$51:M52)-1)+1),3),"")</f>
        <v>0</v>
      </c>
      <c r="N52" s="415" t="str">
        <f>IFERROR(INDEX('M03-S04'!$AV$18:$AV$199,2*(ROWS(N$51:N52)-1)+1),"")</f>
        <v/>
      </c>
      <c r="O52" s="415">
        <f>IFERROR(INDEX('M03-S04'!$BA$18:$BA$199,2*(ROWS(O$51:O52)-1)+1),"")</f>
        <v>0</v>
      </c>
      <c r="P52" s="415" t="str">
        <f>IFERROR(INDEX('M03-S04'!$AW$18:$AW$199,2*(ROWS(P$51:P52)-1)+1),"")</f>
        <v/>
      </c>
      <c r="Q52" s="415">
        <f>IFERROR(INDEX('M03-S04'!$BB$18:$BB$199,2*(ROWS(Q$51:Q52)-1)+1),"")</f>
        <v>0</v>
      </c>
      <c r="R52" s="200" t="str">
        <f>IFERROR(INDEX('M03-S04'!$AN$18:$AN$199,2*(ROWS(R$51:R52)-1)+1),"")</f>
        <v/>
      </c>
      <c r="S52" s="405"/>
      <c r="T52" s="405"/>
      <c r="U52" s="405"/>
      <c r="V52" s="325"/>
      <c r="W52" s="417"/>
      <c r="X52" s="417"/>
      <c r="Y52" s="408"/>
      <c r="Z52" s="408"/>
      <c r="AA52" s="418"/>
      <c r="AB52" s="418"/>
      <c r="AC52" s="325"/>
      <c r="AD52" s="415">
        <f>IFERROR(INDEX('M03-S04'!$AX$18:$AX$199,2*(ROWS(AD$51:AD52)-1)+1),"")</f>
        <v>0</v>
      </c>
      <c r="AE52" s="415">
        <f>IFERROR(INDEX('M03-S04'!$AY$18:$AY$199,2*(ROWS(AE$51:AE52)-1)+1),"")</f>
        <v>0</v>
      </c>
      <c r="AF52" s="408"/>
      <c r="AG52" s="408"/>
      <c r="AH52" s="408"/>
      <c r="AI52" s="178">
        <f>IFERROR(INDEX('M03-S04'!$B$18:$B$199,2*(ROWS(AI$51:AI52)-1)+1),"")</f>
        <v>2</v>
      </c>
      <c r="AJ52" s="325"/>
      <c r="AK52" s="178">
        <f>IFERROR(INDEX('M03-S04'!$C$18:$C$199,2*(ROWS(AK$51:AK52)-1)+1),"")</f>
        <v>0</v>
      </c>
      <c r="AL52" s="325"/>
      <c r="AM52" s="178">
        <f>IFERROR(INDEX('M03-S04'!$W$18:$W$199,2*(ROWS(AM$51:AM52)-1)+1),"")</f>
        <v>0</v>
      </c>
      <c r="AN52" s="405"/>
      <c r="AO52" s="405"/>
      <c r="AP52" s="178" t="str">
        <f>IFERROR(INDEX('M03-S04'!$AU$18:$AU$199,2*(ROWS(AP$51:AP52)-1)+1),"")</f>
        <v/>
      </c>
      <c r="AQ52" s="325"/>
      <c r="AR52" s="178" t="str">
        <f>IFERROR(INDEX(STDREFRIG[Reporting Methodology],MATCH(EXPORT!C52,STDREFRIG[Measure Number],0)),"")</f>
        <v/>
      </c>
      <c r="AS52" s="178" t="str">
        <f>IFERROR(INDEX(STDREFRIG[Primary Key],MATCH(C52,STDREFRIG[Measure Number],0)),"")</f>
        <v/>
      </c>
      <c r="AT52" s="200" t="str">
        <f>IFERROR(INDEX('M03-S04'!$AN$18:$AN$199,2*(ROWS(AT$51:AT52)-1)+1)-MIN(INDEX('M03-S04'!$AT$18:$AT$199,2*(ROWS(AT$51:AT52)-1)+1),(ROUND(INDEX('M03-S04'!$U$18:$U$199,2*(ROWS(AT$51:AT52)-1)+1),3)*INDEX(STDREFRIG[Previous Incentive],MATCH('M03-S04'!C20,STDREFRIG[Measure Name],0)))),"")</f>
        <v/>
      </c>
      <c r="AU52" s="278"/>
      <c r="AV52" s="278"/>
      <c r="AW52" s="278"/>
      <c r="AX52" s="278"/>
      <c r="AY52" s="278"/>
      <c r="AZ52" s="278"/>
      <c r="BA52" s="278"/>
      <c r="BB52" s="278"/>
      <c r="BC52" s="278"/>
      <c r="BD52" s="278"/>
      <c r="BE52" s="279"/>
      <c r="BL52" s="180"/>
      <c r="BP52"/>
      <c r="BQ52"/>
      <c r="BR52"/>
      <c r="CD52" s="180"/>
      <c r="CE52" s="180"/>
      <c r="CF52" s="180"/>
      <c r="CH52"/>
      <c r="CI52"/>
      <c r="CJ52"/>
      <c r="CK52"/>
      <c r="CL52"/>
      <c r="CM52"/>
      <c r="CN52"/>
      <c r="CQ52" s="180"/>
      <c r="CR52" s="180"/>
      <c r="CS52" s="180"/>
      <c r="DS52" s="180"/>
      <c r="DT52" s="180"/>
      <c r="DU52" s="180"/>
    </row>
    <row r="53" spans="1:125" s="54" customFormat="1" hidden="1">
      <c r="A53" s="135">
        <f t="shared" si="4"/>
        <v>0</v>
      </c>
      <c r="B53" s="178" t="str">
        <f t="shared" si="5"/>
        <v/>
      </c>
      <c r="C53" s="178" t="str">
        <f>IFERROR(IF(R53&gt;0,INDEX('M03-S04'!$BC$18:$BC$199,2*(ROWS($C$51:C53)-1)+1),""),"")</f>
        <v/>
      </c>
      <c r="D53" s="180" t="s">
        <v>1443</v>
      </c>
      <c r="E53" s="178" t="str">
        <f>IFERROR(INDEX('M03-S04'!$AZ$18:$AZ$199,2*(ROWS($E$51:E53)-1)+1),"")</f>
        <v/>
      </c>
      <c r="F53" s="408"/>
      <c r="G53" s="178">
        <f>IFERROR(INDEX('M03-S04'!$AA$18:$AA$199,2*(ROWS($G$51:G53)-1)+1),"")</f>
        <v>0</v>
      </c>
      <c r="H53" s="200">
        <f>IFERROR(INDEX('M03-S04'!$AE$18:$AE$199,2*(ROWS(H$51:H53)-1)+1),"")</f>
        <v>0</v>
      </c>
      <c r="I53" s="200">
        <f>IFERROR(INDEX('M03-S04'!$AG$18:$AG$199,2*(ROWS(I$51:I53)-1)+1),"")</f>
        <v>0</v>
      </c>
      <c r="J53" s="200" t="str">
        <f>IFERROR(INDEX('M03-S04'!$AT$18:$AT$199,2*(ROWS(J$51:J53)-1)+1),"")</f>
        <v/>
      </c>
      <c r="K53" s="178" t="s">
        <v>84</v>
      </c>
      <c r="L53" s="116">
        <f>IFERROR(ROUND(INDEX('M03-S04'!$U$18:$U$199,2*(ROWS(L$51:L53)-1)+1),3),"")</f>
        <v>0</v>
      </c>
      <c r="M53" s="116">
        <f>IFERROR(ROUND(INDEX('M03-S04'!$U$18:$U$199,2*(ROWS(M$51:M53)-1)+1),3),"")</f>
        <v>0</v>
      </c>
      <c r="N53" s="415" t="str">
        <f>IFERROR(INDEX('M03-S04'!$AV$18:$AV$199,2*(ROWS(N$51:N53)-1)+1),"")</f>
        <v/>
      </c>
      <c r="O53" s="415">
        <f>IFERROR(INDEX('M03-S04'!$BA$18:$BA$199,2*(ROWS(O$51:O53)-1)+1),"")</f>
        <v>0</v>
      </c>
      <c r="P53" s="415" t="str">
        <f>IFERROR(INDEX('M03-S04'!$AW$18:$AW$199,2*(ROWS(P$51:P53)-1)+1),"")</f>
        <v/>
      </c>
      <c r="Q53" s="415">
        <f>IFERROR(INDEX('M03-S04'!$BB$18:$BB$199,2*(ROWS(Q$51:Q53)-1)+1),"")</f>
        <v>0</v>
      </c>
      <c r="R53" s="200" t="str">
        <f>IFERROR(INDEX('M03-S04'!$AN$18:$AN$199,2*(ROWS(R$51:R53)-1)+1),"")</f>
        <v/>
      </c>
      <c r="S53" s="405"/>
      <c r="T53" s="405"/>
      <c r="U53" s="405"/>
      <c r="V53" s="325"/>
      <c r="W53" s="417"/>
      <c r="X53" s="417"/>
      <c r="Y53" s="408"/>
      <c r="Z53" s="408"/>
      <c r="AA53" s="418"/>
      <c r="AB53" s="418"/>
      <c r="AC53" s="325"/>
      <c r="AD53" s="415">
        <f>IFERROR(INDEX('M03-S04'!$AX$18:$AX$199,2*(ROWS(AD$51:AD53)-1)+1),"")</f>
        <v>0</v>
      </c>
      <c r="AE53" s="415">
        <f>IFERROR(INDEX('M03-S04'!$AY$18:$AY$199,2*(ROWS(AE$51:AE53)-1)+1),"")</f>
        <v>0</v>
      </c>
      <c r="AF53" s="408"/>
      <c r="AG53" s="408"/>
      <c r="AH53" s="408"/>
      <c r="AI53" s="178">
        <f>IFERROR(INDEX('M03-S04'!$B$18:$B$199,2*(ROWS(AI$51:AI53)-1)+1),"")</f>
        <v>3</v>
      </c>
      <c r="AJ53" s="325"/>
      <c r="AK53" s="178">
        <f>IFERROR(INDEX('M03-S04'!$C$18:$C$199,2*(ROWS(AK$51:AK53)-1)+1),"")</f>
        <v>0</v>
      </c>
      <c r="AL53" s="325"/>
      <c r="AM53" s="178">
        <f>IFERROR(INDEX('M03-S04'!$W$18:$W$199,2*(ROWS(AM$51:AM53)-1)+1),"")</f>
        <v>0</v>
      </c>
      <c r="AN53" s="405"/>
      <c r="AO53" s="405"/>
      <c r="AP53" s="178" t="str">
        <f>IFERROR(INDEX('M03-S04'!$AU$18:$AU$199,2*(ROWS(AP$51:AP53)-1)+1),"")</f>
        <v/>
      </c>
      <c r="AQ53" s="325"/>
      <c r="AR53" s="178" t="str">
        <f>IFERROR(INDEX(STDREFRIG[Reporting Methodology],MATCH(EXPORT!C53,STDREFRIG[Measure Number],0)),"")</f>
        <v/>
      </c>
      <c r="AS53" s="178" t="str">
        <f>IFERROR(INDEX(STDREFRIG[Primary Key],MATCH(C53,STDREFRIG[Measure Number],0)),"")</f>
        <v/>
      </c>
      <c r="AT53" s="200" t="str">
        <f>IFERROR(INDEX('M03-S04'!$AN$18:$AN$199,2*(ROWS(AT$51:AT53)-1)+1)-MIN(INDEX('M03-S04'!$AT$18:$AT$199,2*(ROWS(AT$51:AT53)-1)+1),(ROUND(INDEX('M03-S04'!$U$18:$U$199,2*(ROWS(AT$51:AT53)-1)+1),3)*INDEX(STDREFRIG[Previous Incentive],MATCH('M03-S04'!C22,STDREFRIG[Measure Name],0)))),"")</f>
        <v/>
      </c>
      <c r="AU53" s="278"/>
      <c r="AV53" s="278"/>
      <c r="AW53" s="278"/>
      <c r="AX53" s="278"/>
      <c r="AY53" s="278"/>
      <c r="AZ53" s="278"/>
      <c r="BA53" s="278"/>
      <c r="BB53" s="278"/>
      <c r="BC53" s="278"/>
      <c r="BD53" s="278"/>
      <c r="BE53" s="279"/>
      <c r="BL53" s="180"/>
      <c r="BP53"/>
      <c r="BQ53"/>
      <c r="BR53"/>
      <c r="CD53" s="180"/>
      <c r="CE53" s="180"/>
      <c r="CF53" s="180"/>
      <c r="CH53"/>
      <c r="CI53"/>
      <c r="CJ53"/>
      <c r="CK53"/>
      <c r="CL53"/>
      <c r="CM53"/>
      <c r="CN53"/>
      <c r="CQ53" s="180"/>
      <c r="CR53" s="180"/>
      <c r="CS53" s="180"/>
      <c r="DS53" s="180"/>
      <c r="DT53" s="180"/>
      <c r="DU53" s="180"/>
    </row>
    <row r="54" spans="1:125" s="54" customFormat="1" hidden="1">
      <c r="A54" s="135">
        <f t="shared" si="4"/>
        <v>0</v>
      </c>
      <c r="B54" s="178" t="str">
        <f t="shared" si="5"/>
        <v/>
      </c>
      <c r="C54" s="178" t="str">
        <f>IFERROR(IF(R54&gt;0,INDEX('M03-S04'!$BC$18:$BC$199,2*(ROWS($C$51:C54)-1)+1),""),"")</f>
        <v/>
      </c>
      <c r="D54" s="180" t="s">
        <v>1443</v>
      </c>
      <c r="E54" s="178" t="str">
        <f>IFERROR(INDEX('M03-S04'!$AZ$18:$AZ$199,2*(ROWS($E$51:E54)-1)+1),"")</f>
        <v/>
      </c>
      <c r="F54" s="408"/>
      <c r="G54" s="178">
        <f>IFERROR(INDEX('M03-S04'!$AA$18:$AA$199,2*(ROWS($G$51:G54)-1)+1),"")</f>
        <v>0</v>
      </c>
      <c r="H54" s="200">
        <f>IFERROR(INDEX('M03-S04'!$AE$18:$AE$199,2*(ROWS(H$51:H54)-1)+1),"")</f>
        <v>0</v>
      </c>
      <c r="I54" s="200">
        <f>IFERROR(INDEX('M03-S04'!$AG$18:$AG$199,2*(ROWS(I$51:I54)-1)+1),"")</f>
        <v>0</v>
      </c>
      <c r="J54" s="200" t="str">
        <f>IFERROR(INDEX('M03-S04'!$AT$18:$AT$199,2*(ROWS(J$51:J54)-1)+1),"")</f>
        <v/>
      </c>
      <c r="K54" s="178" t="s">
        <v>84</v>
      </c>
      <c r="L54" s="116">
        <f>IFERROR(ROUND(INDEX('M03-S04'!$U$18:$U$199,2*(ROWS(L$51:L54)-1)+1),3),"")</f>
        <v>0</v>
      </c>
      <c r="M54" s="116">
        <f>IFERROR(ROUND(INDEX('M03-S04'!$U$18:$U$199,2*(ROWS(M$51:M54)-1)+1),3),"")</f>
        <v>0</v>
      </c>
      <c r="N54" s="415" t="str">
        <f>IFERROR(INDEX('M03-S04'!$AV$18:$AV$199,2*(ROWS(N$51:N54)-1)+1),"")</f>
        <v/>
      </c>
      <c r="O54" s="415">
        <f>IFERROR(INDEX('M03-S04'!$BA$18:$BA$199,2*(ROWS(O$51:O54)-1)+1),"")</f>
        <v>0</v>
      </c>
      <c r="P54" s="415" t="str">
        <f>IFERROR(INDEX('M03-S04'!$AW$18:$AW$199,2*(ROWS(P$51:P54)-1)+1),"")</f>
        <v/>
      </c>
      <c r="Q54" s="415">
        <f>IFERROR(INDEX('M03-S04'!$BB$18:$BB$199,2*(ROWS(Q$51:Q54)-1)+1),"")</f>
        <v>0</v>
      </c>
      <c r="R54" s="200" t="str">
        <f>IFERROR(INDEX('M03-S04'!$AN$18:$AN$199,2*(ROWS(R$51:R54)-1)+1),"")</f>
        <v/>
      </c>
      <c r="S54" s="405"/>
      <c r="T54" s="405"/>
      <c r="U54" s="405"/>
      <c r="V54" s="325"/>
      <c r="W54" s="417"/>
      <c r="X54" s="417"/>
      <c r="Y54" s="408"/>
      <c r="Z54" s="408"/>
      <c r="AA54" s="418"/>
      <c r="AB54" s="418"/>
      <c r="AC54" s="325"/>
      <c r="AD54" s="415">
        <f>IFERROR(INDEX('M03-S04'!$AX$18:$AX$199,2*(ROWS(AD$51:AD54)-1)+1),"")</f>
        <v>0</v>
      </c>
      <c r="AE54" s="415">
        <f>IFERROR(INDEX('M03-S04'!$AY$18:$AY$199,2*(ROWS(AE$51:AE54)-1)+1),"")</f>
        <v>0</v>
      </c>
      <c r="AF54" s="408"/>
      <c r="AG54" s="408"/>
      <c r="AH54" s="408"/>
      <c r="AI54" s="178">
        <f>IFERROR(INDEX('M03-S04'!$B$18:$B$199,2*(ROWS(AI$51:AI54)-1)+1),"")</f>
        <v>4</v>
      </c>
      <c r="AJ54" s="325"/>
      <c r="AK54" s="178">
        <f>IFERROR(INDEX('M03-S04'!$C$18:$C$199,2*(ROWS(AK$51:AK54)-1)+1),"")</f>
        <v>0</v>
      </c>
      <c r="AL54" s="325"/>
      <c r="AM54" s="178">
        <f>IFERROR(INDEX('M03-S04'!$W$18:$W$199,2*(ROWS(AM$51:AM54)-1)+1),"")</f>
        <v>0</v>
      </c>
      <c r="AN54" s="405"/>
      <c r="AO54" s="405"/>
      <c r="AP54" s="178" t="str">
        <f>IFERROR(INDEX('M03-S04'!$AU$18:$AU$199,2*(ROWS(AP$51:AP54)-1)+1),"")</f>
        <v/>
      </c>
      <c r="AQ54" s="325"/>
      <c r="AR54" s="178" t="str">
        <f>IFERROR(INDEX(STDREFRIG[Reporting Methodology],MATCH(EXPORT!C54,STDREFRIG[Measure Number],0)),"")</f>
        <v/>
      </c>
      <c r="AS54" s="178" t="str">
        <f>IFERROR(INDEX(STDREFRIG[Primary Key],MATCH(C54,STDREFRIG[Measure Number],0)),"")</f>
        <v/>
      </c>
      <c r="AT54" s="200" t="str">
        <f>IFERROR(INDEX('M03-S04'!$AN$18:$AN$199,2*(ROWS(AT$51:AT54)-1)+1)-MIN(INDEX('M03-S04'!$AT$18:$AT$199,2*(ROWS(AT$51:AT54)-1)+1),(ROUND(INDEX('M03-S04'!$U$18:$U$199,2*(ROWS(AT$51:AT54)-1)+1),3)*INDEX(STDREFRIG[Previous Incentive],MATCH('M03-S04'!C24,STDREFRIG[Measure Name],0)))),"")</f>
        <v/>
      </c>
      <c r="AU54" s="278"/>
      <c r="AV54" s="278"/>
      <c r="AW54" s="278"/>
      <c r="AX54" s="278"/>
      <c r="AY54" s="278"/>
      <c r="AZ54" s="278"/>
      <c r="BA54" s="278"/>
      <c r="BB54" s="278"/>
      <c r="BC54" s="278"/>
      <c r="BD54" s="278"/>
      <c r="BE54" s="279"/>
      <c r="BL54" s="180"/>
      <c r="BP54"/>
      <c r="BQ54"/>
      <c r="BR54"/>
      <c r="CD54" s="180"/>
      <c r="CE54" s="180"/>
      <c r="CF54" s="180"/>
      <c r="CH54"/>
      <c r="CI54"/>
      <c r="CJ54"/>
      <c r="CK54"/>
      <c r="CL54"/>
      <c r="CM54"/>
      <c r="CN54"/>
      <c r="CQ54" s="180"/>
      <c r="CR54" s="180"/>
      <c r="CS54" s="180"/>
      <c r="DS54" s="180"/>
      <c r="DT54" s="180"/>
      <c r="DU54" s="180"/>
    </row>
    <row r="55" spans="1:125" s="54" customFormat="1" hidden="1">
      <c r="A55" s="135">
        <f t="shared" si="4"/>
        <v>0</v>
      </c>
      <c r="B55" s="178" t="str">
        <f t="shared" si="5"/>
        <v/>
      </c>
      <c r="C55" s="178" t="str">
        <f>IFERROR(IF(R55&gt;0,INDEX('M03-S04'!$BC$18:$BC$199,2*(ROWS($C$51:C55)-1)+1),""),"")</f>
        <v/>
      </c>
      <c r="D55" s="180" t="s">
        <v>1443</v>
      </c>
      <c r="E55" s="178" t="str">
        <f>IFERROR(INDEX('M03-S04'!$AZ$18:$AZ$199,2*(ROWS($E$51:E55)-1)+1),"")</f>
        <v/>
      </c>
      <c r="F55" s="408"/>
      <c r="G55" s="178">
        <f>IFERROR(INDEX('M03-S04'!$AA$18:$AA$199,2*(ROWS($G$51:G55)-1)+1),"")</f>
        <v>0</v>
      </c>
      <c r="H55" s="200">
        <f>IFERROR(INDEX('M03-S04'!$AE$18:$AE$199,2*(ROWS(H$51:H55)-1)+1),"")</f>
        <v>0</v>
      </c>
      <c r="I55" s="200">
        <f>IFERROR(INDEX('M03-S04'!$AG$18:$AG$199,2*(ROWS(I$51:I55)-1)+1),"")</f>
        <v>0</v>
      </c>
      <c r="J55" s="200" t="str">
        <f>IFERROR(INDEX('M03-S04'!$AT$18:$AT$199,2*(ROWS(J$51:J55)-1)+1),"")</f>
        <v/>
      </c>
      <c r="K55" s="178" t="s">
        <v>84</v>
      </c>
      <c r="L55" s="116">
        <f>IFERROR(ROUND(INDEX('M03-S04'!$U$18:$U$199,2*(ROWS(L$51:L55)-1)+1),3),"")</f>
        <v>0</v>
      </c>
      <c r="M55" s="116">
        <f>IFERROR(ROUND(INDEX('M03-S04'!$U$18:$U$199,2*(ROWS(M$51:M55)-1)+1),3),"")</f>
        <v>0</v>
      </c>
      <c r="N55" s="415" t="str">
        <f>IFERROR(INDEX('M03-S04'!$AV$18:$AV$199,2*(ROWS(N$51:N55)-1)+1),"")</f>
        <v/>
      </c>
      <c r="O55" s="415">
        <f>IFERROR(INDEX('M03-S04'!$BA$18:$BA$199,2*(ROWS(O$51:O55)-1)+1),"")</f>
        <v>0</v>
      </c>
      <c r="P55" s="415" t="str">
        <f>IFERROR(INDEX('M03-S04'!$AW$18:$AW$199,2*(ROWS(P$51:P55)-1)+1),"")</f>
        <v/>
      </c>
      <c r="Q55" s="415">
        <f>IFERROR(INDEX('M03-S04'!$BB$18:$BB$199,2*(ROWS(Q$51:Q55)-1)+1),"")</f>
        <v>0</v>
      </c>
      <c r="R55" s="200" t="str">
        <f>IFERROR(INDEX('M03-S04'!$AN$18:$AN$199,2*(ROWS(R$51:R55)-1)+1),"")</f>
        <v/>
      </c>
      <c r="S55" s="405"/>
      <c r="T55" s="405"/>
      <c r="U55" s="405"/>
      <c r="V55" s="325"/>
      <c r="W55" s="417"/>
      <c r="X55" s="417"/>
      <c r="Y55" s="408"/>
      <c r="Z55" s="408"/>
      <c r="AA55" s="418"/>
      <c r="AB55" s="418"/>
      <c r="AC55" s="325"/>
      <c r="AD55" s="415">
        <f>IFERROR(INDEX('M03-S04'!$AX$18:$AX$199,2*(ROWS(AD$51:AD55)-1)+1),"")</f>
        <v>0</v>
      </c>
      <c r="AE55" s="415">
        <f>IFERROR(INDEX('M03-S04'!$AY$18:$AY$199,2*(ROWS(AE$51:AE55)-1)+1),"")</f>
        <v>0</v>
      </c>
      <c r="AF55" s="408"/>
      <c r="AG55" s="408"/>
      <c r="AH55" s="408"/>
      <c r="AI55" s="178">
        <f>IFERROR(INDEX('M03-S04'!$B$18:$B$199,2*(ROWS(AI$51:AI55)-1)+1),"")</f>
        <v>5</v>
      </c>
      <c r="AJ55" s="325"/>
      <c r="AK55" s="178">
        <f>IFERROR(INDEX('M03-S04'!$C$18:$C$199,2*(ROWS(AK$51:AK55)-1)+1),"")</f>
        <v>0</v>
      </c>
      <c r="AL55" s="325"/>
      <c r="AM55" s="178">
        <f>IFERROR(INDEX('M03-S04'!$W$18:$W$199,2*(ROWS(AM$51:AM55)-1)+1),"")</f>
        <v>0</v>
      </c>
      <c r="AN55" s="405"/>
      <c r="AO55" s="405"/>
      <c r="AP55" s="178" t="str">
        <f>IFERROR(INDEX('M03-S04'!$AU$18:$AU$199,2*(ROWS(AP$51:AP55)-1)+1),"")</f>
        <v/>
      </c>
      <c r="AQ55" s="325"/>
      <c r="AR55" s="178" t="str">
        <f>IFERROR(INDEX(STDREFRIG[Reporting Methodology],MATCH(EXPORT!C55,STDREFRIG[Measure Number],0)),"")</f>
        <v/>
      </c>
      <c r="AS55" s="178" t="str">
        <f>IFERROR(INDEX(STDREFRIG[Primary Key],MATCH(C55,STDREFRIG[Measure Number],0)),"")</f>
        <v/>
      </c>
      <c r="AT55" s="200" t="str">
        <f>IFERROR(INDEX('M03-S04'!$AN$18:$AN$199,2*(ROWS(AT$51:AT55)-1)+1)-MIN(INDEX('M03-S04'!$AT$18:$AT$199,2*(ROWS(AT$51:AT55)-1)+1),(ROUND(INDEX('M03-S04'!$U$18:$U$199,2*(ROWS(AT$51:AT55)-1)+1),3)*INDEX(STDREFRIG[Previous Incentive],MATCH('M03-S04'!C26,STDREFRIG[Measure Name],0)))),"")</f>
        <v/>
      </c>
      <c r="AU55" s="278"/>
      <c r="AV55" s="278"/>
      <c r="AW55" s="278"/>
      <c r="AX55" s="278"/>
      <c r="AY55" s="278"/>
      <c r="AZ55" s="278"/>
      <c r="BA55" s="278"/>
      <c r="BB55" s="278"/>
      <c r="BC55" s="278"/>
      <c r="BD55" s="278"/>
      <c r="BE55" s="279"/>
      <c r="BL55" s="180"/>
      <c r="BP55"/>
      <c r="BQ55"/>
      <c r="BR55"/>
      <c r="CD55" s="180"/>
      <c r="CE55" s="180"/>
      <c r="CF55" s="180"/>
      <c r="CH55"/>
      <c r="CI55"/>
      <c r="CJ55"/>
      <c r="CK55"/>
      <c r="CL55"/>
      <c r="CM55"/>
      <c r="CN55"/>
      <c r="CQ55" s="180"/>
      <c r="CR55" s="180"/>
      <c r="CS55" s="180"/>
      <c r="DS55" s="180"/>
      <c r="DT55" s="180"/>
      <c r="DU55" s="180"/>
    </row>
    <row r="56" spans="1:125" s="54" customFormat="1" hidden="1">
      <c r="A56" s="135">
        <f t="shared" si="4"/>
        <v>0</v>
      </c>
      <c r="B56" s="178" t="str">
        <f t="shared" si="5"/>
        <v/>
      </c>
      <c r="C56" s="178" t="str">
        <f>IFERROR(IF(R56&gt;0,INDEX('M03-S04'!$BC$18:$BC$199,2*(ROWS($C$51:C56)-1)+1),""),"")</f>
        <v/>
      </c>
      <c r="D56" s="180" t="s">
        <v>1443</v>
      </c>
      <c r="E56" s="178" t="str">
        <f>IFERROR(INDEX('M03-S04'!$AZ$18:$AZ$199,2*(ROWS($E$51:E56)-1)+1),"")</f>
        <v/>
      </c>
      <c r="F56" s="408"/>
      <c r="G56" s="178">
        <f>IFERROR(INDEX('M03-S04'!$AA$18:$AA$199,2*(ROWS($G$51:G56)-1)+1),"")</f>
        <v>0</v>
      </c>
      <c r="H56" s="200">
        <f>IFERROR(INDEX('M03-S04'!$AE$18:$AE$199,2*(ROWS(H$51:H56)-1)+1),"")</f>
        <v>0</v>
      </c>
      <c r="I56" s="200">
        <f>IFERROR(INDEX('M03-S04'!$AG$18:$AG$199,2*(ROWS(I$51:I56)-1)+1),"")</f>
        <v>0</v>
      </c>
      <c r="J56" s="200" t="str">
        <f>IFERROR(INDEX('M03-S04'!$AT$18:$AT$199,2*(ROWS(J$51:J56)-1)+1),"")</f>
        <v/>
      </c>
      <c r="K56" s="178" t="s">
        <v>84</v>
      </c>
      <c r="L56" s="116">
        <f>IFERROR(ROUND(INDEX('M03-S04'!$U$18:$U$199,2*(ROWS(L$51:L56)-1)+1),3),"")</f>
        <v>0</v>
      </c>
      <c r="M56" s="116">
        <f>IFERROR(ROUND(INDEX('M03-S04'!$U$18:$U$199,2*(ROWS(M$51:M56)-1)+1),3),"")</f>
        <v>0</v>
      </c>
      <c r="N56" s="415" t="str">
        <f>IFERROR(INDEX('M03-S04'!$AV$18:$AV$199,2*(ROWS(N$51:N56)-1)+1),"")</f>
        <v/>
      </c>
      <c r="O56" s="415">
        <f>IFERROR(INDEX('M03-S04'!$BA$18:$BA$199,2*(ROWS(O$51:O56)-1)+1),"")</f>
        <v>0</v>
      </c>
      <c r="P56" s="415" t="str">
        <f>IFERROR(INDEX('M03-S04'!$AW$18:$AW$199,2*(ROWS(P$51:P56)-1)+1),"")</f>
        <v/>
      </c>
      <c r="Q56" s="415">
        <f>IFERROR(INDEX('M03-S04'!$BB$18:$BB$199,2*(ROWS(Q$51:Q56)-1)+1),"")</f>
        <v>0</v>
      </c>
      <c r="R56" s="200" t="str">
        <f>IFERROR(INDEX('M03-S04'!$AN$18:$AN$199,2*(ROWS(R$51:R56)-1)+1),"")</f>
        <v/>
      </c>
      <c r="S56" s="405"/>
      <c r="T56" s="405"/>
      <c r="U56" s="405"/>
      <c r="V56" s="325"/>
      <c r="W56" s="417"/>
      <c r="X56" s="417"/>
      <c r="Y56" s="408"/>
      <c r="Z56" s="408"/>
      <c r="AA56" s="418"/>
      <c r="AB56" s="418"/>
      <c r="AC56" s="325"/>
      <c r="AD56" s="415">
        <f>IFERROR(INDEX('M03-S04'!$AX$18:$AX$199,2*(ROWS(AD$51:AD56)-1)+1),"")</f>
        <v>0</v>
      </c>
      <c r="AE56" s="415">
        <f>IFERROR(INDEX('M03-S04'!$AY$18:$AY$199,2*(ROWS(AE$51:AE56)-1)+1),"")</f>
        <v>0</v>
      </c>
      <c r="AF56" s="408"/>
      <c r="AG56" s="408"/>
      <c r="AH56" s="408"/>
      <c r="AI56" s="178">
        <f>IFERROR(INDEX('M03-S04'!$B$18:$B$199,2*(ROWS(AI$51:AI56)-1)+1),"")</f>
        <v>6</v>
      </c>
      <c r="AJ56" s="325"/>
      <c r="AK56" s="178">
        <f>IFERROR(INDEX('M03-S04'!$C$18:$C$199,2*(ROWS(AK$51:AK56)-1)+1),"")</f>
        <v>0</v>
      </c>
      <c r="AL56" s="325"/>
      <c r="AM56" s="178">
        <f>IFERROR(INDEX('M03-S04'!$W$18:$W$199,2*(ROWS(AM$51:AM56)-1)+1),"")</f>
        <v>0</v>
      </c>
      <c r="AN56" s="405"/>
      <c r="AO56" s="405"/>
      <c r="AP56" s="178" t="str">
        <f>IFERROR(INDEX('M03-S04'!$AU$18:$AU$199,2*(ROWS(AP$51:AP56)-1)+1),"")</f>
        <v/>
      </c>
      <c r="AQ56" s="325"/>
      <c r="AR56" s="178" t="str">
        <f>IFERROR(INDEX(STDREFRIG[Reporting Methodology],MATCH(EXPORT!C56,STDREFRIG[Measure Number],0)),"")</f>
        <v/>
      </c>
      <c r="AS56" s="178" t="str">
        <f>IFERROR(INDEX(STDREFRIG[Primary Key],MATCH(C56,STDREFRIG[Measure Number],0)),"")</f>
        <v/>
      </c>
      <c r="AT56" s="200" t="str">
        <f>IFERROR(INDEX('M03-S04'!$AN$18:$AN$199,2*(ROWS(AT$51:AT56)-1)+1)-MIN(INDEX('M03-S04'!$AT$18:$AT$199,2*(ROWS(AT$51:AT56)-1)+1),(ROUND(INDEX('M03-S04'!$U$18:$U$199,2*(ROWS(AT$51:AT56)-1)+1),3)*INDEX(STDREFRIG[Previous Incentive],MATCH('M03-S04'!C28,STDREFRIG[Measure Name],0)))),"")</f>
        <v/>
      </c>
      <c r="AU56" s="278"/>
      <c r="AV56" s="278"/>
      <c r="AW56" s="278"/>
      <c r="AX56" s="278"/>
      <c r="AY56" s="278"/>
      <c r="AZ56" s="278"/>
      <c r="BA56" s="278"/>
      <c r="BB56" s="278"/>
      <c r="BC56" s="278"/>
      <c r="BD56" s="278"/>
      <c r="BE56" s="279"/>
      <c r="BL56" s="180"/>
      <c r="BP56"/>
      <c r="BQ56"/>
      <c r="BR56"/>
      <c r="CD56" s="180"/>
      <c r="CE56" s="180"/>
      <c r="CF56" s="180"/>
      <c r="CH56"/>
      <c r="CI56"/>
      <c r="CJ56"/>
      <c r="CK56"/>
      <c r="CL56"/>
      <c r="CM56"/>
      <c r="CN56"/>
      <c r="CQ56" s="180"/>
      <c r="CR56" s="180"/>
      <c r="CS56" s="180"/>
      <c r="DS56" s="180"/>
      <c r="DT56" s="180"/>
      <c r="DU56" s="180"/>
    </row>
    <row r="57" spans="1:125" s="54" customFormat="1" hidden="1">
      <c r="A57" s="135">
        <f t="shared" si="4"/>
        <v>0</v>
      </c>
      <c r="B57" s="178" t="str">
        <f t="shared" si="5"/>
        <v/>
      </c>
      <c r="C57" s="178" t="str">
        <f>IFERROR(IF(R57&gt;0,INDEX('M03-S04'!$BC$18:$BC$199,2*(ROWS($C$51:C57)-1)+1),""),"")</f>
        <v/>
      </c>
      <c r="D57" s="180" t="s">
        <v>1443</v>
      </c>
      <c r="E57" s="178" t="str">
        <f>IFERROR(INDEX('M03-S04'!$AZ$18:$AZ$199,2*(ROWS($E$51:E57)-1)+1),"")</f>
        <v/>
      </c>
      <c r="F57" s="408"/>
      <c r="G57" s="178">
        <f>IFERROR(INDEX('M03-S04'!$AA$18:$AA$199,2*(ROWS($G$51:G57)-1)+1),"")</f>
        <v>0</v>
      </c>
      <c r="H57" s="200">
        <f>IFERROR(INDEX('M03-S04'!$AE$18:$AE$199,2*(ROWS(H$51:H57)-1)+1),"")</f>
        <v>0</v>
      </c>
      <c r="I57" s="200">
        <f>IFERROR(INDEX('M03-S04'!$AG$18:$AG$199,2*(ROWS(I$51:I57)-1)+1),"")</f>
        <v>0</v>
      </c>
      <c r="J57" s="200" t="str">
        <f>IFERROR(INDEX('M03-S04'!$AT$18:$AT$199,2*(ROWS(J$51:J57)-1)+1),"")</f>
        <v/>
      </c>
      <c r="K57" s="178" t="s">
        <v>84</v>
      </c>
      <c r="L57" s="116">
        <f>IFERROR(ROUND(INDEX('M03-S04'!$U$18:$U$199,2*(ROWS(L$51:L57)-1)+1),3),"")</f>
        <v>0</v>
      </c>
      <c r="M57" s="116">
        <f>IFERROR(ROUND(INDEX('M03-S04'!$U$18:$U$199,2*(ROWS(M$51:M57)-1)+1),3),"")</f>
        <v>0</v>
      </c>
      <c r="N57" s="415" t="str">
        <f>IFERROR(INDEX('M03-S04'!$AV$18:$AV$199,2*(ROWS(N$51:N57)-1)+1),"")</f>
        <v/>
      </c>
      <c r="O57" s="415">
        <f>IFERROR(INDEX('M03-S04'!$BA$18:$BA$199,2*(ROWS(O$51:O57)-1)+1),"")</f>
        <v>0</v>
      </c>
      <c r="P57" s="415" t="str">
        <f>IFERROR(INDEX('M03-S04'!$AW$18:$AW$199,2*(ROWS(P$51:P57)-1)+1),"")</f>
        <v/>
      </c>
      <c r="Q57" s="415">
        <f>IFERROR(INDEX('M03-S04'!$BB$18:$BB$199,2*(ROWS(Q$51:Q57)-1)+1),"")</f>
        <v>0</v>
      </c>
      <c r="R57" s="200" t="str">
        <f>IFERROR(INDEX('M03-S04'!$AN$18:$AN$199,2*(ROWS(R$51:R57)-1)+1),"")</f>
        <v/>
      </c>
      <c r="S57" s="405"/>
      <c r="T57" s="405"/>
      <c r="U57" s="405"/>
      <c r="V57" s="325"/>
      <c r="W57" s="417"/>
      <c r="X57" s="417"/>
      <c r="Y57" s="408"/>
      <c r="Z57" s="408"/>
      <c r="AA57" s="418"/>
      <c r="AB57" s="418"/>
      <c r="AC57" s="325"/>
      <c r="AD57" s="415">
        <f>IFERROR(INDEX('M03-S04'!$AX$18:$AX$199,2*(ROWS(AD$51:AD57)-1)+1),"")</f>
        <v>0</v>
      </c>
      <c r="AE57" s="415">
        <f>IFERROR(INDEX('M03-S04'!$AY$18:$AY$199,2*(ROWS(AE$51:AE57)-1)+1),"")</f>
        <v>0</v>
      </c>
      <c r="AF57" s="408"/>
      <c r="AG57" s="408"/>
      <c r="AH57" s="408"/>
      <c r="AI57" s="178">
        <f>IFERROR(INDEX('M03-S04'!$B$18:$B$199,2*(ROWS(AI$51:AI57)-1)+1),"")</f>
        <v>7</v>
      </c>
      <c r="AJ57" s="325"/>
      <c r="AK57" s="178">
        <f>IFERROR(INDEX('M03-S04'!$C$18:$C$199,2*(ROWS(AK$51:AK57)-1)+1),"")</f>
        <v>0</v>
      </c>
      <c r="AL57" s="325"/>
      <c r="AM57" s="178">
        <f>IFERROR(INDEX('M03-S04'!$W$18:$W$199,2*(ROWS(AM$51:AM57)-1)+1),"")</f>
        <v>0</v>
      </c>
      <c r="AN57" s="405"/>
      <c r="AO57" s="405"/>
      <c r="AP57" s="178" t="str">
        <f>IFERROR(INDEX('M03-S04'!$AU$18:$AU$199,2*(ROWS(AP$51:AP57)-1)+1),"")</f>
        <v/>
      </c>
      <c r="AQ57" s="325"/>
      <c r="AR57" s="178" t="str">
        <f>IFERROR(INDEX(STDREFRIG[Reporting Methodology],MATCH(EXPORT!C57,STDREFRIG[Measure Number],0)),"")</f>
        <v/>
      </c>
      <c r="AS57" s="178" t="str">
        <f>IFERROR(INDEX(STDREFRIG[Primary Key],MATCH(C57,STDREFRIG[Measure Number],0)),"")</f>
        <v/>
      </c>
      <c r="AT57" s="200" t="str">
        <f>IFERROR(INDEX('M03-S04'!$AN$18:$AN$199,2*(ROWS(AT$51:AT57)-1)+1)-MIN(INDEX('M03-S04'!$AT$18:$AT$199,2*(ROWS(AT$51:AT57)-1)+1),(ROUND(INDEX('M03-S04'!$U$18:$U$199,2*(ROWS(AT$51:AT57)-1)+1),3)*INDEX(STDREFRIG[Previous Incentive],MATCH('M03-S04'!C30,STDREFRIG[Measure Name],0)))),"")</f>
        <v/>
      </c>
      <c r="AU57" s="278"/>
      <c r="AV57" s="278"/>
      <c r="AW57" s="278"/>
      <c r="AX57" s="278"/>
      <c r="AY57" s="278"/>
      <c r="AZ57" s="278"/>
      <c r="BA57" s="278"/>
      <c r="BB57" s="278"/>
      <c r="BC57" s="278"/>
      <c r="BD57" s="278"/>
      <c r="BE57" s="279"/>
      <c r="BL57" s="180"/>
      <c r="BP57"/>
      <c r="BQ57"/>
      <c r="BR57"/>
      <c r="CD57" s="180"/>
      <c r="CE57" s="180"/>
      <c r="CF57" s="180"/>
      <c r="CH57"/>
      <c r="CI57"/>
      <c r="CJ57"/>
      <c r="CK57"/>
      <c r="CL57"/>
      <c r="CM57"/>
      <c r="CN57"/>
      <c r="CQ57" s="180"/>
      <c r="CR57" s="180"/>
      <c r="CS57" s="180"/>
      <c r="DS57" s="180"/>
      <c r="DT57" s="180"/>
      <c r="DU57" s="180"/>
    </row>
    <row r="58" spans="1:125" s="54" customFormat="1" hidden="1">
      <c r="A58" s="135">
        <f t="shared" si="4"/>
        <v>0</v>
      </c>
      <c r="B58" s="178" t="str">
        <f t="shared" si="5"/>
        <v/>
      </c>
      <c r="C58" s="178" t="str">
        <f>IFERROR(IF(R58&gt;0,INDEX('M03-S04'!$BC$18:$BC$199,2*(ROWS($C$51:C58)-1)+1),""),"")</f>
        <v/>
      </c>
      <c r="D58" s="180" t="s">
        <v>1443</v>
      </c>
      <c r="E58" s="178" t="str">
        <f>IFERROR(INDEX('M03-S04'!$AZ$18:$AZ$199,2*(ROWS($E$51:E58)-1)+1),"")</f>
        <v/>
      </c>
      <c r="F58" s="408"/>
      <c r="G58" s="178">
        <f>IFERROR(INDEX('M03-S04'!$AA$18:$AA$199,2*(ROWS($G$51:G58)-1)+1),"")</f>
        <v>0</v>
      </c>
      <c r="H58" s="200">
        <f>IFERROR(INDEX('M03-S04'!$AE$18:$AE$199,2*(ROWS(H$51:H58)-1)+1),"")</f>
        <v>0</v>
      </c>
      <c r="I58" s="200">
        <f>IFERROR(INDEX('M03-S04'!$AG$18:$AG$199,2*(ROWS(I$51:I58)-1)+1),"")</f>
        <v>0</v>
      </c>
      <c r="J58" s="200" t="str">
        <f>IFERROR(INDEX('M03-S04'!$AT$18:$AT$199,2*(ROWS(J$51:J58)-1)+1),"")</f>
        <v/>
      </c>
      <c r="K58" s="178" t="s">
        <v>84</v>
      </c>
      <c r="L58" s="116">
        <f>IFERROR(ROUND(INDEX('M03-S04'!$U$18:$U$199,2*(ROWS(L$51:L58)-1)+1),3),"")</f>
        <v>0</v>
      </c>
      <c r="M58" s="116">
        <f>IFERROR(ROUND(INDEX('M03-S04'!$U$18:$U$199,2*(ROWS(M$51:M58)-1)+1),3),"")</f>
        <v>0</v>
      </c>
      <c r="N58" s="415" t="str">
        <f>IFERROR(INDEX('M03-S04'!$AV$18:$AV$199,2*(ROWS(N$51:N58)-1)+1),"")</f>
        <v/>
      </c>
      <c r="O58" s="415">
        <f>IFERROR(INDEX('M03-S04'!$BA$18:$BA$199,2*(ROWS(O$51:O58)-1)+1),"")</f>
        <v>0</v>
      </c>
      <c r="P58" s="415" t="str">
        <f>IFERROR(INDEX('M03-S04'!$AW$18:$AW$199,2*(ROWS(P$51:P58)-1)+1),"")</f>
        <v/>
      </c>
      <c r="Q58" s="415">
        <f>IFERROR(INDEX('M03-S04'!$BB$18:$BB$199,2*(ROWS(Q$51:Q58)-1)+1),"")</f>
        <v>0</v>
      </c>
      <c r="R58" s="200" t="str">
        <f>IFERROR(INDEX('M03-S04'!$AN$18:$AN$199,2*(ROWS(R$51:R58)-1)+1),"")</f>
        <v/>
      </c>
      <c r="S58" s="405"/>
      <c r="T58" s="405"/>
      <c r="U58" s="405"/>
      <c r="V58" s="325"/>
      <c r="W58" s="417"/>
      <c r="X58" s="417"/>
      <c r="Y58" s="408"/>
      <c r="Z58" s="408"/>
      <c r="AA58" s="418"/>
      <c r="AB58" s="418"/>
      <c r="AC58" s="325"/>
      <c r="AD58" s="415">
        <f>IFERROR(INDEX('M03-S04'!$AX$18:$AX$199,2*(ROWS(AD$51:AD58)-1)+1),"")</f>
        <v>0</v>
      </c>
      <c r="AE58" s="415">
        <f>IFERROR(INDEX('M03-S04'!$AY$18:$AY$199,2*(ROWS(AE$51:AE58)-1)+1),"")</f>
        <v>0</v>
      </c>
      <c r="AF58" s="408"/>
      <c r="AG58" s="408"/>
      <c r="AH58" s="408"/>
      <c r="AI58" s="178">
        <f>IFERROR(INDEX('M03-S04'!$B$18:$B$199,2*(ROWS(AI$51:AI58)-1)+1),"")</f>
        <v>8</v>
      </c>
      <c r="AJ58" s="325"/>
      <c r="AK58" s="178">
        <f>IFERROR(INDEX('M03-S04'!$C$18:$C$199,2*(ROWS(AK$51:AK58)-1)+1),"")</f>
        <v>0</v>
      </c>
      <c r="AL58" s="325"/>
      <c r="AM58" s="178">
        <f>IFERROR(INDEX('M03-S04'!$W$18:$W$199,2*(ROWS(AM$51:AM58)-1)+1),"")</f>
        <v>0</v>
      </c>
      <c r="AN58" s="405"/>
      <c r="AO58" s="405"/>
      <c r="AP58" s="178" t="str">
        <f>IFERROR(INDEX('M03-S04'!$AU$18:$AU$199,2*(ROWS(AP$51:AP58)-1)+1),"")</f>
        <v/>
      </c>
      <c r="AQ58" s="325"/>
      <c r="AR58" s="178" t="str">
        <f>IFERROR(INDEX(STDREFRIG[Reporting Methodology],MATCH(EXPORT!C58,STDREFRIG[Measure Number],0)),"")</f>
        <v/>
      </c>
      <c r="AS58" s="178" t="str">
        <f>IFERROR(INDEX(STDREFRIG[Primary Key],MATCH(C58,STDREFRIG[Measure Number],0)),"")</f>
        <v/>
      </c>
      <c r="AT58" s="200" t="str">
        <f>IFERROR(INDEX('M03-S04'!$AN$18:$AN$199,2*(ROWS(AT$51:AT58)-1)+1)-MIN(INDEX('M03-S04'!$AT$18:$AT$199,2*(ROWS(AT$51:AT58)-1)+1),(ROUND(INDEX('M03-S04'!$U$18:$U$199,2*(ROWS(AT$51:AT58)-1)+1),3)*INDEX(STDREFRIG[Previous Incentive],MATCH('M03-S04'!C32,STDREFRIG[Measure Name],0)))),"")</f>
        <v/>
      </c>
      <c r="AU58" s="278"/>
      <c r="AV58" s="278"/>
      <c r="AW58" s="278"/>
      <c r="AX58" s="278"/>
      <c r="AY58" s="278"/>
      <c r="AZ58" s="278"/>
      <c r="BA58" s="278"/>
      <c r="BB58" s="278"/>
      <c r="BC58" s="278"/>
      <c r="BD58" s="278"/>
      <c r="BE58" s="279"/>
      <c r="BL58" s="180"/>
      <c r="BP58"/>
      <c r="BQ58"/>
      <c r="BR58"/>
      <c r="CD58" s="180"/>
      <c r="CE58" s="180"/>
      <c r="CF58" s="180"/>
      <c r="CH58"/>
      <c r="CI58"/>
      <c r="CJ58"/>
      <c r="CK58"/>
      <c r="CL58"/>
      <c r="CM58"/>
      <c r="CN58"/>
      <c r="CQ58" s="180"/>
      <c r="CR58" s="180"/>
      <c r="CS58" s="180"/>
      <c r="DS58" s="180"/>
      <c r="DT58" s="180"/>
      <c r="DU58" s="180"/>
    </row>
    <row r="59" spans="1:125" s="54" customFormat="1" hidden="1">
      <c r="A59" s="135">
        <f t="shared" si="4"/>
        <v>0</v>
      </c>
      <c r="B59" s="178" t="str">
        <f t="shared" si="5"/>
        <v/>
      </c>
      <c r="C59" s="178" t="str">
        <f>IFERROR(IF(R59&gt;0,INDEX('M03-S04'!$BC$18:$BC$199,2*(ROWS($C$51:C59)-1)+1),""),"")</f>
        <v/>
      </c>
      <c r="D59" s="180" t="s">
        <v>1443</v>
      </c>
      <c r="E59" s="178" t="str">
        <f>IFERROR(INDEX('M03-S04'!$AZ$18:$AZ$199,2*(ROWS($E$51:E59)-1)+1),"")</f>
        <v/>
      </c>
      <c r="F59" s="408"/>
      <c r="G59" s="178">
        <f>IFERROR(INDEX('M03-S04'!$AA$18:$AA$199,2*(ROWS($G$51:G59)-1)+1),"")</f>
        <v>0</v>
      </c>
      <c r="H59" s="200">
        <f>IFERROR(INDEX('M03-S04'!$AE$18:$AE$199,2*(ROWS(H$51:H59)-1)+1),"")</f>
        <v>0</v>
      </c>
      <c r="I59" s="200">
        <f>IFERROR(INDEX('M03-S04'!$AG$18:$AG$199,2*(ROWS(I$51:I59)-1)+1),"")</f>
        <v>0</v>
      </c>
      <c r="J59" s="200" t="str">
        <f>IFERROR(INDEX('M03-S04'!$AT$18:$AT$199,2*(ROWS(J$51:J59)-1)+1),"")</f>
        <v/>
      </c>
      <c r="K59" s="178" t="s">
        <v>84</v>
      </c>
      <c r="L59" s="116">
        <f>IFERROR(ROUND(INDEX('M03-S04'!$U$18:$U$199,2*(ROWS(L$51:L59)-1)+1),3),"")</f>
        <v>0</v>
      </c>
      <c r="M59" s="116">
        <f>IFERROR(ROUND(INDEX('M03-S04'!$U$18:$U$199,2*(ROWS(M$51:M59)-1)+1),3),"")</f>
        <v>0</v>
      </c>
      <c r="N59" s="415" t="str">
        <f>IFERROR(INDEX('M03-S04'!$AV$18:$AV$199,2*(ROWS(N$51:N59)-1)+1),"")</f>
        <v/>
      </c>
      <c r="O59" s="415">
        <f>IFERROR(INDEX('M03-S04'!$BA$18:$BA$199,2*(ROWS(O$51:O59)-1)+1),"")</f>
        <v>0</v>
      </c>
      <c r="P59" s="415" t="str">
        <f>IFERROR(INDEX('M03-S04'!$AW$18:$AW$199,2*(ROWS(P$51:P59)-1)+1),"")</f>
        <v/>
      </c>
      <c r="Q59" s="415">
        <f>IFERROR(INDEX('M03-S04'!$BB$18:$BB$199,2*(ROWS(Q$51:Q59)-1)+1),"")</f>
        <v>0</v>
      </c>
      <c r="R59" s="200" t="str">
        <f>IFERROR(INDEX('M03-S04'!$AN$18:$AN$199,2*(ROWS(R$51:R59)-1)+1),"")</f>
        <v/>
      </c>
      <c r="S59" s="405"/>
      <c r="T59" s="405"/>
      <c r="U59" s="405"/>
      <c r="V59" s="325"/>
      <c r="W59" s="417"/>
      <c r="X59" s="417"/>
      <c r="Y59" s="408"/>
      <c r="Z59" s="408"/>
      <c r="AA59" s="418"/>
      <c r="AB59" s="418"/>
      <c r="AC59" s="325"/>
      <c r="AD59" s="415">
        <f>IFERROR(INDEX('M03-S04'!$AX$18:$AX$199,2*(ROWS(AD$51:AD59)-1)+1),"")</f>
        <v>0</v>
      </c>
      <c r="AE59" s="415">
        <f>IFERROR(INDEX('M03-S04'!$AY$18:$AY$199,2*(ROWS(AE$51:AE59)-1)+1),"")</f>
        <v>0</v>
      </c>
      <c r="AF59" s="408"/>
      <c r="AG59" s="408"/>
      <c r="AH59" s="408"/>
      <c r="AI59" s="178">
        <f>IFERROR(INDEX('M03-S04'!$B$18:$B$199,2*(ROWS(AI$51:AI59)-1)+1),"")</f>
        <v>9</v>
      </c>
      <c r="AJ59" s="325"/>
      <c r="AK59" s="178">
        <f>IFERROR(INDEX('M03-S04'!$C$18:$C$199,2*(ROWS(AK$51:AK59)-1)+1),"")</f>
        <v>0</v>
      </c>
      <c r="AL59" s="325"/>
      <c r="AM59" s="178">
        <f>IFERROR(INDEX('M03-S04'!$W$18:$W$199,2*(ROWS(AM$51:AM59)-1)+1),"")</f>
        <v>0</v>
      </c>
      <c r="AN59" s="405"/>
      <c r="AO59" s="405"/>
      <c r="AP59" s="178" t="str">
        <f>IFERROR(INDEX('M03-S04'!$AU$18:$AU$199,2*(ROWS(AP$51:AP59)-1)+1),"")</f>
        <v/>
      </c>
      <c r="AQ59" s="325"/>
      <c r="AR59" s="178" t="str">
        <f>IFERROR(INDEX(STDREFRIG[Reporting Methodology],MATCH(EXPORT!C59,STDREFRIG[Measure Number],0)),"")</f>
        <v/>
      </c>
      <c r="AS59" s="178" t="str">
        <f>IFERROR(INDEX(STDREFRIG[Primary Key],MATCH(C59,STDREFRIG[Measure Number],0)),"")</f>
        <v/>
      </c>
      <c r="AT59" s="200" t="str">
        <f>IFERROR(INDEX('M03-S04'!$AN$18:$AN$199,2*(ROWS(AT$51:AT59)-1)+1)-MIN(INDEX('M03-S04'!$AT$18:$AT$199,2*(ROWS(AT$51:AT59)-1)+1),(ROUND(INDEX('M03-S04'!$U$18:$U$199,2*(ROWS(AT$51:AT59)-1)+1),3)*INDEX(STDREFRIG[Previous Incentive],MATCH('M03-S04'!C34,STDREFRIG[Measure Name],0)))),"")</f>
        <v/>
      </c>
      <c r="AU59" s="278"/>
      <c r="AV59" s="278"/>
      <c r="AW59" s="278"/>
      <c r="AX59" s="278"/>
      <c r="AY59" s="278"/>
      <c r="AZ59" s="278"/>
      <c r="BA59" s="278"/>
      <c r="BB59" s="278"/>
      <c r="BC59" s="278"/>
      <c r="BD59" s="278"/>
      <c r="BE59" s="279"/>
      <c r="BL59" s="180"/>
      <c r="BP59" s="180"/>
      <c r="BQ59" s="180"/>
      <c r="BR59" s="180"/>
      <c r="CD59" s="180"/>
      <c r="CE59" s="180"/>
      <c r="CF59" s="180"/>
      <c r="CH59" s="180"/>
      <c r="CI59" s="180"/>
      <c r="CJ59" s="180"/>
      <c r="CK59" s="180"/>
      <c r="CL59" s="180"/>
      <c r="CM59" s="180"/>
      <c r="CN59" s="180"/>
      <c r="CQ59" s="180"/>
      <c r="CR59" s="180"/>
      <c r="CS59" s="180"/>
      <c r="DS59" s="180"/>
      <c r="DT59" s="180"/>
      <c r="DU59" s="180"/>
    </row>
    <row r="60" spans="1:125" s="54" customFormat="1" hidden="1">
      <c r="A60" s="135">
        <f t="shared" si="4"/>
        <v>0</v>
      </c>
      <c r="B60" s="178" t="str">
        <f t="shared" si="5"/>
        <v/>
      </c>
      <c r="C60" s="178" t="str">
        <f>IFERROR(IF(R60&gt;0,INDEX('M03-S04'!$BC$18:$BC$199,2*(ROWS($C$51:C60)-1)+1),""),"")</f>
        <v/>
      </c>
      <c r="D60" s="180" t="s">
        <v>1443</v>
      </c>
      <c r="E60" s="178" t="str">
        <f>IFERROR(INDEX('M03-S04'!$AZ$18:$AZ$199,2*(ROWS($E$51:E60)-1)+1),"")</f>
        <v/>
      </c>
      <c r="F60" s="408"/>
      <c r="G60" s="178">
        <f>IFERROR(INDEX('M03-S04'!$AA$18:$AA$199,2*(ROWS($G$51:G60)-1)+1),"")</f>
        <v>0</v>
      </c>
      <c r="H60" s="200">
        <f>IFERROR(INDEX('M03-S04'!$AE$18:$AE$199,2*(ROWS(H$51:H60)-1)+1),"")</f>
        <v>0</v>
      </c>
      <c r="I60" s="200">
        <f>IFERROR(INDEX('M03-S04'!$AG$18:$AG$199,2*(ROWS(I$51:I60)-1)+1),"")</f>
        <v>0</v>
      </c>
      <c r="J60" s="200" t="str">
        <f>IFERROR(INDEX('M03-S04'!$AT$18:$AT$199,2*(ROWS(J$51:J60)-1)+1),"")</f>
        <v/>
      </c>
      <c r="K60" s="178" t="s">
        <v>84</v>
      </c>
      <c r="L60" s="116">
        <f>IFERROR(ROUND(INDEX('M03-S04'!$U$18:$U$199,2*(ROWS(L$51:L60)-1)+1),3),"")</f>
        <v>0</v>
      </c>
      <c r="M60" s="116">
        <f>IFERROR(ROUND(INDEX('M03-S04'!$U$18:$U$199,2*(ROWS(M$51:M60)-1)+1),3),"")</f>
        <v>0</v>
      </c>
      <c r="N60" s="415" t="str">
        <f>IFERROR(INDEX('M03-S04'!$AV$18:$AV$199,2*(ROWS(N$51:N60)-1)+1),"")</f>
        <v/>
      </c>
      <c r="O60" s="415">
        <f>IFERROR(INDEX('M03-S04'!$BA$18:$BA$199,2*(ROWS(O$51:O60)-1)+1),"")</f>
        <v>0</v>
      </c>
      <c r="P60" s="415" t="str">
        <f>IFERROR(INDEX('M03-S04'!$AW$18:$AW$199,2*(ROWS(P$51:P60)-1)+1),"")</f>
        <v/>
      </c>
      <c r="Q60" s="415">
        <f>IFERROR(INDEX('M03-S04'!$BB$18:$BB$199,2*(ROWS(Q$51:Q60)-1)+1),"")</f>
        <v>0</v>
      </c>
      <c r="R60" s="200" t="str">
        <f>IFERROR(INDEX('M03-S04'!$AN$18:$AN$199,2*(ROWS(R$51:R60)-1)+1),"")</f>
        <v/>
      </c>
      <c r="S60" s="405"/>
      <c r="T60" s="405"/>
      <c r="U60" s="405"/>
      <c r="V60" s="325"/>
      <c r="W60" s="417"/>
      <c r="X60" s="417"/>
      <c r="Y60" s="408"/>
      <c r="Z60" s="408"/>
      <c r="AA60" s="418"/>
      <c r="AB60" s="418"/>
      <c r="AC60" s="325"/>
      <c r="AD60" s="415">
        <f>IFERROR(INDEX('M03-S04'!$AX$18:$AX$199,2*(ROWS(AD$51:AD60)-1)+1),"")</f>
        <v>0</v>
      </c>
      <c r="AE60" s="415">
        <f>IFERROR(INDEX('M03-S04'!$AY$18:$AY$199,2*(ROWS(AE$51:AE60)-1)+1),"")</f>
        <v>0</v>
      </c>
      <c r="AF60" s="408"/>
      <c r="AG60" s="408"/>
      <c r="AH60" s="408"/>
      <c r="AI60" s="178">
        <f>IFERROR(INDEX('M03-S04'!$B$18:$B$199,2*(ROWS(AI$51:AI60)-1)+1),"")</f>
        <v>10</v>
      </c>
      <c r="AJ60" s="325"/>
      <c r="AK60" s="178">
        <f>IFERROR(INDEX('M03-S04'!$C$18:$C$199,2*(ROWS(AK$51:AK60)-1)+1),"")</f>
        <v>0</v>
      </c>
      <c r="AL60" s="325"/>
      <c r="AM60" s="178">
        <f>IFERROR(INDEX('M03-S04'!$W$18:$W$199,2*(ROWS(AM$51:AM60)-1)+1),"")</f>
        <v>0</v>
      </c>
      <c r="AN60" s="405"/>
      <c r="AO60" s="405"/>
      <c r="AP60" s="178" t="str">
        <f>IFERROR(INDEX('M03-S04'!$AU$18:$AU$199,2*(ROWS(AP$51:AP60)-1)+1),"")</f>
        <v/>
      </c>
      <c r="AQ60" s="325"/>
      <c r="AR60" s="178" t="str">
        <f>IFERROR(INDEX(STDREFRIG[Reporting Methodology],MATCH(EXPORT!C60,STDREFRIG[Measure Number],0)),"")</f>
        <v/>
      </c>
      <c r="AS60" s="178" t="str">
        <f>IFERROR(INDEX(STDREFRIG[Primary Key],MATCH(C60,STDREFRIG[Measure Number],0)),"")</f>
        <v/>
      </c>
      <c r="AT60" s="200" t="str">
        <f>IFERROR(INDEX('M03-S04'!$AN$18:$AN$199,2*(ROWS(AT$51:AT60)-1)+1)-MIN(INDEX('M03-S04'!$AT$18:$AT$199,2*(ROWS(AT$51:AT60)-1)+1),(ROUND(INDEX('M03-S04'!$U$18:$U$199,2*(ROWS(AT$51:AT60)-1)+1),3)*INDEX(STDREFRIG[Previous Incentive],MATCH('M03-S04'!C36,STDREFRIG[Measure Name],0)))),"")</f>
        <v/>
      </c>
      <c r="AU60" s="278"/>
      <c r="AV60" s="278"/>
      <c r="AW60" s="278"/>
      <c r="AX60" s="278"/>
      <c r="AY60" s="278"/>
      <c r="AZ60" s="278"/>
      <c r="BA60" s="278"/>
      <c r="BB60" s="278"/>
      <c r="BC60" s="278"/>
      <c r="BD60" s="278"/>
      <c r="BE60" s="279"/>
      <c r="BL60" s="180"/>
      <c r="BP60" s="180"/>
      <c r="BQ60" s="180"/>
      <c r="BR60" s="180"/>
      <c r="CD60" s="180"/>
      <c r="CE60" s="180"/>
      <c r="CF60" s="180"/>
      <c r="CH60" s="180"/>
      <c r="CI60" s="180"/>
      <c r="CJ60" s="180"/>
      <c r="CK60" s="180"/>
      <c r="CL60" s="180"/>
      <c r="CM60" s="180"/>
      <c r="CN60" s="180"/>
      <c r="CQ60" s="180"/>
      <c r="CR60" s="180"/>
      <c r="CS60" s="180"/>
      <c r="DS60" s="180"/>
      <c r="DT60" s="180"/>
      <c r="DU60" s="180"/>
    </row>
    <row r="61" spans="1:125" s="54" customFormat="1" hidden="1">
      <c r="A61" s="135">
        <f t="shared" si="4"/>
        <v>0</v>
      </c>
      <c r="B61" s="178" t="str">
        <f t="shared" si="5"/>
        <v/>
      </c>
      <c r="C61" s="178" t="str">
        <f>IFERROR(IF(R61&gt;0,INDEX('M03-S04'!$BC$18:$BC$199,2*(ROWS($C$51:C61)-1)+1),""),"")</f>
        <v/>
      </c>
      <c r="D61" s="180" t="s">
        <v>1443</v>
      </c>
      <c r="E61" s="178">
        <f>IFERROR(INDEX('M03-S04'!$AZ$18:$AZ$199,2*(ROWS($E$51:E61)-1)+1),"")</f>
        <v>0</v>
      </c>
      <c r="F61" s="408"/>
      <c r="G61" s="178">
        <f>IFERROR(INDEX('M03-S04'!$AA$18:$AA$199,2*(ROWS($G$51:G61)-1)+1),"")</f>
        <v>0</v>
      </c>
      <c r="H61" s="200">
        <f>IFERROR(INDEX('M03-S04'!$AE$18:$AE$199,2*(ROWS(H$51:H61)-1)+1),"")</f>
        <v>0</v>
      </c>
      <c r="I61" s="200">
        <f>IFERROR(INDEX('M03-S04'!$AG$18:$AG$199,2*(ROWS(I$51:I61)-1)+1),"")</f>
        <v>0</v>
      </c>
      <c r="J61" s="200">
        <f>IFERROR(INDEX('M03-S04'!$AT$18:$AT$199,2*(ROWS(J$51:J61)-1)+1),"")</f>
        <v>0</v>
      </c>
      <c r="K61" s="178" t="s">
        <v>84</v>
      </c>
      <c r="L61" s="116">
        <f>IFERROR(ROUND(INDEX('M03-S04'!$U$18:$U$199,2*(ROWS(L$51:L61)-1)+1),3),"")</f>
        <v>0</v>
      </c>
      <c r="M61" s="116">
        <f>IFERROR(ROUND(INDEX('M03-S04'!$U$18:$U$199,2*(ROWS(M$51:M61)-1)+1),3),"")</f>
        <v>0</v>
      </c>
      <c r="N61" s="415">
        <f>IFERROR(INDEX('M03-S04'!$AV$18:$AV$199,2*(ROWS(N$51:N61)-1)+1),"")</f>
        <v>0</v>
      </c>
      <c r="O61" s="415">
        <f>IFERROR(INDEX('M03-S04'!$BA$18:$BA$199,2*(ROWS(O$51:O61)-1)+1),"")</f>
        <v>0</v>
      </c>
      <c r="P61" s="415">
        <f>IFERROR(INDEX('M03-S04'!$AW$18:$AW$199,2*(ROWS(P$51:P61)-1)+1),"")</f>
        <v>0</v>
      </c>
      <c r="Q61" s="415">
        <f>IFERROR(INDEX('M03-S04'!$BB$18:$BB$199,2*(ROWS(Q$51:Q61)-1)+1),"")</f>
        <v>0</v>
      </c>
      <c r="R61" s="200">
        <f>IFERROR(INDEX('M03-S04'!$AN$18:$AN$199,2*(ROWS(R$51:R61)-1)+1),"")</f>
        <v>0</v>
      </c>
      <c r="S61" s="405"/>
      <c r="T61" s="405"/>
      <c r="U61" s="405"/>
      <c r="V61" s="325"/>
      <c r="W61" s="417"/>
      <c r="X61" s="417"/>
      <c r="Y61" s="408"/>
      <c r="Z61" s="408"/>
      <c r="AA61" s="418"/>
      <c r="AB61" s="418"/>
      <c r="AC61" s="325"/>
      <c r="AD61" s="415">
        <f>IFERROR(INDEX('M03-S04'!$AX$18:$AX$199,2*(ROWS(AD$51:AD61)-1)+1),"")</f>
        <v>0</v>
      </c>
      <c r="AE61" s="415">
        <f>IFERROR(INDEX('M03-S04'!$AY$18:$AY$199,2*(ROWS(AE$51:AE61)-1)+1),"")</f>
        <v>0</v>
      </c>
      <c r="AF61" s="408"/>
      <c r="AG61" s="408"/>
      <c r="AH61" s="408"/>
      <c r="AI61" s="178">
        <f>IFERROR(INDEX('M03-S04'!$B$18:$B$199,2*(ROWS(AI$51:AI61)-1)+1),"")</f>
        <v>0</v>
      </c>
      <c r="AJ61" s="325"/>
      <c r="AK61" s="178">
        <f>IFERROR(INDEX('M03-S04'!$C$18:$C$199,2*(ROWS(AK$51:AK61)-1)+1),"")</f>
        <v>0</v>
      </c>
      <c r="AL61" s="325"/>
      <c r="AM61" s="178">
        <f>IFERROR(INDEX('M03-S04'!$W$18:$W$199,2*(ROWS(AM$51:AM61)-1)+1),"")</f>
        <v>0</v>
      </c>
      <c r="AN61" s="405"/>
      <c r="AO61" s="405"/>
      <c r="AP61" s="178">
        <f>IFERROR(INDEX('M03-S04'!$AU$18:$AU$199,2*(ROWS(AP$51:AP61)-1)+1),"")</f>
        <v>0</v>
      </c>
      <c r="AQ61" s="325"/>
      <c r="AR61" s="178" t="str">
        <f>IFERROR(INDEX(STDREFRIG[Reporting Methodology],MATCH(EXPORT!C61,STDREFRIG[Measure Number],0)),"")</f>
        <v/>
      </c>
      <c r="AS61" s="178" t="str">
        <f>IFERROR(INDEX(STDREFRIG[Primary Key],MATCH(C61,STDREFRIG[Measure Number],0)),"")</f>
        <v/>
      </c>
      <c r="AT61" s="200" t="str">
        <f>IFERROR(INDEX('M03-S04'!$AN$18:$AN$199,2*(ROWS(AT$51:AT61)-1)+1)-MIN(INDEX('M03-S04'!$AT$18:$AT$199,2*(ROWS(AT$51:AT61)-1)+1),(ROUND(INDEX('M03-S04'!$U$18:$U$199,2*(ROWS(AT$51:AT61)-1)+1),3)*INDEX(STDREFRIG[Previous Incentive],MATCH('M03-S04'!C38,STDREFRIG[Measure Name],0)))),"")</f>
        <v/>
      </c>
      <c r="AU61" s="278"/>
      <c r="AV61" s="278"/>
      <c r="AW61" s="278"/>
      <c r="AX61" s="278"/>
      <c r="AY61" s="278"/>
      <c r="AZ61" s="278"/>
      <c r="BA61" s="278"/>
      <c r="BB61" s="278"/>
      <c r="BC61" s="278"/>
      <c r="BD61" s="278"/>
      <c r="BE61" s="279"/>
      <c r="BL61" s="180"/>
      <c r="BP61" s="180"/>
      <c r="BQ61" s="180"/>
      <c r="BR61" s="180"/>
      <c r="CD61" s="180"/>
      <c r="CE61" s="180"/>
      <c r="CF61" s="180"/>
      <c r="CH61" s="180"/>
      <c r="CI61" s="180"/>
      <c r="CJ61" s="180"/>
      <c r="CK61" s="180"/>
      <c r="CL61" s="180"/>
      <c r="CM61" s="180"/>
      <c r="CN61" s="180"/>
      <c r="CQ61" s="180"/>
      <c r="CR61" s="180"/>
      <c r="CS61" s="180"/>
      <c r="DS61" s="180"/>
      <c r="DT61" s="180"/>
      <c r="DU61" s="180"/>
    </row>
    <row r="62" spans="1:125" s="54" customFormat="1" hidden="1">
      <c r="A62" s="135">
        <f t="shared" si="4"/>
        <v>0</v>
      </c>
      <c r="B62" s="178" t="str">
        <f t="shared" si="5"/>
        <v/>
      </c>
      <c r="C62" s="178" t="str">
        <f>IFERROR(IF(R62&gt;0,INDEX('M03-S04'!$BC$18:$BC$199,2*(ROWS($C$51:C62)-1)+1),""),"")</f>
        <v/>
      </c>
      <c r="D62" s="180" t="s">
        <v>1443</v>
      </c>
      <c r="E62" s="178">
        <f>IFERROR(INDEX('M03-S04'!$AZ$18:$AZ$199,2*(ROWS($E$51:E62)-1)+1),"")</f>
        <v>0</v>
      </c>
      <c r="F62" s="408"/>
      <c r="G62" s="178">
        <f>IFERROR(INDEX('M03-S04'!$AA$18:$AA$199,2*(ROWS($G$51:G62)-1)+1),"")</f>
        <v>0</v>
      </c>
      <c r="H62" s="200">
        <f>IFERROR(INDEX('M03-S04'!$AE$18:$AE$199,2*(ROWS(H$51:H62)-1)+1),"")</f>
        <v>0</v>
      </c>
      <c r="I62" s="200">
        <f>IFERROR(INDEX('M03-S04'!$AG$18:$AG$199,2*(ROWS(I$51:I62)-1)+1),"")</f>
        <v>0</v>
      </c>
      <c r="J62" s="200">
        <f>IFERROR(INDEX('M03-S04'!$AT$18:$AT$199,2*(ROWS(J$51:J62)-1)+1),"")</f>
        <v>0</v>
      </c>
      <c r="K62" s="178" t="s">
        <v>84</v>
      </c>
      <c r="L62" s="116">
        <f>IFERROR(ROUND(INDEX('M03-S04'!$U$18:$U$199,2*(ROWS(L$51:L62)-1)+1),3),"")</f>
        <v>0</v>
      </c>
      <c r="M62" s="116">
        <f>IFERROR(ROUND(INDEX('M03-S04'!$U$18:$U$199,2*(ROWS(M$51:M62)-1)+1),3),"")</f>
        <v>0</v>
      </c>
      <c r="N62" s="415">
        <f>IFERROR(INDEX('M03-S04'!$AV$18:$AV$199,2*(ROWS(N$51:N62)-1)+1),"")</f>
        <v>0</v>
      </c>
      <c r="O62" s="415">
        <f>IFERROR(INDEX('M03-S04'!$BA$18:$BA$199,2*(ROWS(O$51:O62)-1)+1),"")</f>
        <v>0</v>
      </c>
      <c r="P62" s="415">
        <f>IFERROR(INDEX('M03-S04'!$AW$18:$AW$199,2*(ROWS(P$51:P62)-1)+1),"")</f>
        <v>0</v>
      </c>
      <c r="Q62" s="415">
        <f>IFERROR(INDEX('M03-S04'!$BB$18:$BB$199,2*(ROWS(Q$51:Q62)-1)+1),"")</f>
        <v>0</v>
      </c>
      <c r="R62" s="200">
        <f>IFERROR(INDEX('M03-S04'!$AN$18:$AN$199,2*(ROWS(R$51:R62)-1)+1),"")</f>
        <v>0</v>
      </c>
      <c r="S62" s="405"/>
      <c r="T62" s="405"/>
      <c r="U62" s="405"/>
      <c r="V62" s="325"/>
      <c r="W62" s="417"/>
      <c r="X62" s="417"/>
      <c r="Y62" s="408"/>
      <c r="Z62" s="408"/>
      <c r="AA62" s="418"/>
      <c r="AB62" s="418"/>
      <c r="AC62" s="325"/>
      <c r="AD62" s="415">
        <f>IFERROR(INDEX('M03-S04'!$AX$18:$AX$199,2*(ROWS(AD$51:AD62)-1)+1),"")</f>
        <v>0</v>
      </c>
      <c r="AE62" s="415">
        <f>IFERROR(INDEX('M03-S04'!$AY$18:$AY$199,2*(ROWS(AE$51:AE62)-1)+1),"")</f>
        <v>0</v>
      </c>
      <c r="AF62" s="408"/>
      <c r="AG62" s="408"/>
      <c r="AH62" s="408"/>
      <c r="AI62" s="178">
        <f>IFERROR(INDEX('M03-S04'!$B$18:$B$199,2*(ROWS(AI$51:AI62)-1)+1),"")</f>
        <v>0</v>
      </c>
      <c r="AJ62" s="325"/>
      <c r="AK62" s="178">
        <f>IFERROR(INDEX('M03-S04'!$C$18:$C$199,2*(ROWS(AK$51:AK62)-1)+1),"")</f>
        <v>0</v>
      </c>
      <c r="AL62" s="325"/>
      <c r="AM62" s="178">
        <f>IFERROR(INDEX('M03-S04'!$W$18:$W$199,2*(ROWS(AM$51:AM62)-1)+1),"")</f>
        <v>0</v>
      </c>
      <c r="AN62" s="405"/>
      <c r="AO62" s="405"/>
      <c r="AP62" s="178">
        <f>IFERROR(INDEX('M03-S04'!$AU$18:$AU$199,2*(ROWS(AP$51:AP62)-1)+1),"")</f>
        <v>0</v>
      </c>
      <c r="AQ62" s="325"/>
      <c r="AR62" s="178" t="str">
        <f>IFERROR(INDEX(STDREFRIG[Reporting Methodology],MATCH(EXPORT!C62,STDREFRIG[Measure Number],0)),"")</f>
        <v/>
      </c>
      <c r="AS62" s="178" t="str">
        <f>IFERROR(INDEX(STDREFRIG[Primary Key],MATCH(C62,STDREFRIG[Measure Number],0)),"")</f>
        <v/>
      </c>
      <c r="AT62" s="200" t="str">
        <f>IFERROR(INDEX('M03-S04'!$AN$18:$AN$199,2*(ROWS(AT$51:AT62)-1)+1)-MIN(INDEX('M03-S04'!$AT$18:$AT$199,2*(ROWS(AT$51:AT62)-1)+1),(ROUND(INDEX('M03-S04'!$U$18:$U$199,2*(ROWS(AT$51:AT62)-1)+1),3)*INDEX(STDREFRIG[Previous Incentive],MATCH('M03-S04'!C40,STDREFRIG[Measure Name],0)))),"")</f>
        <v/>
      </c>
      <c r="AU62" s="278"/>
      <c r="AV62" s="278"/>
      <c r="AW62" s="278"/>
      <c r="AX62" s="278"/>
      <c r="AY62" s="278"/>
      <c r="AZ62" s="278"/>
      <c r="BA62" s="278"/>
      <c r="BB62" s="278"/>
      <c r="BC62" s="278"/>
      <c r="BD62" s="278"/>
      <c r="BE62" s="279"/>
      <c r="BL62" s="180"/>
      <c r="BP62" s="180"/>
      <c r="BQ62" s="180"/>
      <c r="BR62" s="180"/>
      <c r="CD62" s="180"/>
      <c r="CE62" s="180"/>
      <c r="CF62" s="180"/>
      <c r="CH62" s="180"/>
      <c r="CI62" s="180"/>
      <c r="CJ62" s="180"/>
      <c r="CK62" s="180"/>
      <c r="CL62" s="180"/>
      <c r="CM62" s="180"/>
      <c r="CN62" s="180"/>
      <c r="CQ62" s="180"/>
      <c r="CR62" s="180"/>
      <c r="CS62" s="180"/>
      <c r="DS62" s="180"/>
      <c r="DT62" s="180"/>
      <c r="DU62" s="180"/>
    </row>
    <row r="63" spans="1:125" s="54" customFormat="1" hidden="1">
      <c r="A63" s="135">
        <f t="shared" si="4"/>
        <v>0</v>
      </c>
      <c r="B63" s="178" t="str">
        <f t="shared" si="5"/>
        <v/>
      </c>
      <c r="C63" s="178" t="str">
        <f>IFERROR(IF(R63&gt;0,INDEX('M03-S04'!$BC$18:$BC$199,2*(ROWS($C$51:C63)-1)+1),""),"")</f>
        <v/>
      </c>
      <c r="D63" s="180" t="s">
        <v>1443</v>
      </c>
      <c r="E63" s="178">
        <f>IFERROR(INDEX('M03-S04'!$AZ$18:$AZ$199,2*(ROWS($E$51:E63)-1)+1),"")</f>
        <v>0</v>
      </c>
      <c r="F63" s="408"/>
      <c r="G63" s="178">
        <f>IFERROR(INDEX('M03-S04'!$AA$18:$AA$199,2*(ROWS($G$51:G63)-1)+1),"")</f>
        <v>0</v>
      </c>
      <c r="H63" s="200">
        <f>IFERROR(INDEX('M03-S04'!$AE$18:$AE$199,2*(ROWS(H$51:H63)-1)+1),"")</f>
        <v>0</v>
      </c>
      <c r="I63" s="200">
        <f>IFERROR(INDEX('M03-S04'!$AG$18:$AG$199,2*(ROWS(I$51:I63)-1)+1),"")</f>
        <v>0</v>
      </c>
      <c r="J63" s="200">
        <f>IFERROR(INDEX('M03-S04'!$AT$18:$AT$199,2*(ROWS(J$51:J63)-1)+1),"")</f>
        <v>0</v>
      </c>
      <c r="K63" s="178" t="s">
        <v>84</v>
      </c>
      <c r="L63" s="116">
        <f>IFERROR(ROUND(INDEX('M03-S04'!$U$18:$U$199,2*(ROWS(L$51:L63)-1)+1),3),"")</f>
        <v>0</v>
      </c>
      <c r="M63" s="116">
        <f>IFERROR(ROUND(INDEX('M03-S04'!$U$18:$U$199,2*(ROWS(M$51:M63)-1)+1),3),"")</f>
        <v>0</v>
      </c>
      <c r="N63" s="415">
        <f>IFERROR(INDEX('M03-S04'!$AV$18:$AV$199,2*(ROWS(N$51:N63)-1)+1),"")</f>
        <v>0</v>
      </c>
      <c r="O63" s="415">
        <f>IFERROR(INDEX('M03-S04'!$BA$18:$BA$199,2*(ROWS(O$51:O63)-1)+1),"")</f>
        <v>0</v>
      </c>
      <c r="P63" s="415">
        <f>IFERROR(INDEX('M03-S04'!$AW$18:$AW$199,2*(ROWS(P$51:P63)-1)+1),"")</f>
        <v>0</v>
      </c>
      <c r="Q63" s="415">
        <f>IFERROR(INDEX('M03-S04'!$BB$18:$BB$199,2*(ROWS(Q$51:Q63)-1)+1),"")</f>
        <v>0</v>
      </c>
      <c r="R63" s="200">
        <f>IFERROR(INDEX('M03-S04'!$AN$18:$AN$199,2*(ROWS(R$51:R63)-1)+1),"")</f>
        <v>0</v>
      </c>
      <c r="S63" s="405"/>
      <c r="T63" s="405"/>
      <c r="U63" s="405"/>
      <c r="V63" s="325"/>
      <c r="W63" s="417"/>
      <c r="X63" s="417"/>
      <c r="Y63" s="408"/>
      <c r="Z63" s="408"/>
      <c r="AA63" s="418"/>
      <c r="AB63" s="418"/>
      <c r="AC63" s="325"/>
      <c r="AD63" s="415">
        <f>IFERROR(INDEX('M03-S04'!$AX$18:$AX$199,2*(ROWS(AD$51:AD63)-1)+1),"")</f>
        <v>0</v>
      </c>
      <c r="AE63" s="415">
        <f>IFERROR(INDEX('M03-S04'!$AY$18:$AY$199,2*(ROWS(AE$51:AE63)-1)+1),"")</f>
        <v>0</v>
      </c>
      <c r="AF63" s="408"/>
      <c r="AG63" s="408"/>
      <c r="AH63" s="408"/>
      <c r="AI63" s="178">
        <f>IFERROR(INDEX('M03-S04'!$B$18:$B$199,2*(ROWS(AI$51:AI63)-1)+1),"")</f>
        <v>0</v>
      </c>
      <c r="AJ63" s="325"/>
      <c r="AK63" s="178">
        <f>IFERROR(INDEX('M03-S04'!$C$18:$C$199,2*(ROWS(AK$51:AK63)-1)+1),"")</f>
        <v>0</v>
      </c>
      <c r="AL63" s="325"/>
      <c r="AM63" s="178">
        <f>IFERROR(INDEX('M03-S04'!$W$18:$W$199,2*(ROWS(AM$51:AM63)-1)+1),"")</f>
        <v>0</v>
      </c>
      <c r="AN63" s="405"/>
      <c r="AO63" s="405"/>
      <c r="AP63" s="178">
        <f>IFERROR(INDEX('M03-S04'!$AU$18:$AU$199,2*(ROWS(AP$51:AP63)-1)+1),"")</f>
        <v>0</v>
      </c>
      <c r="AQ63" s="325"/>
      <c r="AR63" s="178" t="str">
        <f>IFERROR(INDEX(STDREFRIG[Reporting Methodology],MATCH(EXPORT!C63,STDREFRIG[Measure Number],0)),"")</f>
        <v/>
      </c>
      <c r="AS63" s="178" t="str">
        <f>IFERROR(INDEX(STDREFRIG[Primary Key],MATCH(C63,STDREFRIG[Measure Number],0)),"")</f>
        <v/>
      </c>
      <c r="AT63" s="200" t="str">
        <f>IFERROR(INDEX('M03-S04'!$AN$18:$AN$199,2*(ROWS(AT$51:AT63)-1)+1)-MIN(INDEX('M03-S04'!$AT$18:$AT$199,2*(ROWS(AT$51:AT63)-1)+1),(ROUND(INDEX('M03-S04'!$U$18:$U$199,2*(ROWS(AT$51:AT63)-1)+1),3)*INDEX(STDREFRIG[Previous Incentive],MATCH('M03-S04'!C42,STDREFRIG[Measure Name],0)))),"")</f>
        <v/>
      </c>
      <c r="AU63" s="278"/>
      <c r="AV63" s="278"/>
      <c r="AW63" s="278"/>
      <c r="AX63" s="278"/>
      <c r="AY63" s="278"/>
      <c r="AZ63" s="278"/>
      <c r="BA63" s="278"/>
      <c r="BB63" s="278"/>
      <c r="BC63" s="278"/>
      <c r="BD63" s="278"/>
      <c r="BE63" s="279"/>
      <c r="BL63" s="180"/>
      <c r="BP63" s="180"/>
      <c r="BQ63" s="180"/>
      <c r="BR63" s="180"/>
      <c r="CD63" s="180"/>
      <c r="CE63" s="180"/>
      <c r="CF63" s="180"/>
      <c r="CH63" s="180"/>
      <c r="CI63" s="180"/>
      <c r="CJ63" s="180"/>
      <c r="CK63" s="180"/>
      <c r="CL63" s="180"/>
      <c r="CM63" s="180"/>
      <c r="CN63" s="180"/>
      <c r="CQ63" s="180"/>
      <c r="CR63" s="180"/>
      <c r="CS63" s="180"/>
      <c r="DS63" s="180"/>
      <c r="DT63" s="180"/>
      <c r="DU63" s="180"/>
    </row>
    <row r="64" spans="1:125" s="54" customFormat="1" ht="17.25" hidden="1" customHeight="1">
      <c r="A64" s="135">
        <f t="shared" si="4"/>
        <v>0</v>
      </c>
      <c r="B64" s="178" t="str">
        <f t="shared" si="5"/>
        <v/>
      </c>
      <c r="C64" s="178" t="str">
        <f>IFERROR(IF(R64&gt;0,INDEX('M03-S04'!$BC$18:$BC$199,2*(ROWS($C$51:C64)-1)+1),""),"")</f>
        <v/>
      </c>
      <c r="D64" s="180" t="s">
        <v>1443</v>
      </c>
      <c r="E64" s="178">
        <f>IFERROR(INDEX('M03-S04'!$AZ$18:$AZ$199,2*(ROWS($E$51:E64)-1)+1),"")</f>
        <v>0</v>
      </c>
      <c r="F64" s="408"/>
      <c r="G64" s="178">
        <f>IFERROR(INDEX('M03-S04'!$AA$18:$AA$199,2*(ROWS($G$51:G64)-1)+1),"")</f>
        <v>0</v>
      </c>
      <c r="H64" s="200">
        <f>IFERROR(INDEX('M03-S04'!$AE$18:$AE$199,2*(ROWS(H$51:H64)-1)+1),"")</f>
        <v>0</v>
      </c>
      <c r="I64" s="200">
        <f>IFERROR(INDEX('M03-S04'!$AG$18:$AG$199,2*(ROWS(I$51:I64)-1)+1),"")</f>
        <v>0</v>
      </c>
      <c r="J64" s="200">
        <f>IFERROR(INDEX('M03-S04'!$AT$18:$AT$199,2*(ROWS(J$51:J64)-1)+1),"")</f>
        <v>0</v>
      </c>
      <c r="K64" s="178" t="s">
        <v>84</v>
      </c>
      <c r="L64" s="116">
        <f>IFERROR(ROUND(INDEX('M03-S04'!$U$18:$U$199,2*(ROWS(L$51:L64)-1)+1),3),"")</f>
        <v>0</v>
      </c>
      <c r="M64" s="116">
        <f>IFERROR(ROUND(INDEX('M03-S04'!$U$18:$U$199,2*(ROWS(M$51:M64)-1)+1),3),"")</f>
        <v>0</v>
      </c>
      <c r="N64" s="415">
        <f>IFERROR(INDEX('M03-S04'!$AV$18:$AV$199,2*(ROWS(N$51:N64)-1)+1),"")</f>
        <v>0</v>
      </c>
      <c r="O64" s="415">
        <f>IFERROR(INDEX('M03-S04'!$BA$18:$BA$199,2*(ROWS(O$51:O64)-1)+1),"")</f>
        <v>0</v>
      </c>
      <c r="P64" s="415">
        <f>IFERROR(INDEX('M03-S04'!$AW$18:$AW$199,2*(ROWS(P$51:P64)-1)+1),"")</f>
        <v>0</v>
      </c>
      <c r="Q64" s="415">
        <f>IFERROR(INDEX('M03-S04'!$BB$18:$BB$199,2*(ROWS(Q$51:Q64)-1)+1),"")</f>
        <v>0</v>
      </c>
      <c r="R64" s="200">
        <f>IFERROR(INDEX('M03-S04'!$AN$18:$AN$199,2*(ROWS(R$51:R64)-1)+1),"")</f>
        <v>0</v>
      </c>
      <c r="S64" s="405"/>
      <c r="T64" s="405"/>
      <c r="U64" s="405"/>
      <c r="V64" s="325"/>
      <c r="W64" s="417"/>
      <c r="X64" s="417"/>
      <c r="Y64" s="408"/>
      <c r="Z64" s="408"/>
      <c r="AA64" s="418"/>
      <c r="AB64" s="418"/>
      <c r="AC64" s="325"/>
      <c r="AD64" s="415">
        <f>IFERROR(INDEX('M03-S04'!$AX$18:$AX$199,2*(ROWS(AD$51:AD64)-1)+1),"")</f>
        <v>0</v>
      </c>
      <c r="AE64" s="415">
        <f>IFERROR(INDEX('M03-S04'!$AY$18:$AY$199,2*(ROWS(AE$51:AE64)-1)+1),"")</f>
        <v>0</v>
      </c>
      <c r="AF64" s="408"/>
      <c r="AG64" s="408"/>
      <c r="AH64" s="408"/>
      <c r="AI64" s="178">
        <f>IFERROR(INDEX('M03-S04'!$B$18:$B$199,2*(ROWS(AI$51:AI64)-1)+1),"")</f>
        <v>0</v>
      </c>
      <c r="AJ64" s="325"/>
      <c r="AK64" s="178">
        <f>IFERROR(INDEX('M03-S04'!$C$18:$C$199,2*(ROWS(AK$51:AK64)-1)+1),"")</f>
        <v>0</v>
      </c>
      <c r="AL64" s="325"/>
      <c r="AM64" s="178">
        <f>IFERROR(INDEX('M03-S04'!$W$18:$W$199,2*(ROWS(AM$51:AM64)-1)+1),"")</f>
        <v>0</v>
      </c>
      <c r="AN64" s="405"/>
      <c r="AO64" s="405"/>
      <c r="AP64" s="178">
        <f>IFERROR(INDEX('M03-S04'!$AU$18:$AU$199,2*(ROWS(AP$51:AP64)-1)+1),"")</f>
        <v>0</v>
      </c>
      <c r="AQ64" s="325"/>
      <c r="AR64" s="178" t="str">
        <f>IFERROR(INDEX(STDREFRIG[Reporting Methodology],MATCH(EXPORT!C64,STDREFRIG[Measure Number],0)),"")</f>
        <v/>
      </c>
      <c r="AS64" s="178" t="str">
        <f>IFERROR(INDEX(STDREFRIG[Primary Key],MATCH(C64,STDREFRIG[Measure Number],0)),"")</f>
        <v/>
      </c>
      <c r="AT64" s="200" t="str">
        <f>IFERROR(INDEX('M03-S04'!$AN$18:$AN$199,2*(ROWS(AT$51:AT64)-1)+1)-MIN(INDEX('M03-S04'!$AT$18:$AT$199,2*(ROWS(AT$51:AT64)-1)+1),(ROUND(INDEX('M03-S04'!$U$18:$U$199,2*(ROWS(AT$51:AT64)-1)+1),3)*INDEX(STDREFRIG[Previous Incentive],MATCH('M03-S04'!C44,STDREFRIG[Measure Name],0)))),"")</f>
        <v/>
      </c>
      <c r="AU64" s="278"/>
      <c r="AV64" s="278"/>
      <c r="AW64" s="278"/>
      <c r="AX64" s="278"/>
      <c r="AY64" s="278"/>
      <c r="AZ64" s="278"/>
      <c r="BA64" s="278"/>
      <c r="BB64" s="278"/>
      <c r="BC64" s="278"/>
      <c r="BD64" s="278"/>
      <c r="BE64" s="279"/>
      <c r="BL64" s="180"/>
      <c r="BP64"/>
      <c r="BQ64"/>
      <c r="BR64"/>
      <c r="CD64" s="180"/>
      <c r="CE64" s="180"/>
      <c r="CF64" s="180"/>
      <c r="CH64"/>
      <c r="CI64"/>
      <c r="CJ64"/>
      <c r="CK64"/>
      <c r="CL64"/>
      <c r="CM64"/>
      <c r="CN64"/>
      <c r="CQ64" s="180"/>
      <c r="CR64" s="180"/>
      <c r="CS64" s="180"/>
      <c r="DS64" s="180"/>
      <c r="DT64" s="180"/>
      <c r="DU64" s="180"/>
    </row>
    <row r="65" spans="1:125" s="54" customFormat="1" hidden="1">
      <c r="A65" s="135">
        <f t="shared" si="4"/>
        <v>0</v>
      </c>
      <c r="B65" s="178" t="str">
        <f t="shared" si="5"/>
        <v/>
      </c>
      <c r="C65" s="178" t="str">
        <f>IFERROR(IF(R65&gt;0,INDEX('M03-S04'!$BC$18:$BC$199,2*(ROWS($C$51:C65)-1)+1),""),"")</f>
        <v/>
      </c>
      <c r="D65" s="180" t="s">
        <v>1443</v>
      </c>
      <c r="E65" s="178">
        <f>IFERROR(INDEX('M03-S04'!$AZ$18:$AZ$199,2*(ROWS($E$51:E65)-1)+1),"")</f>
        <v>0</v>
      </c>
      <c r="F65" s="408"/>
      <c r="G65" s="178">
        <f>IFERROR(INDEX('M03-S04'!$AA$18:$AA$199,2*(ROWS($G$51:G65)-1)+1),"")</f>
        <v>0</v>
      </c>
      <c r="H65" s="200">
        <f>IFERROR(INDEX('M03-S04'!$AE$18:$AE$199,2*(ROWS(H$51:H65)-1)+1),"")</f>
        <v>0</v>
      </c>
      <c r="I65" s="200">
        <f>IFERROR(INDEX('M03-S04'!$AG$18:$AG$199,2*(ROWS(I$51:I65)-1)+1),"")</f>
        <v>0</v>
      </c>
      <c r="J65" s="200">
        <f>IFERROR(INDEX('M03-S04'!$AT$18:$AT$199,2*(ROWS(J$51:J65)-1)+1),"")</f>
        <v>0</v>
      </c>
      <c r="K65" s="178" t="s">
        <v>84</v>
      </c>
      <c r="L65" s="116">
        <f>IFERROR(ROUND(INDEX('M03-S04'!$U$18:$U$199,2*(ROWS(L$51:L65)-1)+1),3),"")</f>
        <v>0</v>
      </c>
      <c r="M65" s="116">
        <f>IFERROR(ROUND(INDEX('M03-S04'!$U$18:$U$199,2*(ROWS(M$51:M65)-1)+1),3),"")</f>
        <v>0</v>
      </c>
      <c r="N65" s="415">
        <f>IFERROR(INDEX('M03-S04'!$AV$18:$AV$199,2*(ROWS(N$51:N65)-1)+1),"")</f>
        <v>0</v>
      </c>
      <c r="O65" s="415">
        <f>IFERROR(INDEX('M03-S04'!$BA$18:$BA$199,2*(ROWS(O$51:O65)-1)+1),"")</f>
        <v>0</v>
      </c>
      <c r="P65" s="415">
        <f>IFERROR(INDEX('M03-S04'!$AW$18:$AW$199,2*(ROWS(P$51:P65)-1)+1),"")</f>
        <v>0</v>
      </c>
      <c r="Q65" s="415">
        <f>IFERROR(INDEX('M03-S04'!$BB$18:$BB$199,2*(ROWS(Q$51:Q65)-1)+1),"")</f>
        <v>0</v>
      </c>
      <c r="R65" s="200">
        <f>IFERROR(INDEX('M03-S04'!$AN$18:$AN$199,2*(ROWS(R$51:R65)-1)+1),"")</f>
        <v>0</v>
      </c>
      <c r="S65" s="405"/>
      <c r="T65" s="405"/>
      <c r="U65" s="405"/>
      <c r="V65" s="325"/>
      <c r="W65" s="417"/>
      <c r="X65" s="417"/>
      <c r="Y65" s="408"/>
      <c r="Z65" s="408"/>
      <c r="AA65" s="418"/>
      <c r="AB65" s="418"/>
      <c r="AC65" s="325"/>
      <c r="AD65" s="415">
        <f>IFERROR(INDEX('M03-S04'!$AX$18:$AX$199,2*(ROWS(AD$51:AD65)-1)+1),"")</f>
        <v>0</v>
      </c>
      <c r="AE65" s="415">
        <f>IFERROR(INDEX('M03-S04'!$AY$18:$AY$199,2*(ROWS(AE$51:AE65)-1)+1),"")</f>
        <v>0</v>
      </c>
      <c r="AF65" s="408"/>
      <c r="AG65" s="408"/>
      <c r="AH65" s="408"/>
      <c r="AI65" s="178">
        <f>IFERROR(INDEX('M03-S04'!$B$18:$B$199,2*(ROWS(AI$51:AI65)-1)+1),"")</f>
        <v>0</v>
      </c>
      <c r="AJ65" s="325"/>
      <c r="AK65" s="178">
        <f>IFERROR(INDEX('M03-S04'!$C$18:$C$199,2*(ROWS(AK$51:AK65)-1)+1),"")</f>
        <v>0</v>
      </c>
      <c r="AL65" s="325"/>
      <c r="AM65" s="178">
        <f>IFERROR(INDEX('M03-S04'!$W$18:$W$199,2*(ROWS(AM$51:AM65)-1)+1),"")</f>
        <v>0</v>
      </c>
      <c r="AN65" s="405"/>
      <c r="AO65" s="405"/>
      <c r="AP65" s="178">
        <f>IFERROR(INDEX('M03-S04'!$AU$18:$AU$199,2*(ROWS(AP$51:AP65)-1)+1),"")</f>
        <v>0</v>
      </c>
      <c r="AQ65" s="325"/>
      <c r="AR65" s="178" t="str">
        <f>IFERROR(INDEX(STDREFRIG[Reporting Methodology],MATCH(EXPORT!C65,STDREFRIG[Measure Number],0)),"")</f>
        <v/>
      </c>
      <c r="AS65" s="178" t="str">
        <f>IFERROR(INDEX(STDREFRIG[Primary Key],MATCH(C65,STDREFRIG[Measure Number],0)),"")</f>
        <v/>
      </c>
      <c r="AT65" s="200" t="str">
        <f>IFERROR(INDEX('M03-S04'!$AN$18:$AN$199,2*(ROWS(AT$51:AT65)-1)+1)-MIN(INDEX('M03-S04'!$AT$18:$AT$199,2*(ROWS(AT$51:AT65)-1)+1),(ROUND(INDEX('M03-S04'!$U$18:$U$199,2*(ROWS(AT$51:AT65)-1)+1),3)*INDEX(STDREFRIG[Previous Incentive],MATCH('M03-S04'!C46,STDREFRIG[Measure Name],0)))),"")</f>
        <v/>
      </c>
      <c r="AU65" s="278"/>
      <c r="AV65" s="278"/>
      <c r="AW65" s="278"/>
      <c r="AX65" s="278"/>
      <c r="AY65" s="278"/>
      <c r="AZ65" s="278"/>
      <c r="BA65" s="278"/>
      <c r="BB65" s="278"/>
      <c r="BC65" s="278"/>
      <c r="BD65" s="278"/>
      <c r="BE65" s="279"/>
      <c r="BL65" s="180"/>
      <c r="BP65"/>
      <c r="BQ65"/>
      <c r="BR65"/>
      <c r="CD65" s="180"/>
      <c r="CE65" s="180"/>
      <c r="CF65" s="180"/>
      <c r="CH65"/>
      <c r="CI65"/>
      <c r="CJ65"/>
      <c r="CK65"/>
      <c r="CL65"/>
      <c r="CM65"/>
      <c r="CN65"/>
      <c r="CQ65" s="180"/>
      <c r="CR65" s="180"/>
      <c r="CS65" s="180"/>
      <c r="DS65" s="180"/>
      <c r="DT65" s="180"/>
      <c r="DU65" s="180"/>
    </row>
    <row r="66" spans="1:125" s="331" customFormat="1">
      <c r="A66" s="428" t="str">
        <f>"Standard "&amp;M3S5</f>
        <v>Standard HVAC</v>
      </c>
      <c r="B66" s="327"/>
      <c r="C66" s="327"/>
      <c r="D66" s="327"/>
      <c r="E66" s="327"/>
      <c r="F66" s="407"/>
      <c r="G66" s="327"/>
      <c r="H66" s="403"/>
      <c r="I66" s="403"/>
      <c r="J66" s="403"/>
      <c r="K66" s="327"/>
      <c r="L66" s="411"/>
      <c r="M66" s="411"/>
      <c r="N66" s="414"/>
      <c r="O66" s="414"/>
      <c r="P66" s="414"/>
      <c r="Q66" s="414"/>
      <c r="R66" s="403"/>
      <c r="S66" s="403"/>
      <c r="T66" s="403"/>
      <c r="U66" s="403"/>
      <c r="V66" s="327"/>
      <c r="W66" s="411"/>
      <c r="X66" s="411"/>
      <c r="Y66" s="407"/>
      <c r="Z66" s="407"/>
      <c r="AA66" s="414"/>
      <c r="AB66" s="414"/>
      <c r="AC66" s="327"/>
      <c r="AD66" s="414"/>
      <c r="AE66" s="414"/>
      <c r="AF66" s="407"/>
      <c r="AG66" s="407"/>
      <c r="AH66" s="407"/>
      <c r="AI66" s="327"/>
      <c r="AJ66" s="327"/>
      <c r="AK66" s="328"/>
      <c r="AL66" s="327"/>
      <c r="AM66" s="327"/>
      <c r="AN66" s="403"/>
      <c r="AO66" s="403"/>
      <c r="AP66" s="327"/>
      <c r="AQ66" s="327"/>
      <c r="AR66" s="327"/>
      <c r="AS66" s="327"/>
      <c r="AT66" s="327"/>
      <c r="AU66" s="329"/>
      <c r="AV66" s="329"/>
      <c r="AW66" s="329"/>
      <c r="AX66" s="329"/>
      <c r="AY66" s="329"/>
      <c r="AZ66" s="329"/>
      <c r="BA66" s="329"/>
      <c r="BB66" s="329"/>
      <c r="BC66" s="329"/>
      <c r="BD66" s="329"/>
      <c r="BE66" s="330"/>
    </row>
    <row r="67" spans="1:125" s="54" customFormat="1" hidden="1">
      <c r="A67" s="135">
        <f t="shared" ref="A67:A101" si="6">PROJID</f>
        <v>0</v>
      </c>
      <c r="B67" s="178" t="str">
        <f>IF(C67="","",CONCATENATE(ROW(),"-",C67))</f>
        <v/>
      </c>
      <c r="C67" s="178" t="str">
        <f>IFERROR(IF(R67&gt;0,INDEX('M03-S05'!$BC$18:$BC$342,2*(ROWS($C$67:C67)-1)+1),""),"")</f>
        <v/>
      </c>
      <c r="D67" s="180" t="s">
        <v>1443</v>
      </c>
      <c r="E67" s="178" t="str">
        <f>IFERROR(INDEX('M03-S05'!$AZ$18:$AZ$342,2*(ROWS($E$67:E67)-1)+1),"")</f>
        <v/>
      </c>
      <c r="F67" s="408"/>
      <c r="G67" s="408"/>
      <c r="H67" s="200">
        <f>IFERROR(INDEX('M03-S05'!$AA$18:$AA$342,2*(ROWS(H$67:H67)-1)+1),"")</f>
        <v>0</v>
      </c>
      <c r="I67" s="200">
        <f>IFERROR(INDEX('M03-S05'!$AC$18:$AC$342,2*(ROWS(I$67:I67)-1)+1),"")</f>
        <v>0</v>
      </c>
      <c r="J67" s="200" t="str">
        <f>IFERROR(INDEX('M03-S05'!$AT$18:$AT$342,2*(ROWS(J$67:J67)-1)+1),"")</f>
        <v/>
      </c>
      <c r="K67" s="178" t="s">
        <v>84</v>
      </c>
      <c r="L67" s="116">
        <f>IFERROR(ROUND(INDEX('M03-S05'!$V$18:$V$342,2*(ROWS(L$67:L67)-1)+1),3),"")</f>
        <v>0</v>
      </c>
      <c r="M67" s="116">
        <f>IFERROR(ROUND(INDEX('M03-S05'!$V$18:$V$342,2*(ROWS(M$67:M67)-1)+1),3),"")</f>
        <v>0</v>
      </c>
      <c r="N67" s="415" t="str">
        <f>IFERROR(INDEX('M03-S05'!$AV$18:$AV$342,2*(ROWS(N$67:N67)-1)+1),"")</f>
        <v/>
      </c>
      <c r="O67" s="415" t="str">
        <f>IFERROR(INDEX('M03-S05'!$BA$18:$BA$342,2*(ROWS(O$67:O67)-1)+1),"")</f>
        <v/>
      </c>
      <c r="P67" s="415" t="str">
        <f>IFERROR(INDEX('M03-S05'!$AW$18:$AW$342,2*(ROWS(P$67:P67)-1)+1),"")</f>
        <v/>
      </c>
      <c r="Q67" s="415" t="str">
        <f>IFERROR(INDEX('M03-S05'!$BB$18:$BB$342,2*(ROWS(Q$67:Q67)-1)+1),"")</f>
        <v/>
      </c>
      <c r="R67" s="200" t="str">
        <f>IFERROR(INDEX('M03-S05'!$AN$18:$AN$342,2*(ROWS(R$67:R67)-1)+1),"")</f>
        <v/>
      </c>
      <c r="S67" s="405"/>
      <c r="T67" s="405"/>
      <c r="U67" s="405"/>
      <c r="V67" s="325"/>
      <c r="W67" s="417"/>
      <c r="X67" s="417"/>
      <c r="Y67" s="408"/>
      <c r="Z67" s="408"/>
      <c r="AA67" s="418"/>
      <c r="AB67" s="418"/>
      <c r="AC67" s="325"/>
      <c r="AD67" s="415">
        <f>IFERROR(INDEX('M03-S05'!$AX$18:$AX$342,2*(ROWS(AD$67:AD67)-1)+1),"")</f>
        <v>0</v>
      </c>
      <c r="AE67" s="415">
        <f>IFERROR(INDEX('M03-S05'!$AY$18:$AY$342,2*(ROWS(AE$67:AE67)-1)+1),"")</f>
        <v>0</v>
      </c>
      <c r="AF67" s="408"/>
      <c r="AG67" s="408"/>
      <c r="AH67" s="408"/>
      <c r="AI67" s="178">
        <f>IFERROR(INDEX('M03-S05'!$B$18:$B$342,2*(ROWS(AI$67:AI67)-1)+1),"")</f>
        <v>1</v>
      </c>
      <c r="AJ67" s="325"/>
      <c r="AK67" s="178">
        <f>IFERROR(INDEX('M03-S05'!$C$18:$C$342,2*(ROWS(AK$67:AK67)-1)+1),"")</f>
        <v>0</v>
      </c>
      <c r="AL67" s="178" t="str">
        <f>IFERROR(INDEX('M03-S05'!$J$18:$J$342,2*(ROWS(AL$67:AL67)-1)+1)&amp;" "&amp;INDEX('M03-S05'!$L$18:$L$342,2*(ROWS(AL$67:AL67)-1)+1)&amp;", "&amp;INDEX('M03-S05'!$P$18:$P$342,2*(ROWS(AL$67:AL67)-1)+1)&amp;" "&amp;INDEX('M03-S05'!$R$18:$R$342,2*(ROWS(AL$67:AL67)-1)+1),"")</f>
        <v xml:space="preserve"> ,  </v>
      </c>
      <c r="AM67" s="178" t="str">
        <f>IFERROR(INDEX('M03-S05'!$J$18:$J$342,2*(ROWS(AM$67:AM67)-1)+1)&amp;" "&amp;INDEX('M03-S05'!$N$18:$N$342,2*(ROWS(AM$67:AM67)-1)+1)&amp;", "&amp;INDEX('M03-S05'!$P$18:$P$342,2*(ROWS(AM$67:AM67)-1)+1)&amp;" "&amp;INDEX('M03-S05'!$T$18:$T$342,2*(ROWS(AM$67:AM67)-1)+1),"")</f>
        <v xml:space="preserve"> ,  </v>
      </c>
      <c r="AN67" s="405"/>
      <c r="AO67" s="405"/>
      <c r="AP67" s="178" t="str">
        <f>IFERROR(INDEX('M03-S05'!$AU$18:$AU$342,2*(ROWS(AP$67:AP67)-1)+1),"")</f>
        <v/>
      </c>
      <c r="AQ67" s="325"/>
      <c r="AR67" s="178" t="str">
        <f>IFERROR(INDEX(STDHVAC[Reporting Methodology],MATCH(EXPORT!C67,STDHVAC[Measure Number],0)),"")</f>
        <v/>
      </c>
      <c r="AS67" s="178" t="str">
        <f>IFERROR(INDEX(STDHVAC[Primary Key],MATCH(C67,STDHVAC[Measure Number],0)),"")</f>
        <v/>
      </c>
      <c r="AT67" s="200" t="str">
        <f>IFERROR(INDEX('M03-S05'!$AN$18:$AN$342,2*(ROWS(AT$67:AT67)-1)+1)-MIN(INDEX('M03-S05'!$AT$18:$AT$342,2*(ROWS(AT$67:AT67)-1)+1),(ROUND(INDEX('M03-S05'!$V$18:$V$342,2*(ROWS(AT$67:AT67)-1)+1)*(INDEX('M03-S05'!$N$18:$N$342,2*(ROWS(AT$67:AT67)-1)+1)-INDEX('M03-S05'!$L$18:$L$342,2*(ROWS(AT$67:AT67)-1)+1))*INDEX(STDHVAC[Previous Incentive],MATCH('M03-S05'!C18,STDHVAC[Measure Name],0)),3))),"")</f>
        <v/>
      </c>
      <c r="AU67" s="278"/>
      <c r="AV67" s="278"/>
      <c r="AW67" s="278"/>
      <c r="AX67" s="278"/>
      <c r="AY67" s="278"/>
      <c r="AZ67" s="278"/>
      <c r="BA67" s="278"/>
      <c r="BB67" s="278"/>
      <c r="BC67" s="278"/>
      <c r="BD67" s="278"/>
      <c r="BE67" s="279"/>
      <c r="BL67" s="180"/>
      <c r="BP67" s="180"/>
      <c r="BQ67" s="180"/>
      <c r="BR67" s="180"/>
      <c r="CD67" s="180"/>
      <c r="CE67" s="180"/>
      <c r="CF67" s="180"/>
      <c r="CH67" s="180"/>
      <c r="CI67" s="180"/>
      <c r="CJ67" s="180"/>
      <c r="CK67" s="180"/>
      <c r="CL67" s="180"/>
      <c r="CM67" s="180"/>
      <c r="CN67" s="180"/>
      <c r="CQ67" s="180"/>
      <c r="CR67" s="180"/>
      <c r="CS67" s="180"/>
      <c r="DS67" s="180"/>
      <c r="DT67" s="180"/>
      <c r="DU67" s="180"/>
    </row>
    <row r="68" spans="1:125" s="54" customFormat="1" hidden="1">
      <c r="A68" s="135">
        <f t="shared" si="6"/>
        <v>0</v>
      </c>
      <c r="B68" s="178" t="str">
        <f t="shared" ref="B68:B91" si="7">IF(C68="","",CONCATENATE(ROW(),"-",C68))</f>
        <v/>
      </c>
      <c r="C68" s="178" t="str">
        <f>IFERROR(IF(R68&gt;0,INDEX('M03-S05'!$BC$18:$BC$342,2*(ROWS($C$67:C68)-1)+1),""),"")</f>
        <v/>
      </c>
      <c r="D68" s="180" t="s">
        <v>1443</v>
      </c>
      <c r="E68" s="178" t="str">
        <f>IFERROR(INDEX('M03-S05'!$AZ$18:$AZ$342,2*(ROWS($E$67:E68)-1)+1),"")</f>
        <v/>
      </c>
      <c r="F68" s="408"/>
      <c r="G68" s="408"/>
      <c r="H68" s="200">
        <f>IFERROR(INDEX('M03-S05'!$AA$18:$AA$342,2*(ROWS(H$67:H68)-1)+1),"")</f>
        <v>0</v>
      </c>
      <c r="I68" s="200">
        <f>IFERROR(INDEX('M03-S05'!$AC$18:$AC$342,2*(ROWS(I$67:I68)-1)+1),"")</f>
        <v>0</v>
      </c>
      <c r="J68" s="200" t="str">
        <f>IFERROR(INDEX('M03-S05'!$AT$18:$AT$342,2*(ROWS(J$67:J68)-1)+1),"")</f>
        <v/>
      </c>
      <c r="K68" s="178" t="s">
        <v>84</v>
      </c>
      <c r="L68" s="116">
        <f>IFERROR(ROUND(INDEX('M03-S05'!$V$18:$V$342,2*(ROWS(L$67:L68)-1)+1),3),"")</f>
        <v>0</v>
      </c>
      <c r="M68" s="116">
        <f>IFERROR(ROUND(INDEX('M03-S05'!$V$18:$V$342,2*(ROWS(M$67:M68)-1)+1),3),"")</f>
        <v>0</v>
      </c>
      <c r="N68" s="415" t="str">
        <f>IFERROR(INDEX('M03-S05'!$AV$18:$AV$342,2*(ROWS(N$67:N68)-1)+1),"")</f>
        <v/>
      </c>
      <c r="O68" s="415" t="str">
        <f>IFERROR(INDEX('M03-S05'!$BA$18:$BA$342,2*(ROWS(O$67:O68)-1)+1),"")</f>
        <v/>
      </c>
      <c r="P68" s="415" t="str">
        <f>IFERROR(INDEX('M03-S05'!$AW$18:$AW$342,2*(ROWS(P$67:P68)-1)+1),"")</f>
        <v/>
      </c>
      <c r="Q68" s="415" t="str">
        <f>IFERROR(INDEX('M03-S05'!$BB$18:$BB$342,2*(ROWS(Q$67:Q68)-1)+1),"")</f>
        <v/>
      </c>
      <c r="R68" s="200" t="str">
        <f>IFERROR(INDEX('M03-S05'!$AN$18:$AN$342,2*(ROWS(R$67:R68)-1)+1),"")</f>
        <v/>
      </c>
      <c r="S68" s="405"/>
      <c r="T68" s="405"/>
      <c r="U68" s="405"/>
      <c r="V68" s="325"/>
      <c r="W68" s="417"/>
      <c r="X68" s="417"/>
      <c r="Y68" s="408"/>
      <c r="Z68" s="408"/>
      <c r="AA68" s="418"/>
      <c r="AB68" s="418"/>
      <c r="AC68" s="325"/>
      <c r="AD68" s="415">
        <f>IFERROR(INDEX('M03-S05'!$AX$18:$AX$342,2*(ROWS(AD$67:AD68)-1)+1),"")</f>
        <v>0</v>
      </c>
      <c r="AE68" s="415">
        <f>IFERROR(INDEX('M03-S05'!$AY$18:$AY$342,2*(ROWS(AE$67:AE68)-1)+1),"")</f>
        <v>0</v>
      </c>
      <c r="AF68" s="408"/>
      <c r="AG68" s="408"/>
      <c r="AH68" s="408"/>
      <c r="AI68" s="178">
        <f>IFERROR(INDEX('M03-S05'!$B$18:$B$342,2*(ROWS(AI$67:AI68)-1)+1),"")</f>
        <v>2</v>
      </c>
      <c r="AJ68" s="325"/>
      <c r="AK68" s="178">
        <f>IFERROR(INDEX('M03-S05'!$C$18:$C$342,2*(ROWS(AK$67:AK68)-1)+1),"")</f>
        <v>0</v>
      </c>
      <c r="AL68" s="178" t="str">
        <f>IFERROR(INDEX('M03-S05'!$J$18:$J$342,2*(ROWS(AL$67:AL68)-1)+1)&amp;" "&amp;INDEX('M03-S05'!$L$18:$L$342,2*(ROWS(AL$67:AL68)-1)+1)&amp;", "&amp;INDEX('M03-S05'!$P$18:$P$342,2*(ROWS(AL$67:AL68)-1)+1)&amp;" "&amp;INDEX('M03-S05'!$R$18:$R$342,2*(ROWS(AL$67:AL68)-1)+1),"")</f>
        <v xml:space="preserve"> ,  </v>
      </c>
      <c r="AM68" s="178" t="str">
        <f>IFERROR(INDEX('M03-S05'!$J$18:$J$342,2*(ROWS(AM$67:AM68)-1)+1)&amp;" "&amp;INDEX('M03-S05'!$N$18:$N$342,2*(ROWS(AM$67:AM68)-1)+1)&amp;", "&amp;INDEX('M03-S05'!$P$18:$P$342,2*(ROWS(AM$67:AM68)-1)+1)&amp;" "&amp;INDEX('M03-S05'!$T$18:$T$342,2*(ROWS(AM$67:AM68)-1)+1),"")</f>
        <v xml:space="preserve"> ,  </v>
      </c>
      <c r="AN68" s="405"/>
      <c r="AO68" s="405"/>
      <c r="AP68" s="178" t="str">
        <f>IFERROR(INDEX('M03-S05'!$AU$18:$AU$342,2*(ROWS(AP$67:AP68)-1)+1),"")</f>
        <v/>
      </c>
      <c r="AQ68" s="325"/>
      <c r="AR68" s="178" t="str">
        <f>IFERROR(INDEX(STDHVAC[Reporting Methodology],MATCH(EXPORT!C68,STDHVAC[Measure Number],0)),"")</f>
        <v/>
      </c>
      <c r="AS68" s="178" t="str">
        <f>IFERROR(INDEX(STDHVAC[Primary Key],MATCH(C68,STDHVAC[Measure Number],0)),"")</f>
        <v/>
      </c>
      <c r="AT68" s="200" t="str">
        <f>IFERROR(INDEX('M03-S05'!$AN$18:$AN$342,2*(ROWS(AT$67:AT68)-1)+1)-MIN(INDEX('M03-S05'!$AT$18:$AT$342,2*(ROWS(AT$67:AT68)-1)+1),(ROUND(INDEX('M03-S05'!$V$18:$V$342,2*(ROWS(AT$67:AT68)-1)+1)*(INDEX('M03-S05'!$N$18:$N$342,2*(ROWS(AT$67:AT68)-1)+1)-INDEX('M03-S05'!$L$18:$L$342,2*(ROWS(AT$67:AT68)-1)+1))*INDEX(STDHVAC[Previous Incentive],MATCH('M03-S05'!C20,STDHVAC[Measure Name],0)),3))),"")</f>
        <v/>
      </c>
      <c r="AU68" s="278"/>
      <c r="AV68" s="278"/>
      <c r="AW68" s="278"/>
      <c r="AX68" s="278"/>
      <c r="AY68" s="278"/>
      <c r="AZ68" s="278"/>
      <c r="BA68" s="278"/>
      <c r="BB68" s="278"/>
      <c r="BC68" s="278"/>
      <c r="BD68" s="278"/>
      <c r="BE68" s="279"/>
      <c r="BL68" s="180"/>
      <c r="BP68"/>
      <c r="BQ68"/>
      <c r="BR68"/>
      <c r="CD68" s="180"/>
      <c r="CE68" s="180"/>
      <c r="CF68" s="180"/>
      <c r="CH68"/>
      <c r="CI68"/>
      <c r="CJ68"/>
      <c r="CK68"/>
      <c r="CL68"/>
      <c r="CM68"/>
      <c r="CN68"/>
      <c r="CQ68" s="180"/>
      <c r="CR68" s="180"/>
      <c r="CS68" s="180"/>
      <c r="DS68" s="180"/>
      <c r="DT68" s="180"/>
      <c r="DU68" s="180"/>
    </row>
    <row r="69" spans="1:125" s="54" customFormat="1" hidden="1">
      <c r="A69" s="135">
        <f t="shared" si="6"/>
        <v>0</v>
      </c>
      <c r="B69" s="178" t="str">
        <f t="shared" si="7"/>
        <v/>
      </c>
      <c r="C69" s="178" t="str">
        <f>IFERROR(IF(R69&gt;0,INDEX('M03-S05'!$BC$18:$BC$342,2*(ROWS($C$67:C69)-1)+1),""),"")</f>
        <v/>
      </c>
      <c r="D69" s="180" t="s">
        <v>1443</v>
      </c>
      <c r="E69" s="178" t="str">
        <f>IFERROR(INDEX('M03-S05'!$AZ$18:$AZ$342,2*(ROWS($E$67:E69)-1)+1),"")</f>
        <v/>
      </c>
      <c r="F69" s="408"/>
      <c r="G69" s="408"/>
      <c r="H69" s="200">
        <f>IFERROR(INDEX('M03-S05'!$AA$18:$AA$342,2*(ROWS(H$67:H69)-1)+1),"")</f>
        <v>0</v>
      </c>
      <c r="I69" s="200">
        <f>IFERROR(INDEX('M03-S05'!$AC$18:$AC$342,2*(ROWS(I$67:I69)-1)+1),"")</f>
        <v>0</v>
      </c>
      <c r="J69" s="200" t="str">
        <f>IFERROR(INDEX('M03-S05'!$AT$18:$AT$342,2*(ROWS(J$67:J69)-1)+1),"")</f>
        <v/>
      </c>
      <c r="K69" s="178" t="s">
        <v>84</v>
      </c>
      <c r="L69" s="116">
        <f>IFERROR(ROUND(INDEX('M03-S05'!$V$18:$V$342,2*(ROWS(L$67:L69)-1)+1),3),"")</f>
        <v>0</v>
      </c>
      <c r="M69" s="116">
        <f>IFERROR(ROUND(INDEX('M03-S05'!$V$18:$V$342,2*(ROWS(M$67:M69)-1)+1),3),"")</f>
        <v>0</v>
      </c>
      <c r="N69" s="415" t="str">
        <f>IFERROR(INDEX('M03-S05'!$AV$18:$AV$342,2*(ROWS(N$67:N69)-1)+1),"")</f>
        <v/>
      </c>
      <c r="O69" s="415" t="str">
        <f>IFERROR(INDEX('M03-S05'!$BA$18:$BA$342,2*(ROWS(O$67:O69)-1)+1),"")</f>
        <v/>
      </c>
      <c r="P69" s="415" t="str">
        <f>IFERROR(INDEX('M03-S05'!$AW$18:$AW$342,2*(ROWS(P$67:P69)-1)+1),"")</f>
        <v/>
      </c>
      <c r="Q69" s="415" t="str">
        <f>IFERROR(INDEX('M03-S05'!$BB$18:$BB$342,2*(ROWS(Q$67:Q69)-1)+1),"")</f>
        <v/>
      </c>
      <c r="R69" s="200" t="str">
        <f>IFERROR(INDEX('M03-S05'!$AN$18:$AN$342,2*(ROWS(R$67:R69)-1)+1),"")</f>
        <v/>
      </c>
      <c r="S69" s="405"/>
      <c r="T69" s="405"/>
      <c r="U69" s="405"/>
      <c r="V69" s="325"/>
      <c r="W69" s="417"/>
      <c r="X69" s="417"/>
      <c r="Y69" s="408"/>
      <c r="Z69" s="408"/>
      <c r="AA69" s="418"/>
      <c r="AB69" s="418"/>
      <c r="AC69" s="325"/>
      <c r="AD69" s="415">
        <f>IFERROR(INDEX('M03-S05'!$AX$18:$AX$342,2*(ROWS(AD$67:AD69)-1)+1),"")</f>
        <v>0</v>
      </c>
      <c r="AE69" s="415">
        <f>IFERROR(INDEX('M03-S05'!$AY$18:$AY$342,2*(ROWS(AE$67:AE69)-1)+1),"")</f>
        <v>0</v>
      </c>
      <c r="AF69" s="408"/>
      <c r="AG69" s="408"/>
      <c r="AH69" s="408"/>
      <c r="AI69" s="178">
        <f>IFERROR(INDEX('M03-S05'!$B$18:$B$342,2*(ROWS(AI$67:AI69)-1)+1),"")</f>
        <v>3</v>
      </c>
      <c r="AJ69" s="325"/>
      <c r="AK69" s="178">
        <f>IFERROR(INDEX('M03-S05'!$C$18:$C$342,2*(ROWS(AK$67:AK69)-1)+1),"")</f>
        <v>0</v>
      </c>
      <c r="AL69" s="178" t="str">
        <f>IFERROR(INDEX('M03-S05'!$J$18:$J$342,2*(ROWS(AL$67:AL69)-1)+1)&amp;" "&amp;INDEX('M03-S05'!$L$18:$L$342,2*(ROWS(AL$67:AL69)-1)+1)&amp;", "&amp;INDEX('M03-S05'!$P$18:$P$342,2*(ROWS(AL$67:AL69)-1)+1)&amp;" "&amp;INDEX('M03-S05'!$R$18:$R$342,2*(ROWS(AL$67:AL69)-1)+1),"")</f>
        <v xml:space="preserve"> ,  </v>
      </c>
      <c r="AM69" s="178" t="str">
        <f>IFERROR(INDEX('M03-S05'!$J$18:$J$342,2*(ROWS(AM$67:AM69)-1)+1)&amp;" "&amp;INDEX('M03-S05'!$N$18:$N$342,2*(ROWS(AM$67:AM69)-1)+1)&amp;", "&amp;INDEX('M03-S05'!$P$18:$P$342,2*(ROWS(AM$67:AM69)-1)+1)&amp;" "&amp;INDEX('M03-S05'!$T$18:$T$342,2*(ROWS(AM$67:AM69)-1)+1),"")</f>
        <v xml:space="preserve"> ,  </v>
      </c>
      <c r="AN69" s="405"/>
      <c r="AO69" s="405"/>
      <c r="AP69" s="178" t="str">
        <f>IFERROR(INDEX('M03-S05'!$AU$18:$AU$342,2*(ROWS(AP$67:AP69)-1)+1),"")</f>
        <v/>
      </c>
      <c r="AQ69" s="325"/>
      <c r="AR69" s="178" t="str">
        <f>IFERROR(INDEX(STDHVAC[Reporting Methodology],MATCH(EXPORT!C69,STDHVAC[Measure Number],0)),"")</f>
        <v/>
      </c>
      <c r="AS69" s="178" t="str">
        <f>IFERROR(INDEX(STDHVAC[Primary Key],MATCH(C69,STDHVAC[Measure Number],0)),"")</f>
        <v/>
      </c>
      <c r="AT69" s="200" t="str">
        <f>IFERROR(INDEX('M03-S05'!$AN$18:$AN$342,2*(ROWS(AT$67:AT69)-1)+1)-MIN(INDEX('M03-S05'!$AT$18:$AT$342,2*(ROWS(AT$67:AT69)-1)+1),(ROUND(INDEX('M03-S05'!$V$18:$V$342,2*(ROWS(AT$67:AT69)-1)+1)*(INDEX('M03-S05'!$N$18:$N$342,2*(ROWS(AT$67:AT69)-1)+1)-INDEX('M03-S05'!$L$18:$L$342,2*(ROWS(AT$67:AT69)-1)+1))*INDEX(STDHVAC[Previous Incentive],MATCH('M03-S05'!C22,STDHVAC[Measure Name],0)),3))),"")</f>
        <v/>
      </c>
      <c r="AU69" s="278"/>
      <c r="AV69" s="278"/>
      <c r="AW69" s="278"/>
      <c r="AX69" s="278"/>
      <c r="AY69" s="278"/>
      <c r="AZ69" s="278"/>
      <c r="BA69" s="278"/>
      <c r="BB69" s="278"/>
      <c r="BC69" s="278"/>
      <c r="BD69" s="278"/>
      <c r="BE69" s="279"/>
      <c r="BL69" s="180"/>
      <c r="BP69"/>
      <c r="BQ69"/>
      <c r="BR69"/>
      <c r="CD69" s="180"/>
      <c r="CE69" s="180"/>
      <c r="CF69" s="180"/>
      <c r="CH69"/>
      <c r="CI69"/>
      <c r="CJ69"/>
      <c r="CK69"/>
      <c r="CL69"/>
      <c r="CM69"/>
      <c r="CN69"/>
      <c r="CQ69" s="180"/>
      <c r="CR69" s="180"/>
      <c r="CS69" s="180"/>
      <c r="DS69" s="180"/>
      <c r="DT69" s="180"/>
      <c r="DU69" s="180"/>
    </row>
    <row r="70" spans="1:125" s="54" customFormat="1" hidden="1">
      <c r="A70" s="135">
        <f t="shared" si="6"/>
        <v>0</v>
      </c>
      <c r="B70" s="178" t="str">
        <f t="shared" si="7"/>
        <v/>
      </c>
      <c r="C70" s="178" t="str">
        <f>IFERROR(IF(R70&gt;0,INDEX('M03-S05'!$BC$18:$BC$342,2*(ROWS($C$67:C70)-1)+1),""),"")</f>
        <v/>
      </c>
      <c r="D70" s="180" t="s">
        <v>1443</v>
      </c>
      <c r="E70" s="178" t="str">
        <f>IFERROR(INDEX('M03-S05'!$AZ$18:$AZ$342,2*(ROWS($E$67:E70)-1)+1),"")</f>
        <v/>
      </c>
      <c r="F70" s="408"/>
      <c r="G70" s="408"/>
      <c r="H70" s="200">
        <f>IFERROR(INDEX('M03-S05'!$AA$18:$AA$342,2*(ROWS(H$67:H70)-1)+1),"")</f>
        <v>0</v>
      </c>
      <c r="I70" s="200">
        <f>IFERROR(INDEX('M03-S05'!$AC$18:$AC$342,2*(ROWS(I$67:I70)-1)+1),"")</f>
        <v>0</v>
      </c>
      <c r="J70" s="200" t="str">
        <f>IFERROR(INDEX('M03-S05'!$AT$18:$AT$342,2*(ROWS(J$67:J70)-1)+1),"")</f>
        <v/>
      </c>
      <c r="K70" s="178" t="s">
        <v>84</v>
      </c>
      <c r="L70" s="116">
        <f>IFERROR(ROUND(INDEX('M03-S05'!$V$18:$V$342,2*(ROWS(L$67:L70)-1)+1),3),"")</f>
        <v>0</v>
      </c>
      <c r="M70" s="116">
        <f>IFERROR(ROUND(INDEX('M03-S05'!$V$18:$V$342,2*(ROWS(M$67:M70)-1)+1),3),"")</f>
        <v>0</v>
      </c>
      <c r="N70" s="415" t="str">
        <f>IFERROR(INDEX('M03-S05'!$AV$18:$AV$342,2*(ROWS(N$67:N70)-1)+1),"")</f>
        <v/>
      </c>
      <c r="O70" s="415" t="str">
        <f>IFERROR(INDEX('M03-S05'!$BA$18:$BA$342,2*(ROWS(O$67:O70)-1)+1),"")</f>
        <v/>
      </c>
      <c r="P70" s="415" t="str">
        <f>IFERROR(INDEX('M03-S05'!$AW$18:$AW$342,2*(ROWS(P$67:P70)-1)+1),"")</f>
        <v/>
      </c>
      <c r="Q70" s="415" t="str">
        <f>IFERROR(INDEX('M03-S05'!$BB$18:$BB$342,2*(ROWS(Q$67:Q70)-1)+1),"")</f>
        <v/>
      </c>
      <c r="R70" s="200" t="str">
        <f>IFERROR(INDEX('M03-S05'!$AN$18:$AN$342,2*(ROWS(R$67:R70)-1)+1),"")</f>
        <v/>
      </c>
      <c r="S70" s="405"/>
      <c r="T70" s="405"/>
      <c r="U70" s="405"/>
      <c r="V70" s="325"/>
      <c r="W70" s="417"/>
      <c r="X70" s="417"/>
      <c r="Y70" s="408"/>
      <c r="Z70" s="408"/>
      <c r="AA70" s="418"/>
      <c r="AB70" s="418"/>
      <c r="AC70" s="325"/>
      <c r="AD70" s="415">
        <f>IFERROR(INDEX('M03-S05'!$AX$18:$AX$342,2*(ROWS(AD$67:AD70)-1)+1),"")</f>
        <v>0</v>
      </c>
      <c r="AE70" s="415">
        <f>IFERROR(INDEX('M03-S05'!$AY$18:$AY$342,2*(ROWS(AE$67:AE70)-1)+1),"")</f>
        <v>0</v>
      </c>
      <c r="AF70" s="408"/>
      <c r="AG70" s="408"/>
      <c r="AH70" s="408"/>
      <c r="AI70" s="178">
        <f>IFERROR(INDEX('M03-S05'!$B$18:$B$342,2*(ROWS(AI$67:AI70)-1)+1),"")</f>
        <v>4</v>
      </c>
      <c r="AJ70" s="325"/>
      <c r="AK70" s="178">
        <f>IFERROR(INDEX('M03-S05'!$C$18:$C$342,2*(ROWS(AK$67:AK70)-1)+1),"")</f>
        <v>0</v>
      </c>
      <c r="AL70" s="178" t="str">
        <f>IFERROR(INDEX('M03-S05'!$J$18:$J$342,2*(ROWS(AL$67:AL70)-1)+1)&amp;" "&amp;INDEX('M03-S05'!$L$18:$L$342,2*(ROWS(AL$67:AL70)-1)+1)&amp;", "&amp;INDEX('M03-S05'!$P$18:$P$342,2*(ROWS(AL$67:AL70)-1)+1)&amp;" "&amp;INDEX('M03-S05'!$R$18:$R$342,2*(ROWS(AL$67:AL70)-1)+1),"")</f>
        <v xml:space="preserve"> ,  </v>
      </c>
      <c r="AM70" s="178" t="str">
        <f>IFERROR(INDEX('M03-S05'!$J$18:$J$342,2*(ROWS(AM$67:AM70)-1)+1)&amp;" "&amp;INDEX('M03-S05'!$N$18:$N$342,2*(ROWS(AM$67:AM70)-1)+1)&amp;", "&amp;INDEX('M03-S05'!$P$18:$P$342,2*(ROWS(AM$67:AM70)-1)+1)&amp;" "&amp;INDEX('M03-S05'!$T$18:$T$342,2*(ROWS(AM$67:AM70)-1)+1),"")</f>
        <v xml:space="preserve"> ,  </v>
      </c>
      <c r="AN70" s="405"/>
      <c r="AO70" s="405"/>
      <c r="AP70" s="178" t="str">
        <f>IFERROR(INDEX('M03-S05'!$AU$18:$AU$342,2*(ROWS(AP$67:AP70)-1)+1),"")</f>
        <v/>
      </c>
      <c r="AQ70" s="325"/>
      <c r="AR70" s="178" t="str">
        <f>IFERROR(INDEX(STDHVAC[Reporting Methodology],MATCH(EXPORT!C70,STDHVAC[Measure Number],0)),"")</f>
        <v/>
      </c>
      <c r="AS70" s="178" t="str">
        <f>IFERROR(INDEX(STDHVAC[Primary Key],MATCH(C70,STDHVAC[Measure Number],0)),"")</f>
        <v/>
      </c>
      <c r="AT70" s="200" t="str">
        <f>IFERROR(INDEX('M03-S05'!$AN$18:$AN$342,2*(ROWS(AT$67:AT70)-1)+1)-MIN(INDEX('M03-S05'!$AT$18:$AT$342,2*(ROWS(AT$67:AT70)-1)+1),(ROUND(INDEX('M03-S05'!$V$18:$V$342,2*(ROWS(AT$67:AT70)-1)+1)*(INDEX('M03-S05'!$N$18:$N$342,2*(ROWS(AT$67:AT70)-1)+1)-INDEX('M03-S05'!$L$18:$L$342,2*(ROWS(AT$67:AT70)-1)+1))*INDEX(STDHVAC[Previous Incentive],MATCH('M03-S05'!C24,STDHVAC[Measure Name],0)),3))),"")</f>
        <v/>
      </c>
      <c r="AU70" s="278"/>
      <c r="AV70" s="278"/>
      <c r="AW70" s="278"/>
      <c r="AX70" s="278"/>
      <c r="AY70" s="278"/>
      <c r="AZ70" s="278"/>
      <c r="BA70" s="278"/>
      <c r="BB70" s="278"/>
      <c r="BC70" s="278"/>
      <c r="BD70" s="278"/>
      <c r="BE70" s="279"/>
      <c r="BL70" s="180"/>
      <c r="BP70" s="180"/>
      <c r="BQ70" s="180"/>
      <c r="BR70" s="180"/>
      <c r="CD70" s="180"/>
      <c r="CE70" s="180"/>
      <c r="CF70" s="180"/>
      <c r="CH70" s="180"/>
      <c r="CI70" s="180"/>
      <c r="CJ70" s="180"/>
      <c r="CK70" s="180"/>
      <c r="CL70" s="180"/>
      <c r="CM70" s="180"/>
      <c r="CN70" s="180"/>
      <c r="CQ70" s="180"/>
      <c r="CR70" s="180"/>
      <c r="CS70" s="180"/>
      <c r="DS70" s="180"/>
      <c r="DT70" s="180"/>
      <c r="DU70" s="180"/>
    </row>
    <row r="71" spans="1:125" s="54" customFormat="1" hidden="1">
      <c r="A71" s="135">
        <f t="shared" si="6"/>
        <v>0</v>
      </c>
      <c r="B71" s="178" t="str">
        <f t="shared" si="7"/>
        <v/>
      </c>
      <c r="C71" s="178" t="str">
        <f>IFERROR(IF(R71&gt;0,INDEX('M03-S05'!$BC$18:$BC$342,2*(ROWS($C$67:C71)-1)+1),""),"")</f>
        <v/>
      </c>
      <c r="D71" s="180" t="s">
        <v>1443</v>
      </c>
      <c r="E71" s="178" t="str">
        <f>IFERROR(INDEX('M03-S05'!$AZ$18:$AZ$342,2*(ROWS($E$67:E71)-1)+1),"")</f>
        <v/>
      </c>
      <c r="F71" s="408"/>
      <c r="G71" s="408"/>
      <c r="H71" s="200">
        <f>IFERROR(INDEX('M03-S05'!$AA$18:$AA$342,2*(ROWS(H$67:H71)-1)+1),"")</f>
        <v>0</v>
      </c>
      <c r="I71" s="200">
        <f>IFERROR(INDEX('M03-S05'!$AC$18:$AC$342,2*(ROWS(I$67:I71)-1)+1),"")</f>
        <v>0</v>
      </c>
      <c r="J71" s="200" t="str">
        <f>IFERROR(INDEX('M03-S05'!$AT$18:$AT$342,2*(ROWS(J$67:J71)-1)+1),"")</f>
        <v/>
      </c>
      <c r="K71" s="178" t="s">
        <v>84</v>
      </c>
      <c r="L71" s="116">
        <f>IFERROR(ROUND(INDEX('M03-S05'!$V$18:$V$342,2*(ROWS(L$67:L71)-1)+1),3),"")</f>
        <v>0</v>
      </c>
      <c r="M71" s="116">
        <f>IFERROR(ROUND(INDEX('M03-S05'!$V$18:$V$342,2*(ROWS(M$67:M71)-1)+1),3),"")</f>
        <v>0</v>
      </c>
      <c r="N71" s="415" t="str">
        <f>IFERROR(INDEX('M03-S05'!$AV$18:$AV$342,2*(ROWS(N$67:N71)-1)+1),"")</f>
        <v/>
      </c>
      <c r="O71" s="415" t="str">
        <f>IFERROR(INDEX('M03-S05'!$BA$18:$BA$342,2*(ROWS(O$67:O71)-1)+1),"")</f>
        <v/>
      </c>
      <c r="P71" s="415" t="str">
        <f>IFERROR(INDEX('M03-S05'!$AW$18:$AW$342,2*(ROWS(P$67:P71)-1)+1),"")</f>
        <v/>
      </c>
      <c r="Q71" s="415" t="str">
        <f>IFERROR(INDEX('M03-S05'!$BB$18:$BB$342,2*(ROWS(Q$67:Q71)-1)+1),"")</f>
        <v/>
      </c>
      <c r="R71" s="200" t="str">
        <f>IFERROR(INDEX('M03-S05'!$AN$18:$AN$342,2*(ROWS(R$67:R71)-1)+1),"")</f>
        <v/>
      </c>
      <c r="S71" s="405"/>
      <c r="T71" s="405"/>
      <c r="U71" s="405"/>
      <c r="V71" s="325"/>
      <c r="W71" s="417"/>
      <c r="X71" s="417"/>
      <c r="Y71" s="408"/>
      <c r="Z71" s="408"/>
      <c r="AA71" s="418"/>
      <c r="AB71" s="418"/>
      <c r="AC71" s="325"/>
      <c r="AD71" s="415">
        <f>IFERROR(INDEX('M03-S05'!$AX$18:$AX$342,2*(ROWS(AD$67:AD71)-1)+1),"")</f>
        <v>0</v>
      </c>
      <c r="AE71" s="415">
        <f>IFERROR(INDEX('M03-S05'!$AY$18:$AY$342,2*(ROWS(AE$67:AE71)-1)+1),"")</f>
        <v>0</v>
      </c>
      <c r="AF71" s="408"/>
      <c r="AG71" s="408"/>
      <c r="AH71" s="408"/>
      <c r="AI71" s="178">
        <f>IFERROR(INDEX('M03-S05'!$B$18:$B$342,2*(ROWS(AI$67:AI71)-1)+1),"")</f>
        <v>5</v>
      </c>
      <c r="AJ71" s="325"/>
      <c r="AK71" s="178">
        <f>IFERROR(INDEX('M03-S05'!$C$18:$C$342,2*(ROWS(AK$67:AK71)-1)+1),"")</f>
        <v>0</v>
      </c>
      <c r="AL71" s="178" t="str">
        <f>IFERROR(INDEX('M03-S05'!$J$18:$J$342,2*(ROWS(AL$67:AL71)-1)+1)&amp;" "&amp;INDEX('M03-S05'!$L$18:$L$342,2*(ROWS(AL$67:AL71)-1)+1)&amp;", "&amp;INDEX('M03-S05'!$P$18:$P$342,2*(ROWS(AL$67:AL71)-1)+1)&amp;" "&amp;INDEX('M03-S05'!$R$18:$R$342,2*(ROWS(AL$67:AL71)-1)+1),"")</f>
        <v xml:space="preserve"> ,  </v>
      </c>
      <c r="AM71" s="178" t="str">
        <f>IFERROR(INDEX('M03-S05'!$J$18:$J$342,2*(ROWS(AM$67:AM71)-1)+1)&amp;" "&amp;INDEX('M03-S05'!$N$18:$N$342,2*(ROWS(AM$67:AM71)-1)+1)&amp;", "&amp;INDEX('M03-S05'!$P$18:$P$342,2*(ROWS(AM$67:AM71)-1)+1)&amp;" "&amp;INDEX('M03-S05'!$T$18:$T$342,2*(ROWS(AM$67:AM71)-1)+1),"")</f>
        <v xml:space="preserve"> ,  </v>
      </c>
      <c r="AN71" s="405"/>
      <c r="AO71" s="405"/>
      <c r="AP71" s="178" t="str">
        <f>IFERROR(INDEX('M03-S05'!$AU$18:$AU$342,2*(ROWS(AP$67:AP71)-1)+1),"")</f>
        <v/>
      </c>
      <c r="AQ71" s="325"/>
      <c r="AR71" s="178" t="str">
        <f>IFERROR(INDEX(STDHVAC[Reporting Methodology],MATCH(EXPORT!C71,STDHVAC[Measure Number],0)),"")</f>
        <v/>
      </c>
      <c r="AS71" s="178" t="str">
        <f>IFERROR(INDEX(STDHVAC[Primary Key],MATCH(C71,STDHVAC[Measure Number],0)),"")</f>
        <v/>
      </c>
      <c r="AT71" s="200" t="str">
        <f>IFERROR(INDEX('M03-S05'!$AN$18:$AN$342,2*(ROWS(AT$67:AT71)-1)+1)-MIN(INDEX('M03-S05'!$AT$18:$AT$342,2*(ROWS(AT$67:AT71)-1)+1),(ROUND(INDEX('M03-S05'!$V$18:$V$342,2*(ROWS(AT$67:AT71)-1)+1)*(INDEX('M03-S05'!$N$18:$N$342,2*(ROWS(AT$67:AT71)-1)+1)-INDEX('M03-S05'!$L$18:$L$342,2*(ROWS(AT$67:AT71)-1)+1))*INDEX(STDHVAC[Previous Incentive],MATCH('M03-S05'!C26,STDHVAC[Measure Name],0)),3))),"")</f>
        <v/>
      </c>
      <c r="AU71" s="278"/>
      <c r="AV71" s="278"/>
      <c r="AW71" s="278"/>
      <c r="AX71" s="278"/>
      <c r="AY71" s="278"/>
      <c r="AZ71" s="278"/>
      <c r="BA71" s="278"/>
      <c r="BB71" s="278"/>
      <c r="BC71" s="278"/>
      <c r="BD71" s="278"/>
      <c r="BE71" s="279"/>
      <c r="BL71" s="180"/>
      <c r="BP71" s="180"/>
      <c r="BQ71" s="180"/>
      <c r="BR71" s="180"/>
      <c r="CD71" s="180"/>
      <c r="CE71" s="180"/>
      <c r="CF71" s="180"/>
      <c r="CH71" s="180"/>
      <c r="CI71" s="180"/>
      <c r="CJ71" s="180"/>
      <c r="CK71" s="180"/>
      <c r="CL71" s="180"/>
      <c r="CM71" s="180"/>
      <c r="CN71" s="180"/>
      <c r="CQ71" s="180"/>
      <c r="CR71" s="180"/>
      <c r="CS71" s="180"/>
      <c r="DS71" s="180"/>
      <c r="DT71" s="180"/>
      <c r="DU71" s="180"/>
    </row>
    <row r="72" spans="1:125" s="54" customFormat="1" hidden="1">
      <c r="A72" s="135">
        <f t="shared" si="6"/>
        <v>0</v>
      </c>
      <c r="B72" s="178" t="str">
        <f t="shared" si="7"/>
        <v/>
      </c>
      <c r="C72" s="178" t="str">
        <f>IFERROR(IF(R72&gt;0,INDEX('M03-S05'!$BC$18:$BC$342,2*(ROWS($C$67:C72)-1)+1),""),"")</f>
        <v/>
      </c>
      <c r="D72" s="180" t="s">
        <v>1443</v>
      </c>
      <c r="E72" s="178" t="str">
        <f>IFERROR(INDEX('M03-S05'!$AZ$18:$AZ$342,2*(ROWS($E$67:E72)-1)+1),"")</f>
        <v/>
      </c>
      <c r="F72" s="408"/>
      <c r="G72" s="408"/>
      <c r="H72" s="200">
        <f>IFERROR(INDEX('M03-S05'!$AA$18:$AA$342,2*(ROWS(H$67:H72)-1)+1),"")</f>
        <v>0</v>
      </c>
      <c r="I72" s="200">
        <f>IFERROR(INDEX('M03-S05'!$AC$18:$AC$342,2*(ROWS(I$67:I72)-1)+1),"")</f>
        <v>0</v>
      </c>
      <c r="J72" s="200" t="str">
        <f>IFERROR(INDEX('M03-S05'!$AT$18:$AT$342,2*(ROWS(J$67:J72)-1)+1),"")</f>
        <v/>
      </c>
      <c r="K72" s="178" t="s">
        <v>84</v>
      </c>
      <c r="L72" s="116">
        <f>IFERROR(ROUND(INDEX('M03-S05'!$V$18:$V$342,2*(ROWS(L$67:L72)-1)+1),3),"")</f>
        <v>0</v>
      </c>
      <c r="M72" s="116">
        <f>IFERROR(ROUND(INDEX('M03-S05'!$V$18:$V$342,2*(ROWS(M$67:M72)-1)+1),3),"")</f>
        <v>0</v>
      </c>
      <c r="N72" s="415" t="str">
        <f>IFERROR(INDEX('M03-S05'!$AV$18:$AV$342,2*(ROWS(N$67:N72)-1)+1),"")</f>
        <v/>
      </c>
      <c r="O72" s="415" t="str">
        <f>IFERROR(INDEX('M03-S05'!$BA$18:$BA$342,2*(ROWS(O$67:O72)-1)+1),"")</f>
        <v/>
      </c>
      <c r="P72" s="415" t="str">
        <f>IFERROR(INDEX('M03-S05'!$AW$18:$AW$342,2*(ROWS(P$67:P72)-1)+1),"")</f>
        <v/>
      </c>
      <c r="Q72" s="415" t="str">
        <f>IFERROR(INDEX('M03-S05'!$BB$18:$BB$342,2*(ROWS(Q$67:Q72)-1)+1),"")</f>
        <v/>
      </c>
      <c r="R72" s="200" t="str">
        <f>IFERROR(INDEX('M03-S05'!$AN$18:$AN$342,2*(ROWS(R$67:R72)-1)+1),"")</f>
        <v/>
      </c>
      <c r="S72" s="405"/>
      <c r="T72" s="405"/>
      <c r="U72" s="405"/>
      <c r="V72" s="325"/>
      <c r="W72" s="417"/>
      <c r="X72" s="417"/>
      <c r="Y72" s="408"/>
      <c r="Z72" s="408"/>
      <c r="AA72" s="418"/>
      <c r="AB72" s="418"/>
      <c r="AC72" s="325"/>
      <c r="AD72" s="415">
        <f>IFERROR(INDEX('M03-S05'!$AX$18:$AX$342,2*(ROWS(AD$67:AD72)-1)+1),"")</f>
        <v>0</v>
      </c>
      <c r="AE72" s="415">
        <f>IFERROR(INDEX('M03-S05'!$AY$18:$AY$342,2*(ROWS(AE$67:AE72)-1)+1),"")</f>
        <v>0</v>
      </c>
      <c r="AF72" s="408"/>
      <c r="AG72" s="408"/>
      <c r="AH72" s="408"/>
      <c r="AI72" s="178">
        <f>IFERROR(INDEX('M03-S05'!$B$18:$B$342,2*(ROWS(AI$67:AI72)-1)+1),"")</f>
        <v>6</v>
      </c>
      <c r="AJ72" s="325"/>
      <c r="AK72" s="178">
        <f>IFERROR(INDEX('M03-S05'!$C$18:$C$342,2*(ROWS(AK$67:AK72)-1)+1),"")</f>
        <v>0</v>
      </c>
      <c r="AL72" s="178" t="str">
        <f>IFERROR(INDEX('M03-S05'!$J$18:$J$342,2*(ROWS(AL$67:AL72)-1)+1)&amp;" "&amp;INDEX('M03-S05'!$L$18:$L$342,2*(ROWS(AL$67:AL72)-1)+1)&amp;", "&amp;INDEX('M03-S05'!$P$18:$P$342,2*(ROWS(AL$67:AL72)-1)+1)&amp;" "&amp;INDEX('M03-S05'!$R$18:$R$342,2*(ROWS(AL$67:AL72)-1)+1),"")</f>
        <v xml:space="preserve"> ,  </v>
      </c>
      <c r="AM72" s="178" t="str">
        <f>IFERROR(INDEX('M03-S05'!$J$18:$J$342,2*(ROWS(AM$67:AM72)-1)+1)&amp;" "&amp;INDEX('M03-S05'!$N$18:$N$342,2*(ROWS(AM$67:AM72)-1)+1)&amp;", "&amp;INDEX('M03-S05'!$P$18:$P$342,2*(ROWS(AM$67:AM72)-1)+1)&amp;" "&amp;INDEX('M03-S05'!$T$18:$T$342,2*(ROWS(AM$67:AM72)-1)+1),"")</f>
        <v xml:space="preserve"> ,  </v>
      </c>
      <c r="AN72" s="405"/>
      <c r="AO72" s="405"/>
      <c r="AP72" s="178" t="str">
        <f>IFERROR(INDEX('M03-S05'!$AU$18:$AU$342,2*(ROWS(AP$67:AP72)-1)+1),"")</f>
        <v/>
      </c>
      <c r="AQ72" s="325"/>
      <c r="AR72" s="178" t="str">
        <f>IFERROR(INDEX(STDHVAC[Reporting Methodology],MATCH(EXPORT!C72,STDHVAC[Measure Number],0)),"")</f>
        <v/>
      </c>
      <c r="AS72" s="178" t="str">
        <f>IFERROR(INDEX(STDHVAC[Primary Key],MATCH(C72,STDHVAC[Measure Number],0)),"")</f>
        <v/>
      </c>
      <c r="AT72" s="200" t="str">
        <f>IFERROR(INDEX('M03-S05'!$AN$18:$AN$342,2*(ROWS(AT$67:AT72)-1)+1)-MIN(INDEX('M03-S05'!$AT$18:$AT$342,2*(ROWS(AT$67:AT72)-1)+1),(ROUND(INDEX('M03-S05'!$V$18:$V$342,2*(ROWS(AT$67:AT72)-1)+1)*(INDEX('M03-S05'!$N$18:$N$342,2*(ROWS(AT$67:AT72)-1)+1)-INDEX('M03-S05'!$L$18:$L$342,2*(ROWS(AT$67:AT72)-1)+1))*INDEX(STDHVAC[Previous Incentive],MATCH('M03-S05'!C28,STDHVAC[Measure Name],0)),3))),"")</f>
        <v/>
      </c>
      <c r="AU72" s="278"/>
      <c r="AV72" s="278"/>
      <c r="AW72" s="278"/>
      <c r="AX72" s="278"/>
      <c r="AY72" s="278"/>
      <c r="AZ72" s="278"/>
      <c r="BA72" s="278"/>
      <c r="BB72" s="278"/>
      <c r="BC72" s="278"/>
      <c r="BD72" s="278"/>
      <c r="BE72" s="279"/>
      <c r="BL72" s="180"/>
      <c r="BP72" s="180"/>
      <c r="BQ72" s="180"/>
      <c r="BR72" s="180"/>
      <c r="CD72" s="180"/>
      <c r="CE72" s="180"/>
      <c r="CF72" s="180"/>
      <c r="CH72" s="180"/>
      <c r="CI72" s="180"/>
      <c r="CJ72" s="180"/>
      <c r="CK72" s="180"/>
      <c r="CL72" s="180"/>
      <c r="CM72" s="180"/>
      <c r="CN72" s="180"/>
      <c r="CQ72" s="180"/>
      <c r="CR72" s="180"/>
      <c r="CS72" s="180"/>
      <c r="DS72" s="180"/>
      <c r="DT72" s="180"/>
      <c r="DU72" s="180"/>
    </row>
    <row r="73" spans="1:125" s="54" customFormat="1" hidden="1">
      <c r="A73" s="135">
        <f t="shared" si="6"/>
        <v>0</v>
      </c>
      <c r="B73" s="178" t="str">
        <f t="shared" si="7"/>
        <v/>
      </c>
      <c r="C73" s="178" t="str">
        <f>IFERROR(IF(R73&gt;0,INDEX('M03-S05'!$BC$18:$BC$342,2*(ROWS($C$67:C73)-1)+1),""),"")</f>
        <v/>
      </c>
      <c r="D73" s="180" t="s">
        <v>1443</v>
      </c>
      <c r="E73" s="178" t="str">
        <f>IFERROR(INDEX('M03-S05'!$AZ$18:$AZ$342,2*(ROWS($E$67:E73)-1)+1),"")</f>
        <v/>
      </c>
      <c r="F73" s="408"/>
      <c r="G73" s="408"/>
      <c r="H73" s="200">
        <f>IFERROR(INDEX('M03-S05'!$AA$18:$AA$342,2*(ROWS(H$67:H73)-1)+1),"")</f>
        <v>0</v>
      </c>
      <c r="I73" s="200">
        <f>IFERROR(INDEX('M03-S05'!$AC$18:$AC$342,2*(ROWS(I$67:I73)-1)+1),"")</f>
        <v>0</v>
      </c>
      <c r="J73" s="200" t="str">
        <f>IFERROR(INDEX('M03-S05'!$AT$18:$AT$342,2*(ROWS(J$67:J73)-1)+1),"")</f>
        <v/>
      </c>
      <c r="K73" s="178" t="s">
        <v>84</v>
      </c>
      <c r="L73" s="116">
        <f>IFERROR(ROUND(INDEX('M03-S05'!$V$18:$V$342,2*(ROWS(L$67:L73)-1)+1),3),"")</f>
        <v>0</v>
      </c>
      <c r="M73" s="116">
        <f>IFERROR(ROUND(INDEX('M03-S05'!$V$18:$V$342,2*(ROWS(M$67:M73)-1)+1),3),"")</f>
        <v>0</v>
      </c>
      <c r="N73" s="415" t="str">
        <f>IFERROR(INDEX('M03-S05'!$AV$18:$AV$342,2*(ROWS(N$67:N73)-1)+1),"")</f>
        <v/>
      </c>
      <c r="O73" s="415" t="str">
        <f>IFERROR(INDEX('M03-S05'!$BA$18:$BA$342,2*(ROWS(O$67:O73)-1)+1),"")</f>
        <v/>
      </c>
      <c r="P73" s="415" t="str">
        <f>IFERROR(INDEX('M03-S05'!$AW$18:$AW$342,2*(ROWS(P$67:P73)-1)+1),"")</f>
        <v/>
      </c>
      <c r="Q73" s="415" t="str">
        <f>IFERROR(INDEX('M03-S05'!$BB$18:$BB$342,2*(ROWS(Q$67:Q73)-1)+1),"")</f>
        <v/>
      </c>
      <c r="R73" s="200" t="str">
        <f>IFERROR(INDEX('M03-S05'!$AN$18:$AN$342,2*(ROWS(R$67:R73)-1)+1),"")</f>
        <v/>
      </c>
      <c r="S73" s="405"/>
      <c r="T73" s="405"/>
      <c r="U73" s="405"/>
      <c r="V73" s="325"/>
      <c r="W73" s="417"/>
      <c r="X73" s="417"/>
      <c r="Y73" s="408"/>
      <c r="Z73" s="408"/>
      <c r="AA73" s="418"/>
      <c r="AB73" s="418"/>
      <c r="AC73" s="325"/>
      <c r="AD73" s="415">
        <f>IFERROR(INDEX('M03-S05'!$AX$18:$AX$342,2*(ROWS(AD$67:AD73)-1)+1),"")</f>
        <v>0</v>
      </c>
      <c r="AE73" s="415">
        <f>IFERROR(INDEX('M03-S05'!$AY$18:$AY$342,2*(ROWS(AE$67:AE73)-1)+1),"")</f>
        <v>0</v>
      </c>
      <c r="AF73" s="408"/>
      <c r="AG73" s="408"/>
      <c r="AH73" s="408"/>
      <c r="AI73" s="178">
        <f>IFERROR(INDEX('M03-S05'!$B$18:$B$342,2*(ROWS(AI$67:AI73)-1)+1),"")</f>
        <v>7</v>
      </c>
      <c r="AJ73" s="325"/>
      <c r="AK73" s="178">
        <f>IFERROR(INDEX('M03-S05'!$C$18:$C$342,2*(ROWS(AK$67:AK73)-1)+1),"")</f>
        <v>0</v>
      </c>
      <c r="AL73" s="178" t="str">
        <f>IFERROR(INDEX('M03-S05'!$J$18:$J$342,2*(ROWS(AL$67:AL73)-1)+1)&amp;" "&amp;INDEX('M03-S05'!$L$18:$L$342,2*(ROWS(AL$67:AL73)-1)+1)&amp;", "&amp;INDEX('M03-S05'!$P$18:$P$342,2*(ROWS(AL$67:AL73)-1)+1)&amp;" "&amp;INDEX('M03-S05'!$R$18:$R$342,2*(ROWS(AL$67:AL73)-1)+1),"")</f>
        <v xml:space="preserve"> ,  </v>
      </c>
      <c r="AM73" s="178" t="str">
        <f>IFERROR(INDEX('M03-S05'!$J$18:$J$342,2*(ROWS(AM$67:AM73)-1)+1)&amp;" "&amp;INDEX('M03-S05'!$N$18:$N$342,2*(ROWS(AM$67:AM73)-1)+1)&amp;", "&amp;INDEX('M03-S05'!$P$18:$P$342,2*(ROWS(AM$67:AM73)-1)+1)&amp;" "&amp;INDEX('M03-S05'!$T$18:$T$342,2*(ROWS(AM$67:AM73)-1)+1),"")</f>
        <v xml:space="preserve"> ,  </v>
      </c>
      <c r="AN73" s="405"/>
      <c r="AO73" s="405"/>
      <c r="AP73" s="178" t="str">
        <f>IFERROR(INDEX('M03-S05'!$AU$18:$AU$342,2*(ROWS(AP$67:AP73)-1)+1),"")</f>
        <v/>
      </c>
      <c r="AQ73" s="325"/>
      <c r="AR73" s="178" t="str">
        <f>IFERROR(INDEX(STDHVAC[Reporting Methodology],MATCH(EXPORT!C73,STDHVAC[Measure Number],0)),"")</f>
        <v/>
      </c>
      <c r="AS73" s="178" t="str">
        <f>IFERROR(INDEX(STDHVAC[Primary Key],MATCH(C73,STDHVAC[Measure Number],0)),"")</f>
        <v/>
      </c>
      <c r="AT73" s="200" t="str">
        <f>IFERROR(INDEX('M03-S05'!$AN$18:$AN$342,2*(ROWS(AT$67:AT73)-1)+1)-MIN(INDEX('M03-S05'!$AT$18:$AT$342,2*(ROWS(AT$67:AT73)-1)+1),(ROUND(INDEX('M03-S05'!$V$18:$V$342,2*(ROWS(AT$67:AT73)-1)+1)*(INDEX('M03-S05'!$N$18:$N$342,2*(ROWS(AT$67:AT73)-1)+1)-INDEX('M03-S05'!$L$18:$L$342,2*(ROWS(AT$67:AT73)-1)+1))*INDEX(STDHVAC[Previous Incentive],MATCH('M03-S05'!C30,STDHVAC[Measure Name],0)),3))),"")</f>
        <v/>
      </c>
      <c r="AU73" s="278"/>
      <c r="AV73" s="278"/>
      <c r="AW73" s="278"/>
      <c r="AX73" s="278"/>
      <c r="AY73" s="278"/>
      <c r="AZ73" s="278"/>
      <c r="BA73" s="278"/>
      <c r="BB73" s="278"/>
      <c r="BC73" s="278"/>
      <c r="BD73" s="278"/>
      <c r="BE73" s="279"/>
      <c r="BL73" s="180"/>
      <c r="BP73" s="180"/>
      <c r="BQ73" s="180"/>
      <c r="BR73" s="180"/>
      <c r="CD73" s="180"/>
      <c r="CE73" s="180"/>
      <c r="CF73" s="180"/>
      <c r="CH73" s="180"/>
      <c r="CI73" s="180"/>
      <c r="CJ73" s="180"/>
      <c r="CK73" s="180"/>
      <c r="CL73" s="180"/>
      <c r="CM73" s="180"/>
      <c r="CN73" s="180"/>
      <c r="CQ73" s="180"/>
      <c r="CR73" s="180"/>
      <c r="CS73" s="180"/>
      <c r="DS73" s="180"/>
      <c r="DT73" s="180"/>
      <c r="DU73" s="180"/>
    </row>
    <row r="74" spans="1:125" s="54" customFormat="1" hidden="1">
      <c r="A74" s="135">
        <f t="shared" si="6"/>
        <v>0</v>
      </c>
      <c r="B74" s="178" t="str">
        <f t="shared" si="7"/>
        <v/>
      </c>
      <c r="C74" s="178" t="str">
        <f>IFERROR(IF(R74&gt;0,INDEX('M03-S05'!$BC$18:$BC$342,2*(ROWS($C$67:C74)-1)+1),""),"")</f>
        <v/>
      </c>
      <c r="D74" s="180" t="s">
        <v>1443</v>
      </c>
      <c r="E74" s="178" t="str">
        <f>IFERROR(INDEX('M03-S05'!$AZ$18:$AZ$342,2*(ROWS($E$67:E74)-1)+1),"")</f>
        <v/>
      </c>
      <c r="F74" s="408"/>
      <c r="G74" s="408"/>
      <c r="H74" s="200">
        <f>IFERROR(INDEX('M03-S05'!$AA$18:$AA$342,2*(ROWS(H$67:H74)-1)+1),"")</f>
        <v>0</v>
      </c>
      <c r="I74" s="200">
        <f>IFERROR(INDEX('M03-S05'!$AC$18:$AC$342,2*(ROWS(I$67:I74)-1)+1),"")</f>
        <v>0</v>
      </c>
      <c r="J74" s="200" t="str">
        <f>IFERROR(INDEX('M03-S05'!$AT$18:$AT$342,2*(ROWS(J$67:J74)-1)+1),"")</f>
        <v/>
      </c>
      <c r="K74" s="178" t="s">
        <v>84</v>
      </c>
      <c r="L74" s="116">
        <f>IFERROR(ROUND(INDEX('M03-S05'!$V$18:$V$342,2*(ROWS(L$67:L74)-1)+1),3),"")</f>
        <v>0</v>
      </c>
      <c r="M74" s="116">
        <f>IFERROR(ROUND(INDEX('M03-S05'!$V$18:$V$342,2*(ROWS(M$67:M74)-1)+1),3),"")</f>
        <v>0</v>
      </c>
      <c r="N74" s="415" t="str">
        <f>IFERROR(INDEX('M03-S05'!$AV$18:$AV$342,2*(ROWS(N$67:N74)-1)+1),"")</f>
        <v/>
      </c>
      <c r="O74" s="415" t="str">
        <f>IFERROR(INDEX('M03-S05'!$BA$18:$BA$342,2*(ROWS(O$67:O74)-1)+1),"")</f>
        <v/>
      </c>
      <c r="P74" s="415" t="str">
        <f>IFERROR(INDEX('M03-S05'!$AW$18:$AW$342,2*(ROWS(P$67:P74)-1)+1),"")</f>
        <v/>
      </c>
      <c r="Q74" s="415" t="str">
        <f>IFERROR(INDEX('M03-S05'!$BB$18:$BB$342,2*(ROWS(Q$67:Q74)-1)+1),"")</f>
        <v/>
      </c>
      <c r="R74" s="200" t="str">
        <f>IFERROR(INDEX('M03-S05'!$AN$18:$AN$342,2*(ROWS(R$67:R74)-1)+1),"")</f>
        <v/>
      </c>
      <c r="S74" s="405"/>
      <c r="T74" s="405"/>
      <c r="U74" s="405"/>
      <c r="V74" s="325"/>
      <c r="W74" s="417"/>
      <c r="X74" s="417"/>
      <c r="Y74" s="408"/>
      <c r="Z74" s="408"/>
      <c r="AA74" s="418"/>
      <c r="AB74" s="418"/>
      <c r="AC74" s="325"/>
      <c r="AD74" s="415">
        <f>IFERROR(INDEX('M03-S05'!$AX$18:$AX$342,2*(ROWS(AD$67:AD74)-1)+1),"")</f>
        <v>0</v>
      </c>
      <c r="AE74" s="415">
        <f>IFERROR(INDEX('M03-S05'!$AY$18:$AY$342,2*(ROWS(AE$67:AE74)-1)+1),"")</f>
        <v>0</v>
      </c>
      <c r="AF74" s="408"/>
      <c r="AG74" s="408"/>
      <c r="AH74" s="408"/>
      <c r="AI74" s="178">
        <f>IFERROR(INDEX('M03-S05'!$B$18:$B$342,2*(ROWS(AI$67:AI74)-1)+1),"")</f>
        <v>8</v>
      </c>
      <c r="AJ74" s="325"/>
      <c r="AK74" s="178">
        <f>IFERROR(INDEX('M03-S05'!$C$18:$C$342,2*(ROWS(AK$67:AK74)-1)+1),"")</f>
        <v>0</v>
      </c>
      <c r="AL74" s="178" t="str">
        <f>IFERROR(INDEX('M03-S05'!$J$18:$J$342,2*(ROWS(AL$67:AL74)-1)+1)&amp;" "&amp;INDEX('M03-S05'!$L$18:$L$342,2*(ROWS(AL$67:AL74)-1)+1)&amp;", "&amp;INDEX('M03-S05'!$P$18:$P$342,2*(ROWS(AL$67:AL74)-1)+1)&amp;" "&amp;INDEX('M03-S05'!$R$18:$R$342,2*(ROWS(AL$67:AL74)-1)+1),"")</f>
        <v xml:space="preserve"> ,  </v>
      </c>
      <c r="AM74" s="178" t="str">
        <f>IFERROR(INDEX('M03-S05'!$J$18:$J$342,2*(ROWS(AM$67:AM74)-1)+1)&amp;" "&amp;INDEX('M03-S05'!$N$18:$N$342,2*(ROWS(AM$67:AM74)-1)+1)&amp;", "&amp;INDEX('M03-S05'!$P$18:$P$342,2*(ROWS(AM$67:AM74)-1)+1)&amp;" "&amp;INDEX('M03-S05'!$T$18:$T$342,2*(ROWS(AM$67:AM74)-1)+1),"")</f>
        <v xml:space="preserve"> ,  </v>
      </c>
      <c r="AN74" s="405"/>
      <c r="AO74" s="405"/>
      <c r="AP74" s="178" t="str">
        <f>IFERROR(INDEX('M03-S05'!$AU$18:$AU$342,2*(ROWS(AP$67:AP74)-1)+1),"")</f>
        <v/>
      </c>
      <c r="AQ74" s="325"/>
      <c r="AR74" s="178" t="str">
        <f>IFERROR(INDEX(STDHVAC[Reporting Methodology],MATCH(EXPORT!C74,STDHVAC[Measure Number],0)),"")</f>
        <v/>
      </c>
      <c r="AS74" s="178" t="str">
        <f>IFERROR(INDEX(STDHVAC[Primary Key],MATCH(C74,STDHVAC[Measure Number],0)),"")</f>
        <v/>
      </c>
      <c r="AT74" s="200" t="str">
        <f>IFERROR(INDEX('M03-S05'!$AN$18:$AN$342,2*(ROWS(AT$67:AT74)-1)+1)-MIN(INDEX('M03-S05'!$AT$18:$AT$342,2*(ROWS(AT$67:AT74)-1)+1),(ROUND(INDEX('M03-S05'!$V$18:$V$342,2*(ROWS(AT$67:AT74)-1)+1)*(INDEX('M03-S05'!$N$18:$N$342,2*(ROWS(AT$67:AT74)-1)+1)-INDEX('M03-S05'!$L$18:$L$342,2*(ROWS(AT$67:AT74)-1)+1))*INDEX(STDHVAC[Previous Incentive],MATCH('M03-S05'!C32,STDHVAC[Measure Name],0)),3))),"")</f>
        <v/>
      </c>
      <c r="AU74" s="278"/>
      <c r="AV74" s="278"/>
      <c r="AW74" s="278"/>
      <c r="AX74" s="278"/>
      <c r="AY74" s="278"/>
      <c r="AZ74" s="278"/>
      <c r="BA74" s="278"/>
      <c r="BB74" s="278"/>
      <c r="BC74" s="278"/>
      <c r="BD74" s="278"/>
      <c r="BE74" s="279"/>
      <c r="BL74" s="180"/>
      <c r="BP74" s="180"/>
      <c r="BQ74" s="180"/>
      <c r="BR74" s="180"/>
      <c r="CD74" s="180"/>
      <c r="CE74" s="180"/>
      <c r="CF74" s="180"/>
      <c r="CH74" s="180"/>
      <c r="CI74" s="180"/>
      <c r="CJ74" s="180"/>
      <c r="CK74" s="180"/>
      <c r="CL74" s="180"/>
      <c r="CM74" s="180"/>
      <c r="CN74" s="180"/>
      <c r="CQ74" s="180"/>
      <c r="CR74" s="180"/>
      <c r="CS74" s="180"/>
      <c r="DS74" s="180"/>
      <c r="DT74" s="180"/>
      <c r="DU74" s="180"/>
    </row>
    <row r="75" spans="1:125" s="54" customFormat="1" hidden="1">
      <c r="A75" s="135">
        <f t="shared" si="6"/>
        <v>0</v>
      </c>
      <c r="B75" s="178" t="str">
        <f t="shared" si="7"/>
        <v/>
      </c>
      <c r="C75" s="178" t="str">
        <f>IFERROR(IF(R75&gt;0,INDEX('M03-S05'!$BC$18:$BC$342,2*(ROWS($C$67:C75)-1)+1),""),"")</f>
        <v/>
      </c>
      <c r="D75" s="180" t="s">
        <v>1443</v>
      </c>
      <c r="E75" s="178" t="str">
        <f>IFERROR(INDEX('M03-S05'!$AZ$18:$AZ$342,2*(ROWS($E$67:E75)-1)+1),"")</f>
        <v/>
      </c>
      <c r="F75" s="408"/>
      <c r="G75" s="408"/>
      <c r="H75" s="200">
        <f>IFERROR(INDEX('M03-S05'!$AA$18:$AA$342,2*(ROWS(H$67:H75)-1)+1),"")</f>
        <v>0</v>
      </c>
      <c r="I75" s="200">
        <f>IFERROR(INDEX('M03-S05'!$AC$18:$AC$342,2*(ROWS(I$67:I75)-1)+1),"")</f>
        <v>0</v>
      </c>
      <c r="J75" s="200" t="str">
        <f>IFERROR(INDEX('M03-S05'!$AT$18:$AT$342,2*(ROWS(J$67:J75)-1)+1),"")</f>
        <v/>
      </c>
      <c r="K75" s="178" t="s">
        <v>84</v>
      </c>
      <c r="L75" s="116">
        <f>IFERROR(ROUND(INDEX('M03-S05'!$V$18:$V$342,2*(ROWS(L$67:L75)-1)+1),3),"")</f>
        <v>0</v>
      </c>
      <c r="M75" s="116">
        <f>IFERROR(ROUND(INDEX('M03-S05'!$V$18:$V$342,2*(ROWS(M$67:M75)-1)+1),3),"")</f>
        <v>0</v>
      </c>
      <c r="N75" s="415" t="str">
        <f>IFERROR(INDEX('M03-S05'!$AV$18:$AV$342,2*(ROWS(N$67:N75)-1)+1),"")</f>
        <v/>
      </c>
      <c r="O75" s="415" t="str">
        <f>IFERROR(INDEX('M03-S05'!$BA$18:$BA$342,2*(ROWS(O$67:O75)-1)+1),"")</f>
        <v/>
      </c>
      <c r="P75" s="415" t="str">
        <f>IFERROR(INDEX('M03-S05'!$AW$18:$AW$342,2*(ROWS(P$67:P75)-1)+1),"")</f>
        <v/>
      </c>
      <c r="Q75" s="415" t="str">
        <f>IFERROR(INDEX('M03-S05'!$BB$18:$BB$342,2*(ROWS(Q$67:Q75)-1)+1),"")</f>
        <v/>
      </c>
      <c r="R75" s="200" t="str">
        <f>IFERROR(INDEX('M03-S05'!$AN$18:$AN$342,2*(ROWS(R$67:R75)-1)+1),"")</f>
        <v/>
      </c>
      <c r="S75" s="405"/>
      <c r="T75" s="405"/>
      <c r="U75" s="405"/>
      <c r="V75" s="325"/>
      <c r="W75" s="417"/>
      <c r="X75" s="417"/>
      <c r="Y75" s="408"/>
      <c r="Z75" s="408"/>
      <c r="AA75" s="418"/>
      <c r="AB75" s="418"/>
      <c r="AC75" s="325"/>
      <c r="AD75" s="415">
        <f>IFERROR(INDEX('M03-S05'!$AX$18:$AX$342,2*(ROWS(AD$67:AD75)-1)+1),"")</f>
        <v>0</v>
      </c>
      <c r="AE75" s="415">
        <f>IFERROR(INDEX('M03-S05'!$AY$18:$AY$342,2*(ROWS(AE$67:AE75)-1)+1),"")</f>
        <v>0</v>
      </c>
      <c r="AF75" s="408"/>
      <c r="AG75" s="408"/>
      <c r="AH75" s="408"/>
      <c r="AI75" s="178">
        <f>IFERROR(INDEX('M03-S05'!$B$18:$B$342,2*(ROWS(AI$67:AI75)-1)+1),"")</f>
        <v>9</v>
      </c>
      <c r="AJ75" s="325"/>
      <c r="AK75" s="178">
        <f>IFERROR(INDEX('M03-S05'!$C$18:$C$342,2*(ROWS(AK$67:AK75)-1)+1),"")</f>
        <v>0</v>
      </c>
      <c r="AL75" s="178" t="str">
        <f>IFERROR(INDEX('M03-S05'!$J$18:$J$342,2*(ROWS(AL$67:AL75)-1)+1)&amp;" "&amp;INDEX('M03-S05'!$L$18:$L$342,2*(ROWS(AL$67:AL75)-1)+1)&amp;", "&amp;INDEX('M03-S05'!$P$18:$P$342,2*(ROWS(AL$67:AL75)-1)+1)&amp;" "&amp;INDEX('M03-S05'!$R$18:$R$342,2*(ROWS(AL$67:AL75)-1)+1),"")</f>
        <v xml:space="preserve"> ,  </v>
      </c>
      <c r="AM75" s="178" t="str">
        <f>IFERROR(INDEX('M03-S05'!$J$18:$J$342,2*(ROWS(AM$67:AM75)-1)+1)&amp;" "&amp;INDEX('M03-S05'!$N$18:$N$342,2*(ROWS(AM$67:AM75)-1)+1)&amp;", "&amp;INDEX('M03-S05'!$P$18:$P$342,2*(ROWS(AM$67:AM75)-1)+1)&amp;" "&amp;INDEX('M03-S05'!$T$18:$T$342,2*(ROWS(AM$67:AM75)-1)+1),"")</f>
        <v xml:space="preserve"> ,  </v>
      </c>
      <c r="AN75" s="405"/>
      <c r="AO75" s="405"/>
      <c r="AP75" s="178" t="str">
        <f>IFERROR(INDEX('M03-S05'!$AU$18:$AU$342,2*(ROWS(AP$67:AP75)-1)+1),"")</f>
        <v/>
      </c>
      <c r="AQ75" s="325"/>
      <c r="AR75" s="178" t="str">
        <f>IFERROR(INDEX(STDHVAC[Reporting Methodology],MATCH(EXPORT!C75,STDHVAC[Measure Number],0)),"")</f>
        <v/>
      </c>
      <c r="AS75" s="178" t="str">
        <f>IFERROR(INDEX(STDHVAC[Primary Key],MATCH(C75,STDHVAC[Measure Number],0)),"")</f>
        <v/>
      </c>
      <c r="AT75" s="200" t="str">
        <f>IFERROR(INDEX('M03-S05'!$AN$18:$AN$342,2*(ROWS(AT$67:AT75)-1)+1)-MIN(INDEX('M03-S05'!$AT$18:$AT$342,2*(ROWS(AT$67:AT75)-1)+1),(ROUND(INDEX('M03-S05'!$V$18:$V$342,2*(ROWS(AT$67:AT75)-1)+1)*(INDEX('M03-S05'!$N$18:$N$342,2*(ROWS(AT$67:AT75)-1)+1)-INDEX('M03-S05'!$L$18:$L$342,2*(ROWS(AT$67:AT75)-1)+1))*INDEX(STDHVAC[Previous Incentive],MATCH('M03-S05'!C34,STDHVAC[Measure Name],0)),3))),"")</f>
        <v/>
      </c>
      <c r="AU75" s="278"/>
      <c r="AV75" s="278"/>
      <c r="AW75" s="278"/>
      <c r="AX75" s="278"/>
      <c r="AY75" s="278"/>
      <c r="AZ75" s="278"/>
      <c r="BA75" s="278"/>
      <c r="BB75" s="278"/>
      <c r="BC75" s="278"/>
      <c r="BD75" s="278"/>
      <c r="BE75" s="279"/>
      <c r="BL75" s="180"/>
      <c r="BP75"/>
      <c r="BQ75"/>
      <c r="BR75"/>
      <c r="CD75" s="180"/>
      <c r="CE75" s="180"/>
      <c r="CF75" s="180"/>
      <c r="CH75"/>
      <c r="CI75"/>
      <c r="CJ75"/>
      <c r="CK75"/>
      <c r="CL75"/>
      <c r="CM75"/>
      <c r="CN75"/>
      <c r="CQ75" s="180"/>
      <c r="CR75" s="180"/>
      <c r="CS75" s="180"/>
      <c r="DS75" s="180"/>
      <c r="DT75" s="180"/>
      <c r="DU75" s="180"/>
    </row>
    <row r="76" spans="1:125" s="54" customFormat="1" hidden="1">
      <c r="A76" s="135">
        <f t="shared" si="6"/>
        <v>0</v>
      </c>
      <c r="B76" s="178" t="str">
        <f t="shared" si="7"/>
        <v/>
      </c>
      <c r="C76" s="178" t="str">
        <f>IFERROR(IF(R76&gt;0,INDEX('M03-S05'!$BC$18:$BC$342,2*(ROWS($C$67:C76)-1)+1),""),"")</f>
        <v/>
      </c>
      <c r="D76" s="180" t="s">
        <v>1443</v>
      </c>
      <c r="E76" s="178" t="str">
        <f>IFERROR(INDEX('M03-S05'!$AZ$18:$AZ$342,2*(ROWS($E$67:E76)-1)+1),"")</f>
        <v/>
      </c>
      <c r="F76" s="408"/>
      <c r="G76" s="408"/>
      <c r="H76" s="200">
        <f>IFERROR(INDEX('M03-S05'!$AA$18:$AA$342,2*(ROWS(H$67:H76)-1)+1),"")</f>
        <v>0</v>
      </c>
      <c r="I76" s="200">
        <f>IFERROR(INDEX('M03-S05'!$AC$18:$AC$342,2*(ROWS(I$67:I76)-1)+1),"")</f>
        <v>0</v>
      </c>
      <c r="J76" s="200" t="str">
        <f>IFERROR(INDEX('M03-S05'!$AT$18:$AT$342,2*(ROWS(J$67:J76)-1)+1),"")</f>
        <v/>
      </c>
      <c r="K76" s="178" t="s">
        <v>84</v>
      </c>
      <c r="L76" s="116">
        <f>IFERROR(ROUND(INDEX('M03-S05'!$V$18:$V$342,2*(ROWS(L$67:L76)-1)+1),3),"")</f>
        <v>0</v>
      </c>
      <c r="M76" s="116">
        <f>IFERROR(ROUND(INDEX('M03-S05'!$V$18:$V$342,2*(ROWS(M$67:M76)-1)+1),3),"")</f>
        <v>0</v>
      </c>
      <c r="N76" s="415" t="str">
        <f>IFERROR(INDEX('M03-S05'!$AV$18:$AV$342,2*(ROWS(N$67:N76)-1)+1),"")</f>
        <v/>
      </c>
      <c r="O76" s="415" t="str">
        <f>IFERROR(INDEX('M03-S05'!$BA$18:$BA$342,2*(ROWS(O$67:O76)-1)+1),"")</f>
        <v/>
      </c>
      <c r="P76" s="415" t="str">
        <f>IFERROR(INDEX('M03-S05'!$AW$18:$AW$342,2*(ROWS(P$67:P76)-1)+1),"")</f>
        <v/>
      </c>
      <c r="Q76" s="415" t="str">
        <f>IFERROR(INDEX('M03-S05'!$BB$18:$BB$342,2*(ROWS(Q$67:Q76)-1)+1),"")</f>
        <v/>
      </c>
      <c r="R76" s="200" t="str">
        <f>IFERROR(INDEX('M03-S05'!$AN$18:$AN$342,2*(ROWS(R$67:R76)-1)+1),"")</f>
        <v/>
      </c>
      <c r="S76" s="405"/>
      <c r="T76" s="405"/>
      <c r="U76" s="405"/>
      <c r="V76" s="325"/>
      <c r="W76" s="417"/>
      <c r="X76" s="417"/>
      <c r="Y76" s="408"/>
      <c r="Z76" s="408"/>
      <c r="AA76" s="418"/>
      <c r="AB76" s="418"/>
      <c r="AC76" s="325"/>
      <c r="AD76" s="415">
        <f>IFERROR(INDEX('M03-S05'!$AX$18:$AX$342,2*(ROWS(AD$67:AD76)-1)+1),"")</f>
        <v>0</v>
      </c>
      <c r="AE76" s="415">
        <f>IFERROR(INDEX('M03-S05'!$AY$18:$AY$342,2*(ROWS(AE$67:AE76)-1)+1),"")</f>
        <v>0</v>
      </c>
      <c r="AF76" s="408"/>
      <c r="AG76" s="408"/>
      <c r="AH76" s="408"/>
      <c r="AI76" s="178">
        <f>IFERROR(INDEX('M03-S05'!$B$18:$B$342,2*(ROWS(AI$67:AI76)-1)+1),"")</f>
        <v>10</v>
      </c>
      <c r="AJ76" s="325"/>
      <c r="AK76" s="178">
        <f>IFERROR(INDEX('M03-S05'!$C$18:$C$342,2*(ROWS(AK$67:AK76)-1)+1),"")</f>
        <v>0</v>
      </c>
      <c r="AL76" s="178" t="str">
        <f>IFERROR(INDEX('M03-S05'!$J$18:$J$342,2*(ROWS(AL$67:AL76)-1)+1)&amp;" "&amp;INDEX('M03-S05'!$L$18:$L$342,2*(ROWS(AL$67:AL76)-1)+1)&amp;", "&amp;INDEX('M03-S05'!$P$18:$P$342,2*(ROWS(AL$67:AL76)-1)+1)&amp;" "&amp;INDEX('M03-S05'!$R$18:$R$342,2*(ROWS(AL$67:AL76)-1)+1),"")</f>
        <v xml:space="preserve"> ,  </v>
      </c>
      <c r="AM76" s="178" t="str">
        <f>IFERROR(INDEX('M03-S05'!$J$18:$J$342,2*(ROWS(AM$67:AM76)-1)+1)&amp;" "&amp;INDEX('M03-S05'!$N$18:$N$342,2*(ROWS(AM$67:AM76)-1)+1)&amp;", "&amp;INDEX('M03-S05'!$P$18:$P$342,2*(ROWS(AM$67:AM76)-1)+1)&amp;" "&amp;INDEX('M03-S05'!$T$18:$T$342,2*(ROWS(AM$67:AM76)-1)+1),"")</f>
        <v xml:space="preserve"> ,  </v>
      </c>
      <c r="AN76" s="405"/>
      <c r="AO76" s="405"/>
      <c r="AP76" s="178" t="str">
        <f>IFERROR(INDEX('M03-S05'!$AU$18:$AU$342,2*(ROWS(AP$67:AP76)-1)+1),"")</f>
        <v/>
      </c>
      <c r="AQ76" s="325"/>
      <c r="AR76" s="178" t="str">
        <f>IFERROR(INDEX(STDHVAC[Reporting Methodology],MATCH(EXPORT!C76,STDHVAC[Measure Number],0)),"")</f>
        <v/>
      </c>
      <c r="AS76" s="178" t="str">
        <f>IFERROR(INDEX(STDHVAC[Primary Key],MATCH(C76,STDHVAC[Measure Number],0)),"")</f>
        <v/>
      </c>
      <c r="AT76" s="200" t="str">
        <f>IFERROR(INDEX('M03-S05'!$AN$18:$AN$342,2*(ROWS(AT$67:AT76)-1)+1)-MIN(INDEX('M03-S05'!$AT$18:$AT$342,2*(ROWS(AT$67:AT76)-1)+1),(ROUND(INDEX('M03-S05'!$V$18:$V$342,2*(ROWS(AT$67:AT76)-1)+1)*(INDEX('M03-S05'!$N$18:$N$342,2*(ROWS(AT$67:AT76)-1)+1)-INDEX('M03-S05'!$L$18:$L$342,2*(ROWS(AT$67:AT76)-1)+1))*INDEX(STDHVAC[Previous Incentive],MATCH('M03-S05'!C36,STDHVAC[Measure Name],0)),3))),"")</f>
        <v/>
      </c>
      <c r="AU76" s="278"/>
      <c r="AV76" s="278"/>
      <c r="AW76" s="278"/>
      <c r="AX76" s="278"/>
      <c r="AY76" s="278"/>
      <c r="AZ76" s="278"/>
      <c r="BA76" s="278"/>
      <c r="BB76" s="278"/>
      <c r="BC76" s="278"/>
      <c r="BD76" s="278"/>
      <c r="BE76" s="279"/>
      <c r="BL76" s="180"/>
      <c r="BP76"/>
      <c r="BQ76"/>
      <c r="BR76"/>
      <c r="CD76" s="180"/>
      <c r="CE76" s="180"/>
      <c r="CF76" s="180"/>
      <c r="CH76"/>
      <c r="CI76"/>
      <c r="CJ76"/>
      <c r="CK76"/>
      <c r="CL76"/>
      <c r="CM76"/>
      <c r="CN76"/>
      <c r="CQ76" s="180"/>
      <c r="CR76" s="180"/>
      <c r="CS76" s="180"/>
      <c r="DS76" s="180"/>
      <c r="DT76" s="180"/>
      <c r="DU76" s="180"/>
    </row>
    <row r="77" spans="1:125" s="54" customFormat="1" hidden="1">
      <c r="A77" s="135">
        <f t="shared" si="6"/>
        <v>0</v>
      </c>
      <c r="B77" s="178" t="str">
        <f t="shared" si="7"/>
        <v/>
      </c>
      <c r="C77" s="178" t="str">
        <f>IFERROR(IF(R77&gt;0,INDEX('M03-S05'!$BC$18:$BC$342,2*(ROWS($C$67:C77)-1)+1),""),"")</f>
        <v/>
      </c>
      <c r="D77" s="180" t="s">
        <v>1443</v>
      </c>
      <c r="E77" s="178" t="str">
        <f>IFERROR(INDEX('M03-S05'!$AZ$18:$AZ$342,2*(ROWS($E$67:E77)-1)+1),"")</f>
        <v/>
      </c>
      <c r="F77" s="408"/>
      <c r="G77" s="408"/>
      <c r="H77" s="200">
        <f>IFERROR(INDEX('M03-S05'!$AA$18:$AA$342,2*(ROWS(H$67:H77)-1)+1),"")</f>
        <v>0</v>
      </c>
      <c r="I77" s="200">
        <f>IFERROR(INDEX('M03-S05'!$AC$18:$AC$342,2*(ROWS(I$67:I77)-1)+1),"")</f>
        <v>0</v>
      </c>
      <c r="J77" s="200" t="str">
        <f>IFERROR(INDEX('M03-S05'!$AT$18:$AT$342,2*(ROWS(J$67:J77)-1)+1),"")</f>
        <v/>
      </c>
      <c r="K77" s="178" t="s">
        <v>84</v>
      </c>
      <c r="L77" s="116">
        <f>IFERROR(ROUND(INDEX('M03-S05'!$V$18:$V$342,2*(ROWS(L$67:L77)-1)+1),3),"")</f>
        <v>0</v>
      </c>
      <c r="M77" s="116">
        <f>IFERROR(ROUND(INDEX('M03-S05'!$V$18:$V$342,2*(ROWS(M$67:M77)-1)+1),3),"")</f>
        <v>0</v>
      </c>
      <c r="N77" s="415" t="str">
        <f>IFERROR(INDEX('M03-S05'!$AV$18:$AV$342,2*(ROWS(N$67:N77)-1)+1),"")</f>
        <v/>
      </c>
      <c r="O77" s="415" t="str">
        <f>IFERROR(INDEX('M03-S05'!$BA$18:$BA$342,2*(ROWS(O$67:O77)-1)+1),"")</f>
        <v/>
      </c>
      <c r="P77" s="415" t="str">
        <f>IFERROR(INDEX('M03-S05'!$AW$18:$AW$342,2*(ROWS(P$67:P77)-1)+1),"")</f>
        <v/>
      </c>
      <c r="Q77" s="415" t="str">
        <f>IFERROR(INDEX('M03-S05'!$BB$18:$BB$342,2*(ROWS(Q$67:Q77)-1)+1),"")</f>
        <v/>
      </c>
      <c r="R77" s="200" t="str">
        <f>IFERROR(INDEX('M03-S05'!$AN$18:$AN$342,2*(ROWS(R$67:R77)-1)+1),"")</f>
        <v/>
      </c>
      <c r="S77" s="405"/>
      <c r="T77" s="405"/>
      <c r="U77" s="405"/>
      <c r="V77" s="325"/>
      <c r="W77" s="417"/>
      <c r="X77" s="417"/>
      <c r="Y77" s="408"/>
      <c r="Z77" s="408"/>
      <c r="AA77" s="418"/>
      <c r="AB77" s="418"/>
      <c r="AC77" s="325"/>
      <c r="AD77" s="415">
        <f>IFERROR(INDEX('M03-S05'!$AX$18:$AX$342,2*(ROWS(AD$67:AD77)-1)+1),"")</f>
        <v>0</v>
      </c>
      <c r="AE77" s="415">
        <f>IFERROR(INDEX('M03-S05'!$AY$18:$AY$342,2*(ROWS(AE$67:AE77)-1)+1),"")</f>
        <v>0</v>
      </c>
      <c r="AF77" s="408"/>
      <c r="AG77" s="408"/>
      <c r="AH77" s="408"/>
      <c r="AI77" s="178">
        <f>IFERROR(INDEX('M03-S05'!$B$18:$B$342,2*(ROWS(AI$67:AI77)-1)+1),"")</f>
        <v>11</v>
      </c>
      <c r="AJ77" s="325"/>
      <c r="AK77" s="178">
        <f>IFERROR(INDEX('M03-S05'!$C$18:$C$342,2*(ROWS(AK$67:AK77)-1)+1),"")</f>
        <v>0</v>
      </c>
      <c r="AL77" s="178" t="str">
        <f>IFERROR(INDEX('M03-S05'!$J$18:$J$342,2*(ROWS(AL$67:AL77)-1)+1)&amp;" "&amp;INDEX('M03-S05'!$L$18:$L$342,2*(ROWS(AL$67:AL77)-1)+1)&amp;", "&amp;INDEX('M03-S05'!$P$18:$P$342,2*(ROWS(AL$67:AL77)-1)+1)&amp;" "&amp;INDEX('M03-S05'!$R$18:$R$342,2*(ROWS(AL$67:AL77)-1)+1),"")</f>
        <v xml:space="preserve"> ,  </v>
      </c>
      <c r="AM77" s="178" t="str">
        <f>IFERROR(INDEX('M03-S05'!$J$18:$J$342,2*(ROWS(AM$67:AM77)-1)+1)&amp;" "&amp;INDEX('M03-S05'!$N$18:$N$342,2*(ROWS(AM$67:AM77)-1)+1)&amp;", "&amp;INDEX('M03-S05'!$P$18:$P$342,2*(ROWS(AM$67:AM77)-1)+1)&amp;" "&amp;INDEX('M03-S05'!$T$18:$T$342,2*(ROWS(AM$67:AM77)-1)+1),"")</f>
        <v xml:space="preserve"> ,  </v>
      </c>
      <c r="AN77" s="405"/>
      <c r="AO77" s="405"/>
      <c r="AP77" s="178" t="str">
        <f>IFERROR(INDEX('M03-S05'!$AU$18:$AU$342,2*(ROWS(AP$67:AP77)-1)+1),"")</f>
        <v/>
      </c>
      <c r="AQ77" s="325"/>
      <c r="AR77" s="178" t="str">
        <f>IFERROR(INDEX(STDHVAC[Reporting Methodology],MATCH(EXPORT!C77,STDHVAC[Measure Number],0)),"")</f>
        <v/>
      </c>
      <c r="AS77" s="178" t="str">
        <f>IFERROR(INDEX(STDHVAC[Primary Key],MATCH(C77,STDHVAC[Measure Number],0)),"")</f>
        <v/>
      </c>
      <c r="AT77" s="200" t="str">
        <f>IFERROR(INDEX('M03-S05'!$AN$18:$AN$342,2*(ROWS(AT$67:AT77)-1)+1)-MIN(INDEX('M03-S05'!$AT$18:$AT$342,2*(ROWS(AT$67:AT77)-1)+1),(ROUND(INDEX('M03-S05'!$V$18:$V$342,2*(ROWS(AT$67:AT77)-1)+1)*(INDEX('M03-S05'!$N$18:$N$342,2*(ROWS(AT$67:AT77)-1)+1)-INDEX('M03-S05'!$L$18:$L$342,2*(ROWS(AT$67:AT77)-1)+1))*INDEX(STDHVAC[Previous Incentive],MATCH('M03-S05'!C38,STDHVAC[Measure Name],0)),3))),"")</f>
        <v/>
      </c>
      <c r="AU77" s="278"/>
      <c r="AV77" s="278"/>
      <c r="AW77" s="278"/>
      <c r="AX77" s="278"/>
      <c r="AY77" s="278"/>
      <c r="AZ77" s="278"/>
      <c r="BA77" s="278"/>
      <c r="BB77" s="278"/>
      <c r="BC77" s="278"/>
      <c r="BD77" s="278"/>
      <c r="BE77" s="279"/>
      <c r="BL77" s="180"/>
      <c r="BP77"/>
      <c r="BQ77"/>
      <c r="BR77"/>
      <c r="CD77" s="180"/>
      <c r="CE77" s="180"/>
      <c r="CF77" s="180"/>
      <c r="CH77"/>
      <c r="CI77"/>
      <c r="CJ77"/>
      <c r="CK77"/>
      <c r="CL77"/>
      <c r="CM77"/>
      <c r="CN77"/>
      <c r="CQ77" s="180"/>
      <c r="CR77" s="180"/>
      <c r="CS77" s="180"/>
      <c r="DS77" s="180"/>
      <c r="DT77" s="180"/>
      <c r="DU77" s="180"/>
    </row>
    <row r="78" spans="1:125" s="54" customFormat="1" hidden="1">
      <c r="A78" s="135">
        <f t="shared" si="6"/>
        <v>0</v>
      </c>
      <c r="B78" s="178" t="str">
        <f t="shared" si="7"/>
        <v/>
      </c>
      <c r="C78" s="178" t="str">
        <f>IFERROR(IF(R78&gt;0,INDEX('M03-S05'!$BC$18:$BC$342,2*(ROWS($C$67:C78)-1)+1),""),"")</f>
        <v/>
      </c>
      <c r="D78" s="180" t="s">
        <v>1443</v>
      </c>
      <c r="E78" s="178" t="str">
        <f>IFERROR(INDEX('M03-S05'!$AZ$18:$AZ$342,2*(ROWS($E$67:E78)-1)+1),"")</f>
        <v/>
      </c>
      <c r="F78" s="408"/>
      <c r="G78" s="408"/>
      <c r="H78" s="200">
        <f>IFERROR(INDEX('M03-S05'!$AA$18:$AA$342,2*(ROWS(H$67:H78)-1)+1),"")</f>
        <v>0</v>
      </c>
      <c r="I78" s="200">
        <f>IFERROR(INDEX('M03-S05'!$AC$18:$AC$342,2*(ROWS(I$67:I78)-1)+1),"")</f>
        <v>0</v>
      </c>
      <c r="J78" s="200" t="str">
        <f>IFERROR(INDEX('M03-S05'!$AT$18:$AT$342,2*(ROWS(J$67:J78)-1)+1),"")</f>
        <v/>
      </c>
      <c r="K78" s="178" t="s">
        <v>84</v>
      </c>
      <c r="L78" s="116">
        <f>IFERROR(ROUND(INDEX('M03-S05'!$V$18:$V$342,2*(ROWS(L$67:L78)-1)+1),3),"")</f>
        <v>0</v>
      </c>
      <c r="M78" s="116">
        <f>IFERROR(ROUND(INDEX('M03-S05'!$V$18:$V$342,2*(ROWS(M$67:M78)-1)+1),3),"")</f>
        <v>0</v>
      </c>
      <c r="N78" s="415" t="str">
        <f>IFERROR(INDEX('M03-S05'!$AV$18:$AV$342,2*(ROWS(N$67:N78)-1)+1),"")</f>
        <v/>
      </c>
      <c r="O78" s="415" t="str">
        <f>IFERROR(INDEX('M03-S05'!$BA$18:$BA$342,2*(ROWS(O$67:O78)-1)+1),"")</f>
        <v/>
      </c>
      <c r="P78" s="415" t="str">
        <f>IFERROR(INDEX('M03-S05'!$AW$18:$AW$342,2*(ROWS(P$67:P78)-1)+1),"")</f>
        <v/>
      </c>
      <c r="Q78" s="415" t="str">
        <f>IFERROR(INDEX('M03-S05'!$BB$18:$BB$342,2*(ROWS(Q$67:Q78)-1)+1),"")</f>
        <v/>
      </c>
      <c r="R78" s="200" t="str">
        <f>IFERROR(INDEX('M03-S05'!$AN$18:$AN$342,2*(ROWS(R$67:R78)-1)+1),"")</f>
        <v/>
      </c>
      <c r="S78" s="405"/>
      <c r="T78" s="405"/>
      <c r="U78" s="405"/>
      <c r="V78" s="325"/>
      <c r="W78" s="417"/>
      <c r="X78" s="417"/>
      <c r="Y78" s="408"/>
      <c r="Z78" s="408"/>
      <c r="AA78" s="418"/>
      <c r="AB78" s="418"/>
      <c r="AC78" s="325"/>
      <c r="AD78" s="415">
        <f>IFERROR(INDEX('M03-S05'!$AX$18:$AX$342,2*(ROWS(AD$67:AD78)-1)+1),"")</f>
        <v>0</v>
      </c>
      <c r="AE78" s="415">
        <f>IFERROR(INDEX('M03-S05'!$AY$18:$AY$342,2*(ROWS(AE$67:AE78)-1)+1),"")</f>
        <v>0</v>
      </c>
      <c r="AF78" s="408"/>
      <c r="AG78" s="408"/>
      <c r="AH78" s="408"/>
      <c r="AI78" s="178">
        <f>IFERROR(INDEX('M03-S05'!$B$18:$B$342,2*(ROWS(AI$67:AI78)-1)+1),"")</f>
        <v>12</v>
      </c>
      <c r="AJ78" s="325"/>
      <c r="AK78" s="178">
        <f>IFERROR(INDEX('M03-S05'!$C$18:$C$342,2*(ROWS(AK$67:AK78)-1)+1),"")</f>
        <v>0</v>
      </c>
      <c r="AL78" s="178" t="str">
        <f>IFERROR(INDEX('M03-S05'!$J$18:$J$342,2*(ROWS(AL$67:AL78)-1)+1)&amp;" "&amp;INDEX('M03-S05'!$L$18:$L$342,2*(ROWS(AL$67:AL78)-1)+1)&amp;", "&amp;INDEX('M03-S05'!$P$18:$P$342,2*(ROWS(AL$67:AL78)-1)+1)&amp;" "&amp;INDEX('M03-S05'!$R$18:$R$342,2*(ROWS(AL$67:AL78)-1)+1),"")</f>
        <v xml:space="preserve"> ,  </v>
      </c>
      <c r="AM78" s="178" t="str">
        <f>IFERROR(INDEX('M03-S05'!$J$18:$J$342,2*(ROWS(AM$67:AM78)-1)+1)&amp;" "&amp;INDEX('M03-S05'!$N$18:$N$342,2*(ROWS(AM$67:AM78)-1)+1)&amp;", "&amp;INDEX('M03-S05'!$P$18:$P$342,2*(ROWS(AM$67:AM78)-1)+1)&amp;" "&amp;INDEX('M03-S05'!$T$18:$T$342,2*(ROWS(AM$67:AM78)-1)+1),"")</f>
        <v xml:space="preserve"> ,  </v>
      </c>
      <c r="AN78" s="405"/>
      <c r="AO78" s="405"/>
      <c r="AP78" s="178" t="str">
        <f>IFERROR(INDEX('M03-S05'!$AU$18:$AU$342,2*(ROWS(AP$67:AP78)-1)+1),"")</f>
        <v/>
      </c>
      <c r="AQ78" s="325"/>
      <c r="AR78" s="178" t="str">
        <f>IFERROR(INDEX(STDHVAC[Reporting Methodology],MATCH(EXPORT!C78,STDHVAC[Measure Number],0)),"")</f>
        <v/>
      </c>
      <c r="AS78" s="178" t="str">
        <f>IFERROR(INDEX(STDHVAC[Primary Key],MATCH(C78,STDHVAC[Measure Number],0)),"")</f>
        <v/>
      </c>
      <c r="AT78" s="200" t="str">
        <f>IFERROR(INDEX('M03-S05'!$AN$18:$AN$342,2*(ROWS(AT$67:AT78)-1)+1)-MIN(INDEX('M03-S05'!$AT$18:$AT$342,2*(ROWS(AT$67:AT78)-1)+1),(ROUND(INDEX('M03-S05'!$V$18:$V$342,2*(ROWS(AT$67:AT78)-1)+1)*(INDEX('M03-S05'!$N$18:$N$342,2*(ROWS(AT$67:AT78)-1)+1)-INDEX('M03-S05'!$L$18:$L$342,2*(ROWS(AT$67:AT78)-1)+1))*INDEX(STDHVAC[Previous Incentive],MATCH('M03-S05'!C40,STDHVAC[Measure Name],0)),3))),"")</f>
        <v/>
      </c>
      <c r="AU78" s="278"/>
      <c r="AV78" s="278"/>
      <c r="AW78" s="278"/>
      <c r="AX78" s="278"/>
      <c r="AY78" s="278"/>
      <c r="AZ78" s="278"/>
      <c r="BA78" s="278"/>
      <c r="BB78" s="278"/>
      <c r="BC78" s="278"/>
      <c r="BD78" s="278"/>
      <c r="BE78" s="279"/>
      <c r="BL78" s="180"/>
      <c r="BP78"/>
      <c r="BQ78"/>
      <c r="BR78"/>
      <c r="CD78" s="180"/>
      <c r="CE78" s="180"/>
      <c r="CF78" s="180"/>
      <c r="CH78"/>
      <c r="CI78"/>
      <c r="CJ78"/>
      <c r="CK78"/>
      <c r="CL78"/>
      <c r="CM78"/>
      <c r="CN78"/>
      <c r="CQ78" s="180"/>
      <c r="CR78" s="180"/>
      <c r="CS78" s="180"/>
      <c r="DS78" s="180"/>
      <c r="DT78" s="180"/>
      <c r="DU78" s="180"/>
    </row>
    <row r="79" spans="1:125" s="54" customFormat="1" hidden="1">
      <c r="A79" s="135">
        <f t="shared" si="6"/>
        <v>0</v>
      </c>
      <c r="B79" s="178" t="str">
        <f t="shared" si="7"/>
        <v/>
      </c>
      <c r="C79" s="178" t="str">
        <f>IFERROR(IF(R79&gt;0,INDEX('M03-S05'!$BC$18:$BC$342,2*(ROWS($C$67:C79)-1)+1),""),"")</f>
        <v/>
      </c>
      <c r="D79" s="180" t="s">
        <v>1443</v>
      </c>
      <c r="E79" s="178" t="str">
        <f>IFERROR(INDEX('M03-S05'!$AZ$18:$AZ$342,2*(ROWS($E$67:E79)-1)+1),"")</f>
        <v/>
      </c>
      <c r="F79" s="408"/>
      <c r="G79" s="408"/>
      <c r="H79" s="200">
        <f>IFERROR(INDEX('M03-S05'!$AA$18:$AA$342,2*(ROWS(H$67:H79)-1)+1),"")</f>
        <v>0</v>
      </c>
      <c r="I79" s="200">
        <f>IFERROR(INDEX('M03-S05'!$AC$18:$AC$342,2*(ROWS(I$67:I79)-1)+1),"")</f>
        <v>0</v>
      </c>
      <c r="J79" s="200" t="str">
        <f>IFERROR(INDEX('M03-S05'!$AT$18:$AT$342,2*(ROWS(J$67:J79)-1)+1),"")</f>
        <v/>
      </c>
      <c r="K79" s="178" t="s">
        <v>84</v>
      </c>
      <c r="L79" s="116">
        <f>IFERROR(ROUND(INDEX('M03-S05'!$V$18:$V$342,2*(ROWS(L$67:L79)-1)+1),3),"")</f>
        <v>0</v>
      </c>
      <c r="M79" s="116">
        <f>IFERROR(ROUND(INDEX('M03-S05'!$V$18:$V$342,2*(ROWS(M$67:M79)-1)+1),3),"")</f>
        <v>0</v>
      </c>
      <c r="N79" s="415" t="str">
        <f>IFERROR(INDEX('M03-S05'!$AV$18:$AV$342,2*(ROWS(N$67:N79)-1)+1),"")</f>
        <v/>
      </c>
      <c r="O79" s="415" t="str">
        <f>IFERROR(INDEX('M03-S05'!$BA$18:$BA$342,2*(ROWS(O$67:O79)-1)+1),"")</f>
        <v/>
      </c>
      <c r="P79" s="415" t="str">
        <f>IFERROR(INDEX('M03-S05'!$AW$18:$AW$342,2*(ROWS(P$67:P79)-1)+1),"")</f>
        <v/>
      </c>
      <c r="Q79" s="415" t="str">
        <f>IFERROR(INDEX('M03-S05'!$BB$18:$BB$342,2*(ROWS(Q$67:Q79)-1)+1),"")</f>
        <v/>
      </c>
      <c r="R79" s="200" t="str">
        <f>IFERROR(INDEX('M03-S05'!$AN$18:$AN$342,2*(ROWS(R$67:R79)-1)+1),"")</f>
        <v/>
      </c>
      <c r="S79" s="405"/>
      <c r="T79" s="405"/>
      <c r="U79" s="405"/>
      <c r="V79" s="325"/>
      <c r="W79" s="417"/>
      <c r="X79" s="417"/>
      <c r="Y79" s="408"/>
      <c r="Z79" s="408"/>
      <c r="AA79" s="418"/>
      <c r="AB79" s="418"/>
      <c r="AC79" s="325"/>
      <c r="AD79" s="415">
        <f>IFERROR(INDEX('M03-S05'!$AX$18:$AX$342,2*(ROWS(AD$67:AD79)-1)+1),"")</f>
        <v>0</v>
      </c>
      <c r="AE79" s="415">
        <f>IFERROR(INDEX('M03-S05'!$AY$18:$AY$342,2*(ROWS(AE$67:AE79)-1)+1),"")</f>
        <v>0</v>
      </c>
      <c r="AF79" s="408"/>
      <c r="AG79" s="408"/>
      <c r="AH79" s="408"/>
      <c r="AI79" s="178">
        <f>IFERROR(INDEX('M03-S05'!$B$18:$B$342,2*(ROWS(AI$67:AI79)-1)+1),"")</f>
        <v>13</v>
      </c>
      <c r="AJ79" s="325"/>
      <c r="AK79" s="178">
        <f>IFERROR(INDEX('M03-S05'!$C$18:$C$342,2*(ROWS(AK$67:AK79)-1)+1),"")</f>
        <v>0</v>
      </c>
      <c r="AL79" s="178" t="str">
        <f>IFERROR(INDEX('M03-S05'!$J$18:$J$342,2*(ROWS(AL$67:AL79)-1)+1)&amp;" "&amp;INDEX('M03-S05'!$L$18:$L$342,2*(ROWS(AL$67:AL79)-1)+1)&amp;", "&amp;INDEX('M03-S05'!$P$18:$P$342,2*(ROWS(AL$67:AL79)-1)+1)&amp;" "&amp;INDEX('M03-S05'!$R$18:$R$342,2*(ROWS(AL$67:AL79)-1)+1),"")</f>
        <v xml:space="preserve"> ,  </v>
      </c>
      <c r="AM79" s="178" t="str">
        <f>IFERROR(INDEX('M03-S05'!$J$18:$J$342,2*(ROWS(AM$67:AM79)-1)+1)&amp;" "&amp;INDEX('M03-S05'!$N$18:$N$342,2*(ROWS(AM$67:AM79)-1)+1)&amp;", "&amp;INDEX('M03-S05'!$P$18:$P$342,2*(ROWS(AM$67:AM79)-1)+1)&amp;" "&amp;INDEX('M03-S05'!$T$18:$T$342,2*(ROWS(AM$67:AM79)-1)+1),"")</f>
        <v xml:space="preserve"> ,  </v>
      </c>
      <c r="AN79" s="405"/>
      <c r="AO79" s="405"/>
      <c r="AP79" s="178" t="str">
        <f>IFERROR(INDEX('M03-S05'!$AU$18:$AU$342,2*(ROWS(AP$67:AP79)-1)+1),"")</f>
        <v/>
      </c>
      <c r="AQ79" s="325"/>
      <c r="AR79" s="178" t="str">
        <f>IFERROR(INDEX(STDHVAC[Reporting Methodology],MATCH(EXPORT!C79,STDHVAC[Measure Number],0)),"")</f>
        <v/>
      </c>
      <c r="AS79" s="178" t="str">
        <f>IFERROR(INDEX(STDHVAC[Primary Key],MATCH(C79,STDHVAC[Measure Number],0)),"")</f>
        <v/>
      </c>
      <c r="AT79" s="200" t="str">
        <f>IFERROR(INDEX('M03-S05'!$AN$18:$AN$342,2*(ROWS(AT$67:AT79)-1)+1)-MIN(INDEX('M03-S05'!$AT$18:$AT$342,2*(ROWS(AT$67:AT79)-1)+1),(ROUND(INDEX('M03-S05'!$V$18:$V$342,2*(ROWS(AT$67:AT79)-1)+1)*(INDEX('M03-S05'!$N$18:$N$342,2*(ROWS(AT$67:AT79)-1)+1)-INDEX('M03-S05'!$L$18:$L$342,2*(ROWS(AT$67:AT79)-1)+1))*INDEX(STDHVAC[Previous Incentive],MATCH('M03-S05'!C42,STDHVAC[Measure Name],0)),3))),"")</f>
        <v/>
      </c>
      <c r="AU79" s="278"/>
      <c r="AV79" s="278"/>
      <c r="AW79" s="278"/>
      <c r="AX79" s="278"/>
      <c r="AY79" s="278"/>
      <c r="AZ79" s="278"/>
      <c r="BA79" s="278"/>
      <c r="BB79" s="278"/>
      <c r="BC79" s="278"/>
      <c r="BD79" s="278"/>
      <c r="BE79" s="279"/>
      <c r="BL79" s="180"/>
      <c r="BP79"/>
      <c r="BQ79"/>
      <c r="BR79"/>
      <c r="CD79" s="180"/>
      <c r="CE79" s="180"/>
      <c r="CF79" s="180"/>
      <c r="CH79"/>
      <c r="CI79"/>
      <c r="CJ79"/>
      <c r="CK79"/>
      <c r="CL79"/>
      <c r="CM79"/>
      <c r="CN79"/>
      <c r="CQ79" s="180"/>
      <c r="CR79" s="180"/>
      <c r="CS79" s="180"/>
      <c r="DS79" s="180"/>
      <c r="DT79" s="180"/>
      <c r="DU79" s="180"/>
    </row>
    <row r="80" spans="1:125" s="54" customFormat="1" hidden="1">
      <c r="A80" s="135">
        <f t="shared" si="6"/>
        <v>0</v>
      </c>
      <c r="B80" s="178" t="str">
        <f t="shared" si="7"/>
        <v/>
      </c>
      <c r="C80" s="178" t="str">
        <f>IFERROR(IF(R80&gt;0,INDEX('M03-S05'!$BC$18:$BC$342,2*(ROWS($C$67:C80)-1)+1),""),"")</f>
        <v/>
      </c>
      <c r="D80" s="180" t="s">
        <v>1443</v>
      </c>
      <c r="E80" s="178" t="str">
        <f>IFERROR(INDEX('M03-S05'!$AZ$18:$AZ$342,2*(ROWS($E$67:E80)-1)+1),"")</f>
        <v/>
      </c>
      <c r="F80" s="408"/>
      <c r="G80" s="408"/>
      <c r="H80" s="200">
        <f>IFERROR(INDEX('M03-S05'!$AA$18:$AA$342,2*(ROWS(H$67:H80)-1)+1),"")</f>
        <v>0</v>
      </c>
      <c r="I80" s="200">
        <f>IFERROR(INDEX('M03-S05'!$AC$18:$AC$342,2*(ROWS(I$67:I80)-1)+1),"")</f>
        <v>0</v>
      </c>
      <c r="J80" s="200" t="str">
        <f>IFERROR(INDEX('M03-S05'!$AT$18:$AT$342,2*(ROWS(J$67:J80)-1)+1),"")</f>
        <v/>
      </c>
      <c r="K80" s="178" t="s">
        <v>84</v>
      </c>
      <c r="L80" s="116">
        <f>IFERROR(ROUND(INDEX('M03-S05'!$V$18:$V$342,2*(ROWS(L$67:L80)-1)+1),3),"")</f>
        <v>0</v>
      </c>
      <c r="M80" s="116">
        <f>IFERROR(ROUND(INDEX('M03-S05'!$V$18:$V$342,2*(ROWS(M$67:M80)-1)+1),3),"")</f>
        <v>0</v>
      </c>
      <c r="N80" s="415" t="str">
        <f>IFERROR(INDEX('M03-S05'!$AV$18:$AV$342,2*(ROWS(N$67:N80)-1)+1),"")</f>
        <v/>
      </c>
      <c r="O80" s="415" t="str">
        <f>IFERROR(INDEX('M03-S05'!$BA$18:$BA$342,2*(ROWS(O$67:O80)-1)+1),"")</f>
        <v/>
      </c>
      <c r="P80" s="415" t="str">
        <f>IFERROR(INDEX('M03-S05'!$AW$18:$AW$342,2*(ROWS(P$67:P80)-1)+1),"")</f>
        <v/>
      </c>
      <c r="Q80" s="415" t="str">
        <f>IFERROR(INDEX('M03-S05'!$BB$18:$BB$342,2*(ROWS(Q$67:Q80)-1)+1),"")</f>
        <v/>
      </c>
      <c r="R80" s="200" t="str">
        <f>IFERROR(INDEX('M03-S05'!$AN$18:$AN$342,2*(ROWS(R$67:R80)-1)+1),"")</f>
        <v/>
      </c>
      <c r="S80" s="405"/>
      <c r="T80" s="405"/>
      <c r="U80" s="405"/>
      <c r="V80" s="325"/>
      <c r="W80" s="417"/>
      <c r="X80" s="417"/>
      <c r="Y80" s="408"/>
      <c r="Z80" s="408"/>
      <c r="AA80" s="418"/>
      <c r="AB80" s="418"/>
      <c r="AC80" s="325"/>
      <c r="AD80" s="415">
        <f>IFERROR(INDEX('M03-S05'!$AX$18:$AX$342,2*(ROWS(AD$67:AD80)-1)+1),"")</f>
        <v>0</v>
      </c>
      <c r="AE80" s="415">
        <f>IFERROR(INDEX('M03-S05'!$AY$18:$AY$342,2*(ROWS(AE$67:AE80)-1)+1),"")</f>
        <v>0</v>
      </c>
      <c r="AF80" s="408"/>
      <c r="AG80" s="408"/>
      <c r="AH80" s="408"/>
      <c r="AI80" s="178">
        <f>IFERROR(INDEX('M03-S05'!$B$18:$B$342,2*(ROWS(AI$67:AI80)-1)+1),"")</f>
        <v>14</v>
      </c>
      <c r="AJ80" s="325"/>
      <c r="AK80" s="178">
        <f>IFERROR(INDEX('M03-S05'!$C$18:$C$342,2*(ROWS(AK$67:AK80)-1)+1),"")</f>
        <v>0</v>
      </c>
      <c r="AL80" s="178" t="str">
        <f>IFERROR(INDEX('M03-S05'!$J$18:$J$342,2*(ROWS(AL$67:AL80)-1)+1)&amp;" "&amp;INDEX('M03-S05'!$L$18:$L$342,2*(ROWS(AL$67:AL80)-1)+1)&amp;", "&amp;INDEX('M03-S05'!$P$18:$P$342,2*(ROWS(AL$67:AL80)-1)+1)&amp;" "&amp;INDEX('M03-S05'!$R$18:$R$342,2*(ROWS(AL$67:AL80)-1)+1),"")</f>
        <v xml:space="preserve"> ,  </v>
      </c>
      <c r="AM80" s="178" t="str">
        <f>IFERROR(INDEX('M03-S05'!$J$18:$J$342,2*(ROWS(AM$67:AM80)-1)+1)&amp;" "&amp;INDEX('M03-S05'!$N$18:$N$342,2*(ROWS(AM$67:AM80)-1)+1)&amp;", "&amp;INDEX('M03-S05'!$P$18:$P$342,2*(ROWS(AM$67:AM80)-1)+1)&amp;" "&amp;INDEX('M03-S05'!$T$18:$T$342,2*(ROWS(AM$67:AM80)-1)+1),"")</f>
        <v xml:space="preserve"> ,  </v>
      </c>
      <c r="AN80" s="405"/>
      <c r="AO80" s="405"/>
      <c r="AP80" s="178" t="str">
        <f>IFERROR(INDEX('M03-S05'!$AU$18:$AU$342,2*(ROWS(AP$67:AP80)-1)+1),"")</f>
        <v/>
      </c>
      <c r="AQ80" s="325"/>
      <c r="AR80" s="178" t="str">
        <f>IFERROR(INDEX(STDHVAC[Reporting Methodology],MATCH(EXPORT!C80,STDHVAC[Measure Number],0)),"")</f>
        <v/>
      </c>
      <c r="AS80" s="178" t="str">
        <f>IFERROR(INDEX(STDHVAC[Primary Key],MATCH(C80,STDHVAC[Measure Number],0)),"")</f>
        <v/>
      </c>
      <c r="AT80" s="200" t="str">
        <f>IFERROR(INDEX('M03-S05'!$AN$18:$AN$342,2*(ROWS(AT$67:AT80)-1)+1)-MIN(INDEX('M03-S05'!$AT$18:$AT$342,2*(ROWS(AT$67:AT80)-1)+1),(ROUND(INDEX('M03-S05'!$V$18:$V$342,2*(ROWS(AT$67:AT80)-1)+1)*(INDEX('M03-S05'!$N$18:$N$342,2*(ROWS(AT$67:AT80)-1)+1)-INDEX('M03-S05'!$L$18:$L$342,2*(ROWS(AT$67:AT80)-1)+1))*INDEX(STDHVAC[Previous Incentive],MATCH('M03-S05'!C44,STDHVAC[Measure Name],0)),3))),"")</f>
        <v/>
      </c>
      <c r="AU80" s="278"/>
      <c r="AV80" s="278"/>
      <c r="AW80" s="278"/>
      <c r="AX80" s="278"/>
      <c r="AY80" s="278"/>
      <c r="AZ80" s="278"/>
      <c r="BA80" s="278"/>
      <c r="BB80" s="278"/>
      <c r="BC80" s="278"/>
      <c r="BD80" s="278"/>
      <c r="BE80" s="279"/>
      <c r="BL80" s="180"/>
      <c r="BP80"/>
      <c r="BQ80"/>
      <c r="BR80"/>
      <c r="CD80" s="180"/>
      <c r="CE80" s="180"/>
      <c r="CF80" s="180"/>
      <c r="CH80"/>
      <c r="CI80"/>
      <c r="CJ80"/>
      <c r="CK80"/>
      <c r="CL80"/>
      <c r="CM80"/>
      <c r="CN80"/>
      <c r="CQ80" s="180"/>
      <c r="CR80" s="180"/>
      <c r="CS80" s="180"/>
      <c r="DS80" s="180"/>
      <c r="DT80" s="180"/>
      <c r="DU80" s="180"/>
    </row>
    <row r="81" spans="1:125" s="54" customFormat="1" hidden="1">
      <c r="A81" s="135">
        <f t="shared" si="6"/>
        <v>0</v>
      </c>
      <c r="B81" s="178" t="str">
        <f t="shared" si="7"/>
        <v/>
      </c>
      <c r="C81" s="178" t="str">
        <f>IFERROR(IF(R81&gt;0,INDEX('M03-S05'!$BC$18:$BC$342,2*(ROWS($C$67:C81)-1)+1),""),"")</f>
        <v/>
      </c>
      <c r="D81" s="180" t="s">
        <v>1443</v>
      </c>
      <c r="E81" s="178" t="str">
        <f>IFERROR(INDEX('M03-S05'!$AZ$18:$AZ$342,2*(ROWS($E$67:E81)-1)+1),"")</f>
        <v/>
      </c>
      <c r="F81" s="408"/>
      <c r="G81" s="408"/>
      <c r="H81" s="200">
        <f>IFERROR(INDEX('M03-S05'!$AA$18:$AA$342,2*(ROWS(H$67:H81)-1)+1),"")</f>
        <v>0</v>
      </c>
      <c r="I81" s="200">
        <f>IFERROR(INDEX('M03-S05'!$AC$18:$AC$342,2*(ROWS(I$67:I81)-1)+1),"")</f>
        <v>0</v>
      </c>
      <c r="J81" s="200" t="str">
        <f>IFERROR(INDEX('M03-S05'!$AT$18:$AT$342,2*(ROWS(J$67:J81)-1)+1),"")</f>
        <v/>
      </c>
      <c r="K81" s="178" t="s">
        <v>84</v>
      </c>
      <c r="L81" s="116">
        <f>IFERROR(ROUND(INDEX('M03-S05'!$V$18:$V$342,2*(ROWS(L$67:L81)-1)+1),3),"")</f>
        <v>0</v>
      </c>
      <c r="M81" s="116">
        <f>IFERROR(ROUND(INDEX('M03-S05'!$V$18:$V$342,2*(ROWS(M$67:M81)-1)+1),3),"")</f>
        <v>0</v>
      </c>
      <c r="N81" s="415" t="str">
        <f>IFERROR(INDEX('M03-S05'!$AV$18:$AV$342,2*(ROWS(N$67:N81)-1)+1),"")</f>
        <v/>
      </c>
      <c r="O81" s="415" t="str">
        <f>IFERROR(INDEX('M03-S05'!$BA$18:$BA$342,2*(ROWS(O$67:O81)-1)+1),"")</f>
        <v/>
      </c>
      <c r="P81" s="415" t="str">
        <f>IFERROR(INDEX('M03-S05'!$AW$18:$AW$342,2*(ROWS(P$67:P81)-1)+1),"")</f>
        <v/>
      </c>
      <c r="Q81" s="415" t="str">
        <f>IFERROR(INDEX('M03-S05'!$BB$18:$BB$342,2*(ROWS(Q$67:Q81)-1)+1),"")</f>
        <v/>
      </c>
      <c r="R81" s="200" t="str">
        <f>IFERROR(INDEX('M03-S05'!$AN$18:$AN$342,2*(ROWS(R$67:R81)-1)+1),"")</f>
        <v/>
      </c>
      <c r="S81" s="405"/>
      <c r="T81" s="405"/>
      <c r="U81" s="405"/>
      <c r="V81" s="325"/>
      <c r="W81" s="417"/>
      <c r="X81" s="417"/>
      <c r="Y81" s="408"/>
      <c r="Z81" s="408"/>
      <c r="AA81" s="418"/>
      <c r="AB81" s="418"/>
      <c r="AC81" s="325"/>
      <c r="AD81" s="415">
        <f>IFERROR(INDEX('M03-S05'!$AX$18:$AX$342,2*(ROWS(AD$67:AD81)-1)+1),"")</f>
        <v>0</v>
      </c>
      <c r="AE81" s="415">
        <f>IFERROR(INDEX('M03-S05'!$AY$18:$AY$342,2*(ROWS(AE$67:AE81)-1)+1),"")</f>
        <v>0</v>
      </c>
      <c r="AF81" s="408"/>
      <c r="AG81" s="408"/>
      <c r="AH81" s="408"/>
      <c r="AI81" s="178">
        <f>IFERROR(INDEX('M03-S05'!$B$18:$B$342,2*(ROWS(AI$67:AI81)-1)+1),"")</f>
        <v>15</v>
      </c>
      <c r="AJ81" s="325"/>
      <c r="AK81" s="178">
        <f>IFERROR(INDEX('M03-S05'!$C$18:$C$342,2*(ROWS(AK$67:AK81)-1)+1),"")</f>
        <v>0</v>
      </c>
      <c r="AL81" s="178" t="str">
        <f>IFERROR(INDEX('M03-S05'!$J$18:$J$342,2*(ROWS(AL$67:AL81)-1)+1)&amp;" "&amp;INDEX('M03-S05'!$L$18:$L$342,2*(ROWS(AL$67:AL81)-1)+1)&amp;", "&amp;INDEX('M03-S05'!$P$18:$P$342,2*(ROWS(AL$67:AL81)-1)+1)&amp;" "&amp;INDEX('M03-S05'!$R$18:$R$342,2*(ROWS(AL$67:AL81)-1)+1),"")</f>
        <v xml:space="preserve"> ,  </v>
      </c>
      <c r="AM81" s="178" t="str">
        <f>IFERROR(INDEX('M03-S05'!$J$18:$J$342,2*(ROWS(AM$67:AM81)-1)+1)&amp;" "&amp;INDEX('M03-S05'!$N$18:$N$342,2*(ROWS(AM$67:AM81)-1)+1)&amp;", "&amp;INDEX('M03-S05'!$P$18:$P$342,2*(ROWS(AM$67:AM81)-1)+1)&amp;" "&amp;INDEX('M03-S05'!$T$18:$T$342,2*(ROWS(AM$67:AM81)-1)+1),"")</f>
        <v xml:space="preserve"> ,  </v>
      </c>
      <c r="AN81" s="405"/>
      <c r="AO81" s="405"/>
      <c r="AP81" s="178" t="str">
        <f>IFERROR(INDEX('M03-S05'!$AU$18:$AU$342,2*(ROWS(AP$67:AP81)-1)+1),"")</f>
        <v/>
      </c>
      <c r="AQ81" s="325"/>
      <c r="AR81" s="178" t="str">
        <f>IFERROR(INDEX(STDHVAC[Reporting Methodology],MATCH(EXPORT!C81,STDHVAC[Measure Number],0)),"")</f>
        <v/>
      </c>
      <c r="AS81" s="178" t="str">
        <f>IFERROR(INDEX(STDHVAC[Primary Key],MATCH(C81,STDHVAC[Measure Number],0)),"")</f>
        <v/>
      </c>
      <c r="AT81" s="200" t="str">
        <f>IFERROR(INDEX('M03-S05'!$AN$18:$AN$342,2*(ROWS(AT$67:AT81)-1)+1)-MIN(INDEX('M03-S05'!$AT$18:$AT$342,2*(ROWS(AT$67:AT81)-1)+1),(ROUND(INDEX('M03-S05'!$V$18:$V$342,2*(ROWS(AT$67:AT81)-1)+1)*(INDEX('M03-S05'!$N$18:$N$342,2*(ROWS(AT$67:AT81)-1)+1)-INDEX('M03-S05'!$L$18:$L$342,2*(ROWS(AT$67:AT81)-1)+1))*INDEX(STDHVAC[Previous Incentive],MATCH('M03-S05'!C46,STDHVAC[Measure Name],0)),3))),"")</f>
        <v/>
      </c>
      <c r="AU81" s="278"/>
      <c r="AV81" s="278"/>
      <c r="AW81" s="278"/>
      <c r="AX81" s="278"/>
      <c r="AY81" s="278"/>
      <c r="AZ81" s="278"/>
      <c r="BA81" s="278"/>
      <c r="BB81" s="278"/>
      <c r="BC81" s="278"/>
      <c r="BD81" s="278"/>
      <c r="BE81" s="279"/>
      <c r="BL81" s="180"/>
      <c r="BP81"/>
      <c r="BQ81"/>
      <c r="BR81"/>
      <c r="CD81" s="180"/>
      <c r="CE81" s="180"/>
      <c r="CF81" s="180"/>
      <c r="CH81"/>
      <c r="CI81"/>
      <c r="CJ81"/>
      <c r="CK81"/>
      <c r="CL81"/>
      <c r="CM81"/>
      <c r="CN81"/>
      <c r="CQ81" s="180"/>
      <c r="CR81" s="180"/>
      <c r="CS81" s="180"/>
      <c r="DS81" s="180"/>
      <c r="DT81" s="180"/>
      <c r="DU81" s="180"/>
    </row>
    <row r="82" spans="1:125" s="54" customFormat="1" hidden="1">
      <c r="A82" s="135">
        <f t="shared" si="6"/>
        <v>0</v>
      </c>
      <c r="B82" s="178" t="str">
        <f t="shared" si="7"/>
        <v/>
      </c>
      <c r="C82" s="178" t="str">
        <f>IFERROR(IF(R82&gt;0,INDEX('M03-S05'!$BC$18:$BC$342,2*(ROWS($C$67:C82)-1)+1),""),"")</f>
        <v/>
      </c>
      <c r="D82" s="180" t="s">
        <v>1443</v>
      </c>
      <c r="E82" s="178" t="str">
        <f>IFERROR(INDEX('M03-S05'!$AZ$18:$AZ$342,2*(ROWS($E$67:E82)-1)+1),"")</f>
        <v/>
      </c>
      <c r="F82" s="408"/>
      <c r="G82" s="408"/>
      <c r="H82" s="200">
        <f>IFERROR(INDEX('M03-S05'!$AA$18:$AA$342,2*(ROWS(H$67:H82)-1)+1),"")</f>
        <v>0</v>
      </c>
      <c r="I82" s="200">
        <f>IFERROR(INDEX('M03-S05'!$AC$18:$AC$342,2*(ROWS(I$67:I82)-1)+1),"")</f>
        <v>0</v>
      </c>
      <c r="J82" s="200" t="str">
        <f>IFERROR(INDEX('M03-S05'!$AT$18:$AT$342,2*(ROWS(J$67:J82)-1)+1),"")</f>
        <v/>
      </c>
      <c r="K82" s="178" t="s">
        <v>84</v>
      </c>
      <c r="L82" s="116">
        <f>IFERROR(ROUND(INDEX('M03-S05'!$V$18:$V$342,2*(ROWS(L$67:L82)-1)+1),3),"")</f>
        <v>0</v>
      </c>
      <c r="M82" s="116">
        <f>IFERROR(ROUND(INDEX('M03-S05'!$V$18:$V$342,2*(ROWS(M$67:M82)-1)+1),3),"")</f>
        <v>0</v>
      </c>
      <c r="N82" s="415" t="str">
        <f>IFERROR(INDEX('M03-S05'!$AV$18:$AV$342,2*(ROWS(N$67:N82)-1)+1),"")</f>
        <v/>
      </c>
      <c r="O82" s="415" t="str">
        <f>IFERROR(INDEX('M03-S05'!$BA$18:$BA$342,2*(ROWS(O$67:O82)-1)+1),"")</f>
        <v/>
      </c>
      <c r="P82" s="415" t="str">
        <f>IFERROR(INDEX('M03-S05'!$AW$18:$AW$342,2*(ROWS(P$67:P82)-1)+1),"")</f>
        <v/>
      </c>
      <c r="Q82" s="415" t="str">
        <f>IFERROR(INDEX('M03-S05'!$BB$18:$BB$342,2*(ROWS(Q$67:Q82)-1)+1),"")</f>
        <v/>
      </c>
      <c r="R82" s="200" t="str">
        <f>IFERROR(INDEX('M03-S05'!$AN$18:$AN$342,2*(ROWS(R$67:R82)-1)+1),"")</f>
        <v/>
      </c>
      <c r="S82" s="405"/>
      <c r="T82" s="405"/>
      <c r="U82" s="405"/>
      <c r="V82" s="325"/>
      <c r="W82" s="417"/>
      <c r="X82" s="417"/>
      <c r="Y82" s="408"/>
      <c r="Z82" s="408"/>
      <c r="AA82" s="418"/>
      <c r="AB82" s="418"/>
      <c r="AC82" s="325"/>
      <c r="AD82" s="415">
        <f>IFERROR(INDEX('M03-S05'!$AX$18:$AX$342,2*(ROWS(AD$67:AD82)-1)+1),"")</f>
        <v>0</v>
      </c>
      <c r="AE82" s="415">
        <f>IFERROR(INDEX('M03-S05'!$AY$18:$AY$342,2*(ROWS(AE$67:AE82)-1)+1),"")</f>
        <v>0</v>
      </c>
      <c r="AF82" s="408"/>
      <c r="AG82" s="408"/>
      <c r="AH82" s="408"/>
      <c r="AI82" s="178">
        <f>IFERROR(INDEX('M03-S05'!$B$18:$B$342,2*(ROWS(AI$67:AI82)-1)+1),"")</f>
        <v>16</v>
      </c>
      <c r="AJ82" s="325"/>
      <c r="AK82" s="178">
        <f>IFERROR(INDEX('M03-S05'!$C$18:$C$342,2*(ROWS(AK$67:AK82)-1)+1),"")</f>
        <v>0</v>
      </c>
      <c r="AL82" s="178" t="str">
        <f>IFERROR(INDEX('M03-S05'!$J$18:$J$342,2*(ROWS(AL$67:AL82)-1)+1)&amp;" "&amp;INDEX('M03-S05'!$L$18:$L$342,2*(ROWS(AL$67:AL82)-1)+1)&amp;", "&amp;INDEX('M03-S05'!$P$18:$P$342,2*(ROWS(AL$67:AL82)-1)+1)&amp;" "&amp;INDEX('M03-S05'!$R$18:$R$342,2*(ROWS(AL$67:AL82)-1)+1),"")</f>
        <v xml:space="preserve"> ,  </v>
      </c>
      <c r="AM82" s="178" t="str">
        <f>IFERROR(INDEX('M03-S05'!$J$18:$J$342,2*(ROWS(AM$67:AM82)-1)+1)&amp;" "&amp;INDEX('M03-S05'!$N$18:$N$342,2*(ROWS(AM$67:AM82)-1)+1)&amp;", "&amp;INDEX('M03-S05'!$P$18:$P$342,2*(ROWS(AM$67:AM82)-1)+1)&amp;" "&amp;INDEX('M03-S05'!$T$18:$T$342,2*(ROWS(AM$67:AM82)-1)+1),"")</f>
        <v xml:space="preserve"> ,  </v>
      </c>
      <c r="AN82" s="405"/>
      <c r="AO82" s="405"/>
      <c r="AP82" s="178" t="str">
        <f>IFERROR(INDEX('M03-S05'!$AU$18:$AU$342,2*(ROWS(AP$67:AP82)-1)+1),"")</f>
        <v/>
      </c>
      <c r="AQ82" s="325"/>
      <c r="AR82" s="178" t="str">
        <f>IFERROR(INDEX(STDHVAC[Reporting Methodology],MATCH(EXPORT!C82,STDHVAC[Measure Number],0)),"")</f>
        <v/>
      </c>
      <c r="AS82" s="178" t="str">
        <f>IFERROR(INDEX(STDHVAC[Primary Key],MATCH(C82,STDHVAC[Measure Number],0)),"")</f>
        <v/>
      </c>
      <c r="AT82" s="200" t="str">
        <f>IFERROR(INDEX('M03-S05'!$AN$18:$AN$342,2*(ROWS(AT$67:AT82)-1)+1)-MIN(INDEX('M03-S05'!$AT$18:$AT$342,2*(ROWS(AT$67:AT82)-1)+1),(ROUND(INDEX('M03-S05'!$V$18:$V$342,2*(ROWS(AT$67:AT82)-1)+1)*(INDEX('M03-S05'!$N$18:$N$342,2*(ROWS(AT$67:AT82)-1)+1)-INDEX('M03-S05'!$L$18:$L$342,2*(ROWS(AT$67:AT82)-1)+1))*INDEX(STDHVAC[Previous Incentive],MATCH('M03-S05'!C48,STDHVAC[Measure Name],0)),3))),"")</f>
        <v/>
      </c>
      <c r="AU82" s="278"/>
      <c r="AV82" s="278"/>
      <c r="AW82" s="278"/>
      <c r="AX82" s="278"/>
      <c r="AY82" s="278"/>
      <c r="AZ82" s="278"/>
      <c r="BA82" s="278"/>
      <c r="BB82" s="278"/>
      <c r="BC82" s="278"/>
      <c r="BD82" s="278"/>
      <c r="BE82" s="279"/>
      <c r="BL82" s="180"/>
      <c r="BP82" s="180"/>
      <c r="BQ82" s="180"/>
      <c r="BR82" s="180"/>
      <c r="CD82" s="180"/>
      <c r="CE82" s="180"/>
      <c r="CF82" s="180"/>
      <c r="CH82" s="180"/>
      <c r="CI82" s="180"/>
      <c r="CJ82" s="180"/>
      <c r="CK82" s="180"/>
      <c r="CL82" s="180"/>
      <c r="CM82" s="180"/>
      <c r="CN82" s="180"/>
      <c r="CQ82" s="180"/>
      <c r="CR82" s="180"/>
      <c r="CS82" s="180"/>
      <c r="DS82" s="180"/>
      <c r="DT82" s="180"/>
      <c r="DU82" s="180"/>
    </row>
    <row r="83" spans="1:125" s="54" customFormat="1" hidden="1">
      <c r="A83" s="135">
        <f t="shared" si="6"/>
        <v>0</v>
      </c>
      <c r="B83" s="178" t="str">
        <f t="shared" si="7"/>
        <v/>
      </c>
      <c r="C83" s="178" t="str">
        <f>IFERROR(IF(R83&gt;0,INDEX('M03-S05'!$BC$18:$BC$342,2*(ROWS($C$67:C83)-1)+1),""),"")</f>
        <v/>
      </c>
      <c r="D83" s="180" t="s">
        <v>1443</v>
      </c>
      <c r="E83" s="178" t="str">
        <f>IFERROR(INDEX('M03-S05'!$AZ$18:$AZ$342,2*(ROWS($E$67:E83)-1)+1),"")</f>
        <v/>
      </c>
      <c r="F83" s="408"/>
      <c r="G83" s="408"/>
      <c r="H83" s="200">
        <f>IFERROR(INDEX('M03-S05'!$AA$18:$AA$342,2*(ROWS(H$67:H83)-1)+1),"")</f>
        <v>0</v>
      </c>
      <c r="I83" s="200">
        <f>IFERROR(INDEX('M03-S05'!$AC$18:$AC$342,2*(ROWS(I$67:I83)-1)+1),"")</f>
        <v>0</v>
      </c>
      <c r="J83" s="200" t="str">
        <f>IFERROR(INDEX('M03-S05'!$AT$18:$AT$342,2*(ROWS(J$67:J83)-1)+1),"")</f>
        <v/>
      </c>
      <c r="K83" s="178" t="s">
        <v>84</v>
      </c>
      <c r="L83" s="116">
        <f>IFERROR(ROUND(INDEX('M03-S05'!$V$18:$V$342,2*(ROWS(L$67:L83)-1)+1),3),"")</f>
        <v>0</v>
      </c>
      <c r="M83" s="116">
        <f>IFERROR(ROUND(INDEX('M03-S05'!$V$18:$V$342,2*(ROWS(M$67:M83)-1)+1),3),"")</f>
        <v>0</v>
      </c>
      <c r="N83" s="415" t="str">
        <f>IFERROR(INDEX('M03-S05'!$AV$18:$AV$342,2*(ROWS(N$67:N83)-1)+1),"")</f>
        <v/>
      </c>
      <c r="O83" s="415" t="str">
        <f>IFERROR(INDEX('M03-S05'!$BA$18:$BA$342,2*(ROWS(O$67:O83)-1)+1),"")</f>
        <v/>
      </c>
      <c r="P83" s="415" t="str">
        <f>IFERROR(INDEX('M03-S05'!$AW$18:$AW$342,2*(ROWS(P$67:P83)-1)+1),"")</f>
        <v/>
      </c>
      <c r="Q83" s="415" t="str">
        <f>IFERROR(INDEX('M03-S05'!$BB$18:$BB$342,2*(ROWS(Q$67:Q83)-1)+1),"")</f>
        <v/>
      </c>
      <c r="R83" s="200" t="str">
        <f>IFERROR(INDEX('M03-S05'!$AN$18:$AN$342,2*(ROWS(R$67:R83)-1)+1),"")</f>
        <v/>
      </c>
      <c r="S83" s="405"/>
      <c r="T83" s="405"/>
      <c r="U83" s="405"/>
      <c r="V83" s="325"/>
      <c r="W83" s="417"/>
      <c r="X83" s="417"/>
      <c r="Y83" s="408"/>
      <c r="Z83" s="408"/>
      <c r="AA83" s="418"/>
      <c r="AB83" s="418"/>
      <c r="AC83" s="325"/>
      <c r="AD83" s="415">
        <f>IFERROR(INDEX('M03-S05'!$AX$18:$AX$342,2*(ROWS(AD$67:AD83)-1)+1),"")</f>
        <v>0</v>
      </c>
      <c r="AE83" s="415">
        <f>IFERROR(INDEX('M03-S05'!$AY$18:$AY$342,2*(ROWS(AE$67:AE83)-1)+1),"")</f>
        <v>0</v>
      </c>
      <c r="AF83" s="408"/>
      <c r="AG83" s="408"/>
      <c r="AH83" s="408"/>
      <c r="AI83" s="178">
        <f>IFERROR(INDEX('M03-S05'!$B$18:$B$342,2*(ROWS(AI$67:AI83)-1)+1),"")</f>
        <v>17</v>
      </c>
      <c r="AJ83" s="325"/>
      <c r="AK83" s="178">
        <f>IFERROR(INDEX('M03-S05'!$C$18:$C$342,2*(ROWS(AK$67:AK83)-1)+1),"")</f>
        <v>0</v>
      </c>
      <c r="AL83" s="178" t="str">
        <f>IFERROR(INDEX('M03-S05'!$J$18:$J$342,2*(ROWS(AL$67:AL83)-1)+1)&amp;" "&amp;INDEX('M03-S05'!$L$18:$L$342,2*(ROWS(AL$67:AL83)-1)+1)&amp;", "&amp;INDEX('M03-S05'!$P$18:$P$342,2*(ROWS(AL$67:AL83)-1)+1)&amp;" "&amp;INDEX('M03-S05'!$R$18:$R$342,2*(ROWS(AL$67:AL83)-1)+1),"")</f>
        <v xml:space="preserve"> ,  </v>
      </c>
      <c r="AM83" s="178" t="str">
        <f>IFERROR(INDEX('M03-S05'!$J$18:$J$342,2*(ROWS(AM$67:AM83)-1)+1)&amp;" "&amp;INDEX('M03-S05'!$N$18:$N$342,2*(ROWS(AM$67:AM83)-1)+1)&amp;", "&amp;INDEX('M03-S05'!$P$18:$P$342,2*(ROWS(AM$67:AM83)-1)+1)&amp;" "&amp;INDEX('M03-S05'!$T$18:$T$342,2*(ROWS(AM$67:AM83)-1)+1),"")</f>
        <v xml:space="preserve"> ,  </v>
      </c>
      <c r="AN83" s="405"/>
      <c r="AO83" s="405"/>
      <c r="AP83" s="178" t="str">
        <f>IFERROR(INDEX('M03-S05'!$AU$18:$AU$342,2*(ROWS(AP$67:AP83)-1)+1),"")</f>
        <v/>
      </c>
      <c r="AQ83" s="325"/>
      <c r="AR83" s="178" t="str">
        <f>IFERROR(INDEX(STDHVAC[Reporting Methodology],MATCH(EXPORT!C83,STDHVAC[Measure Number],0)),"")</f>
        <v/>
      </c>
      <c r="AS83" s="178" t="str">
        <f>IFERROR(INDEX(STDHVAC[Primary Key],MATCH(C83,STDHVAC[Measure Number],0)),"")</f>
        <v/>
      </c>
      <c r="AT83" s="200" t="str">
        <f>IFERROR(INDEX('M03-S05'!$AN$18:$AN$342,2*(ROWS(AT$67:AT83)-1)+1)-MIN(INDEX('M03-S05'!$AT$18:$AT$342,2*(ROWS(AT$67:AT83)-1)+1),(ROUND(INDEX('M03-S05'!$V$18:$V$342,2*(ROWS(AT$67:AT83)-1)+1)*(INDEX('M03-S05'!$N$18:$N$342,2*(ROWS(AT$67:AT83)-1)+1)-INDEX('M03-S05'!$L$18:$L$342,2*(ROWS(AT$67:AT83)-1)+1))*INDEX(STDHVAC[Previous Incentive],MATCH('M03-S05'!C50,STDHVAC[Measure Name],0)),3))),"")</f>
        <v/>
      </c>
      <c r="AU83" s="278"/>
      <c r="AV83" s="278"/>
      <c r="AW83" s="278"/>
      <c r="AX83" s="278"/>
      <c r="AY83" s="278"/>
      <c r="AZ83" s="278"/>
      <c r="BA83" s="278"/>
      <c r="BB83" s="278"/>
      <c r="BC83" s="278"/>
      <c r="BD83" s="278"/>
      <c r="BE83" s="279"/>
      <c r="BL83" s="180"/>
      <c r="BP83" s="180"/>
      <c r="BQ83" s="180"/>
      <c r="BR83" s="180"/>
      <c r="CD83" s="180"/>
      <c r="CE83" s="180"/>
      <c r="CF83" s="180"/>
      <c r="CH83" s="180"/>
      <c r="CI83" s="180"/>
      <c r="CJ83" s="180"/>
      <c r="CK83" s="180"/>
      <c r="CL83" s="180"/>
      <c r="CM83" s="180"/>
      <c r="CN83" s="180"/>
      <c r="CQ83" s="180"/>
      <c r="CR83" s="180"/>
      <c r="CS83" s="180"/>
      <c r="DS83" s="180"/>
      <c r="DT83" s="180"/>
      <c r="DU83" s="180"/>
    </row>
    <row r="84" spans="1:125" s="54" customFormat="1" hidden="1">
      <c r="A84" s="135">
        <f t="shared" si="6"/>
        <v>0</v>
      </c>
      <c r="B84" s="178" t="str">
        <f t="shared" si="7"/>
        <v/>
      </c>
      <c r="C84" s="178" t="str">
        <f>IFERROR(IF(R84&gt;0,INDEX('M03-S05'!$BC$18:$BC$342,2*(ROWS($C$67:C84)-1)+1),""),"")</f>
        <v/>
      </c>
      <c r="D84" s="180" t="s">
        <v>1443</v>
      </c>
      <c r="E84" s="178" t="str">
        <f>IFERROR(INDEX('M03-S05'!$AZ$18:$AZ$342,2*(ROWS($E$67:E84)-1)+1),"")</f>
        <v/>
      </c>
      <c r="F84" s="408"/>
      <c r="G84" s="408"/>
      <c r="H84" s="200">
        <f>IFERROR(INDEX('M03-S05'!$AA$18:$AA$342,2*(ROWS(H$67:H84)-1)+1),"")</f>
        <v>0</v>
      </c>
      <c r="I84" s="200">
        <f>IFERROR(INDEX('M03-S05'!$AC$18:$AC$342,2*(ROWS(I$67:I84)-1)+1),"")</f>
        <v>0</v>
      </c>
      <c r="J84" s="200" t="str">
        <f>IFERROR(INDEX('M03-S05'!$AT$18:$AT$342,2*(ROWS(J$67:J84)-1)+1),"")</f>
        <v/>
      </c>
      <c r="K84" s="178" t="s">
        <v>84</v>
      </c>
      <c r="L84" s="116">
        <f>IFERROR(ROUND(INDEX('M03-S05'!$V$18:$V$342,2*(ROWS(L$67:L84)-1)+1),3),"")</f>
        <v>0</v>
      </c>
      <c r="M84" s="116">
        <f>IFERROR(ROUND(INDEX('M03-S05'!$V$18:$V$342,2*(ROWS(M$67:M84)-1)+1),3),"")</f>
        <v>0</v>
      </c>
      <c r="N84" s="415" t="str">
        <f>IFERROR(INDEX('M03-S05'!$AV$18:$AV$342,2*(ROWS(N$67:N84)-1)+1),"")</f>
        <v/>
      </c>
      <c r="O84" s="415" t="str">
        <f>IFERROR(INDEX('M03-S05'!$BA$18:$BA$342,2*(ROWS(O$67:O84)-1)+1),"")</f>
        <v/>
      </c>
      <c r="P84" s="415" t="str">
        <f>IFERROR(INDEX('M03-S05'!$AW$18:$AW$342,2*(ROWS(P$67:P84)-1)+1),"")</f>
        <v/>
      </c>
      <c r="Q84" s="415" t="str">
        <f>IFERROR(INDEX('M03-S05'!$BB$18:$BB$342,2*(ROWS(Q$67:Q84)-1)+1),"")</f>
        <v/>
      </c>
      <c r="R84" s="200" t="str">
        <f>IFERROR(INDEX('M03-S05'!$AN$18:$AN$342,2*(ROWS(R$67:R84)-1)+1),"")</f>
        <v/>
      </c>
      <c r="S84" s="405"/>
      <c r="T84" s="405"/>
      <c r="U84" s="405"/>
      <c r="V84" s="325"/>
      <c r="W84" s="417"/>
      <c r="X84" s="417"/>
      <c r="Y84" s="408"/>
      <c r="Z84" s="408"/>
      <c r="AA84" s="418"/>
      <c r="AB84" s="418"/>
      <c r="AC84" s="325"/>
      <c r="AD84" s="415">
        <f>IFERROR(INDEX('M03-S05'!$AX$18:$AX$342,2*(ROWS(AD$67:AD84)-1)+1),"")</f>
        <v>0</v>
      </c>
      <c r="AE84" s="415">
        <f>IFERROR(INDEX('M03-S05'!$AY$18:$AY$342,2*(ROWS(AE$67:AE84)-1)+1),"")</f>
        <v>0</v>
      </c>
      <c r="AF84" s="408"/>
      <c r="AG84" s="408"/>
      <c r="AH84" s="408"/>
      <c r="AI84" s="178">
        <f>IFERROR(INDEX('M03-S05'!$B$18:$B$342,2*(ROWS(AI$67:AI84)-1)+1),"")</f>
        <v>18</v>
      </c>
      <c r="AJ84" s="325"/>
      <c r="AK84" s="178">
        <f>IFERROR(INDEX('M03-S05'!$C$18:$C$342,2*(ROWS(AK$67:AK84)-1)+1),"")</f>
        <v>0</v>
      </c>
      <c r="AL84" s="178" t="str">
        <f>IFERROR(INDEX('M03-S05'!$J$18:$J$342,2*(ROWS(AL$67:AL84)-1)+1)&amp;" "&amp;INDEX('M03-S05'!$L$18:$L$342,2*(ROWS(AL$67:AL84)-1)+1)&amp;", "&amp;INDEX('M03-S05'!$P$18:$P$342,2*(ROWS(AL$67:AL84)-1)+1)&amp;" "&amp;INDEX('M03-S05'!$R$18:$R$342,2*(ROWS(AL$67:AL84)-1)+1),"")</f>
        <v xml:space="preserve"> ,  </v>
      </c>
      <c r="AM84" s="178" t="str">
        <f>IFERROR(INDEX('M03-S05'!$J$18:$J$342,2*(ROWS(AM$67:AM84)-1)+1)&amp;" "&amp;INDEX('M03-S05'!$N$18:$N$342,2*(ROWS(AM$67:AM84)-1)+1)&amp;", "&amp;INDEX('M03-S05'!$P$18:$P$342,2*(ROWS(AM$67:AM84)-1)+1)&amp;" "&amp;INDEX('M03-S05'!$T$18:$T$342,2*(ROWS(AM$67:AM84)-1)+1),"")</f>
        <v xml:space="preserve"> ,  </v>
      </c>
      <c r="AN84" s="405"/>
      <c r="AO84" s="405"/>
      <c r="AP84" s="178" t="str">
        <f>IFERROR(INDEX('M03-S05'!$AU$18:$AU$342,2*(ROWS(AP$67:AP84)-1)+1),"")</f>
        <v/>
      </c>
      <c r="AQ84" s="325"/>
      <c r="AR84" s="178" t="str">
        <f>IFERROR(INDEX(STDHVAC[Reporting Methodology],MATCH(EXPORT!C84,STDHVAC[Measure Number],0)),"")</f>
        <v/>
      </c>
      <c r="AS84" s="178" t="str">
        <f>IFERROR(INDEX(STDHVAC[Primary Key],MATCH(C84,STDHVAC[Measure Number],0)),"")</f>
        <v/>
      </c>
      <c r="AT84" s="200" t="str">
        <f>IFERROR(INDEX('M03-S05'!$AN$18:$AN$342,2*(ROWS(AT$67:AT84)-1)+1)-MIN(INDEX('M03-S05'!$AT$18:$AT$342,2*(ROWS(AT$67:AT84)-1)+1),(ROUND(INDEX('M03-S05'!$V$18:$V$342,2*(ROWS(AT$67:AT84)-1)+1)*(INDEX('M03-S05'!$N$18:$N$342,2*(ROWS(AT$67:AT84)-1)+1)-INDEX('M03-S05'!$L$18:$L$342,2*(ROWS(AT$67:AT84)-1)+1))*INDEX(STDHVAC[Previous Incentive],MATCH('M03-S05'!C52,STDHVAC[Measure Name],0)),3))),"")</f>
        <v/>
      </c>
      <c r="AU84" s="278"/>
      <c r="AV84" s="278"/>
      <c r="AW84" s="278"/>
      <c r="AX84" s="278"/>
      <c r="AY84" s="278"/>
      <c r="AZ84" s="278"/>
      <c r="BA84" s="278"/>
      <c r="BB84" s="278"/>
      <c r="BC84" s="278"/>
      <c r="BD84" s="278"/>
      <c r="BE84" s="279"/>
      <c r="BL84" s="180"/>
      <c r="BP84" s="180"/>
      <c r="BQ84" s="180"/>
      <c r="BR84" s="180"/>
      <c r="CD84" s="180"/>
      <c r="CE84" s="180"/>
      <c r="CF84" s="180"/>
      <c r="CH84" s="180"/>
      <c r="CI84" s="180"/>
      <c r="CJ84" s="180"/>
      <c r="CK84" s="180"/>
      <c r="CL84" s="180"/>
      <c r="CM84" s="180"/>
      <c r="CN84" s="180"/>
      <c r="CQ84" s="180"/>
      <c r="CR84" s="180"/>
      <c r="CS84" s="180"/>
      <c r="DS84" s="180"/>
      <c r="DT84" s="180"/>
      <c r="DU84" s="180"/>
    </row>
    <row r="85" spans="1:125" s="54" customFormat="1" hidden="1">
      <c r="A85" s="135">
        <f t="shared" si="6"/>
        <v>0</v>
      </c>
      <c r="B85" s="178" t="str">
        <f t="shared" si="7"/>
        <v/>
      </c>
      <c r="C85" s="178" t="str">
        <f>IFERROR(IF(R85&gt;0,INDEX('M03-S05'!$BC$18:$BC$342,2*(ROWS($C$67:C85)-1)+1),""),"")</f>
        <v/>
      </c>
      <c r="D85" s="180" t="s">
        <v>1443</v>
      </c>
      <c r="E85" s="178" t="str">
        <f>IFERROR(INDEX('M03-S05'!$AZ$18:$AZ$342,2*(ROWS($E$67:E85)-1)+1),"")</f>
        <v/>
      </c>
      <c r="F85" s="408"/>
      <c r="G85" s="408"/>
      <c r="H85" s="200">
        <f>IFERROR(INDEX('M03-S05'!$AA$18:$AA$342,2*(ROWS(H$67:H85)-1)+1),"")</f>
        <v>0</v>
      </c>
      <c r="I85" s="200">
        <f>IFERROR(INDEX('M03-S05'!$AC$18:$AC$342,2*(ROWS(I$67:I85)-1)+1),"")</f>
        <v>0</v>
      </c>
      <c r="J85" s="200" t="str">
        <f>IFERROR(INDEX('M03-S05'!$AT$18:$AT$342,2*(ROWS(J$67:J85)-1)+1),"")</f>
        <v/>
      </c>
      <c r="K85" s="178" t="s">
        <v>84</v>
      </c>
      <c r="L85" s="116">
        <f>IFERROR(ROUND(INDEX('M03-S05'!$V$18:$V$342,2*(ROWS(L$67:L85)-1)+1),3),"")</f>
        <v>0</v>
      </c>
      <c r="M85" s="116">
        <f>IFERROR(ROUND(INDEX('M03-S05'!$V$18:$V$342,2*(ROWS(M$67:M85)-1)+1),3),"")</f>
        <v>0</v>
      </c>
      <c r="N85" s="415" t="str">
        <f>IFERROR(INDEX('M03-S05'!$AV$18:$AV$342,2*(ROWS(N$67:N85)-1)+1),"")</f>
        <v/>
      </c>
      <c r="O85" s="415" t="str">
        <f>IFERROR(INDEX('M03-S05'!$BA$18:$BA$342,2*(ROWS(O$67:O85)-1)+1),"")</f>
        <v/>
      </c>
      <c r="P85" s="415" t="str">
        <f>IFERROR(INDEX('M03-S05'!$AW$18:$AW$342,2*(ROWS(P$67:P85)-1)+1),"")</f>
        <v/>
      </c>
      <c r="Q85" s="415" t="str">
        <f>IFERROR(INDEX('M03-S05'!$BB$18:$BB$342,2*(ROWS(Q$67:Q85)-1)+1),"")</f>
        <v/>
      </c>
      <c r="R85" s="200" t="str">
        <f>IFERROR(INDEX('M03-S05'!$AN$18:$AN$342,2*(ROWS(R$67:R85)-1)+1),"")</f>
        <v/>
      </c>
      <c r="S85" s="405"/>
      <c r="T85" s="405"/>
      <c r="U85" s="405"/>
      <c r="V85" s="325"/>
      <c r="W85" s="417"/>
      <c r="X85" s="417"/>
      <c r="Y85" s="408"/>
      <c r="Z85" s="408"/>
      <c r="AA85" s="418"/>
      <c r="AB85" s="418"/>
      <c r="AC85" s="325"/>
      <c r="AD85" s="415">
        <f>IFERROR(INDEX('M03-S05'!$AX$18:$AX$342,2*(ROWS(AD$67:AD85)-1)+1),"")</f>
        <v>0</v>
      </c>
      <c r="AE85" s="415">
        <f>IFERROR(INDEX('M03-S05'!$AY$18:$AY$342,2*(ROWS(AE$67:AE85)-1)+1),"")</f>
        <v>0</v>
      </c>
      <c r="AF85" s="408"/>
      <c r="AG85" s="408"/>
      <c r="AH85" s="408"/>
      <c r="AI85" s="178">
        <f>IFERROR(INDEX('M03-S05'!$B$18:$B$342,2*(ROWS(AI$67:AI85)-1)+1),"")</f>
        <v>19</v>
      </c>
      <c r="AJ85" s="325"/>
      <c r="AK85" s="178">
        <f>IFERROR(INDEX('M03-S05'!$C$18:$C$342,2*(ROWS(AK$67:AK85)-1)+1),"")</f>
        <v>0</v>
      </c>
      <c r="AL85" s="178" t="str">
        <f>IFERROR(INDEX('M03-S05'!$J$18:$J$342,2*(ROWS(AL$67:AL85)-1)+1)&amp;" "&amp;INDEX('M03-S05'!$L$18:$L$342,2*(ROWS(AL$67:AL85)-1)+1)&amp;", "&amp;INDEX('M03-S05'!$P$18:$P$342,2*(ROWS(AL$67:AL85)-1)+1)&amp;" "&amp;INDEX('M03-S05'!$R$18:$R$342,2*(ROWS(AL$67:AL85)-1)+1),"")</f>
        <v xml:space="preserve"> ,  </v>
      </c>
      <c r="AM85" s="178" t="str">
        <f>IFERROR(INDEX('M03-S05'!$J$18:$J$342,2*(ROWS(AM$67:AM85)-1)+1)&amp;" "&amp;INDEX('M03-S05'!$N$18:$N$342,2*(ROWS(AM$67:AM85)-1)+1)&amp;", "&amp;INDEX('M03-S05'!$P$18:$P$342,2*(ROWS(AM$67:AM85)-1)+1)&amp;" "&amp;INDEX('M03-S05'!$T$18:$T$342,2*(ROWS(AM$67:AM85)-1)+1),"")</f>
        <v xml:space="preserve"> ,  </v>
      </c>
      <c r="AN85" s="405"/>
      <c r="AO85" s="405"/>
      <c r="AP85" s="178" t="str">
        <f>IFERROR(INDEX('M03-S05'!$AU$18:$AU$342,2*(ROWS(AP$67:AP85)-1)+1),"")</f>
        <v/>
      </c>
      <c r="AQ85" s="325"/>
      <c r="AR85" s="178" t="str">
        <f>IFERROR(INDEX(STDHVAC[Reporting Methodology],MATCH(EXPORT!C85,STDHVAC[Measure Number],0)),"")</f>
        <v/>
      </c>
      <c r="AS85" s="178" t="str">
        <f>IFERROR(INDEX(STDHVAC[Primary Key],MATCH(C85,STDHVAC[Measure Number],0)),"")</f>
        <v/>
      </c>
      <c r="AT85" s="200" t="str">
        <f>IFERROR(INDEX('M03-S05'!$AN$18:$AN$342,2*(ROWS(AT$67:AT85)-1)+1)-MIN(INDEX('M03-S05'!$AT$18:$AT$342,2*(ROWS(AT$67:AT85)-1)+1),(ROUND(INDEX('M03-S05'!$V$18:$V$342,2*(ROWS(AT$67:AT85)-1)+1)*(INDEX('M03-S05'!$N$18:$N$342,2*(ROWS(AT$67:AT85)-1)+1)-INDEX('M03-S05'!$L$18:$L$342,2*(ROWS(AT$67:AT85)-1)+1))*INDEX(STDHVAC[Previous Incentive],MATCH('M03-S05'!C54,STDHVAC[Measure Name],0)),3))),"")</f>
        <v/>
      </c>
      <c r="AU85" s="278"/>
      <c r="AV85" s="278"/>
      <c r="AW85" s="278"/>
      <c r="AX85" s="278"/>
      <c r="AY85" s="278"/>
      <c r="AZ85" s="278"/>
      <c r="BA85" s="278"/>
      <c r="BB85" s="278"/>
      <c r="BC85" s="278"/>
      <c r="BD85" s="278"/>
      <c r="BE85" s="279"/>
      <c r="BL85" s="180"/>
      <c r="BP85" s="180"/>
      <c r="BQ85" s="180"/>
      <c r="BR85" s="180"/>
      <c r="CD85" s="180"/>
      <c r="CE85" s="180"/>
      <c r="CF85" s="180"/>
      <c r="CH85" s="180"/>
      <c r="CI85" s="180"/>
      <c r="CJ85" s="180"/>
      <c r="CK85" s="180"/>
      <c r="CL85" s="180"/>
      <c r="CM85" s="180"/>
      <c r="CN85" s="180"/>
      <c r="CQ85" s="180"/>
      <c r="CR85" s="180"/>
      <c r="CS85" s="180"/>
      <c r="DS85" s="180"/>
      <c r="DT85" s="180"/>
      <c r="DU85" s="180"/>
    </row>
    <row r="86" spans="1:125" s="54" customFormat="1" hidden="1">
      <c r="A86" s="135">
        <f t="shared" si="6"/>
        <v>0</v>
      </c>
      <c r="B86" s="178" t="str">
        <f t="shared" si="7"/>
        <v/>
      </c>
      <c r="C86" s="178" t="str">
        <f>IFERROR(IF(R86&gt;0,INDEX('M03-S05'!$BC$18:$BC$342,2*(ROWS($C$67:C86)-1)+1),""),"")</f>
        <v/>
      </c>
      <c r="D86" s="180" t="s">
        <v>1443</v>
      </c>
      <c r="E86" s="178" t="str">
        <f>IFERROR(INDEX('M03-S05'!$AZ$18:$AZ$342,2*(ROWS($E$67:E86)-1)+1),"")</f>
        <v/>
      </c>
      <c r="F86" s="408"/>
      <c r="G86" s="408"/>
      <c r="H86" s="200">
        <f>IFERROR(INDEX('M03-S05'!$AA$18:$AA$342,2*(ROWS(H$67:H86)-1)+1),"")</f>
        <v>0</v>
      </c>
      <c r="I86" s="200">
        <f>IFERROR(INDEX('M03-S05'!$AC$18:$AC$342,2*(ROWS(I$67:I86)-1)+1),"")</f>
        <v>0</v>
      </c>
      <c r="J86" s="200" t="str">
        <f>IFERROR(INDEX('M03-S05'!$AT$18:$AT$342,2*(ROWS(J$67:J86)-1)+1),"")</f>
        <v/>
      </c>
      <c r="K86" s="178" t="s">
        <v>84</v>
      </c>
      <c r="L86" s="116">
        <f>IFERROR(ROUND(INDEX('M03-S05'!$V$18:$V$342,2*(ROWS(L$67:L86)-1)+1),3),"")</f>
        <v>0</v>
      </c>
      <c r="M86" s="116">
        <f>IFERROR(ROUND(INDEX('M03-S05'!$V$18:$V$342,2*(ROWS(M$67:M86)-1)+1),3),"")</f>
        <v>0</v>
      </c>
      <c r="N86" s="415" t="str">
        <f>IFERROR(INDEX('M03-S05'!$AV$18:$AV$342,2*(ROWS(N$67:N86)-1)+1),"")</f>
        <v/>
      </c>
      <c r="O86" s="415" t="str">
        <f>IFERROR(INDEX('M03-S05'!$BA$18:$BA$342,2*(ROWS(O$67:O86)-1)+1),"")</f>
        <v/>
      </c>
      <c r="P86" s="415" t="str">
        <f>IFERROR(INDEX('M03-S05'!$AW$18:$AW$342,2*(ROWS(P$67:P86)-1)+1),"")</f>
        <v/>
      </c>
      <c r="Q86" s="415" t="str">
        <f>IFERROR(INDEX('M03-S05'!$BB$18:$BB$342,2*(ROWS(Q$67:Q86)-1)+1),"")</f>
        <v/>
      </c>
      <c r="R86" s="200" t="str">
        <f>IFERROR(INDEX('M03-S05'!$AN$18:$AN$342,2*(ROWS(R$67:R86)-1)+1),"")</f>
        <v/>
      </c>
      <c r="S86" s="405"/>
      <c r="T86" s="405"/>
      <c r="U86" s="405"/>
      <c r="V86" s="325"/>
      <c r="W86" s="417"/>
      <c r="X86" s="417"/>
      <c r="Y86" s="408"/>
      <c r="Z86" s="408"/>
      <c r="AA86" s="418"/>
      <c r="AB86" s="418"/>
      <c r="AC86" s="325"/>
      <c r="AD86" s="415">
        <f>IFERROR(INDEX('M03-S05'!$AX$18:$AX$342,2*(ROWS(AD$67:AD86)-1)+1),"")</f>
        <v>0</v>
      </c>
      <c r="AE86" s="415">
        <f>IFERROR(INDEX('M03-S05'!$AY$18:$AY$342,2*(ROWS(AE$67:AE86)-1)+1),"")</f>
        <v>0</v>
      </c>
      <c r="AF86" s="408"/>
      <c r="AG86" s="408"/>
      <c r="AH86" s="408"/>
      <c r="AI86" s="178">
        <f>IFERROR(INDEX('M03-S05'!$B$18:$B$342,2*(ROWS(AI$67:AI86)-1)+1),"")</f>
        <v>20</v>
      </c>
      <c r="AJ86" s="325"/>
      <c r="AK86" s="178">
        <f>IFERROR(INDEX('M03-S05'!$C$18:$C$342,2*(ROWS(AK$67:AK86)-1)+1),"")</f>
        <v>0</v>
      </c>
      <c r="AL86" s="178" t="str">
        <f>IFERROR(INDEX('M03-S05'!$J$18:$J$342,2*(ROWS(AL$67:AL86)-1)+1)&amp;" "&amp;INDEX('M03-S05'!$L$18:$L$342,2*(ROWS(AL$67:AL86)-1)+1)&amp;", "&amp;INDEX('M03-S05'!$P$18:$P$342,2*(ROWS(AL$67:AL86)-1)+1)&amp;" "&amp;INDEX('M03-S05'!$R$18:$R$342,2*(ROWS(AL$67:AL86)-1)+1),"")</f>
        <v xml:space="preserve"> ,  </v>
      </c>
      <c r="AM86" s="178" t="str">
        <f>IFERROR(INDEX('M03-S05'!$J$18:$J$342,2*(ROWS(AM$67:AM86)-1)+1)&amp;" "&amp;INDEX('M03-S05'!$N$18:$N$342,2*(ROWS(AM$67:AM86)-1)+1)&amp;", "&amp;INDEX('M03-S05'!$P$18:$P$342,2*(ROWS(AM$67:AM86)-1)+1)&amp;" "&amp;INDEX('M03-S05'!$T$18:$T$342,2*(ROWS(AM$67:AM86)-1)+1),"")</f>
        <v xml:space="preserve"> ,  </v>
      </c>
      <c r="AN86" s="405"/>
      <c r="AO86" s="405"/>
      <c r="AP86" s="178" t="str">
        <f>IFERROR(INDEX('M03-S05'!$AU$18:$AU$342,2*(ROWS(AP$67:AP86)-1)+1),"")</f>
        <v/>
      </c>
      <c r="AQ86" s="325"/>
      <c r="AR86" s="178" t="str">
        <f>IFERROR(INDEX(STDHVAC[Reporting Methodology],MATCH(EXPORT!C86,STDHVAC[Measure Number],0)),"")</f>
        <v/>
      </c>
      <c r="AS86" s="178" t="str">
        <f>IFERROR(INDEX(STDHVAC[Primary Key],MATCH(C86,STDHVAC[Measure Number],0)),"")</f>
        <v/>
      </c>
      <c r="AT86" s="200" t="str">
        <f>IFERROR(INDEX('M03-S05'!$AN$18:$AN$342,2*(ROWS(AT$67:AT86)-1)+1)-MIN(INDEX('M03-S05'!$AT$18:$AT$342,2*(ROWS(AT$67:AT86)-1)+1),(ROUND(INDEX('M03-S05'!$V$18:$V$342,2*(ROWS(AT$67:AT86)-1)+1)*(INDEX('M03-S05'!$N$18:$N$342,2*(ROWS(AT$67:AT86)-1)+1)-INDEX('M03-S05'!$L$18:$L$342,2*(ROWS(AT$67:AT86)-1)+1))*INDEX(STDHVAC[Previous Incentive],MATCH('M03-S05'!C56,STDHVAC[Measure Name],0)),3))),"")</f>
        <v/>
      </c>
      <c r="AU86" s="278"/>
      <c r="AV86" s="278"/>
      <c r="AW86" s="278"/>
      <c r="AX86" s="278"/>
      <c r="AY86" s="278"/>
      <c r="AZ86" s="278"/>
      <c r="BA86" s="278"/>
      <c r="BB86" s="278"/>
      <c r="BC86" s="278"/>
      <c r="BD86" s="278"/>
      <c r="BE86" s="279"/>
      <c r="BL86" s="180"/>
      <c r="BP86" s="180"/>
      <c r="BQ86" s="180"/>
      <c r="BR86" s="180"/>
      <c r="CD86" s="180"/>
      <c r="CE86" s="180"/>
      <c r="CF86" s="180"/>
      <c r="CH86" s="180"/>
      <c r="CI86" s="180"/>
      <c r="CJ86" s="180"/>
      <c r="CK86" s="180"/>
      <c r="CL86" s="180"/>
      <c r="CM86" s="180"/>
      <c r="CN86" s="180"/>
      <c r="CQ86" s="180"/>
      <c r="CR86" s="180"/>
      <c r="CS86" s="180"/>
      <c r="DS86" s="180"/>
      <c r="DT86" s="180"/>
      <c r="DU86" s="180"/>
    </row>
    <row r="87" spans="1:125" s="54" customFormat="1" hidden="1">
      <c r="A87" s="135">
        <f t="shared" si="6"/>
        <v>0</v>
      </c>
      <c r="B87" s="178" t="str">
        <f t="shared" si="7"/>
        <v/>
      </c>
      <c r="C87" s="178" t="str">
        <f>IFERROR(IF(R87&gt;0,INDEX('M03-S05'!$BC$18:$BC$342,2*(ROWS($C$67:C87)-1)+1),""),"")</f>
        <v/>
      </c>
      <c r="D87" s="180" t="s">
        <v>1443</v>
      </c>
      <c r="E87" s="178" t="str">
        <f>IFERROR(INDEX('M03-S05'!$AZ$18:$AZ$342,2*(ROWS($E$67:E87)-1)+1),"")</f>
        <v/>
      </c>
      <c r="F87" s="408"/>
      <c r="G87" s="408"/>
      <c r="H87" s="200">
        <f>IFERROR(INDEX('M03-S05'!$AA$18:$AA$342,2*(ROWS(H$67:H87)-1)+1),"")</f>
        <v>0</v>
      </c>
      <c r="I87" s="200">
        <f>IFERROR(INDEX('M03-S05'!$AC$18:$AC$342,2*(ROWS(I$67:I87)-1)+1),"")</f>
        <v>0</v>
      </c>
      <c r="J87" s="200" t="str">
        <f>IFERROR(INDEX('M03-S05'!$AT$18:$AT$342,2*(ROWS(J$67:J87)-1)+1),"")</f>
        <v/>
      </c>
      <c r="K87" s="178" t="s">
        <v>84</v>
      </c>
      <c r="L87" s="116">
        <f>IFERROR(ROUND(INDEX('M03-S05'!$V$18:$V$342,2*(ROWS(L$67:L87)-1)+1),3),"")</f>
        <v>0</v>
      </c>
      <c r="M87" s="116">
        <f>IFERROR(ROUND(INDEX('M03-S05'!$V$18:$V$342,2*(ROWS(M$67:M87)-1)+1),3),"")</f>
        <v>0</v>
      </c>
      <c r="N87" s="415" t="str">
        <f>IFERROR(INDEX('M03-S05'!$AV$18:$AV$342,2*(ROWS(N$67:N87)-1)+1),"")</f>
        <v/>
      </c>
      <c r="O87" s="415" t="str">
        <f>IFERROR(INDEX('M03-S05'!$BA$18:$BA$342,2*(ROWS(O$67:O87)-1)+1),"")</f>
        <v/>
      </c>
      <c r="P87" s="415" t="str">
        <f>IFERROR(INDEX('M03-S05'!$AW$18:$AW$342,2*(ROWS(P$67:P87)-1)+1),"")</f>
        <v/>
      </c>
      <c r="Q87" s="415" t="str">
        <f>IFERROR(INDEX('M03-S05'!$BB$18:$BB$342,2*(ROWS(Q$67:Q87)-1)+1),"")</f>
        <v/>
      </c>
      <c r="R87" s="200" t="str">
        <f>IFERROR(INDEX('M03-S05'!$AN$18:$AN$342,2*(ROWS(R$67:R87)-1)+1),"")</f>
        <v/>
      </c>
      <c r="S87" s="405"/>
      <c r="T87" s="405"/>
      <c r="U87" s="405"/>
      <c r="V87" s="325"/>
      <c r="W87" s="417"/>
      <c r="X87" s="417"/>
      <c r="Y87" s="408"/>
      <c r="Z87" s="408"/>
      <c r="AA87" s="418"/>
      <c r="AB87" s="418"/>
      <c r="AC87" s="325"/>
      <c r="AD87" s="415">
        <f>IFERROR(INDEX('M03-S05'!$AX$18:$AX$342,2*(ROWS(AD$67:AD87)-1)+1),"")</f>
        <v>0</v>
      </c>
      <c r="AE87" s="415">
        <f>IFERROR(INDEX('M03-S05'!$AY$18:$AY$342,2*(ROWS(AE$67:AE87)-1)+1),"")</f>
        <v>0</v>
      </c>
      <c r="AF87" s="408"/>
      <c r="AG87" s="408"/>
      <c r="AH87" s="408"/>
      <c r="AI87" s="178">
        <f>IFERROR(INDEX('M03-S05'!$B$18:$B$342,2*(ROWS(AI$67:AI87)-1)+1),"")</f>
        <v>21</v>
      </c>
      <c r="AJ87" s="325"/>
      <c r="AK87" s="178">
        <f>IFERROR(INDEX('M03-S05'!$C$18:$C$342,2*(ROWS(AK$67:AK87)-1)+1),"")</f>
        <v>0</v>
      </c>
      <c r="AL87" s="178" t="str">
        <f>IFERROR(INDEX('M03-S05'!$J$18:$J$342,2*(ROWS(AL$67:AL87)-1)+1)&amp;" "&amp;INDEX('M03-S05'!$L$18:$L$342,2*(ROWS(AL$67:AL87)-1)+1)&amp;", "&amp;INDEX('M03-S05'!$P$18:$P$342,2*(ROWS(AL$67:AL87)-1)+1)&amp;" "&amp;INDEX('M03-S05'!$R$18:$R$342,2*(ROWS(AL$67:AL87)-1)+1),"")</f>
        <v xml:space="preserve"> ,  </v>
      </c>
      <c r="AM87" s="178" t="str">
        <f>IFERROR(INDEX('M03-S05'!$J$18:$J$342,2*(ROWS(AM$67:AM87)-1)+1)&amp;" "&amp;INDEX('M03-S05'!$N$18:$N$342,2*(ROWS(AM$67:AM87)-1)+1)&amp;", "&amp;INDEX('M03-S05'!$P$18:$P$342,2*(ROWS(AM$67:AM87)-1)+1)&amp;" "&amp;INDEX('M03-S05'!$T$18:$T$342,2*(ROWS(AM$67:AM87)-1)+1),"")</f>
        <v xml:space="preserve"> ,  </v>
      </c>
      <c r="AN87" s="405"/>
      <c r="AO87" s="405"/>
      <c r="AP87" s="178" t="str">
        <f>IFERROR(INDEX('M03-S05'!$AU$18:$AU$342,2*(ROWS(AP$67:AP87)-1)+1),"")</f>
        <v/>
      </c>
      <c r="AQ87" s="325"/>
      <c r="AR87" s="178" t="str">
        <f>IFERROR(INDEX(STDHVAC[Reporting Methodology],MATCH(EXPORT!C87,STDHVAC[Measure Number],0)),"")</f>
        <v/>
      </c>
      <c r="AS87" s="178" t="str">
        <f>IFERROR(INDEX(STDHVAC[Primary Key],MATCH(C87,STDHVAC[Measure Number],0)),"")</f>
        <v/>
      </c>
      <c r="AT87" s="200" t="str">
        <f>IFERROR(INDEX('M03-S05'!$AN$18:$AN$342,2*(ROWS(AT$67:AT87)-1)+1)-MIN(INDEX('M03-S05'!$AT$18:$AT$342,2*(ROWS(AT$67:AT87)-1)+1),(ROUND(INDEX('M03-S05'!$V$18:$V$342,2*(ROWS(AT$67:AT87)-1)+1)*(INDEX('M03-S05'!$N$18:$N$342,2*(ROWS(AT$67:AT87)-1)+1)-INDEX('M03-S05'!$L$18:$L$342,2*(ROWS(AT$67:AT87)-1)+1))*INDEX(STDHVAC[Previous Incentive],MATCH('M03-S05'!C201,STDHVAC[Measure Name],0)),3))),"")</f>
        <v/>
      </c>
      <c r="AU87" s="278"/>
      <c r="AV87" s="278"/>
      <c r="AW87" s="278"/>
      <c r="AX87" s="278"/>
      <c r="AY87" s="278"/>
      <c r="AZ87" s="278"/>
      <c r="BA87" s="278"/>
      <c r="BB87" s="278"/>
      <c r="BC87" s="278"/>
      <c r="BD87" s="278"/>
      <c r="BE87" s="279"/>
      <c r="BL87" s="180"/>
      <c r="BP87" s="180"/>
      <c r="BQ87" s="180"/>
      <c r="BR87" s="180"/>
      <c r="CD87" s="180"/>
      <c r="CE87" s="180"/>
      <c r="CF87" s="180"/>
      <c r="CH87" s="180"/>
      <c r="CI87" s="180"/>
      <c r="CJ87" s="180"/>
      <c r="CK87" s="180"/>
      <c r="CL87" s="180"/>
      <c r="CM87" s="180"/>
      <c r="CN87" s="180"/>
      <c r="CQ87" s="180"/>
      <c r="CR87" s="180"/>
      <c r="CS87" s="180"/>
      <c r="DS87" s="180"/>
      <c r="DT87" s="180"/>
      <c r="DU87" s="180"/>
    </row>
    <row r="88" spans="1:125" s="54" customFormat="1" hidden="1">
      <c r="A88" s="135">
        <f t="shared" si="6"/>
        <v>0</v>
      </c>
      <c r="B88" s="178" t="str">
        <f t="shared" si="7"/>
        <v/>
      </c>
      <c r="C88" s="178" t="str">
        <f>IFERROR(IF(R88&gt;0,INDEX('M03-S05'!$BC$18:$BC$342,2*(ROWS($C$67:C88)-1)+1),""),"")</f>
        <v/>
      </c>
      <c r="D88" s="180" t="s">
        <v>1443</v>
      </c>
      <c r="E88" s="178" t="str">
        <f>IFERROR(INDEX('M03-S05'!$AZ$18:$AZ$342,2*(ROWS($E$67:E88)-1)+1),"")</f>
        <v/>
      </c>
      <c r="F88" s="408"/>
      <c r="G88" s="408"/>
      <c r="H88" s="200">
        <f>IFERROR(INDEX('M03-S05'!$AA$18:$AA$342,2*(ROWS(H$67:H88)-1)+1),"")</f>
        <v>0</v>
      </c>
      <c r="I88" s="200">
        <f>IFERROR(INDEX('M03-S05'!$AC$18:$AC$342,2*(ROWS(I$67:I88)-1)+1),"")</f>
        <v>0</v>
      </c>
      <c r="J88" s="200" t="str">
        <f>IFERROR(INDEX('M03-S05'!$AT$18:$AT$342,2*(ROWS(J$67:J88)-1)+1),"")</f>
        <v/>
      </c>
      <c r="K88" s="178" t="s">
        <v>84</v>
      </c>
      <c r="L88" s="116">
        <f>IFERROR(ROUND(INDEX('M03-S05'!$V$18:$V$342,2*(ROWS(L$67:L88)-1)+1),3),"")</f>
        <v>0</v>
      </c>
      <c r="M88" s="116">
        <f>IFERROR(ROUND(INDEX('M03-S05'!$V$18:$V$342,2*(ROWS(M$67:M88)-1)+1),3),"")</f>
        <v>0</v>
      </c>
      <c r="N88" s="415" t="str">
        <f>IFERROR(INDEX('M03-S05'!$AV$18:$AV$342,2*(ROWS(N$67:N88)-1)+1),"")</f>
        <v/>
      </c>
      <c r="O88" s="415" t="str">
        <f>IFERROR(INDEX('M03-S05'!$BA$18:$BA$342,2*(ROWS(O$67:O88)-1)+1),"")</f>
        <v/>
      </c>
      <c r="P88" s="415" t="str">
        <f>IFERROR(INDEX('M03-S05'!$AW$18:$AW$342,2*(ROWS(P$67:P88)-1)+1),"")</f>
        <v/>
      </c>
      <c r="Q88" s="415" t="str">
        <f>IFERROR(INDEX('M03-S05'!$BB$18:$BB$342,2*(ROWS(Q$67:Q88)-1)+1),"")</f>
        <v/>
      </c>
      <c r="R88" s="200" t="str">
        <f>IFERROR(INDEX('M03-S05'!$AN$18:$AN$342,2*(ROWS(R$67:R88)-1)+1),"")</f>
        <v/>
      </c>
      <c r="S88" s="405"/>
      <c r="T88" s="405"/>
      <c r="U88" s="405"/>
      <c r="V88" s="325"/>
      <c r="W88" s="417"/>
      <c r="X88" s="417"/>
      <c r="Y88" s="408"/>
      <c r="Z88" s="408"/>
      <c r="AA88" s="418"/>
      <c r="AB88" s="418"/>
      <c r="AC88" s="325"/>
      <c r="AD88" s="415">
        <f>IFERROR(INDEX('M03-S05'!$AX$18:$AX$342,2*(ROWS(AD$67:AD88)-1)+1),"")</f>
        <v>0</v>
      </c>
      <c r="AE88" s="415">
        <f>IFERROR(INDEX('M03-S05'!$AY$18:$AY$342,2*(ROWS(AE$67:AE88)-1)+1),"")</f>
        <v>0</v>
      </c>
      <c r="AF88" s="408"/>
      <c r="AG88" s="408"/>
      <c r="AH88" s="408"/>
      <c r="AI88" s="178">
        <f>IFERROR(INDEX('M03-S05'!$B$18:$B$342,2*(ROWS(AI$67:AI88)-1)+1),"")</f>
        <v>22</v>
      </c>
      <c r="AJ88" s="325"/>
      <c r="AK88" s="178">
        <f>IFERROR(INDEX('M03-S05'!$C$18:$C$342,2*(ROWS(AK$67:AK88)-1)+1),"")</f>
        <v>0</v>
      </c>
      <c r="AL88" s="178" t="str">
        <f>IFERROR(INDEX('M03-S05'!$J$18:$J$342,2*(ROWS(AL$67:AL88)-1)+1)&amp;" "&amp;INDEX('M03-S05'!$L$18:$L$342,2*(ROWS(AL$67:AL88)-1)+1)&amp;", "&amp;INDEX('M03-S05'!$P$18:$P$342,2*(ROWS(AL$67:AL88)-1)+1)&amp;" "&amp;INDEX('M03-S05'!$R$18:$R$342,2*(ROWS(AL$67:AL88)-1)+1),"")</f>
        <v xml:space="preserve"> ,  </v>
      </c>
      <c r="AM88" s="178" t="str">
        <f>IFERROR(INDEX('M03-S05'!$J$18:$J$342,2*(ROWS(AM$67:AM88)-1)+1)&amp;" "&amp;INDEX('M03-S05'!$N$18:$N$342,2*(ROWS(AM$67:AM88)-1)+1)&amp;", "&amp;INDEX('M03-S05'!$P$18:$P$342,2*(ROWS(AM$67:AM88)-1)+1)&amp;" "&amp;INDEX('M03-S05'!$T$18:$T$342,2*(ROWS(AM$67:AM88)-1)+1),"")</f>
        <v xml:space="preserve"> ,  </v>
      </c>
      <c r="AN88" s="405"/>
      <c r="AO88" s="405"/>
      <c r="AP88" s="178" t="str">
        <f>IFERROR(INDEX('M03-S05'!$AU$18:$AU$342,2*(ROWS(AP$67:AP88)-1)+1),"")</f>
        <v/>
      </c>
      <c r="AQ88" s="325"/>
      <c r="AR88" s="178" t="str">
        <f>IFERROR(INDEX(STDHVAC[Reporting Methodology],MATCH(EXPORT!C88,STDHVAC[Measure Number],0)),"")</f>
        <v/>
      </c>
      <c r="AS88" s="178" t="str">
        <f>IFERROR(INDEX(STDHVAC[Primary Key],MATCH(C88,STDHVAC[Measure Number],0)),"")</f>
        <v/>
      </c>
      <c r="AT88" s="200" t="str">
        <f>IFERROR(INDEX('M03-S05'!$AN$18:$AN$342,2*(ROWS(AT$67:AT88)-1)+1)-MIN(INDEX('M03-S05'!$AT$18:$AT$342,2*(ROWS(AT$67:AT88)-1)+1),(ROUND(INDEX('M03-S05'!$V$18:$V$342,2*(ROWS(AT$67:AT88)-1)+1)*(INDEX('M03-S05'!$N$18:$N$342,2*(ROWS(AT$67:AT88)-1)+1)-INDEX('M03-S05'!$L$18:$L$342,2*(ROWS(AT$67:AT88)-1)+1))*INDEX(STDHVAC[Previous Incentive],MATCH('M03-S05'!C203,STDHVAC[Measure Name],0)),3))),"")</f>
        <v/>
      </c>
      <c r="AU88" s="278"/>
      <c r="AV88" s="278"/>
      <c r="AW88" s="278"/>
      <c r="AX88" s="278"/>
      <c r="AY88" s="278"/>
      <c r="AZ88" s="278"/>
      <c r="BA88" s="278"/>
      <c r="BB88" s="278"/>
      <c r="BC88" s="278"/>
      <c r="BD88" s="278"/>
      <c r="BE88" s="279"/>
      <c r="BL88" s="180"/>
      <c r="BP88" s="180"/>
      <c r="BQ88" s="180"/>
      <c r="BR88" s="180"/>
      <c r="CD88" s="180"/>
      <c r="CE88" s="180"/>
      <c r="CF88" s="180"/>
      <c r="CH88" s="180"/>
      <c r="CI88" s="180"/>
      <c r="CJ88" s="180"/>
      <c r="CK88" s="180"/>
      <c r="CL88" s="180"/>
      <c r="CM88" s="180"/>
      <c r="CN88" s="180"/>
      <c r="CQ88" s="180"/>
      <c r="CR88" s="180"/>
      <c r="CS88" s="180"/>
      <c r="DS88" s="180"/>
      <c r="DT88" s="180"/>
      <c r="DU88" s="180"/>
    </row>
    <row r="89" spans="1:125" s="54" customFormat="1" hidden="1">
      <c r="A89" s="135">
        <f t="shared" si="6"/>
        <v>0</v>
      </c>
      <c r="B89" s="178" t="str">
        <f t="shared" si="7"/>
        <v/>
      </c>
      <c r="C89" s="178" t="str">
        <f>IFERROR(IF(R89&gt;0,INDEX('M03-S05'!$BC$18:$BC$342,2*(ROWS($C$67:C89)-1)+1),""),"")</f>
        <v/>
      </c>
      <c r="D89" s="180" t="s">
        <v>1443</v>
      </c>
      <c r="E89" s="178" t="str">
        <f>IFERROR(INDEX('M03-S05'!$AZ$18:$AZ$342,2*(ROWS($E$67:E89)-1)+1),"")</f>
        <v/>
      </c>
      <c r="F89" s="408"/>
      <c r="G89" s="408"/>
      <c r="H89" s="200">
        <f>IFERROR(INDEX('M03-S05'!$AA$18:$AA$342,2*(ROWS(H$67:H89)-1)+1),"")</f>
        <v>0</v>
      </c>
      <c r="I89" s="200">
        <f>IFERROR(INDEX('M03-S05'!$AC$18:$AC$342,2*(ROWS(I$67:I89)-1)+1),"")</f>
        <v>0</v>
      </c>
      <c r="J89" s="200" t="str">
        <f>IFERROR(INDEX('M03-S05'!$AT$18:$AT$342,2*(ROWS(J$67:J89)-1)+1),"")</f>
        <v/>
      </c>
      <c r="K89" s="178" t="s">
        <v>84</v>
      </c>
      <c r="L89" s="116">
        <f>IFERROR(ROUND(INDEX('M03-S05'!$V$18:$V$342,2*(ROWS(L$67:L89)-1)+1),3),"")</f>
        <v>0</v>
      </c>
      <c r="M89" s="116">
        <f>IFERROR(ROUND(INDEX('M03-S05'!$V$18:$V$342,2*(ROWS(M$67:M89)-1)+1),3),"")</f>
        <v>0</v>
      </c>
      <c r="N89" s="415" t="str">
        <f>IFERROR(INDEX('M03-S05'!$AV$18:$AV$342,2*(ROWS(N$67:N89)-1)+1),"")</f>
        <v/>
      </c>
      <c r="O89" s="415" t="str">
        <f>IFERROR(INDEX('M03-S05'!$BA$18:$BA$342,2*(ROWS(O$67:O89)-1)+1),"")</f>
        <v/>
      </c>
      <c r="P89" s="415" t="str">
        <f>IFERROR(INDEX('M03-S05'!$AW$18:$AW$342,2*(ROWS(P$67:P89)-1)+1),"")</f>
        <v/>
      </c>
      <c r="Q89" s="415" t="str">
        <f>IFERROR(INDEX('M03-S05'!$BB$18:$BB$342,2*(ROWS(Q$67:Q89)-1)+1),"")</f>
        <v/>
      </c>
      <c r="R89" s="200" t="str">
        <f>IFERROR(INDEX('M03-S05'!$AN$18:$AN$342,2*(ROWS(R$67:R89)-1)+1),"")</f>
        <v/>
      </c>
      <c r="S89" s="405"/>
      <c r="T89" s="405"/>
      <c r="U89" s="405"/>
      <c r="V89" s="325"/>
      <c r="W89" s="417"/>
      <c r="X89" s="417"/>
      <c r="Y89" s="408"/>
      <c r="Z89" s="408"/>
      <c r="AA89" s="418"/>
      <c r="AB89" s="418"/>
      <c r="AC89" s="325"/>
      <c r="AD89" s="415">
        <f>IFERROR(INDEX('M03-S05'!$AX$18:$AX$342,2*(ROWS(AD$67:AD89)-1)+1),"")</f>
        <v>0</v>
      </c>
      <c r="AE89" s="415">
        <f>IFERROR(INDEX('M03-S05'!$AY$18:$AY$342,2*(ROWS(AE$67:AE89)-1)+1),"")</f>
        <v>0</v>
      </c>
      <c r="AF89" s="408"/>
      <c r="AG89" s="408"/>
      <c r="AH89" s="408"/>
      <c r="AI89" s="178">
        <f>IFERROR(INDEX('M03-S05'!$B$18:$B$342,2*(ROWS(AI$67:AI89)-1)+1),"")</f>
        <v>23</v>
      </c>
      <c r="AJ89" s="325"/>
      <c r="AK89" s="178">
        <f>IFERROR(INDEX('M03-S05'!$C$18:$C$342,2*(ROWS(AK$67:AK89)-1)+1),"")</f>
        <v>0</v>
      </c>
      <c r="AL89" s="178" t="str">
        <f>IFERROR(INDEX('M03-S05'!$J$18:$J$342,2*(ROWS(AL$67:AL89)-1)+1)&amp;" "&amp;INDEX('M03-S05'!$L$18:$L$342,2*(ROWS(AL$67:AL89)-1)+1)&amp;", "&amp;INDEX('M03-S05'!$P$18:$P$342,2*(ROWS(AL$67:AL89)-1)+1)&amp;" "&amp;INDEX('M03-S05'!$R$18:$R$342,2*(ROWS(AL$67:AL89)-1)+1),"")</f>
        <v xml:space="preserve"> ,  </v>
      </c>
      <c r="AM89" s="178" t="str">
        <f>IFERROR(INDEX('M03-S05'!$J$18:$J$342,2*(ROWS(AM$67:AM89)-1)+1)&amp;" "&amp;INDEX('M03-S05'!$N$18:$N$342,2*(ROWS(AM$67:AM89)-1)+1)&amp;", "&amp;INDEX('M03-S05'!$P$18:$P$342,2*(ROWS(AM$67:AM89)-1)+1)&amp;" "&amp;INDEX('M03-S05'!$T$18:$T$342,2*(ROWS(AM$67:AM89)-1)+1),"")</f>
        <v xml:space="preserve"> ,  </v>
      </c>
      <c r="AN89" s="405"/>
      <c r="AO89" s="405"/>
      <c r="AP89" s="178" t="str">
        <f>IFERROR(INDEX('M03-S05'!$AU$18:$AU$342,2*(ROWS(AP$67:AP89)-1)+1),"")</f>
        <v/>
      </c>
      <c r="AQ89" s="325"/>
      <c r="AR89" s="178" t="str">
        <f>IFERROR(INDEX(STDHVAC[Reporting Methodology],MATCH(EXPORT!C89,STDHVAC[Measure Number],0)),"")</f>
        <v/>
      </c>
      <c r="AS89" s="178" t="str">
        <f>IFERROR(INDEX(STDHVAC[Primary Key],MATCH(C89,STDHVAC[Measure Number],0)),"")</f>
        <v/>
      </c>
      <c r="AT89" s="200" t="str">
        <f>IFERROR(INDEX('M03-S05'!$AN$18:$AN$342,2*(ROWS(AT$67:AT89)-1)+1)-MIN(INDEX('M03-S05'!$AT$18:$AT$342,2*(ROWS(AT$67:AT89)-1)+1),(ROUND(INDEX('M03-S05'!$V$18:$V$342,2*(ROWS(AT$67:AT89)-1)+1)*(INDEX('M03-S05'!$N$18:$N$342,2*(ROWS(AT$67:AT89)-1)+1)-INDEX('M03-S05'!$L$18:$L$342,2*(ROWS(AT$67:AT89)-1)+1))*INDEX(STDHVAC[Previous Incentive],MATCH('M03-S05'!C205,STDHVAC[Measure Name],0)),3))),"")</f>
        <v/>
      </c>
      <c r="AU89" s="278"/>
      <c r="AV89" s="278"/>
      <c r="AW89" s="278"/>
      <c r="AX89" s="278"/>
      <c r="AY89" s="278"/>
      <c r="AZ89" s="278"/>
      <c r="BA89" s="278"/>
      <c r="BB89" s="278"/>
      <c r="BC89" s="278"/>
      <c r="BD89" s="278"/>
      <c r="BE89" s="279"/>
      <c r="BL89" s="180"/>
      <c r="BP89" s="180"/>
      <c r="BQ89" s="180"/>
      <c r="BR89" s="180"/>
      <c r="CD89" s="180"/>
      <c r="CE89" s="180"/>
      <c r="CF89" s="180"/>
      <c r="CH89" s="180"/>
      <c r="CI89" s="180"/>
      <c r="CJ89" s="180"/>
      <c r="CK89" s="180"/>
      <c r="CL89" s="180"/>
      <c r="CM89" s="180"/>
      <c r="CN89" s="180"/>
      <c r="CQ89" s="180"/>
      <c r="CR89" s="180"/>
      <c r="CS89" s="180"/>
      <c r="DS89" s="180"/>
      <c r="DT89" s="180"/>
      <c r="DU89" s="180"/>
    </row>
    <row r="90" spans="1:125" s="54" customFormat="1" hidden="1">
      <c r="A90" s="135">
        <f t="shared" si="6"/>
        <v>0</v>
      </c>
      <c r="B90" s="178" t="str">
        <f t="shared" si="7"/>
        <v/>
      </c>
      <c r="C90" s="178" t="str">
        <f>IFERROR(IF(R90&gt;0,INDEX('M03-S05'!$BC$18:$BC$342,2*(ROWS($C$67:C90)-1)+1),""),"")</f>
        <v/>
      </c>
      <c r="D90" s="180" t="s">
        <v>1443</v>
      </c>
      <c r="E90" s="178" t="str">
        <f>IFERROR(INDEX('M03-S05'!$AZ$18:$AZ$342,2*(ROWS($E$67:E90)-1)+1),"")</f>
        <v/>
      </c>
      <c r="F90" s="408"/>
      <c r="G90" s="408"/>
      <c r="H90" s="200">
        <f>IFERROR(INDEX('M03-S05'!$AA$18:$AA$342,2*(ROWS(H$67:H90)-1)+1),"")</f>
        <v>0</v>
      </c>
      <c r="I90" s="200">
        <f>IFERROR(INDEX('M03-S05'!$AC$18:$AC$342,2*(ROWS(I$67:I90)-1)+1),"")</f>
        <v>0</v>
      </c>
      <c r="J90" s="200" t="str">
        <f>IFERROR(INDEX('M03-S05'!$AT$18:$AT$342,2*(ROWS(J$67:J90)-1)+1),"")</f>
        <v/>
      </c>
      <c r="K90" s="178" t="s">
        <v>84</v>
      </c>
      <c r="L90" s="116">
        <f>IFERROR(ROUND(INDEX('M03-S05'!$V$18:$V$342,2*(ROWS(L$67:L90)-1)+1),3),"")</f>
        <v>0</v>
      </c>
      <c r="M90" s="116">
        <f>IFERROR(ROUND(INDEX('M03-S05'!$V$18:$V$342,2*(ROWS(M$67:M90)-1)+1),3),"")</f>
        <v>0</v>
      </c>
      <c r="N90" s="415" t="str">
        <f>IFERROR(INDEX('M03-S05'!$AV$18:$AV$342,2*(ROWS(N$67:N90)-1)+1),"")</f>
        <v/>
      </c>
      <c r="O90" s="415" t="str">
        <f>IFERROR(INDEX('M03-S05'!$BA$18:$BA$342,2*(ROWS(O$67:O90)-1)+1),"")</f>
        <v/>
      </c>
      <c r="P90" s="415" t="str">
        <f>IFERROR(INDEX('M03-S05'!$AW$18:$AW$342,2*(ROWS(P$67:P90)-1)+1),"")</f>
        <v/>
      </c>
      <c r="Q90" s="415" t="str">
        <f>IFERROR(INDEX('M03-S05'!$BB$18:$BB$342,2*(ROWS(Q$67:Q90)-1)+1),"")</f>
        <v/>
      </c>
      <c r="R90" s="200" t="str">
        <f>IFERROR(INDEX('M03-S05'!$AN$18:$AN$342,2*(ROWS(R$67:R90)-1)+1),"")</f>
        <v/>
      </c>
      <c r="S90" s="405"/>
      <c r="T90" s="405"/>
      <c r="U90" s="405"/>
      <c r="V90" s="325"/>
      <c r="W90" s="417"/>
      <c r="X90" s="417"/>
      <c r="Y90" s="408"/>
      <c r="Z90" s="408"/>
      <c r="AA90" s="418"/>
      <c r="AB90" s="418"/>
      <c r="AC90" s="325"/>
      <c r="AD90" s="415">
        <f>IFERROR(INDEX('M03-S05'!$AX$18:$AX$342,2*(ROWS(AD$67:AD90)-1)+1),"")</f>
        <v>0</v>
      </c>
      <c r="AE90" s="415">
        <f>IFERROR(INDEX('M03-S05'!$AY$18:$AY$342,2*(ROWS(AE$67:AE90)-1)+1),"")</f>
        <v>0</v>
      </c>
      <c r="AF90" s="408"/>
      <c r="AG90" s="408"/>
      <c r="AH90" s="408"/>
      <c r="AI90" s="178">
        <f>IFERROR(INDEX('M03-S05'!$B$18:$B$342,2*(ROWS(AI$67:AI90)-1)+1),"")</f>
        <v>24</v>
      </c>
      <c r="AJ90" s="325"/>
      <c r="AK90" s="178">
        <f>IFERROR(INDEX('M03-S05'!$C$18:$C$342,2*(ROWS(AK$67:AK90)-1)+1),"")</f>
        <v>0</v>
      </c>
      <c r="AL90" s="178" t="str">
        <f>IFERROR(INDEX('M03-S05'!$J$18:$J$342,2*(ROWS(AL$67:AL90)-1)+1)&amp;" "&amp;INDEX('M03-S05'!$L$18:$L$342,2*(ROWS(AL$67:AL90)-1)+1)&amp;", "&amp;INDEX('M03-S05'!$P$18:$P$342,2*(ROWS(AL$67:AL90)-1)+1)&amp;" "&amp;INDEX('M03-S05'!$R$18:$R$342,2*(ROWS(AL$67:AL90)-1)+1),"")</f>
        <v xml:space="preserve"> ,  </v>
      </c>
      <c r="AM90" s="178" t="str">
        <f>IFERROR(INDEX('M03-S05'!$J$18:$J$342,2*(ROWS(AM$67:AM90)-1)+1)&amp;" "&amp;INDEX('M03-S05'!$N$18:$N$342,2*(ROWS(AM$67:AM90)-1)+1)&amp;", "&amp;INDEX('M03-S05'!$P$18:$P$342,2*(ROWS(AM$67:AM90)-1)+1)&amp;" "&amp;INDEX('M03-S05'!$T$18:$T$342,2*(ROWS(AM$67:AM90)-1)+1),"")</f>
        <v xml:space="preserve"> ,  </v>
      </c>
      <c r="AN90" s="405"/>
      <c r="AO90" s="405"/>
      <c r="AP90" s="178" t="str">
        <f>IFERROR(INDEX('M03-S05'!$AU$18:$AU$342,2*(ROWS(AP$67:AP90)-1)+1),"")</f>
        <v/>
      </c>
      <c r="AQ90" s="325"/>
      <c r="AR90" s="178" t="str">
        <f>IFERROR(INDEX(STDHVAC[Reporting Methodology],MATCH(EXPORT!C90,STDHVAC[Measure Number],0)),"")</f>
        <v/>
      </c>
      <c r="AS90" s="178" t="str">
        <f>IFERROR(INDEX(STDHVAC[Primary Key],MATCH(C90,STDHVAC[Measure Number],0)),"")</f>
        <v/>
      </c>
      <c r="AT90" s="200" t="str">
        <f>IFERROR(INDEX('M03-S05'!$AN$18:$AN$342,2*(ROWS(AT$67:AT90)-1)+1)-MIN(INDEX('M03-S05'!$AT$18:$AT$342,2*(ROWS(AT$67:AT90)-1)+1),(ROUND(INDEX('M03-S05'!$V$18:$V$342,2*(ROWS(AT$67:AT90)-1)+1)*(INDEX('M03-S05'!$N$18:$N$342,2*(ROWS(AT$67:AT90)-1)+1)-INDEX('M03-S05'!$L$18:$L$342,2*(ROWS(AT$67:AT90)-1)+1))*INDEX(STDHVAC[Previous Incentive],MATCH('M03-S05'!C207,STDHVAC[Measure Name],0)),3))),"")</f>
        <v/>
      </c>
      <c r="AU90" s="278"/>
      <c r="AV90" s="278"/>
      <c r="AW90" s="278"/>
      <c r="AX90" s="278"/>
      <c r="AY90" s="278"/>
      <c r="AZ90" s="278"/>
      <c r="BA90" s="278"/>
      <c r="BB90" s="278"/>
      <c r="BC90" s="278"/>
      <c r="BD90" s="278"/>
      <c r="BE90" s="279"/>
      <c r="BL90" s="180"/>
      <c r="BP90" s="180"/>
      <c r="BQ90" s="180"/>
      <c r="BR90" s="180"/>
      <c r="CD90" s="180"/>
      <c r="CE90" s="180"/>
      <c r="CF90" s="180"/>
      <c r="CH90" s="180"/>
      <c r="CI90" s="180"/>
      <c r="CJ90" s="180"/>
      <c r="CK90" s="180"/>
      <c r="CL90" s="180"/>
      <c r="CM90" s="180"/>
      <c r="CN90" s="180"/>
      <c r="CQ90" s="180"/>
      <c r="CR90" s="180"/>
      <c r="CS90" s="180"/>
      <c r="DS90" s="180"/>
      <c r="DT90" s="180"/>
      <c r="DU90" s="180"/>
    </row>
    <row r="91" spans="1:125" s="54" customFormat="1" hidden="1">
      <c r="A91" s="135">
        <f t="shared" si="6"/>
        <v>0</v>
      </c>
      <c r="B91" s="178" t="str">
        <f t="shared" si="7"/>
        <v/>
      </c>
      <c r="C91" s="178" t="str">
        <f>IFERROR(IF(R91&gt;0,INDEX('M03-S05'!$BC$18:$BC$342,2*(ROWS($C$67:C91)-1)+1),""),"")</f>
        <v/>
      </c>
      <c r="D91" s="180" t="s">
        <v>1443</v>
      </c>
      <c r="E91" s="178" t="str">
        <f>IFERROR(INDEX('M03-S05'!$AZ$18:$AZ$342,2*(ROWS($E$67:E91)-1)+1),"")</f>
        <v/>
      </c>
      <c r="F91" s="408"/>
      <c r="G91" s="408"/>
      <c r="H91" s="200">
        <f>IFERROR(INDEX('M03-S05'!$AA$18:$AA$342,2*(ROWS(H$67:H91)-1)+1),"")</f>
        <v>0</v>
      </c>
      <c r="I91" s="200">
        <f>IFERROR(INDEX('M03-S05'!$AC$18:$AC$342,2*(ROWS(I$67:I91)-1)+1),"")</f>
        <v>0</v>
      </c>
      <c r="J91" s="200" t="str">
        <f>IFERROR(INDEX('M03-S05'!$AT$18:$AT$342,2*(ROWS(J$67:J91)-1)+1),"")</f>
        <v/>
      </c>
      <c r="K91" s="178" t="s">
        <v>84</v>
      </c>
      <c r="L91" s="116">
        <f>IFERROR(ROUND(INDEX('M03-S05'!$V$18:$V$342,2*(ROWS(L$67:L91)-1)+1),3),"")</f>
        <v>0</v>
      </c>
      <c r="M91" s="116">
        <f>IFERROR(ROUND(INDEX('M03-S05'!$V$18:$V$342,2*(ROWS(M$67:M91)-1)+1),3),"")</f>
        <v>0</v>
      </c>
      <c r="N91" s="415" t="str">
        <f>IFERROR(INDEX('M03-S05'!$AV$18:$AV$342,2*(ROWS(N$67:N91)-1)+1),"")</f>
        <v/>
      </c>
      <c r="O91" s="415" t="str">
        <f>IFERROR(INDEX('M03-S05'!$BA$18:$BA$342,2*(ROWS(O$67:O91)-1)+1),"")</f>
        <v/>
      </c>
      <c r="P91" s="415" t="str">
        <f>IFERROR(INDEX('M03-S05'!$AW$18:$AW$342,2*(ROWS(P$67:P91)-1)+1),"")</f>
        <v/>
      </c>
      <c r="Q91" s="415" t="str">
        <f>IFERROR(INDEX('M03-S05'!$BB$18:$BB$342,2*(ROWS(Q$67:Q91)-1)+1),"")</f>
        <v/>
      </c>
      <c r="R91" s="200" t="str">
        <f>IFERROR(INDEX('M03-S05'!$AN$18:$AN$342,2*(ROWS(R$67:R91)-1)+1),"")</f>
        <v/>
      </c>
      <c r="S91" s="405"/>
      <c r="T91" s="405"/>
      <c r="U91" s="405"/>
      <c r="V91" s="325"/>
      <c r="W91" s="417"/>
      <c r="X91" s="417"/>
      <c r="Y91" s="408"/>
      <c r="Z91" s="408"/>
      <c r="AA91" s="418"/>
      <c r="AB91" s="418"/>
      <c r="AC91" s="325"/>
      <c r="AD91" s="415">
        <f>IFERROR(INDEX('M03-S05'!$AX$18:$AX$342,2*(ROWS(AD$67:AD91)-1)+1),"")</f>
        <v>0</v>
      </c>
      <c r="AE91" s="415">
        <f>IFERROR(INDEX('M03-S05'!$AY$18:$AY$342,2*(ROWS(AE$67:AE91)-1)+1),"")</f>
        <v>0</v>
      </c>
      <c r="AF91" s="408"/>
      <c r="AG91" s="408"/>
      <c r="AH91" s="408"/>
      <c r="AI91" s="178">
        <f>IFERROR(INDEX('M03-S05'!$B$18:$B$342,2*(ROWS(AI$67:AI91)-1)+1),"")</f>
        <v>25</v>
      </c>
      <c r="AJ91" s="325"/>
      <c r="AK91" s="178">
        <f>IFERROR(INDEX('M03-S05'!$C$18:$C$342,2*(ROWS(AK$67:AK91)-1)+1),"")</f>
        <v>0</v>
      </c>
      <c r="AL91" s="178" t="str">
        <f>IFERROR(INDEX('M03-S05'!$J$18:$J$342,2*(ROWS(AL$67:AL91)-1)+1)&amp;" "&amp;INDEX('M03-S05'!$L$18:$L$342,2*(ROWS(AL$67:AL91)-1)+1)&amp;", "&amp;INDEX('M03-S05'!$P$18:$P$342,2*(ROWS(AL$67:AL91)-1)+1)&amp;" "&amp;INDEX('M03-S05'!$R$18:$R$342,2*(ROWS(AL$67:AL91)-1)+1),"")</f>
        <v xml:space="preserve"> ,  </v>
      </c>
      <c r="AM91" s="178" t="str">
        <f>IFERROR(INDEX('M03-S05'!$J$18:$J$342,2*(ROWS(AM$67:AM91)-1)+1)&amp;" "&amp;INDEX('M03-S05'!$N$18:$N$342,2*(ROWS(AM$67:AM91)-1)+1)&amp;", "&amp;INDEX('M03-S05'!$P$18:$P$342,2*(ROWS(AM$67:AM91)-1)+1)&amp;" "&amp;INDEX('M03-S05'!$T$18:$T$342,2*(ROWS(AM$67:AM91)-1)+1),"")</f>
        <v xml:space="preserve"> ,  </v>
      </c>
      <c r="AN91" s="405"/>
      <c r="AO91" s="405"/>
      <c r="AP91" s="178" t="str">
        <f>IFERROR(INDEX('M03-S05'!$AU$18:$AU$342,2*(ROWS(AP$67:AP91)-1)+1),"")</f>
        <v/>
      </c>
      <c r="AQ91" s="325"/>
      <c r="AR91" s="178" t="str">
        <f>IFERROR(INDEX(STDHVAC[Reporting Methodology],MATCH(EXPORT!C91,STDHVAC[Measure Number],0)),"")</f>
        <v/>
      </c>
      <c r="AS91" s="178" t="str">
        <f>IFERROR(INDEX(STDHVAC[Primary Key],MATCH(C91,STDHVAC[Measure Number],0)),"")</f>
        <v/>
      </c>
      <c r="AT91" s="200" t="str">
        <f>IFERROR(INDEX('M03-S05'!$AN$18:$AN$342,2*(ROWS(AT$67:AT91)-1)+1)-MIN(INDEX('M03-S05'!$AT$18:$AT$342,2*(ROWS(AT$67:AT91)-1)+1),(ROUND(INDEX('M03-S05'!$V$18:$V$342,2*(ROWS(AT$67:AT91)-1)+1)*(INDEX('M03-S05'!$N$18:$N$342,2*(ROWS(AT$67:AT91)-1)+1)-INDEX('M03-S05'!$L$18:$L$342,2*(ROWS(AT$67:AT91)-1)+1))*INDEX(STDHVAC[Previous Incentive],MATCH('M03-S05'!C209,STDHVAC[Measure Name],0)),3))),"")</f>
        <v/>
      </c>
      <c r="AU91" s="278"/>
      <c r="AV91" s="278"/>
      <c r="AW91" s="278"/>
      <c r="AX91" s="278"/>
      <c r="AY91" s="278"/>
      <c r="AZ91" s="278"/>
      <c r="BA91" s="278"/>
      <c r="BB91" s="278"/>
      <c r="BC91" s="278"/>
      <c r="BD91" s="278"/>
      <c r="BE91" s="279"/>
      <c r="BL91" s="180"/>
      <c r="BP91" s="180"/>
      <c r="BQ91" s="180"/>
      <c r="BR91" s="180"/>
      <c r="CD91" s="180"/>
      <c r="CE91" s="180"/>
      <c r="CF91" s="180"/>
      <c r="CH91" s="180"/>
      <c r="CI91" s="180"/>
      <c r="CJ91" s="180"/>
      <c r="CK91" s="180"/>
      <c r="CL91" s="180"/>
      <c r="CM91" s="180"/>
      <c r="CN91" s="180"/>
      <c r="CQ91" s="180"/>
      <c r="CR91" s="180"/>
      <c r="CS91" s="180"/>
      <c r="DS91" s="180"/>
      <c r="DT91" s="180"/>
      <c r="DU91" s="180"/>
    </row>
    <row r="92" spans="1:125" s="54" customFormat="1" hidden="1">
      <c r="A92" s="135">
        <f t="shared" si="6"/>
        <v>0</v>
      </c>
      <c r="B92" s="178" t="str">
        <f t="shared" ref="B92:B101" si="8">IF(C92="","",CONCATENATE(ROW(),"-",C92))</f>
        <v/>
      </c>
      <c r="C92" s="178" t="str">
        <f>IFERROR(IF(R92&gt;0,INDEX('M03-S05'!$BC$18:$BC$342,2*(ROWS($C$67:C92)-1)+1),""),"")</f>
        <v/>
      </c>
      <c r="D92" s="180" t="s">
        <v>1443</v>
      </c>
      <c r="E92" s="178" t="str">
        <f>IFERROR(INDEX('M03-S05'!$AZ$18:$AZ$342,2*(ROWS($E$67:E92)-1)+1),"")</f>
        <v/>
      </c>
      <c r="F92" s="408"/>
      <c r="G92" s="408"/>
      <c r="H92" s="200">
        <f>IFERROR(INDEX('M03-S05'!$AA$18:$AA$342,2*(ROWS(H$67:H92)-1)+1),"")</f>
        <v>0</v>
      </c>
      <c r="I92" s="200">
        <f>IFERROR(INDEX('M03-S05'!$AC$18:$AC$342,2*(ROWS(I$67:I92)-1)+1),"")</f>
        <v>0</v>
      </c>
      <c r="J92" s="200" t="str">
        <f>IFERROR(INDEX('M03-S05'!$AT$18:$AT$342,2*(ROWS(J$67:J92)-1)+1),"")</f>
        <v/>
      </c>
      <c r="K92" s="178" t="s">
        <v>84</v>
      </c>
      <c r="L92" s="116">
        <f>IFERROR(ROUND(INDEX('M03-S05'!$V$18:$V$342,2*(ROWS(L$67:L92)-1)+1),3),"")</f>
        <v>0</v>
      </c>
      <c r="M92" s="116">
        <f>IFERROR(ROUND(INDEX('M03-S05'!$V$18:$V$342,2*(ROWS(M$67:M92)-1)+1),3),"")</f>
        <v>0</v>
      </c>
      <c r="N92" s="415" t="str">
        <f>IFERROR(INDEX('M03-S05'!$AV$18:$AV$342,2*(ROWS(N$67:N92)-1)+1),"")</f>
        <v/>
      </c>
      <c r="O92" s="415" t="str">
        <f>IFERROR(INDEX('M03-S05'!$BA$18:$BA$342,2*(ROWS(O$67:O92)-1)+1),"")</f>
        <v/>
      </c>
      <c r="P92" s="415" t="str">
        <f>IFERROR(INDEX('M03-S05'!$AW$18:$AW$342,2*(ROWS(P$67:P92)-1)+1),"")</f>
        <v/>
      </c>
      <c r="Q92" s="415" t="str">
        <f>IFERROR(INDEX('M03-S05'!$BB$18:$BB$342,2*(ROWS(Q$67:Q92)-1)+1),"")</f>
        <v/>
      </c>
      <c r="R92" s="200" t="str">
        <f>IFERROR(INDEX('M03-S05'!$AN$18:$AN$342,2*(ROWS(R$67:R92)-1)+1),"")</f>
        <v/>
      </c>
      <c r="S92" s="405"/>
      <c r="T92" s="405"/>
      <c r="U92" s="405"/>
      <c r="V92" s="325"/>
      <c r="W92" s="417"/>
      <c r="X92" s="417"/>
      <c r="Y92" s="408"/>
      <c r="Z92" s="408"/>
      <c r="AA92" s="418"/>
      <c r="AB92" s="418"/>
      <c r="AC92" s="325"/>
      <c r="AD92" s="415">
        <f>IFERROR(INDEX('M03-S05'!$AX$18:$AX$342,2*(ROWS(AD$67:AD92)-1)+1),"")</f>
        <v>0</v>
      </c>
      <c r="AE92" s="415">
        <f>IFERROR(INDEX('M03-S05'!$AY$18:$AY$342,2*(ROWS(AE$67:AE92)-1)+1),"")</f>
        <v>0</v>
      </c>
      <c r="AF92" s="408"/>
      <c r="AG92" s="408"/>
      <c r="AH92" s="408"/>
      <c r="AI92" s="178">
        <f>IFERROR(INDEX('M03-S05'!$B$18:$B$342,2*(ROWS(AI$67:AI92)-1)+1),"")</f>
        <v>26</v>
      </c>
      <c r="AJ92" s="325"/>
      <c r="AK92" s="178">
        <f>IFERROR(INDEX('M03-S05'!$C$18:$C$342,2*(ROWS(AK$67:AK92)-1)+1),"")</f>
        <v>0</v>
      </c>
      <c r="AL92" s="178" t="str">
        <f>IFERROR(INDEX('M03-S05'!$J$18:$J$342,2*(ROWS(AL$67:AL92)-1)+1)&amp;" "&amp;INDEX('M03-S05'!$L$18:$L$342,2*(ROWS(AL$67:AL92)-1)+1)&amp;", "&amp;INDEX('M03-S05'!$P$18:$P$342,2*(ROWS(AL$67:AL92)-1)+1)&amp;" "&amp;INDEX('M03-S05'!$R$18:$R$342,2*(ROWS(AL$67:AL92)-1)+1),"")</f>
        <v xml:space="preserve"> ,  </v>
      </c>
      <c r="AM92" s="178" t="str">
        <f>IFERROR(INDEX('M03-S05'!$J$18:$J$342,2*(ROWS(AM$67:AM92)-1)+1)&amp;" "&amp;INDEX('M03-S05'!$N$18:$N$342,2*(ROWS(AM$67:AM92)-1)+1)&amp;", "&amp;INDEX('M03-S05'!$P$18:$P$342,2*(ROWS(AM$67:AM92)-1)+1)&amp;" "&amp;INDEX('M03-S05'!$T$18:$T$342,2*(ROWS(AM$67:AM92)-1)+1),"")</f>
        <v xml:space="preserve"> ,  </v>
      </c>
      <c r="AN92" s="405"/>
      <c r="AO92" s="405"/>
      <c r="AP92" s="178" t="str">
        <f>IFERROR(INDEX('M03-S05'!$AU$18:$AU$342,2*(ROWS(AP$67:AP92)-1)+1),"")</f>
        <v/>
      </c>
      <c r="AQ92" s="325"/>
      <c r="AR92" s="178" t="str">
        <f>IFERROR(INDEX(STDHVAC[Reporting Methodology],MATCH(EXPORT!C92,STDHVAC[Measure Number],0)),"")</f>
        <v/>
      </c>
      <c r="AS92" s="178" t="str">
        <f>IFERROR(INDEX(STDHVAC[Primary Key],MATCH(C92,STDHVAC[Measure Number],0)),"")</f>
        <v/>
      </c>
      <c r="AT92" s="200" t="str">
        <f>IFERROR(INDEX('M03-S05'!$AN$18:$AN$342,2*(ROWS(AT$67:AT92)-1)+1)-MIN(INDEX('M03-S05'!$AT$18:$AT$342,2*(ROWS(AT$67:AT92)-1)+1),(ROUND(INDEX('M03-S05'!$V$18:$V$342,2*(ROWS(AT$67:AT92)-1)+1)*(INDEX('M03-S05'!$N$18:$N$342,2*(ROWS(AT$67:AT92)-1)+1)-INDEX('M03-S05'!$L$18:$L$342,2*(ROWS(AT$67:AT92)-1)+1))*INDEX(STDHVAC[Previous Incentive],MATCH('M03-S05'!C210,STDHVAC[Measure Name],0)),3))),"")</f>
        <v/>
      </c>
      <c r="AU92" s="278"/>
      <c r="AV92" s="278"/>
      <c r="AW92" s="278"/>
      <c r="AX92" s="278"/>
      <c r="AY92" s="278"/>
      <c r="AZ92" s="278"/>
      <c r="BA92" s="278"/>
      <c r="BB92" s="278"/>
      <c r="BC92" s="278"/>
      <c r="BD92" s="278"/>
      <c r="BE92" s="279"/>
      <c r="BL92" s="180"/>
      <c r="BP92" s="180"/>
      <c r="BQ92" s="180"/>
      <c r="BR92" s="180"/>
      <c r="CD92" s="180"/>
      <c r="CE92" s="180"/>
      <c r="CF92" s="180"/>
      <c r="CH92" s="180"/>
      <c r="CI92" s="180"/>
      <c r="CJ92" s="180"/>
      <c r="CK92" s="180"/>
      <c r="CL92" s="180"/>
      <c r="CM92" s="180"/>
      <c r="CN92" s="180"/>
      <c r="CQ92" s="180"/>
      <c r="CR92" s="180"/>
      <c r="CS92" s="180"/>
      <c r="DS92" s="180"/>
      <c r="DT92" s="180"/>
      <c r="DU92" s="180"/>
    </row>
    <row r="93" spans="1:125" s="54" customFormat="1" hidden="1">
      <c r="A93" s="135">
        <f t="shared" si="6"/>
        <v>0</v>
      </c>
      <c r="B93" s="178" t="str">
        <f t="shared" si="8"/>
        <v/>
      </c>
      <c r="C93" s="178" t="str">
        <f>IFERROR(IF(R93&gt;0,INDEX('M03-S05'!$BC$18:$BC$342,2*(ROWS($C$67:C93)-1)+1),""),"")</f>
        <v/>
      </c>
      <c r="D93" s="180" t="s">
        <v>1443</v>
      </c>
      <c r="E93" s="178" t="str">
        <f>IFERROR(INDEX('M03-S05'!$AZ$18:$AZ$342,2*(ROWS($E$67:E93)-1)+1),"")</f>
        <v/>
      </c>
      <c r="F93" s="408"/>
      <c r="G93" s="408"/>
      <c r="H93" s="200">
        <f>IFERROR(INDEX('M03-S05'!$AA$18:$AA$342,2*(ROWS(H$67:H93)-1)+1),"")</f>
        <v>0</v>
      </c>
      <c r="I93" s="200">
        <f>IFERROR(INDEX('M03-S05'!$AC$18:$AC$342,2*(ROWS(I$67:I93)-1)+1),"")</f>
        <v>0</v>
      </c>
      <c r="J93" s="200" t="str">
        <f>IFERROR(INDEX('M03-S05'!$AT$18:$AT$342,2*(ROWS(J$67:J93)-1)+1),"")</f>
        <v/>
      </c>
      <c r="K93" s="178" t="s">
        <v>84</v>
      </c>
      <c r="L93" s="116">
        <f>IFERROR(ROUND(INDEX('M03-S05'!$V$18:$V$342,2*(ROWS(L$67:L93)-1)+1),3),"")</f>
        <v>0</v>
      </c>
      <c r="M93" s="116">
        <f>IFERROR(ROUND(INDEX('M03-S05'!$V$18:$V$342,2*(ROWS(M$67:M93)-1)+1),3),"")</f>
        <v>0</v>
      </c>
      <c r="N93" s="415" t="str">
        <f>IFERROR(INDEX('M03-S05'!$AV$18:$AV$342,2*(ROWS(N$67:N93)-1)+1),"")</f>
        <v/>
      </c>
      <c r="O93" s="415" t="str">
        <f>IFERROR(INDEX('M03-S05'!$BA$18:$BA$342,2*(ROWS(O$67:O93)-1)+1),"")</f>
        <v/>
      </c>
      <c r="P93" s="415" t="str">
        <f>IFERROR(INDEX('M03-S05'!$AW$18:$AW$342,2*(ROWS(P$67:P93)-1)+1),"")</f>
        <v/>
      </c>
      <c r="Q93" s="415" t="str">
        <f>IFERROR(INDEX('M03-S05'!$BB$18:$BB$342,2*(ROWS(Q$67:Q93)-1)+1),"")</f>
        <v/>
      </c>
      <c r="R93" s="200" t="str">
        <f>IFERROR(INDEX('M03-S05'!$AN$18:$AN$342,2*(ROWS(R$67:R93)-1)+1),"")</f>
        <v/>
      </c>
      <c r="S93" s="405"/>
      <c r="T93" s="405"/>
      <c r="U93" s="405"/>
      <c r="V93" s="325"/>
      <c r="W93" s="417"/>
      <c r="X93" s="417"/>
      <c r="Y93" s="408"/>
      <c r="Z93" s="408"/>
      <c r="AA93" s="418"/>
      <c r="AB93" s="418"/>
      <c r="AC93" s="325"/>
      <c r="AD93" s="415">
        <f>IFERROR(INDEX('M03-S05'!$AX$18:$AX$342,2*(ROWS(AD$67:AD93)-1)+1),"")</f>
        <v>0</v>
      </c>
      <c r="AE93" s="415">
        <f>IFERROR(INDEX('M03-S05'!$AY$18:$AY$342,2*(ROWS(AE$67:AE93)-1)+1),"")</f>
        <v>0</v>
      </c>
      <c r="AF93" s="408"/>
      <c r="AG93" s="408"/>
      <c r="AH93" s="408"/>
      <c r="AI93" s="178">
        <f>IFERROR(INDEX('M03-S05'!$B$18:$B$342,2*(ROWS(AI$67:AI93)-1)+1),"")</f>
        <v>27</v>
      </c>
      <c r="AJ93" s="325"/>
      <c r="AK93" s="178">
        <f>IFERROR(INDEX('M03-S05'!$C$18:$C$342,2*(ROWS(AK$67:AK93)-1)+1),"")</f>
        <v>0</v>
      </c>
      <c r="AL93" s="178" t="str">
        <f>IFERROR(INDEX('M03-S05'!$J$18:$J$342,2*(ROWS(AL$67:AL93)-1)+1)&amp;" "&amp;INDEX('M03-S05'!$L$18:$L$342,2*(ROWS(AL$67:AL93)-1)+1)&amp;", "&amp;INDEX('M03-S05'!$P$18:$P$342,2*(ROWS(AL$67:AL93)-1)+1)&amp;" "&amp;INDEX('M03-S05'!$R$18:$R$342,2*(ROWS(AL$67:AL93)-1)+1),"")</f>
        <v xml:space="preserve"> ,  </v>
      </c>
      <c r="AM93" s="178" t="str">
        <f>IFERROR(INDEX('M03-S05'!$J$18:$J$342,2*(ROWS(AM$67:AM93)-1)+1)&amp;" "&amp;INDEX('M03-S05'!$N$18:$N$342,2*(ROWS(AM$67:AM93)-1)+1)&amp;", "&amp;INDEX('M03-S05'!$P$18:$P$342,2*(ROWS(AM$67:AM93)-1)+1)&amp;" "&amp;INDEX('M03-S05'!$T$18:$T$342,2*(ROWS(AM$67:AM93)-1)+1),"")</f>
        <v xml:space="preserve"> ,  </v>
      </c>
      <c r="AN93" s="405"/>
      <c r="AO93" s="405"/>
      <c r="AP93" s="178" t="str">
        <f>IFERROR(INDEX('M03-S05'!$AU$18:$AU$342,2*(ROWS(AP$67:AP93)-1)+1),"")</f>
        <v/>
      </c>
      <c r="AQ93" s="325"/>
      <c r="AR93" s="178" t="str">
        <f>IFERROR(INDEX(STDHVAC[Reporting Methodology],MATCH(EXPORT!C93,STDHVAC[Measure Number],0)),"")</f>
        <v/>
      </c>
      <c r="AS93" s="178" t="str">
        <f>IFERROR(INDEX(STDHVAC[Primary Key],MATCH(C93,STDHVAC[Measure Number],0)),"")</f>
        <v/>
      </c>
      <c r="AT93" s="200" t="str">
        <f>IFERROR(INDEX('M03-S05'!$AN$18:$AN$342,2*(ROWS(AT$67:AT93)-1)+1)-MIN(INDEX('M03-S05'!$AT$18:$AT$342,2*(ROWS(AT$67:AT93)-1)+1),(ROUND(INDEX('M03-S05'!$V$18:$V$342,2*(ROWS(AT$67:AT93)-1)+1)*(INDEX('M03-S05'!$N$18:$N$342,2*(ROWS(AT$67:AT93)-1)+1)-INDEX('M03-S05'!$L$18:$L$342,2*(ROWS(AT$67:AT93)-1)+1))*INDEX(STDHVAC[Previous Incentive],MATCH('M03-S05'!C211,STDHVAC[Measure Name],0)),3))),"")</f>
        <v/>
      </c>
      <c r="AU93" s="278"/>
      <c r="AV93" s="278"/>
      <c r="AW93" s="278"/>
      <c r="AX93" s="278"/>
      <c r="AY93" s="278"/>
      <c r="AZ93" s="278"/>
      <c r="BA93" s="278"/>
      <c r="BB93" s="278"/>
      <c r="BC93" s="278"/>
      <c r="BD93" s="278"/>
      <c r="BE93" s="279"/>
      <c r="BL93" s="180"/>
      <c r="BP93" s="180"/>
      <c r="BQ93" s="180"/>
      <c r="BR93" s="180"/>
      <c r="CD93" s="180"/>
      <c r="CE93" s="180"/>
      <c r="CF93" s="180"/>
      <c r="CH93" s="180"/>
      <c r="CI93" s="180"/>
      <c r="CJ93" s="180"/>
      <c r="CK93" s="180"/>
      <c r="CL93" s="180"/>
      <c r="CM93" s="180"/>
      <c r="CN93" s="180"/>
      <c r="CQ93" s="180"/>
      <c r="CR93" s="180"/>
      <c r="CS93" s="180"/>
      <c r="DS93" s="180"/>
      <c r="DT93" s="180"/>
      <c r="DU93" s="180"/>
    </row>
    <row r="94" spans="1:125" s="54" customFormat="1" hidden="1">
      <c r="A94" s="135">
        <f t="shared" si="6"/>
        <v>0</v>
      </c>
      <c r="B94" s="178" t="str">
        <f t="shared" si="8"/>
        <v/>
      </c>
      <c r="C94" s="178" t="str">
        <f>IFERROR(IF(R94&gt;0,INDEX('M03-S05'!$BC$18:$BC$342,2*(ROWS($C$67:C94)-1)+1),""),"")</f>
        <v/>
      </c>
      <c r="D94" s="180" t="s">
        <v>1443</v>
      </c>
      <c r="E94" s="178" t="str">
        <f>IFERROR(INDEX('M03-S05'!$AZ$18:$AZ$342,2*(ROWS($E$67:E94)-1)+1),"")</f>
        <v/>
      </c>
      <c r="F94" s="408"/>
      <c r="G94" s="408"/>
      <c r="H94" s="200">
        <f>IFERROR(INDEX('M03-S05'!$AA$18:$AA$342,2*(ROWS(H$67:H94)-1)+1),"")</f>
        <v>0</v>
      </c>
      <c r="I94" s="200">
        <f>IFERROR(INDEX('M03-S05'!$AC$18:$AC$342,2*(ROWS(I$67:I94)-1)+1),"")</f>
        <v>0</v>
      </c>
      <c r="J94" s="200" t="str">
        <f>IFERROR(INDEX('M03-S05'!$AT$18:$AT$342,2*(ROWS(J$67:J94)-1)+1),"")</f>
        <v/>
      </c>
      <c r="K94" s="178" t="s">
        <v>84</v>
      </c>
      <c r="L94" s="116">
        <f>IFERROR(ROUND(INDEX('M03-S05'!$V$18:$V$342,2*(ROWS(L$67:L94)-1)+1),3),"")</f>
        <v>0</v>
      </c>
      <c r="M94" s="116">
        <f>IFERROR(ROUND(INDEX('M03-S05'!$V$18:$V$342,2*(ROWS(M$67:M94)-1)+1),3),"")</f>
        <v>0</v>
      </c>
      <c r="N94" s="415" t="str">
        <f>IFERROR(INDEX('M03-S05'!$AV$18:$AV$342,2*(ROWS(N$67:N94)-1)+1),"")</f>
        <v/>
      </c>
      <c r="O94" s="415" t="str">
        <f>IFERROR(INDEX('M03-S05'!$BA$18:$BA$342,2*(ROWS(O$67:O94)-1)+1),"")</f>
        <v/>
      </c>
      <c r="P94" s="415" t="str">
        <f>IFERROR(INDEX('M03-S05'!$AW$18:$AW$342,2*(ROWS(P$67:P94)-1)+1),"")</f>
        <v/>
      </c>
      <c r="Q94" s="415" t="str">
        <f>IFERROR(INDEX('M03-S05'!$BB$18:$BB$342,2*(ROWS(Q$67:Q94)-1)+1),"")</f>
        <v/>
      </c>
      <c r="R94" s="200" t="str">
        <f>IFERROR(INDEX('M03-S05'!$AN$18:$AN$342,2*(ROWS(R$67:R94)-1)+1),"")</f>
        <v/>
      </c>
      <c r="S94" s="405"/>
      <c r="T94" s="405"/>
      <c r="U94" s="405"/>
      <c r="V94" s="325"/>
      <c r="W94" s="417"/>
      <c r="X94" s="417"/>
      <c r="Y94" s="408"/>
      <c r="Z94" s="408"/>
      <c r="AA94" s="418"/>
      <c r="AB94" s="418"/>
      <c r="AC94" s="325"/>
      <c r="AD94" s="415">
        <f>IFERROR(INDEX('M03-S05'!$AX$18:$AX$342,2*(ROWS(AD$67:AD94)-1)+1),"")</f>
        <v>0</v>
      </c>
      <c r="AE94" s="415">
        <f>IFERROR(INDEX('M03-S05'!$AY$18:$AY$342,2*(ROWS(AE$67:AE94)-1)+1),"")</f>
        <v>0</v>
      </c>
      <c r="AF94" s="408"/>
      <c r="AG94" s="408"/>
      <c r="AH94" s="408"/>
      <c r="AI94" s="178">
        <f>IFERROR(INDEX('M03-S05'!$B$18:$B$342,2*(ROWS(AI$67:AI94)-1)+1),"")</f>
        <v>28</v>
      </c>
      <c r="AJ94" s="325"/>
      <c r="AK94" s="178">
        <f>IFERROR(INDEX('M03-S05'!$C$18:$C$342,2*(ROWS(AK$67:AK94)-1)+1),"")</f>
        <v>0</v>
      </c>
      <c r="AL94" s="178" t="str">
        <f>IFERROR(INDEX('M03-S05'!$J$18:$J$342,2*(ROWS(AL$67:AL94)-1)+1)&amp;" "&amp;INDEX('M03-S05'!$L$18:$L$342,2*(ROWS(AL$67:AL94)-1)+1)&amp;", "&amp;INDEX('M03-S05'!$P$18:$P$342,2*(ROWS(AL$67:AL94)-1)+1)&amp;" "&amp;INDEX('M03-S05'!$R$18:$R$342,2*(ROWS(AL$67:AL94)-1)+1),"")</f>
        <v xml:space="preserve"> ,  </v>
      </c>
      <c r="AM94" s="178" t="str">
        <f>IFERROR(INDEX('M03-S05'!$J$18:$J$342,2*(ROWS(AM$67:AM94)-1)+1)&amp;" "&amp;INDEX('M03-S05'!$N$18:$N$342,2*(ROWS(AM$67:AM94)-1)+1)&amp;", "&amp;INDEX('M03-S05'!$P$18:$P$342,2*(ROWS(AM$67:AM94)-1)+1)&amp;" "&amp;INDEX('M03-S05'!$T$18:$T$342,2*(ROWS(AM$67:AM94)-1)+1),"")</f>
        <v xml:space="preserve"> ,  </v>
      </c>
      <c r="AN94" s="405"/>
      <c r="AO94" s="405"/>
      <c r="AP94" s="178" t="str">
        <f>IFERROR(INDEX('M03-S05'!$AU$18:$AU$342,2*(ROWS(AP$67:AP94)-1)+1),"")</f>
        <v/>
      </c>
      <c r="AQ94" s="325"/>
      <c r="AR94" s="178" t="str">
        <f>IFERROR(INDEX(STDHVAC[Reporting Methodology],MATCH(EXPORT!C94,STDHVAC[Measure Number],0)),"")</f>
        <v/>
      </c>
      <c r="AS94" s="178" t="str">
        <f>IFERROR(INDEX(STDHVAC[Primary Key],MATCH(C94,STDHVAC[Measure Number],0)),"")</f>
        <v/>
      </c>
      <c r="AT94" s="200" t="str">
        <f>IFERROR(INDEX('M03-S05'!$AN$18:$AN$342,2*(ROWS(AT$67:AT94)-1)+1)-MIN(INDEX('M03-S05'!$AT$18:$AT$342,2*(ROWS(AT$67:AT94)-1)+1),(ROUND(INDEX('M03-S05'!$V$18:$V$342,2*(ROWS(AT$67:AT94)-1)+1)*(INDEX('M03-S05'!$N$18:$N$342,2*(ROWS(AT$67:AT94)-1)+1)-INDEX('M03-S05'!$L$18:$L$342,2*(ROWS(AT$67:AT94)-1)+1))*INDEX(STDHVAC[Previous Incentive],MATCH('M03-S05'!C212,STDHVAC[Measure Name],0)),3))),"")</f>
        <v/>
      </c>
      <c r="AU94" s="278"/>
      <c r="AV94" s="278"/>
      <c r="AW94" s="278"/>
      <c r="AX94" s="278"/>
      <c r="AY94" s="278"/>
      <c r="AZ94" s="278"/>
      <c r="BA94" s="278"/>
      <c r="BB94" s="278"/>
      <c r="BC94" s="278"/>
      <c r="BD94" s="278"/>
      <c r="BE94" s="279"/>
      <c r="BL94" s="180"/>
      <c r="BP94" s="180"/>
      <c r="BQ94" s="180"/>
      <c r="BR94" s="180"/>
      <c r="CD94" s="180"/>
      <c r="CE94" s="180"/>
      <c r="CF94" s="180"/>
      <c r="CH94" s="180"/>
      <c r="CI94" s="180"/>
      <c r="CJ94" s="180"/>
      <c r="CK94" s="180"/>
      <c r="CL94" s="180"/>
      <c r="CM94" s="180"/>
      <c r="CN94" s="180"/>
      <c r="CQ94" s="180"/>
      <c r="CR94" s="180"/>
      <c r="CS94" s="180"/>
      <c r="DS94" s="180"/>
      <c r="DT94" s="180"/>
      <c r="DU94" s="180"/>
    </row>
    <row r="95" spans="1:125" s="54" customFormat="1" hidden="1">
      <c r="A95" s="135">
        <f t="shared" si="6"/>
        <v>0</v>
      </c>
      <c r="B95" s="178" t="str">
        <f t="shared" si="8"/>
        <v/>
      </c>
      <c r="C95" s="178" t="str">
        <f>IFERROR(IF(R95&gt;0,INDEX('M03-S05'!$BC$18:$BC$342,2*(ROWS($C$67:C95)-1)+1),""),"")</f>
        <v/>
      </c>
      <c r="D95" s="180" t="s">
        <v>1443</v>
      </c>
      <c r="E95" s="178" t="str">
        <f>IFERROR(INDEX('M03-S05'!$AZ$18:$AZ$342,2*(ROWS($E$67:E95)-1)+1),"")</f>
        <v/>
      </c>
      <c r="F95" s="408"/>
      <c r="G95" s="408"/>
      <c r="H95" s="200">
        <f>IFERROR(INDEX('M03-S05'!$AA$18:$AA$342,2*(ROWS(H$67:H95)-1)+1),"")</f>
        <v>0</v>
      </c>
      <c r="I95" s="200">
        <f>IFERROR(INDEX('M03-S05'!$AC$18:$AC$342,2*(ROWS(I$67:I95)-1)+1),"")</f>
        <v>0</v>
      </c>
      <c r="J95" s="200" t="str">
        <f>IFERROR(INDEX('M03-S05'!$AT$18:$AT$342,2*(ROWS(J$67:J95)-1)+1),"")</f>
        <v/>
      </c>
      <c r="K95" s="178" t="s">
        <v>84</v>
      </c>
      <c r="L95" s="116">
        <f>IFERROR(ROUND(INDEX('M03-S05'!$V$18:$V$342,2*(ROWS(L$67:L95)-1)+1),3),"")</f>
        <v>0</v>
      </c>
      <c r="M95" s="116">
        <f>IFERROR(ROUND(INDEX('M03-S05'!$V$18:$V$342,2*(ROWS(M$67:M95)-1)+1),3),"")</f>
        <v>0</v>
      </c>
      <c r="N95" s="415" t="str">
        <f>IFERROR(INDEX('M03-S05'!$AV$18:$AV$342,2*(ROWS(N$67:N95)-1)+1),"")</f>
        <v/>
      </c>
      <c r="O95" s="415" t="str">
        <f>IFERROR(INDEX('M03-S05'!$BA$18:$BA$342,2*(ROWS(O$67:O95)-1)+1),"")</f>
        <v/>
      </c>
      <c r="P95" s="415" t="str">
        <f>IFERROR(INDEX('M03-S05'!$AW$18:$AW$342,2*(ROWS(P$67:P95)-1)+1),"")</f>
        <v/>
      </c>
      <c r="Q95" s="415" t="str">
        <f>IFERROR(INDEX('M03-S05'!$BB$18:$BB$342,2*(ROWS(Q$67:Q95)-1)+1),"")</f>
        <v/>
      </c>
      <c r="R95" s="200" t="str">
        <f>IFERROR(INDEX('M03-S05'!$AN$18:$AN$342,2*(ROWS(R$67:R95)-1)+1),"")</f>
        <v/>
      </c>
      <c r="S95" s="405"/>
      <c r="T95" s="405"/>
      <c r="U95" s="405"/>
      <c r="V95" s="325"/>
      <c r="W95" s="417"/>
      <c r="X95" s="417"/>
      <c r="Y95" s="408"/>
      <c r="Z95" s="408"/>
      <c r="AA95" s="418"/>
      <c r="AB95" s="418"/>
      <c r="AC95" s="325"/>
      <c r="AD95" s="415">
        <f>IFERROR(INDEX('M03-S05'!$AX$18:$AX$342,2*(ROWS(AD$67:AD95)-1)+1),"")</f>
        <v>0</v>
      </c>
      <c r="AE95" s="415">
        <f>IFERROR(INDEX('M03-S05'!$AY$18:$AY$342,2*(ROWS(AE$67:AE95)-1)+1),"")</f>
        <v>0</v>
      </c>
      <c r="AF95" s="408"/>
      <c r="AG95" s="408"/>
      <c r="AH95" s="408"/>
      <c r="AI95" s="178">
        <f>IFERROR(INDEX('M03-S05'!$B$18:$B$342,2*(ROWS(AI$67:AI95)-1)+1),"")</f>
        <v>29</v>
      </c>
      <c r="AJ95" s="325"/>
      <c r="AK95" s="178">
        <f>IFERROR(INDEX('M03-S05'!$C$18:$C$342,2*(ROWS(AK$67:AK95)-1)+1),"")</f>
        <v>0</v>
      </c>
      <c r="AL95" s="178" t="str">
        <f>IFERROR(INDEX('M03-S05'!$J$18:$J$342,2*(ROWS(AL$67:AL95)-1)+1)&amp;" "&amp;INDEX('M03-S05'!$L$18:$L$342,2*(ROWS(AL$67:AL95)-1)+1)&amp;", "&amp;INDEX('M03-S05'!$P$18:$P$342,2*(ROWS(AL$67:AL95)-1)+1)&amp;" "&amp;INDEX('M03-S05'!$R$18:$R$342,2*(ROWS(AL$67:AL95)-1)+1),"")</f>
        <v xml:space="preserve"> ,  </v>
      </c>
      <c r="AM95" s="178" t="str">
        <f>IFERROR(INDEX('M03-S05'!$J$18:$J$342,2*(ROWS(AM$67:AM95)-1)+1)&amp;" "&amp;INDEX('M03-S05'!$N$18:$N$342,2*(ROWS(AM$67:AM95)-1)+1)&amp;", "&amp;INDEX('M03-S05'!$P$18:$P$342,2*(ROWS(AM$67:AM95)-1)+1)&amp;" "&amp;INDEX('M03-S05'!$T$18:$T$342,2*(ROWS(AM$67:AM95)-1)+1),"")</f>
        <v xml:space="preserve"> ,  </v>
      </c>
      <c r="AN95" s="405"/>
      <c r="AO95" s="405"/>
      <c r="AP95" s="178" t="str">
        <f>IFERROR(INDEX('M03-S05'!$AU$18:$AU$342,2*(ROWS(AP$67:AP95)-1)+1),"")</f>
        <v/>
      </c>
      <c r="AQ95" s="325"/>
      <c r="AR95" s="178" t="str">
        <f>IFERROR(INDEX(STDHVAC[Reporting Methodology],MATCH(EXPORT!C95,STDHVAC[Measure Number],0)),"")</f>
        <v/>
      </c>
      <c r="AS95" s="178" t="str">
        <f>IFERROR(INDEX(STDHVAC[Primary Key],MATCH(C95,STDHVAC[Measure Number],0)),"")</f>
        <v/>
      </c>
      <c r="AT95" s="200" t="str">
        <f>IFERROR(INDEX('M03-S05'!$AN$18:$AN$342,2*(ROWS(AT$67:AT95)-1)+1)-MIN(INDEX('M03-S05'!$AT$18:$AT$342,2*(ROWS(AT$67:AT95)-1)+1),(ROUND(INDEX('M03-S05'!$V$18:$V$342,2*(ROWS(AT$67:AT95)-1)+1)*(INDEX('M03-S05'!$N$18:$N$342,2*(ROWS(AT$67:AT95)-1)+1)-INDEX('M03-S05'!$L$18:$L$342,2*(ROWS(AT$67:AT95)-1)+1))*INDEX(STDHVAC[Previous Incentive],MATCH('M03-S05'!C213,STDHVAC[Measure Name],0)),3))),"")</f>
        <v/>
      </c>
      <c r="AU95" s="278"/>
      <c r="AV95" s="278"/>
      <c r="AW95" s="278"/>
      <c r="AX95" s="278"/>
      <c r="AY95" s="278"/>
      <c r="AZ95" s="278"/>
      <c r="BA95" s="278"/>
      <c r="BB95" s="278"/>
      <c r="BC95" s="278"/>
      <c r="BD95" s="278"/>
      <c r="BE95" s="279"/>
      <c r="BL95" s="180"/>
      <c r="BP95" s="180"/>
      <c r="BQ95" s="180"/>
      <c r="BR95" s="180"/>
      <c r="CD95" s="180"/>
      <c r="CE95" s="180"/>
      <c r="CF95" s="180"/>
      <c r="CH95" s="180"/>
      <c r="CI95" s="180"/>
      <c r="CJ95" s="180"/>
      <c r="CK95" s="180"/>
      <c r="CL95" s="180"/>
      <c r="CM95" s="180"/>
      <c r="CN95" s="180"/>
      <c r="CQ95" s="180"/>
      <c r="CR95" s="180"/>
      <c r="CS95" s="180"/>
      <c r="DS95" s="180"/>
      <c r="DT95" s="180"/>
      <c r="DU95" s="180"/>
    </row>
    <row r="96" spans="1:125" s="54" customFormat="1" hidden="1">
      <c r="A96" s="135">
        <f t="shared" si="6"/>
        <v>0</v>
      </c>
      <c r="B96" s="178" t="str">
        <f t="shared" si="8"/>
        <v/>
      </c>
      <c r="C96" s="178" t="str">
        <f>IFERROR(IF(R96&gt;0,INDEX('M03-S05'!$BC$18:$BC$342,2*(ROWS($C$67:C96)-1)+1),""),"")</f>
        <v/>
      </c>
      <c r="D96" s="180" t="s">
        <v>1443</v>
      </c>
      <c r="E96" s="178" t="str">
        <f>IFERROR(INDEX('M03-S05'!$AZ$18:$AZ$342,2*(ROWS($E$67:E96)-1)+1),"")</f>
        <v/>
      </c>
      <c r="F96" s="408"/>
      <c r="G96" s="408"/>
      <c r="H96" s="200">
        <f>IFERROR(INDEX('M03-S05'!$AA$18:$AA$342,2*(ROWS(H$67:H96)-1)+1),"")</f>
        <v>0</v>
      </c>
      <c r="I96" s="200">
        <f>IFERROR(INDEX('M03-S05'!$AC$18:$AC$342,2*(ROWS(I$67:I96)-1)+1),"")</f>
        <v>0</v>
      </c>
      <c r="J96" s="200" t="str">
        <f>IFERROR(INDEX('M03-S05'!$AT$18:$AT$342,2*(ROWS(J$67:J96)-1)+1),"")</f>
        <v/>
      </c>
      <c r="K96" s="178" t="s">
        <v>84</v>
      </c>
      <c r="L96" s="116">
        <f>IFERROR(ROUND(INDEX('M03-S05'!$V$18:$V$342,2*(ROWS(L$67:L96)-1)+1),3),"")</f>
        <v>0</v>
      </c>
      <c r="M96" s="116">
        <f>IFERROR(ROUND(INDEX('M03-S05'!$V$18:$V$342,2*(ROWS(M$67:M96)-1)+1),3),"")</f>
        <v>0</v>
      </c>
      <c r="N96" s="415" t="str">
        <f>IFERROR(INDEX('M03-S05'!$AV$18:$AV$342,2*(ROWS(N$67:N96)-1)+1),"")</f>
        <v/>
      </c>
      <c r="O96" s="415" t="str">
        <f>IFERROR(INDEX('M03-S05'!$BA$18:$BA$342,2*(ROWS(O$67:O96)-1)+1),"")</f>
        <v/>
      </c>
      <c r="P96" s="415" t="str">
        <f>IFERROR(INDEX('M03-S05'!$AW$18:$AW$342,2*(ROWS(P$67:P96)-1)+1),"")</f>
        <v/>
      </c>
      <c r="Q96" s="415" t="str">
        <f>IFERROR(INDEX('M03-S05'!$BB$18:$BB$342,2*(ROWS(Q$67:Q96)-1)+1),"")</f>
        <v/>
      </c>
      <c r="R96" s="200" t="str">
        <f>IFERROR(INDEX('M03-S05'!$AN$18:$AN$342,2*(ROWS(R$67:R96)-1)+1),"")</f>
        <v/>
      </c>
      <c r="S96" s="405"/>
      <c r="T96" s="405"/>
      <c r="U96" s="405"/>
      <c r="V96" s="325"/>
      <c r="W96" s="417"/>
      <c r="X96" s="417"/>
      <c r="Y96" s="408"/>
      <c r="Z96" s="408"/>
      <c r="AA96" s="418"/>
      <c r="AB96" s="418"/>
      <c r="AC96" s="325"/>
      <c r="AD96" s="415">
        <f>IFERROR(INDEX('M03-S05'!$AX$18:$AX$342,2*(ROWS(AD$67:AD96)-1)+1),"")</f>
        <v>0</v>
      </c>
      <c r="AE96" s="415">
        <f>IFERROR(INDEX('M03-S05'!$AY$18:$AY$342,2*(ROWS(AE$67:AE96)-1)+1),"")</f>
        <v>0</v>
      </c>
      <c r="AF96" s="408"/>
      <c r="AG96" s="408"/>
      <c r="AH96" s="408"/>
      <c r="AI96" s="178">
        <f>IFERROR(INDEX('M03-S05'!$B$18:$B$342,2*(ROWS(AI$67:AI96)-1)+1),"")</f>
        <v>30</v>
      </c>
      <c r="AJ96" s="325"/>
      <c r="AK96" s="178">
        <f>IFERROR(INDEX('M03-S05'!$C$18:$C$342,2*(ROWS(AK$67:AK96)-1)+1),"")</f>
        <v>0</v>
      </c>
      <c r="AL96" s="178" t="str">
        <f>IFERROR(INDEX('M03-S05'!$J$18:$J$342,2*(ROWS(AL$67:AL96)-1)+1)&amp;" "&amp;INDEX('M03-S05'!$L$18:$L$342,2*(ROWS(AL$67:AL96)-1)+1)&amp;", "&amp;INDEX('M03-S05'!$P$18:$P$342,2*(ROWS(AL$67:AL96)-1)+1)&amp;" "&amp;INDEX('M03-S05'!$R$18:$R$342,2*(ROWS(AL$67:AL96)-1)+1),"")</f>
        <v xml:space="preserve"> ,  </v>
      </c>
      <c r="AM96" s="178" t="str">
        <f>IFERROR(INDEX('M03-S05'!$J$18:$J$342,2*(ROWS(AM$67:AM96)-1)+1)&amp;" "&amp;INDEX('M03-S05'!$N$18:$N$342,2*(ROWS(AM$67:AM96)-1)+1)&amp;", "&amp;INDEX('M03-S05'!$P$18:$P$342,2*(ROWS(AM$67:AM96)-1)+1)&amp;" "&amp;INDEX('M03-S05'!$T$18:$T$342,2*(ROWS(AM$67:AM96)-1)+1),"")</f>
        <v xml:space="preserve"> ,  </v>
      </c>
      <c r="AN96" s="405"/>
      <c r="AO96" s="405"/>
      <c r="AP96" s="178" t="str">
        <f>IFERROR(INDEX('M03-S05'!$AU$18:$AU$342,2*(ROWS(AP$67:AP96)-1)+1),"")</f>
        <v/>
      </c>
      <c r="AQ96" s="325"/>
      <c r="AR96" s="178" t="str">
        <f>IFERROR(INDEX(STDHVAC[Reporting Methodology],MATCH(EXPORT!C96,STDHVAC[Measure Number],0)),"")</f>
        <v/>
      </c>
      <c r="AS96" s="178" t="str">
        <f>IFERROR(INDEX(STDHVAC[Primary Key],MATCH(C96,STDHVAC[Measure Number],0)),"")</f>
        <v/>
      </c>
      <c r="AT96" s="200" t="str">
        <f>IFERROR(INDEX('M03-S05'!$AN$18:$AN$342,2*(ROWS(AT$67:AT96)-1)+1)-MIN(INDEX('M03-S05'!$AT$18:$AT$342,2*(ROWS(AT$67:AT96)-1)+1),(ROUND(INDEX('M03-S05'!$V$18:$V$342,2*(ROWS(AT$67:AT96)-1)+1)*(INDEX('M03-S05'!$N$18:$N$342,2*(ROWS(AT$67:AT96)-1)+1)-INDEX('M03-S05'!$L$18:$L$342,2*(ROWS(AT$67:AT96)-1)+1))*INDEX(STDHVAC[Previous Incentive],MATCH('M03-S05'!C214,STDHVAC[Measure Name],0)),3))),"")</f>
        <v/>
      </c>
      <c r="AU96" s="278"/>
      <c r="AV96" s="278"/>
      <c r="AW96" s="278"/>
      <c r="AX96" s="278"/>
      <c r="AY96" s="278"/>
      <c r="AZ96" s="278"/>
      <c r="BA96" s="278"/>
      <c r="BB96" s="278"/>
      <c r="BC96" s="278"/>
      <c r="BD96" s="278"/>
      <c r="BE96" s="279"/>
      <c r="BL96" s="180"/>
      <c r="BP96" s="180"/>
      <c r="BQ96" s="180"/>
      <c r="BR96" s="180"/>
      <c r="CD96" s="180"/>
      <c r="CE96" s="180"/>
      <c r="CF96" s="180"/>
      <c r="CH96" s="180"/>
      <c r="CI96" s="180"/>
      <c r="CJ96" s="180"/>
      <c r="CK96" s="180"/>
      <c r="CL96" s="180"/>
      <c r="CM96" s="180"/>
      <c r="CN96" s="180"/>
      <c r="CQ96" s="180"/>
      <c r="CR96" s="180"/>
      <c r="CS96" s="180"/>
      <c r="DS96" s="180"/>
      <c r="DT96" s="180"/>
      <c r="DU96" s="180"/>
    </row>
    <row r="97" spans="1:125" s="54" customFormat="1" hidden="1">
      <c r="A97" s="135">
        <f t="shared" si="6"/>
        <v>0</v>
      </c>
      <c r="B97" s="178" t="str">
        <f t="shared" si="8"/>
        <v/>
      </c>
      <c r="C97" s="178" t="str">
        <f>IFERROR(IF(R97&gt;0,INDEX('M03-S05'!$BC$18:$BC$342,2*(ROWS($C$67:C97)-1)+1),""),"")</f>
        <v/>
      </c>
      <c r="D97" s="180" t="s">
        <v>1443</v>
      </c>
      <c r="E97" s="178" t="str">
        <f>IFERROR(INDEX('M03-S05'!$AZ$18:$AZ$342,2*(ROWS($E$67:E97)-1)+1),"")</f>
        <v/>
      </c>
      <c r="F97" s="408"/>
      <c r="G97" s="408"/>
      <c r="H97" s="200">
        <f>IFERROR(INDEX('M03-S05'!$AA$18:$AA$342,2*(ROWS(H$67:H97)-1)+1),"")</f>
        <v>0</v>
      </c>
      <c r="I97" s="200">
        <f>IFERROR(INDEX('M03-S05'!$AC$18:$AC$342,2*(ROWS(I$67:I97)-1)+1),"")</f>
        <v>0</v>
      </c>
      <c r="J97" s="200" t="str">
        <f>IFERROR(INDEX('M03-S05'!$AT$18:$AT$342,2*(ROWS(J$67:J97)-1)+1),"")</f>
        <v/>
      </c>
      <c r="K97" s="178" t="s">
        <v>84</v>
      </c>
      <c r="L97" s="116">
        <f>IFERROR(ROUND(INDEX('M03-S05'!$V$18:$V$342,2*(ROWS(L$67:L97)-1)+1),3),"")</f>
        <v>0</v>
      </c>
      <c r="M97" s="116">
        <f>IFERROR(ROUND(INDEX('M03-S05'!$V$18:$V$342,2*(ROWS(M$67:M97)-1)+1),3),"")</f>
        <v>0</v>
      </c>
      <c r="N97" s="415" t="str">
        <f>IFERROR(INDEX('M03-S05'!$AV$18:$AV$342,2*(ROWS(N$67:N97)-1)+1),"")</f>
        <v/>
      </c>
      <c r="O97" s="415" t="str">
        <f>IFERROR(INDEX('M03-S05'!$BA$18:$BA$342,2*(ROWS(O$67:O97)-1)+1),"")</f>
        <v/>
      </c>
      <c r="P97" s="415" t="str">
        <f>IFERROR(INDEX('M03-S05'!$AW$18:$AW$342,2*(ROWS(P$67:P97)-1)+1),"")</f>
        <v/>
      </c>
      <c r="Q97" s="415" t="str">
        <f>IFERROR(INDEX('M03-S05'!$BB$18:$BB$342,2*(ROWS(Q$67:Q97)-1)+1),"")</f>
        <v/>
      </c>
      <c r="R97" s="200" t="str">
        <f>IFERROR(INDEX('M03-S05'!$AN$18:$AN$342,2*(ROWS(R$67:R97)-1)+1),"")</f>
        <v/>
      </c>
      <c r="S97" s="405"/>
      <c r="T97" s="405"/>
      <c r="U97" s="405"/>
      <c r="V97" s="325"/>
      <c r="W97" s="417"/>
      <c r="X97" s="417"/>
      <c r="Y97" s="408"/>
      <c r="Z97" s="408"/>
      <c r="AA97" s="418"/>
      <c r="AB97" s="418"/>
      <c r="AC97" s="325"/>
      <c r="AD97" s="415">
        <f>IFERROR(INDEX('M03-S05'!$AX$18:$AX$342,2*(ROWS(AD$67:AD97)-1)+1),"")</f>
        <v>0</v>
      </c>
      <c r="AE97" s="415">
        <f>IFERROR(INDEX('M03-S05'!$AY$18:$AY$342,2*(ROWS(AE$67:AE97)-1)+1),"")</f>
        <v>0</v>
      </c>
      <c r="AF97" s="408"/>
      <c r="AG97" s="408"/>
      <c r="AH97" s="408"/>
      <c r="AI97" s="178">
        <f>IFERROR(INDEX('M03-S05'!$B$18:$B$342,2*(ROWS(AI$67:AI97)-1)+1),"")</f>
        <v>31</v>
      </c>
      <c r="AJ97" s="325"/>
      <c r="AK97" s="178">
        <f>IFERROR(INDEX('M03-S05'!$C$18:$C$342,2*(ROWS(AK$67:AK97)-1)+1),"")</f>
        <v>0</v>
      </c>
      <c r="AL97" s="178" t="str">
        <f>IFERROR(INDEX('M03-S05'!$J$18:$J$342,2*(ROWS(AL$67:AL97)-1)+1)&amp;" "&amp;INDEX('M03-S05'!$L$18:$L$342,2*(ROWS(AL$67:AL97)-1)+1)&amp;", "&amp;INDEX('M03-S05'!$P$18:$P$342,2*(ROWS(AL$67:AL97)-1)+1)&amp;" "&amp;INDEX('M03-S05'!$R$18:$R$342,2*(ROWS(AL$67:AL97)-1)+1),"")</f>
        <v xml:space="preserve"> ,  </v>
      </c>
      <c r="AM97" s="178" t="str">
        <f>IFERROR(INDEX('M03-S05'!$J$18:$J$342,2*(ROWS(AM$67:AM97)-1)+1)&amp;" "&amp;INDEX('M03-S05'!$N$18:$N$342,2*(ROWS(AM$67:AM97)-1)+1)&amp;", "&amp;INDEX('M03-S05'!$P$18:$P$342,2*(ROWS(AM$67:AM97)-1)+1)&amp;" "&amp;INDEX('M03-S05'!$T$18:$T$342,2*(ROWS(AM$67:AM97)-1)+1),"")</f>
        <v xml:space="preserve"> ,  </v>
      </c>
      <c r="AN97" s="405"/>
      <c r="AO97" s="405"/>
      <c r="AP97" s="178" t="str">
        <f>IFERROR(INDEX('M03-S05'!$AU$18:$AU$342,2*(ROWS(AP$67:AP97)-1)+1),"")</f>
        <v/>
      </c>
      <c r="AQ97" s="325"/>
      <c r="AR97" s="178" t="str">
        <f>IFERROR(INDEX(STDHVAC[Reporting Methodology],MATCH(EXPORT!C97,STDHVAC[Measure Number],0)),"")</f>
        <v/>
      </c>
      <c r="AS97" s="178" t="str">
        <f>IFERROR(INDEX(STDHVAC[Primary Key],MATCH(C97,STDHVAC[Measure Number],0)),"")</f>
        <v/>
      </c>
      <c r="AT97" s="200" t="str">
        <f>IFERROR(INDEX('M03-S05'!$AN$18:$AN$342,2*(ROWS(AT$67:AT97)-1)+1)-MIN(INDEX('M03-S05'!$AT$18:$AT$342,2*(ROWS(AT$67:AT97)-1)+1),(ROUND(INDEX('M03-S05'!$V$18:$V$342,2*(ROWS(AT$67:AT97)-1)+1)*(INDEX('M03-S05'!$N$18:$N$342,2*(ROWS(AT$67:AT97)-1)+1)-INDEX('M03-S05'!$L$18:$L$342,2*(ROWS(AT$67:AT97)-1)+1))*INDEX(STDHVAC[Previous Incentive],MATCH('M03-S05'!C215,STDHVAC[Measure Name],0)),3))),"")</f>
        <v/>
      </c>
      <c r="AU97" s="278"/>
      <c r="AV97" s="278"/>
      <c r="AW97" s="278"/>
      <c r="AX97" s="278"/>
      <c r="AY97" s="278"/>
      <c r="AZ97" s="278"/>
      <c r="BA97" s="278"/>
      <c r="BB97" s="278"/>
      <c r="BC97" s="278"/>
      <c r="BD97" s="278"/>
      <c r="BE97" s="279"/>
      <c r="BL97" s="180"/>
      <c r="BP97" s="180"/>
      <c r="BQ97" s="180"/>
      <c r="BR97" s="180"/>
      <c r="CD97" s="180"/>
      <c r="CE97" s="180"/>
      <c r="CF97" s="180"/>
      <c r="CH97" s="180"/>
      <c r="CI97" s="180"/>
      <c r="CJ97" s="180"/>
      <c r="CK97" s="180"/>
      <c r="CL97" s="180"/>
      <c r="CM97" s="180"/>
      <c r="CN97" s="180"/>
      <c r="CQ97" s="180"/>
      <c r="CR97" s="180"/>
      <c r="CS97" s="180"/>
      <c r="DS97" s="180"/>
      <c r="DT97" s="180"/>
      <c r="DU97" s="180"/>
    </row>
    <row r="98" spans="1:125" s="54" customFormat="1" hidden="1">
      <c r="A98" s="135">
        <f t="shared" si="6"/>
        <v>0</v>
      </c>
      <c r="B98" s="178" t="str">
        <f t="shared" si="8"/>
        <v/>
      </c>
      <c r="C98" s="178" t="str">
        <f>IFERROR(IF(R98&gt;0,INDEX('M03-S05'!$BC$18:$BC$342,2*(ROWS($C$67:C98)-1)+1),""),"")</f>
        <v/>
      </c>
      <c r="D98" s="180" t="s">
        <v>1443</v>
      </c>
      <c r="E98" s="178" t="str">
        <f>IFERROR(INDEX('M03-S05'!$AZ$18:$AZ$342,2*(ROWS($E$67:E98)-1)+1),"")</f>
        <v/>
      </c>
      <c r="F98" s="408"/>
      <c r="G98" s="408"/>
      <c r="H98" s="200">
        <f>IFERROR(INDEX('M03-S05'!$AA$18:$AA$342,2*(ROWS(H$67:H98)-1)+1),"")</f>
        <v>0</v>
      </c>
      <c r="I98" s="200">
        <f>IFERROR(INDEX('M03-S05'!$AC$18:$AC$342,2*(ROWS(I$67:I98)-1)+1),"")</f>
        <v>0</v>
      </c>
      <c r="J98" s="200" t="str">
        <f>IFERROR(INDEX('M03-S05'!$AT$18:$AT$342,2*(ROWS(J$67:J98)-1)+1),"")</f>
        <v/>
      </c>
      <c r="K98" s="178" t="s">
        <v>84</v>
      </c>
      <c r="L98" s="116">
        <f>IFERROR(ROUND(INDEX('M03-S05'!$V$18:$V$342,2*(ROWS(L$67:L98)-1)+1),3),"")</f>
        <v>0</v>
      </c>
      <c r="M98" s="116">
        <f>IFERROR(ROUND(INDEX('M03-S05'!$V$18:$V$342,2*(ROWS(M$67:M98)-1)+1),3),"")</f>
        <v>0</v>
      </c>
      <c r="N98" s="415" t="str">
        <f>IFERROR(INDEX('M03-S05'!$AV$18:$AV$342,2*(ROWS(N$67:N98)-1)+1),"")</f>
        <v/>
      </c>
      <c r="O98" s="415" t="str">
        <f>IFERROR(INDEX('M03-S05'!$BA$18:$BA$342,2*(ROWS(O$67:O98)-1)+1),"")</f>
        <v/>
      </c>
      <c r="P98" s="415" t="str">
        <f>IFERROR(INDEX('M03-S05'!$AW$18:$AW$342,2*(ROWS(P$67:P98)-1)+1),"")</f>
        <v/>
      </c>
      <c r="Q98" s="415" t="str">
        <f>IFERROR(INDEX('M03-S05'!$BB$18:$BB$342,2*(ROWS(Q$67:Q98)-1)+1),"")</f>
        <v/>
      </c>
      <c r="R98" s="200" t="str">
        <f>IFERROR(INDEX('M03-S05'!$AN$18:$AN$342,2*(ROWS(R$67:R98)-1)+1),"")</f>
        <v/>
      </c>
      <c r="S98" s="405"/>
      <c r="T98" s="405"/>
      <c r="U98" s="405"/>
      <c r="V98" s="325"/>
      <c r="W98" s="417"/>
      <c r="X98" s="417"/>
      <c r="Y98" s="408"/>
      <c r="Z98" s="408"/>
      <c r="AA98" s="418"/>
      <c r="AB98" s="418"/>
      <c r="AC98" s="325"/>
      <c r="AD98" s="415">
        <f>IFERROR(INDEX('M03-S05'!$AX$18:$AX$342,2*(ROWS(AD$67:AD98)-1)+1),"")</f>
        <v>0</v>
      </c>
      <c r="AE98" s="415">
        <f>IFERROR(INDEX('M03-S05'!$AY$18:$AY$342,2*(ROWS(AE$67:AE98)-1)+1),"")</f>
        <v>0</v>
      </c>
      <c r="AF98" s="408"/>
      <c r="AG98" s="408"/>
      <c r="AH98" s="408"/>
      <c r="AI98" s="178">
        <f>IFERROR(INDEX('M03-S05'!$B$18:$B$342,2*(ROWS(AI$67:AI98)-1)+1),"")</f>
        <v>32</v>
      </c>
      <c r="AJ98" s="325"/>
      <c r="AK98" s="178">
        <f>IFERROR(INDEX('M03-S05'!$C$18:$C$342,2*(ROWS(AK$67:AK98)-1)+1),"")</f>
        <v>0</v>
      </c>
      <c r="AL98" s="178" t="str">
        <f>IFERROR(INDEX('M03-S05'!$J$18:$J$342,2*(ROWS(AL$67:AL98)-1)+1)&amp;" "&amp;INDEX('M03-S05'!$L$18:$L$342,2*(ROWS(AL$67:AL98)-1)+1)&amp;", "&amp;INDEX('M03-S05'!$P$18:$P$342,2*(ROWS(AL$67:AL98)-1)+1)&amp;" "&amp;INDEX('M03-S05'!$R$18:$R$342,2*(ROWS(AL$67:AL98)-1)+1),"")</f>
        <v xml:space="preserve"> ,  </v>
      </c>
      <c r="AM98" s="178" t="str">
        <f>IFERROR(INDEX('M03-S05'!$J$18:$J$342,2*(ROWS(AM$67:AM98)-1)+1)&amp;" "&amp;INDEX('M03-S05'!$N$18:$N$342,2*(ROWS(AM$67:AM98)-1)+1)&amp;", "&amp;INDEX('M03-S05'!$P$18:$P$342,2*(ROWS(AM$67:AM98)-1)+1)&amp;" "&amp;INDEX('M03-S05'!$T$18:$T$342,2*(ROWS(AM$67:AM98)-1)+1),"")</f>
        <v xml:space="preserve"> ,  </v>
      </c>
      <c r="AN98" s="405"/>
      <c r="AO98" s="405"/>
      <c r="AP98" s="178" t="str">
        <f>IFERROR(INDEX('M03-S05'!$AU$18:$AU$342,2*(ROWS(AP$67:AP98)-1)+1),"")</f>
        <v/>
      </c>
      <c r="AQ98" s="325"/>
      <c r="AR98" s="178" t="str">
        <f>IFERROR(INDEX(STDHVAC[Reporting Methodology],MATCH(EXPORT!C98,STDHVAC[Measure Number],0)),"")</f>
        <v/>
      </c>
      <c r="AS98" s="178" t="str">
        <f>IFERROR(INDEX(STDHVAC[Primary Key],MATCH(C98,STDHVAC[Measure Number],0)),"")</f>
        <v/>
      </c>
      <c r="AT98" s="200" t="str">
        <f>IFERROR(INDEX('M03-S05'!$AN$18:$AN$342,2*(ROWS(AT$67:AT98)-1)+1)-MIN(INDEX('M03-S05'!$AT$18:$AT$342,2*(ROWS(AT$67:AT98)-1)+1),(ROUND(INDEX('M03-S05'!$V$18:$V$342,2*(ROWS(AT$67:AT98)-1)+1)*(INDEX('M03-S05'!$N$18:$N$342,2*(ROWS(AT$67:AT98)-1)+1)-INDEX('M03-S05'!$L$18:$L$342,2*(ROWS(AT$67:AT98)-1)+1))*INDEX(STDHVAC[Previous Incentive],MATCH('M03-S05'!C216,STDHVAC[Measure Name],0)),3))),"")</f>
        <v/>
      </c>
      <c r="AU98" s="278"/>
      <c r="AV98" s="278"/>
      <c r="AW98" s="278"/>
      <c r="AX98" s="278"/>
      <c r="AY98" s="278"/>
      <c r="AZ98" s="278"/>
      <c r="BA98" s="278"/>
      <c r="BB98" s="278"/>
      <c r="BC98" s="278"/>
      <c r="BD98" s="278"/>
      <c r="BE98" s="279"/>
      <c r="BL98" s="180"/>
      <c r="BP98" s="180"/>
      <c r="BQ98" s="180"/>
      <c r="BR98" s="180"/>
      <c r="CD98" s="180"/>
      <c r="CE98" s="180"/>
      <c r="CF98" s="180"/>
      <c r="CH98" s="180"/>
      <c r="CI98" s="180"/>
      <c r="CJ98" s="180"/>
      <c r="CK98" s="180"/>
      <c r="CL98" s="180"/>
      <c r="CM98" s="180"/>
      <c r="CN98" s="180"/>
      <c r="CQ98" s="180"/>
      <c r="CR98" s="180"/>
      <c r="CS98" s="180"/>
      <c r="DS98" s="180"/>
      <c r="DT98" s="180"/>
      <c r="DU98" s="180"/>
    </row>
    <row r="99" spans="1:125" s="54" customFormat="1" hidden="1">
      <c r="A99" s="135">
        <f t="shared" si="6"/>
        <v>0</v>
      </c>
      <c r="B99" s="178" t="str">
        <f t="shared" si="8"/>
        <v/>
      </c>
      <c r="C99" s="178" t="str">
        <f>IFERROR(IF(R99&gt;0,INDEX('M03-S05'!$BC$18:$BC$342,2*(ROWS($C$67:C99)-1)+1),""),"")</f>
        <v/>
      </c>
      <c r="D99" s="180" t="s">
        <v>1443</v>
      </c>
      <c r="E99" s="178" t="str">
        <f>IFERROR(INDEX('M03-S05'!$AZ$18:$AZ$342,2*(ROWS($E$67:E99)-1)+1),"")</f>
        <v/>
      </c>
      <c r="F99" s="408"/>
      <c r="G99" s="408"/>
      <c r="H99" s="200">
        <f>IFERROR(INDEX('M03-S05'!$AA$18:$AA$342,2*(ROWS(H$67:H99)-1)+1),"")</f>
        <v>0</v>
      </c>
      <c r="I99" s="200">
        <f>IFERROR(INDEX('M03-S05'!$AC$18:$AC$342,2*(ROWS(I$67:I99)-1)+1),"")</f>
        <v>0</v>
      </c>
      <c r="J99" s="200" t="str">
        <f>IFERROR(INDEX('M03-S05'!$AT$18:$AT$342,2*(ROWS(J$67:J99)-1)+1),"")</f>
        <v/>
      </c>
      <c r="K99" s="178" t="s">
        <v>84</v>
      </c>
      <c r="L99" s="116">
        <f>IFERROR(ROUND(INDEX('M03-S05'!$V$18:$V$342,2*(ROWS(L$67:L99)-1)+1),3),"")</f>
        <v>0</v>
      </c>
      <c r="M99" s="116">
        <f>IFERROR(ROUND(INDEX('M03-S05'!$V$18:$V$342,2*(ROWS(M$67:M99)-1)+1),3),"")</f>
        <v>0</v>
      </c>
      <c r="N99" s="415" t="str">
        <f>IFERROR(INDEX('M03-S05'!$AV$18:$AV$342,2*(ROWS(N$67:N99)-1)+1),"")</f>
        <v/>
      </c>
      <c r="O99" s="415" t="str">
        <f>IFERROR(INDEX('M03-S05'!$BA$18:$BA$342,2*(ROWS(O$67:O99)-1)+1),"")</f>
        <v/>
      </c>
      <c r="P99" s="415" t="str">
        <f>IFERROR(INDEX('M03-S05'!$AW$18:$AW$342,2*(ROWS(P$67:P99)-1)+1),"")</f>
        <v/>
      </c>
      <c r="Q99" s="415" t="str">
        <f>IFERROR(INDEX('M03-S05'!$BB$18:$BB$342,2*(ROWS(Q$67:Q99)-1)+1),"")</f>
        <v/>
      </c>
      <c r="R99" s="200" t="str">
        <f>IFERROR(INDEX('M03-S05'!$AN$18:$AN$342,2*(ROWS(R$67:R99)-1)+1),"")</f>
        <v/>
      </c>
      <c r="S99" s="405"/>
      <c r="T99" s="405"/>
      <c r="U99" s="405"/>
      <c r="V99" s="325"/>
      <c r="W99" s="417"/>
      <c r="X99" s="417"/>
      <c r="Y99" s="408"/>
      <c r="Z99" s="408"/>
      <c r="AA99" s="418"/>
      <c r="AB99" s="418"/>
      <c r="AC99" s="325"/>
      <c r="AD99" s="415">
        <f>IFERROR(INDEX('M03-S05'!$AX$18:$AX$342,2*(ROWS(AD$67:AD99)-1)+1),"")</f>
        <v>0</v>
      </c>
      <c r="AE99" s="415">
        <f>IFERROR(INDEX('M03-S05'!$AY$18:$AY$342,2*(ROWS(AE$67:AE99)-1)+1),"")</f>
        <v>0</v>
      </c>
      <c r="AF99" s="408"/>
      <c r="AG99" s="408"/>
      <c r="AH99" s="408"/>
      <c r="AI99" s="178">
        <f>IFERROR(INDEX('M03-S05'!$B$18:$B$342,2*(ROWS(AI$67:AI99)-1)+1),"")</f>
        <v>33</v>
      </c>
      <c r="AJ99" s="325"/>
      <c r="AK99" s="178">
        <f>IFERROR(INDEX('M03-S05'!$C$18:$C$342,2*(ROWS(AK$67:AK99)-1)+1),"")</f>
        <v>0</v>
      </c>
      <c r="AL99" s="178" t="str">
        <f>IFERROR(INDEX('M03-S05'!$J$18:$J$342,2*(ROWS(AL$67:AL99)-1)+1)&amp;" "&amp;INDEX('M03-S05'!$L$18:$L$342,2*(ROWS(AL$67:AL99)-1)+1)&amp;", "&amp;INDEX('M03-S05'!$P$18:$P$342,2*(ROWS(AL$67:AL99)-1)+1)&amp;" "&amp;INDEX('M03-S05'!$R$18:$R$342,2*(ROWS(AL$67:AL99)-1)+1),"")</f>
        <v xml:space="preserve"> ,  </v>
      </c>
      <c r="AM99" s="178" t="str">
        <f>IFERROR(INDEX('M03-S05'!$J$18:$J$342,2*(ROWS(AM$67:AM99)-1)+1)&amp;" "&amp;INDEX('M03-S05'!$N$18:$N$342,2*(ROWS(AM$67:AM99)-1)+1)&amp;", "&amp;INDEX('M03-S05'!$P$18:$P$342,2*(ROWS(AM$67:AM99)-1)+1)&amp;" "&amp;INDEX('M03-S05'!$T$18:$T$342,2*(ROWS(AM$67:AM99)-1)+1),"")</f>
        <v xml:space="preserve"> ,  </v>
      </c>
      <c r="AN99" s="405"/>
      <c r="AO99" s="405"/>
      <c r="AP99" s="178" t="str">
        <f>IFERROR(INDEX('M03-S05'!$AU$18:$AU$342,2*(ROWS(AP$67:AP99)-1)+1),"")</f>
        <v/>
      </c>
      <c r="AQ99" s="325"/>
      <c r="AR99" s="178" t="str">
        <f>IFERROR(INDEX(STDHVAC[Reporting Methodology],MATCH(EXPORT!C99,STDHVAC[Measure Number],0)),"")</f>
        <v/>
      </c>
      <c r="AS99" s="178" t="str">
        <f>IFERROR(INDEX(STDHVAC[Primary Key],MATCH(C99,STDHVAC[Measure Number],0)),"")</f>
        <v/>
      </c>
      <c r="AT99" s="200" t="str">
        <f>IFERROR(INDEX('M03-S05'!$AN$18:$AN$342,2*(ROWS(AT$67:AT99)-1)+1)-MIN(INDEX('M03-S05'!$AT$18:$AT$342,2*(ROWS(AT$67:AT99)-1)+1),(ROUND(INDEX('M03-S05'!$V$18:$V$342,2*(ROWS(AT$67:AT99)-1)+1)*(INDEX('M03-S05'!$N$18:$N$342,2*(ROWS(AT$67:AT99)-1)+1)-INDEX('M03-S05'!$L$18:$L$342,2*(ROWS(AT$67:AT99)-1)+1))*INDEX(STDHVAC[Previous Incentive],MATCH('M03-S05'!C217,STDHVAC[Measure Name],0)),3))),"")</f>
        <v/>
      </c>
      <c r="AU99" s="278"/>
      <c r="AV99" s="278"/>
      <c r="AW99" s="278"/>
      <c r="AX99" s="278"/>
      <c r="AY99" s="278"/>
      <c r="AZ99" s="278"/>
      <c r="BA99" s="278"/>
      <c r="BB99" s="278"/>
      <c r="BC99" s="278"/>
      <c r="BD99" s="278"/>
      <c r="BE99" s="279"/>
      <c r="BL99" s="180"/>
      <c r="BP99" s="180"/>
      <c r="BQ99" s="180"/>
      <c r="BR99" s="180"/>
      <c r="CD99" s="180"/>
      <c r="CE99" s="180"/>
      <c r="CF99" s="180"/>
      <c r="CH99" s="180"/>
      <c r="CI99" s="180"/>
      <c r="CJ99" s="180"/>
      <c r="CK99" s="180"/>
      <c r="CL99" s="180"/>
      <c r="CM99" s="180"/>
      <c r="CN99" s="180"/>
      <c r="CQ99" s="180"/>
      <c r="CR99" s="180"/>
      <c r="CS99" s="180"/>
      <c r="DS99" s="180"/>
      <c r="DT99" s="180"/>
      <c r="DU99" s="180"/>
    </row>
    <row r="100" spans="1:125" s="54" customFormat="1" hidden="1">
      <c r="A100" s="135">
        <f t="shared" si="6"/>
        <v>0</v>
      </c>
      <c r="B100" s="178" t="str">
        <f t="shared" si="8"/>
        <v/>
      </c>
      <c r="C100" s="178" t="str">
        <f>IFERROR(IF(R100&gt;0,INDEX('M03-S05'!$BC$18:$BC$342,2*(ROWS($C$67:C100)-1)+1),""),"")</f>
        <v/>
      </c>
      <c r="D100" s="180" t="s">
        <v>1443</v>
      </c>
      <c r="E100" s="178" t="str">
        <f>IFERROR(INDEX('M03-S05'!$AZ$18:$AZ$342,2*(ROWS($E$67:E100)-1)+1),"")</f>
        <v/>
      </c>
      <c r="F100" s="408"/>
      <c r="G100" s="408"/>
      <c r="H100" s="200">
        <f>IFERROR(INDEX('M03-S05'!$AA$18:$AA$342,2*(ROWS(H$67:H100)-1)+1),"")</f>
        <v>0</v>
      </c>
      <c r="I100" s="200">
        <f>IFERROR(INDEX('M03-S05'!$AC$18:$AC$342,2*(ROWS(I$67:I100)-1)+1),"")</f>
        <v>0</v>
      </c>
      <c r="J100" s="200" t="str">
        <f>IFERROR(INDEX('M03-S05'!$AT$18:$AT$342,2*(ROWS(J$67:J100)-1)+1),"")</f>
        <v/>
      </c>
      <c r="K100" s="178" t="s">
        <v>84</v>
      </c>
      <c r="L100" s="116">
        <f>IFERROR(ROUND(INDEX('M03-S05'!$V$18:$V$342,2*(ROWS(L$67:L100)-1)+1),3),"")</f>
        <v>0</v>
      </c>
      <c r="M100" s="116">
        <f>IFERROR(ROUND(INDEX('M03-S05'!$V$18:$V$342,2*(ROWS(M$67:M100)-1)+1),3),"")</f>
        <v>0</v>
      </c>
      <c r="N100" s="415" t="str">
        <f>IFERROR(INDEX('M03-S05'!$AV$18:$AV$342,2*(ROWS(N$67:N100)-1)+1),"")</f>
        <v/>
      </c>
      <c r="O100" s="415" t="str">
        <f>IFERROR(INDEX('M03-S05'!$BA$18:$BA$342,2*(ROWS(O$67:O100)-1)+1),"")</f>
        <v/>
      </c>
      <c r="P100" s="415" t="str">
        <f>IFERROR(INDEX('M03-S05'!$AW$18:$AW$342,2*(ROWS(P$67:P100)-1)+1),"")</f>
        <v/>
      </c>
      <c r="Q100" s="415" t="str">
        <f>IFERROR(INDEX('M03-S05'!$BB$18:$BB$342,2*(ROWS(Q$67:Q100)-1)+1),"")</f>
        <v/>
      </c>
      <c r="R100" s="200" t="str">
        <f>IFERROR(INDEX('M03-S05'!$AN$18:$AN$342,2*(ROWS(R$67:R100)-1)+1),"")</f>
        <v/>
      </c>
      <c r="S100" s="405"/>
      <c r="T100" s="405"/>
      <c r="U100" s="405"/>
      <c r="V100" s="325"/>
      <c r="W100" s="417"/>
      <c r="X100" s="417"/>
      <c r="Y100" s="408"/>
      <c r="Z100" s="408"/>
      <c r="AA100" s="418"/>
      <c r="AB100" s="418"/>
      <c r="AC100" s="325"/>
      <c r="AD100" s="415">
        <f>IFERROR(INDEX('M03-S05'!$AX$18:$AX$342,2*(ROWS(AD$67:AD100)-1)+1),"")</f>
        <v>0</v>
      </c>
      <c r="AE100" s="415">
        <f>IFERROR(INDEX('M03-S05'!$AY$18:$AY$342,2*(ROWS(AE$67:AE100)-1)+1),"")</f>
        <v>0</v>
      </c>
      <c r="AF100" s="408"/>
      <c r="AG100" s="408"/>
      <c r="AH100" s="408"/>
      <c r="AI100" s="178">
        <f>IFERROR(INDEX('M03-S05'!$B$18:$B$342,2*(ROWS(AI$67:AI100)-1)+1),"")</f>
        <v>34</v>
      </c>
      <c r="AJ100" s="325"/>
      <c r="AK100" s="178">
        <f>IFERROR(INDEX('M03-S05'!$C$18:$C$342,2*(ROWS(AK$67:AK100)-1)+1),"")</f>
        <v>0</v>
      </c>
      <c r="AL100" s="178" t="str">
        <f>IFERROR(INDEX('M03-S05'!$J$18:$J$342,2*(ROWS(AL$67:AL100)-1)+1)&amp;" "&amp;INDEX('M03-S05'!$L$18:$L$342,2*(ROWS(AL$67:AL100)-1)+1)&amp;", "&amp;INDEX('M03-S05'!$P$18:$P$342,2*(ROWS(AL$67:AL100)-1)+1)&amp;" "&amp;INDEX('M03-S05'!$R$18:$R$342,2*(ROWS(AL$67:AL100)-1)+1),"")</f>
        <v xml:space="preserve"> ,  </v>
      </c>
      <c r="AM100" s="178" t="str">
        <f>IFERROR(INDEX('M03-S05'!$J$18:$J$342,2*(ROWS(AM$67:AM100)-1)+1)&amp;" "&amp;INDEX('M03-S05'!$N$18:$N$342,2*(ROWS(AM$67:AM100)-1)+1)&amp;", "&amp;INDEX('M03-S05'!$P$18:$P$342,2*(ROWS(AM$67:AM100)-1)+1)&amp;" "&amp;INDEX('M03-S05'!$T$18:$T$342,2*(ROWS(AM$67:AM100)-1)+1),"")</f>
        <v xml:space="preserve"> ,  </v>
      </c>
      <c r="AN100" s="405"/>
      <c r="AO100" s="405"/>
      <c r="AP100" s="178" t="str">
        <f>IFERROR(INDEX('M03-S05'!$AU$18:$AU$342,2*(ROWS(AP$67:AP100)-1)+1),"")</f>
        <v/>
      </c>
      <c r="AQ100" s="325"/>
      <c r="AR100" s="178" t="str">
        <f>IFERROR(INDEX(STDHVAC[Reporting Methodology],MATCH(EXPORT!C100,STDHVAC[Measure Number],0)),"")</f>
        <v/>
      </c>
      <c r="AS100" s="178" t="str">
        <f>IFERROR(INDEX(STDHVAC[Primary Key],MATCH(C100,STDHVAC[Measure Number],0)),"")</f>
        <v/>
      </c>
      <c r="AT100" s="200" t="str">
        <f>IFERROR(INDEX('M03-S05'!$AN$18:$AN$342,2*(ROWS(AT$67:AT100)-1)+1)-MIN(INDEX('M03-S05'!$AT$18:$AT$342,2*(ROWS(AT$67:AT100)-1)+1),(ROUND(INDEX('M03-S05'!$V$18:$V$342,2*(ROWS(AT$67:AT100)-1)+1)*(INDEX('M03-S05'!$N$18:$N$342,2*(ROWS(AT$67:AT100)-1)+1)-INDEX('M03-S05'!$L$18:$L$342,2*(ROWS(AT$67:AT100)-1)+1))*INDEX(STDHVAC[Previous Incentive],MATCH('M03-S05'!C218,STDHVAC[Measure Name],0)),3))),"")</f>
        <v/>
      </c>
      <c r="AU100" s="278"/>
      <c r="AV100" s="278"/>
      <c r="AW100" s="278"/>
      <c r="AX100" s="278"/>
      <c r="AY100" s="278"/>
      <c r="AZ100" s="278"/>
      <c r="BA100" s="278"/>
      <c r="BB100" s="278"/>
      <c r="BC100" s="278"/>
      <c r="BD100" s="278"/>
      <c r="BE100" s="279"/>
      <c r="BL100" s="180"/>
      <c r="BP100" s="180"/>
      <c r="BQ100" s="180"/>
      <c r="BR100" s="180"/>
      <c r="CD100" s="180"/>
      <c r="CE100" s="180"/>
      <c r="CF100" s="180"/>
      <c r="CH100" s="180"/>
      <c r="CI100" s="180"/>
      <c r="CJ100" s="180"/>
      <c r="CK100" s="180"/>
      <c r="CL100" s="180"/>
      <c r="CM100" s="180"/>
      <c r="CN100" s="180"/>
      <c r="CQ100" s="180"/>
      <c r="CR100" s="180"/>
      <c r="CS100" s="180"/>
      <c r="DS100" s="180"/>
      <c r="DT100" s="180"/>
      <c r="DU100" s="180"/>
    </row>
    <row r="101" spans="1:125" s="54" customFormat="1" hidden="1">
      <c r="A101" s="135">
        <f t="shared" si="6"/>
        <v>0</v>
      </c>
      <c r="B101" s="178" t="str">
        <f t="shared" si="8"/>
        <v/>
      </c>
      <c r="C101" s="178" t="str">
        <f>IFERROR(IF(R101&gt;0,INDEX('M03-S05'!$BC$18:$BC$342,2*(ROWS($C$67:C101)-1)+1),""),"")</f>
        <v/>
      </c>
      <c r="D101" s="180" t="s">
        <v>1443</v>
      </c>
      <c r="E101" s="178" t="str">
        <f>IFERROR(INDEX('M03-S05'!$AZ$18:$AZ$342,2*(ROWS($E$67:E101)-1)+1),"")</f>
        <v/>
      </c>
      <c r="F101" s="408"/>
      <c r="G101" s="408"/>
      <c r="H101" s="200">
        <f>IFERROR(INDEX('M03-S05'!$AA$18:$AA$342,2*(ROWS(H$67:H101)-1)+1),"")</f>
        <v>0</v>
      </c>
      <c r="I101" s="200">
        <f>IFERROR(INDEX('M03-S05'!$AC$18:$AC$342,2*(ROWS(I$67:I101)-1)+1),"")</f>
        <v>0</v>
      </c>
      <c r="J101" s="200" t="str">
        <f>IFERROR(INDEX('M03-S05'!$AT$18:$AT$342,2*(ROWS(J$67:J101)-1)+1),"")</f>
        <v/>
      </c>
      <c r="K101" s="178" t="s">
        <v>84</v>
      </c>
      <c r="L101" s="116">
        <f>IFERROR(ROUND(INDEX('M03-S05'!$V$18:$V$342,2*(ROWS(L$67:L101)-1)+1),3),"")</f>
        <v>0</v>
      </c>
      <c r="M101" s="116">
        <f>IFERROR(ROUND(INDEX('M03-S05'!$V$18:$V$342,2*(ROWS(M$67:M101)-1)+1),3),"")</f>
        <v>0</v>
      </c>
      <c r="N101" s="415" t="str">
        <f>IFERROR(INDEX('M03-S05'!$AV$18:$AV$342,2*(ROWS(N$67:N101)-1)+1),"")</f>
        <v/>
      </c>
      <c r="O101" s="415" t="str">
        <f>IFERROR(INDEX('M03-S05'!$BA$18:$BA$342,2*(ROWS(O$67:O101)-1)+1),"")</f>
        <v/>
      </c>
      <c r="P101" s="415" t="str">
        <f>IFERROR(INDEX('M03-S05'!$AW$18:$AW$342,2*(ROWS(P$67:P101)-1)+1),"")</f>
        <v/>
      </c>
      <c r="Q101" s="415" t="str">
        <f>IFERROR(INDEX('M03-S05'!$BB$18:$BB$342,2*(ROWS(Q$67:Q101)-1)+1),"")</f>
        <v/>
      </c>
      <c r="R101" s="200" t="str">
        <f>IFERROR(INDEX('M03-S05'!$AN$18:$AN$342,2*(ROWS(R$67:R101)-1)+1),"")</f>
        <v/>
      </c>
      <c r="S101" s="405"/>
      <c r="T101" s="405"/>
      <c r="U101" s="405"/>
      <c r="V101" s="325"/>
      <c r="W101" s="417"/>
      <c r="X101" s="417"/>
      <c r="Y101" s="408"/>
      <c r="Z101" s="408"/>
      <c r="AA101" s="418"/>
      <c r="AB101" s="418"/>
      <c r="AC101" s="325"/>
      <c r="AD101" s="415">
        <f>IFERROR(INDEX('M03-S05'!$AX$18:$AX$342,2*(ROWS(AD$67:AD101)-1)+1),"")</f>
        <v>0</v>
      </c>
      <c r="AE101" s="415">
        <f>IFERROR(INDEX('M03-S05'!$AY$18:$AY$342,2*(ROWS(AE$67:AE101)-1)+1),"")</f>
        <v>0</v>
      </c>
      <c r="AF101" s="408"/>
      <c r="AG101" s="408"/>
      <c r="AH101" s="408"/>
      <c r="AI101" s="178">
        <f>IFERROR(INDEX('M03-S05'!$B$18:$B$342,2*(ROWS(AI$67:AI101)-1)+1),"")</f>
        <v>35</v>
      </c>
      <c r="AJ101" s="325"/>
      <c r="AK101" s="178">
        <f>IFERROR(INDEX('M03-S05'!$C$18:$C$342,2*(ROWS(AK$67:AK101)-1)+1),"")</f>
        <v>0</v>
      </c>
      <c r="AL101" s="178" t="str">
        <f>IFERROR(INDEX('M03-S05'!$J$18:$J$342,2*(ROWS(AL$67:AL101)-1)+1)&amp;" "&amp;INDEX('M03-S05'!$L$18:$L$342,2*(ROWS(AL$67:AL101)-1)+1)&amp;", "&amp;INDEX('M03-S05'!$P$18:$P$342,2*(ROWS(AL$67:AL101)-1)+1)&amp;" "&amp;INDEX('M03-S05'!$R$18:$R$342,2*(ROWS(AL$67:AL101)-1)+1),"")</f>
        <v xml:space="preserve"> ,  </v>
      </c>
      <c r="AM101" s="178" t="str">
        <f>IFERROR(INDEX('M03-S05'!$J$18:$J$342,2*(ROWS(AM$67:AM101)-1)+1)&amp;" "&amp;INDEX('M03-S05'!$N$18:$N$342,2*(ROWS(AM$67:AM101)-1)+1)&amp;", "&amp;INDEX('M03-S05'!$P$18:$P$342,2*(ROWS(AM$67:AM101)-1)+1)&amp;" "&amp;INDEX('M03-S05'!$T$18:$T$342,2*(ROWS(AM$67:AM101)-1)+1),"")</f>
        <v xml:space="preserve"> ,  </v>
      </c>
      <c r="AN101" s="405"/>
      <c r="AO101" s="405"/>
      <c r="AP101" s="178" t="str">
        <f>IFERROR(INDEX('M03-S05'!$AU$18:$AU$342,2*(ROWS(AP$67:AP101)-1)+1),"")</f>
        <v/>
      </c>
      <c r="AQ101" s="325"/>
      <c r="AR101" s="178" t="str">
        <f>IFERROR(INDEX(STDHVAC[Reporting Methodology],MATCH(EXPORT!C101,STDHVAC[Measure Number],0)),"")</f>
        <v/>
      </c>
      <c r="AS101" s="178" t="str">
        <f>IFERROR(INDEX(STDHVAC[Primary Key],MATCH(C101,STDHVAC[Measure Number],0)),"")</f>
        <v/>
      </c>
      <c r="AT101" s="200" t="str">
        <f>IFERROR(INDEX('M03-S05'!$AN$18:$AN$342,2*(ROWS(AT$67:AT101)-1)+1)-MIN(INDEX('M03-S05'!$AT$18:$AT$342,2*(ROWS(AT$67:AT101)-1)+1),(ROUND(INDEX('M03-S05'!$V$18:$V$342,2*(ROWS(AT$67:AT101)-1)+1)*(INDEX('M03-S05'!$N$18:$N$342,2*(ROWS(AT$67:AT101)-1)+1)-INDEX('M03-S05'!$L$18:$L$342,2*(ROWS(AT$67:AT101)-1)+1))*INDEX(STDHVAC[Previous Incentive],MATCH('M03-S05'!C219,STDHVAC[Measure Name],0)),3))),"")</f>
        <v/>
      </c>
      <c r="AU101" s="278"/>
      <c r="AV101" s="278"/>
      <c r="AW101" s="278"/>
      <c r="AX101" s="278"/>
      <c r="AY101" s="278"/>
      <c r="AZ101" s="278"/>
      <c r="BA101" s="278"/>
      <c r="BB101" s="278"/>
      <c r="BC101" s="278"/>
      <c r="BD101" s="278"/>
      <c r="BE101" s="279"/>
      <c r="BL101" s="180"/>
      <c r="BP101" s="180"/>
      <c r="BQ101" s="180"/>
      <c r="BR101" s="180"/>
      <c r="CD101" s="180"/>
      <c r="CE101" s="180"/>
      <c r="CF101" s="180"/>
      <c r="CH101" s="180"/>
      <c r="CI101" s="180"/>
      <c r="CJ101" s="180"/>
      <c r="CK101" s="180"/>
      <c r="CL101" s="180"/>
      <c r="CM101" s="180"/>
      <c r="CN101" s="180"/>
      <c r="CQ101" s="180"/>
      <c r="CR101" s="180"/>
      <c r="CS101" s="180"/>
      <c r="DS101" s="180"/>
      <c r="DT101" s="180"/>
      <c r="DU101" s="180"/>
    </row>
    <row r="102" spans="1:125" s="331" customFormat="1">
      <c r="A102" s="428" t="str">
        <f>"Standard "&amp;M3S6</f>
        <v>Standard Compressed Air / Process</v>
      </c>
      <c r="B102" s="327"/>
      <c r="C102" s="327"/>
      <c r="D102" s="327"/>
      <c r="E102" s="327"/>
      <c r="F102" s="407"/>
      <c r="G102" s="327"/>
      <c r="H102" s="403"/>
      <c r="I102" s="403"/>
      <c r="J102" s="403"/>
      <c r="K102" s="327"/>
      <c r="L102" s="411"/>
      <c r="M102" s="411"/>
      <c r="N102" s="414"/>
      <c r="O102" s="414"/>
      <c r="P102" s="414"/>
      <c r="Q102" s="414"/>
      <c r="R102" s="403"/>
      <c r="S102" s="403"/>
      <c r="T102" s="403"/>
      <c r="U102" s="403"/>
      <c r="V102" s="327"/>
      <c r="W102" s="411"/>
      <c r="X102" s="411"/>
      <c r="Y102" s="407"/>
      <c r="Z102" s="407"/>
      <c r="AA102" s="414"/>
      <c r="AB102" s="414"/>
      <c r="AC102" s="327"/>
      <c r="AD102" s="414"/>
      <c r="AE102" s="414"/>
      <c r="AF102" s="407"/>
      <c r="AG102" s="407"/>
      <c r="AH102" s="407"/>
      <c r="AI102" s="327"/>
      <c r="AJ102" s="327"/>
      <c r="AK102" s="328"/>
      <c r="AL102" s="327"/>
      <c r="AM102" s="327"/>
      <c r="AN102" s="403"/>
      <c r="AO102" s="403"/>
      <c r="AP102" s="327"/>
      <c r="AQ102" s="327"/>
      <c r="AR102" s="327"/>
      <c r="AS102" s="327"/>
      <c r="AT102" s="327"/>
      <c r="AU102" s="329"/>
      <c r="AV102" s="329"/>
      <c r="AW102" s="329"/>
      <c r="AX102" s="329"/>
      <c r="AY102" s="329"/>
      <c r="AZ102" s="329"/>
      <c r="BA102" s="329"/>
      <c r="BB102" s="329"/>
      <c r="BC102" s="329"/>
      <c r="BD102" s="329"/>
      <c r="BE102" s="330"/>
    </row>
    <row r="103" spans="1:125" s="54" customFormat="1" hidden="1">
      <c r="A103" s="135">
        <f t="shared" ref="A103:A117" si="9">PROJID</f>
        <v>0</v>
      </c>
      <c r="B103" s="178" t="str">
        <f>IF(C103="","",CONCATENATE(ROW(),"-",C103))</f>
        <v/>
      </c>
      <c r="C103" s="178" t="str">
        <f>IFERROR(IF(R103&gt;0,INDEX('M03-S06'!$BC$18:$BC$199,2*(ROWS($C$103:C103)-1)+1),""),"")</f>
        <v/>
      </c>
      <c r="D103" s="180" t="s">
        <v>1443</v>
      </c>
      <c r="E103" s="178" t="str">
        <f>IFERROR(INDEX('M03-S06'!$AZ$18:$AZ$199,2*(ROWS($E$103:E103)-1)+1),"")</f>
        <v/>
      </c>
      <c r="F103" s="408"/>
      <c r="G103" s="178">
        <f>IFERROR(INDEX('M03-S06'!$AA$18:$AA$199,2*(ROWS($G$103:G103)-1)+1),"")</f>
        <v>0</v>
      </c>
      <c r="H103" s="200">
        <f>IFERROR(INDEX('M03-S06'!$AE$18:$AE$199,2*(ROWS(H$103:H103)-1)+1),"")</f>
        <v>0</v>
      </c>
      <c r="I103" s="200">
        <f>IFERROR(INDEX('M03-S06'!$AG$18:$AG$199,2*(ROWS(I$103:I103)-1)+1),"")</f>
        <v>0</v>
      </c>
      <c r="J103" s="200" t="str">
        <f>IFERROR(INDEX('M03-S06'!$AT$18:$AT$199,2*(ROWS(J$103:J103)-1)+1),"")</f>
        <v/>
      </c>
      <c r="K103" s="178" t="s">
        <v>84</v>
      </c>
      <c r="L103" s="116">
        <f>IFERROR(ROUND(INDEX('M03-S06'!$U$18:$U$199,2*(ROWS(L$103:L103)-1)+1),3),"")</f>
        <v>0</v>
      </c>
      <c r="M103" s="116">
        <f>IFERROR(ROUND(INDEX('M03-S06'!$U$18:$U$199,2*(ROWS(M$103:M103)-1)+1),3),"")</f>
        <v>0</v>
      </c>
      <c r="N103" s="415" t="str">
        <f>IFERROR(INDEX('M03-S06'!$AV$18:$AV$199,2*(ROWS(N$103:N103)-1)+1),"")</f>
        <v/>
      </c>
      <c r="O103" s="415">
        <f>IFERROR(INDEX('M03-S06'!$BA$18:$BA$199,2*(ROWS(O$103:O103)-1)+1),"")</f>
        <v>0</v>
      </c>
      <c r="P103" s="415" t="str">
        <f>IFERROR(INDEX('M03-S06'!$AW$18:$AW$199,2*(ROWS(P$103:P103)-1)+1),"")</f>
        <v/>
      </c>
      <c r="Q103" s="415">
        <f>IFERROR(INDEX('M03-S06'!$BB$18:$BB$199,2*(ROWS(Q$103:Q103)-1)+1),"")</f>
        <v>0</v>
      </c>
      <c r="R103" s="200" t="str">
        <f>IFERROR(INDEX('M03-S06'!$AN$18:$AN$199,2*(ROWS(R$103:R103)-1)+1),"")</f>
        <v/>
      </c>
      <c r="S103" s="405"/>
      <c r="T103" s="405"/>
      <c r="U103" s="405"/>
      <c r="V103" s="325"/>
      <c r="W103" s="417"/>
      <c r="X103" s="417"/>
      <c r="Y103" s="408"/>
      <c r="Z103" s="408"/>
      <c r="AA103" s="418"/>
      <c r="AB103" s="418"/>
      <c r="AC103" s="325"/>
      <c r="AD103" s="415">
        <f>IFERROR(INDEX('M03-S06'!$AX$18:$AX$199,2*(ROWS(AD$103:AD103)-1)+1),"")</f>
        <v>0</v>
      </c>
      <c r="AE103" s="415">
        <f>IFERROR(INDEX('M03-S06'!$AY$18:$AY$199,2*(ROWS(AE$103:AE103)-1)+1),"")</f>
        <v>0</v>
      </c>
      <c r="AF103" s="408"/>
      <c r="AG103" s="408"/>
      <c r="AH103" s="408"/>
      <c r="AI103" s="178">
        <f>IFERROR(INDEX('M03-S06'!$B$18:$B$199,2*(ROWS(AI$103:AI103)-1)+1),"")</f>
        <v>1</v>
      </c>
      <c r="AJ103" s="325"/>
      <c r="AK103" s="178">
        <f>IFERROR(INDEX('M03-S06'!$C$18:$C$199,2*(ROWS(AK$103:AK103)-1)+1),"")</f>
        <v>0</v>
      </c>
      <c r="AL103" s="325"/>
      <c r="AM103" s="178">
        <f>IFERROR(INDEX('M03-S06'!$W$18:$W$199,2*(ROWS(AM$103:AM103)-1)+1),"")</f>
        <v>0</v>
      </c>
      <c r="AN103" s="405"/>
      <c r="AO103" s="405"/>
      <c r="AP103" s="178" t="str">
        <f>IFERROR(INDEX('M03-S06'!$AU$18:$AU$199,2*(ROWS(AP$103:AP103)-1)+1),"")</f>
        <v/>
      </c>
      <c r="AQ103" s="325"/>
      <c r="AR103" s="178" t="str">
        <f>IFERROR(INDEX(STDCOMPRESS[Reporting Methodology],MATCH(EXPORT!C103,STDCOMPRESS[Measure Number],0)),"")</f>
        <v/>
      </c>
      <c r="AS103" s="178" t="str">
        <f>IFERROR(INDEX(STDCOMPRESS[Primary Key],MATCH(C103,STDCOMPRESS[Measure Number],0)),"")</f>
        <v/>
      </c>
      <c r="AT103" s="200" t="str">
        <f>IFERROR(INDEX('M03-S06'!$AN$18:$AN$199,2*(ROWS(AT$103:AT103)-1)+1)-MIN(INDEX('M03-S06'!$AT$18:$AT$199,2*(ROWS(AT$103:AT103)-1)+1),(ROUND(INDEX('M03-S06'!$U$18:$U$199,2*(ROWS(AT$103:AT103)-1)+1),3)*INDEX(STDCOMPRESS[Previous Incentive],MATCH('M03-S06'!C18,STDCOMPRESS[Measure Name],0)))),"")</f>
        <v/>
      </c>
      <c r="AU103" s="278"/>
      <c r="AV103" s="278"/>
      <c r="AW103" s="278"/>
      <c r="AX103" s="278"/>
      <c r="AY103" s="278"/>
      <c r="AZ103" s="278"/>
      <c r="BA103" s="278"/>
      <c r="BB103" s="278"/>
      <c r="BC103" s="278"/>
      <c r="BD103" s="278"/>
      <c r="BE103" s="279"/>
      <c r="BL103" s="180"/>
      <c r="BP103" s="180"/>
      <c r="BQ103" s="180"/>
      <c r="BR103" s="180"/>
      <c r="CD103" s="180"/>
      <c r="CE103" s="180"/>
      <c r="CF103" s="180"/>
      <c r="CH103" s="180"/>
      <c r="CI103" s="180"/>
      <c r="CJ103" s="180"/>
      <c r="CK103" s="180"/>
      <c r="CL103" s="180"/>
      <c r="CM103" s="180"/>
      <c r="CN103" s="180"/>
      <c r="CQ103" s="180"/>
      <c r="CR103" s="180"/>
      <c r="CS103" s="180"/>
      <c r="DS103" s="180"/>
      <c r="DT103" s="180"/>
      <c r="DU103" s="180"/>
    </row>
    <row r="104" spans="1:125" s="54" customFormat="1" hidden="1">
      <c r="A104" s="135">
        <f t="shared" si="9"/>
        <v>0</v>
      </c>
      <c r="B104" s="178" t="str">
        <f t="shared" ref="B104:B117" si="10">IF(C104="","",CONCATENATE(ROW(),"-",C104))</f>
        <v/>
      </c>
      <c r="C104" s="178" t="str">
        <f>IFERROR(IF(R104&gt;0,INDEX('M03-S06'!$BC$18:$BC$199,2*(ROWS($C$103:C104)-1)+1),""),"")</f>
        <v/>
      </c>
      <c r="D104" s="180" t="s">
        <v>1443</v>
      </c>
      <c r="E104" s="178" t="str">
        <f>IFERROR(INDEX('M03-S06'!$AZ$18:$AZ$199,2*(ROWS($E$103:E104)-1)+1),"")</f>
        <v/>
      </c>
      <c r="F104" s="408"/>
      <c r="G104" s="178">
        <f>IFERROR(INDEX('M03-S06'!$AA$18:$AA$199,2*(ROWS($G$103:G104)-1)+1),"")</f>
        <v>0</v>
      </c>
      <c r="H104" s="200">
        <f>IFERROR(INDEX('M03-S06'!$AE$18:$AE$199,2*(ROWS(H$103:H104)-1)+1),"")</f>
        <v>0</v>
      </c>
      <c r="I104" s="200">
        <f>IFERROR(INDEX('M03-S06'!$AG$18:$AG$199,2*(ROWS(I$103:I104)-1)+1),"")</f>
        <v>0</v>
      </c>
      <c r="J104" s="200" t="str">
        <f>IFERROR(INDEX('M03-S06'!$AT$18:$AT$199,2*(ROWS(J$103:J104)-1)+1),"")</f>
        <v/>
      </c>
      <c r="K104" s="178" t="s">
        <v>84</v>
      </c>
      <c r="L104" s="116">
        <f>IFERROR(ROUND(INDEX('M03-S06'!$U$18:$U$199,2*(ROWS(L$103:L104)-1)+1),3),"")</f>
        <v>0</v>
      </c>
      <c r="M104" s="116">
        <f>IFERROR(ROUND(INDEX('M03-S06'!$U$18:$U$199,2*(ROWS(M$103:M104)-1)+1),3),"")</f>
        <v>0</v>
      </c>
      <c r="N104" s="415" t="str">
        <f>IFERROR(INDEX('M03-S06'!$AV$18:$AV$199,2*(ROWS(N$103:N104)-1)+1),"")</f>
        <v/>
      </c>
      <c r="O104" s="415">
        <f>IFERROR(INDEX('M03-S06'!$BA$18:$BA$199,2*(ROWS(O$103:O104)-1)+1),"")</f>
        <v>0</v>
      </c>
      <c r="P104" s="415" t="str">
        <f>IFERROR(INDEX('M03-S06'!$AW$18:$AW$199,2*(ROWS(P$103:P104)-1)+1),"")</f>
        <v/>
      </c>
      <c r="Q104" s="415">
        <f>IFERROR(INDEX('M03-S06'!$BB$18:$BB$199,2*(ROWS(Q$103:Q104)-1)+1),"")</f>
        <v>0</v>
      </c>
      <c r="R104" s="200" t="str">
        <f>IFERROR(INDEX('M03-S06'!$AN$18:$AN$199,2*(ROWS(R$103:R104)-1)+1),"")</f>
        <v/>
      </c>
      <c r="S104" s="405"/>
      <c r="T104" s="405"/>
      <c r="U104" s="405"/>
      <c r="V104" s="325"/>
      <c r="W104" s="417"/>
      <c r="X104" s="417"/>
      <c r="Y104" s="408"/>
      <c r="Z104" s="408"/>
      <c r="AA104" s="418"/>
      <c r="AB104" s="418"/>
      <c r="AC104" s="325"/>
      <c r="AD104" s="415">
        <f>IFERROR(INDEX('M03-S06'!$AX$18:$AX$199,2*(ROWS(AD$103:AD104)-1)+1),"")</f>
        <v>0</v>
      </c>
      <c r="AE104" s="415">
        <f>IFERROR(INDEX('M03-S06'!$AY$18:$AY$199,2*(ROWS(AE$103:AE104)-1)+1),"")</f>
        <v>0</v>
      </c>
      <c r="AF104" s="408"/>
      <c r="AG104" s="408"/>
      <c r="AH104" s="408"/>
      <c r="AI104" s="178">
        <f>IFERROR(INDEX('M03-S06'!$B$18:$B$199,2*(ROWS(AI$103:AI104)-1)+1),"")</f>
        <v>2</v>
      </c>
      <c r="AJ104" s="325"/>
      <c r="AK104" s="178">
        <f>IFERROR(INDEX('M03-S06'!$C$18:$C$199,2*(ROWS(AK$103:AK104)-1)+1),"")</f>
        <v>0</v>
      </c>
      <c r="AL104" s="325"/>
      <c r="AM104" s="178">
        <f>IFERROR(INDEX('M03-S06'!$W$18:$W$199,2*(ROWS(AM$103:AM104)-1)+1),"")</f>
        <v>0</v>
      </c>
      <c r="AN104" s="405"/>
      <c r="AO104" s="405"/>
      <c r="AP104" s="178" t="str">
        <f>IFERROR(INDEX('M03-S06'!$AU$18:$AU$199,2*(ROWS(AP$103:AP104)-1)+1),"")</f>
        <v/>
      </c>
      <c r="AQ104" s="325"/>
      <c r="AR104" s="178" t="str">
        <f>IFERROR(INDEX(STDCOMPRESS[Reporting Methodology],MATCH(EXPORT!C104,STDCOMPRESS[Measure Number],0)),"")</f>
        <v/>
      </c>
      <c r="AS104" s="178" t="str">
        <f>IFERROR(INDEX(STDCOMPRESS[Primary Key],MATCH(C104,STDCOMPRESS[Measure Number],0)),"")</f>
        <v/>
      </c>
      <c r="AT104" s="200" t="str">
        <f>IFERROR(INDEX('M03-S06'!$AN$18:$AN$199,2*(ROWS(AT$103:AT104)-1)+1)-MIN(INDEX('M03-S06'!$AT$18:$AT$199,2*(ROWS(AT$103:AT104)-1)+1),(ROUND(INDEX('M03-S06'!$U$18:$U$199,2*(ROWS(AT$103:AT104)-1)+1),3)*INDEX(STDCOMPRESS[Previous Incentive],MATCH('M03-S06'!C20,STDCOMPRESS[Measure Name],0)))),"")</f>
        <v/>
      </c>
      <c r="AU104" s="278"/>
      <c r="AV104" s="278"/>
      <c r="AW104" s="278"/>
      <c r="AX104" s="278"/>
      <c r="AY104" s="278"/>
      <c r="AZ104" s="278"/>
      <c r="BA104" s="278"/>
      <c r="BB104" s="278"/>
      <c r="BC104" s="278"/>
      <c r="BD104" s="278"/>
      <c r="BE104" s="279"/>
      <c r="BL104" s="180"/>
      <c r="BP104" s="180"/>
      <c r="BQ104" s="180"/>
      <c r="BR104" s="180"/>
      <c r="CD104" s="180"/>
      <c r="CE104" s="180"/>
      <c r="CF104" s="180"/>
      <c r="CH104" s="180"/>
      <c r="CI104" s="180"/>
      <c r="CJ104" s="180"/>
      <c r="CK104" s="180"/>
      <c r="CL104" s="180"/>
      <c r="CM104" s="180"/>
      <c r="CN104" s="180"/>
      <c r="CQ104" s="180"/>
      <c r="CR104" s="180"/>
      <c r="CS104" s="180"/>
      <c r="DS104" s="180"/>
      <c r="DT104" s="180"/>
      <c r="DU104" s="180"/>
    </row>
    <row r="105" spans="1:125" s="54" customFormat="1" hidden="1">
      <c r="A105" s="135">
        <f t="shared" si="9"/>
        <v>0</v>
      </c>
      <c r="B105" s="178" t="str">
        <f t="shared" si="10"/>
        <v/>
      </c>
      <c r="C105" s="178" t="str">
        <f>IFERROR(IF(R105&gt;0,INDEX('M03-S06'!$BC$18:$BC$199,2*(ROWS($C$103:C105)-1)+1),""),"")</f>
        <v/>
      </c>
      <c r="D105" s="180" t="s">
        <v>1443</v>
      </c>
      <c r="E105" s="178" t="str">
        <f>IFERROR(INDEX('M03-S06'!$AZ$18:$AZ$199,2*(ROWS($E$103:E105)-1)+1),"")</f>
        <v/>
      </c>
      <c r="F105" s="408"/>
      <c r="G105" s="178">
        <f>IFERROR(INDEX('M03-S06'!$AA$18:$AA$199,2*(ROWS($G$103:G105)-1)+1),"")</f>
        <v>0</v>
      </c>
      <c r="H105" s="200">
        <f>IFERROR(INDEX('M03-S06'!$AE$18:$AE$199,2*(ROWS(H$103:H105)-1)+1),"")</f>
        <v>0</v>
      </c>
      <c r="I105" s="200">
        <f>IFERROR(INDEX('M03-S06'!$AG$18:$AG$199,2*(ROWS(I$103:I105)-1)+1),"")</f>
        <v>0</v>
      </c>
      <c r="J105" s="200" t="str">
        <f>IFERROR(INDEX('M03-S06'!$AT$18:$AT$199,2*(ROWS(J$103:J105)-1)+1),"")</f>
        <v/>
      </c>
      <c r="K105" s="178" t="s">
        <v>84</v>
      </c>
      <c r="L105" s="116">
        <f>IFERROR(ROUND(INDEX('M03-S06'!$U$18:$U$199,2*(ROWS(L$103:L105)-1)+1),3),"")</f>
        <v>0</v>
      </c>
      <c r="M105" s="116">
        <f>IFERROR(ROUND(INDEX('M03-S06'!$U$18:$U$199,2*(ROWS(M$103:M105)-1)+1),3),"")</f>
        <v>0</v>
      </c>
      <c r="N105" s="415" t="str">
        <f>IFERROR(INDEX('M03-S06'!$AV$18:$AV$199,2*(ROWS(N$103:N105)-1)+1),"")</f>
        <v/>
      </c>
      <c r="O105" s="415">
        <f>IFERROR(INDEX('M03-S06'!$BA$18:$BA$199,2*(ROWS(O$103:O105)-1)+1),"")</f>
        <v>0</v>
      </c>
      <c r="P105" s="415" t="str">
        <f>IFERROR(INDEX('M03-S06'!$AW$18:$AW$199,2*(ROWS(P$103:P105)-1)+1),"")</f>
        <v/>
      </c>
      <c r="Q105" s="415">
        <f>IFERROR(INDEX('M03-S06'!$BB$18:$BB$199,2*(ROWS(Q$103:Q105)-1)+1),"")</f>
        <v>0</v>
      </c>
      <c r="R105" s="200" t="str">
        <f>IFERROR(INDEX('M03-S06'!$AN$18:$AN$199,2*(ROWS(R$103:R105)-1)+1),"")</f>
        <v/>
      </c>
      <c r="S105" s="405"/>
      <c r="T105" s="405"/>
      <c r="U105" s="405"/>
      <c r="V105" s="325"/>
      <c r="W105" s="417"/>
      <c r="X105" s="417"/>
      <c r="Y105" s="408"/>
      <c r="Z105" s="408"/>
      <c r="AA105" s="418"/>
      <c r="AB105" s="418"/>
      <c r="AC105" s="325"/>
      <c r="AD105" s="415">
        <f>IFERROR(INDEX('M03-S06'!$AX$18:$AX$199,2*(ROWS(AD$103:AD105)-1)+1),"")</f>
        <v>0</v>
      </c>
      <c r="AE105" s="415">
        <f>IFERROR(INDEX('M03-S06'!$AY$18:$AY$199,2*(ROWS(AE$103:AE105)-1)+1),"")</f>
        <v>0</v>
      </c>
      <c r="AF105" s="408"/>
      <c r="AG105" s="408"/>
      <c r="AH105" s="408"/>
      <c r="AI105" s="178">
        <f>IFERROR(INDEX('M03-S06'!$B$18:$B$199,2*(ROWS(AI$103:AI105)-1)+1),"")</f>
        <v>3</v>
      </c>
      <c r="AJ105" s="325"/>
      <c r="AK105" s="178">
        <f>IFERROR(INDEX('M03-S06'!$C$18:$C$199,2*(ROWS(AK$103:AK105)-1)+1),"")</f>
        <v>0</v>
      </c>
      <c r="AL105" s="325"/>
      <c r="AM105" s="178">
        <f>IFERROR(INDEX('M03-S06'!$W$18:$W$199,2*(ROWS(AM$103:AM105)-1)+1),"")</f>
        <v>0</v>
      </c>
      <c r="AN105" s="405"/>
      <c r="AO105" s="405"/>
      <c r="AP105" s="178" t="str">
        <f>IFERROR(INDEX('M03-S06'!$AU$18:$AU$199,2*(ROWS(AP$103:AP105)-1)+1),"")</f>
        <v/>
      </c>
      <c r="AQ105" s="325"/>
      <c r="AR105" s="178" t="str">
        <f>IFERROR(INDEX(STDCOMPRESS[Reporting Methodology],MATCH(EXPORT!C105,STDCOMPRESS[Measure Number],0)),"")</f>
        <v/>
      </c>
      <c r="AS105" s="178" t="str">
        <f>IFERROR(INDEX(STDCOMPRESS[Primary Key],MATCH(C105,STDCOMPRESS[Measure Number],0)),"")</f>
        <v/>
      </c>
      <c r="AT105" s="200" t="str">
        <f>IFERROR(INDEX('M03-S06'!$AN$18:$AN$199,2*(ROWS(AT$103:AT105)-1)+1)-MIN(INDEX('M03-S06'!$AT$18:$AT$199,2*(ROWS(AT$103:AT105)-1)+1),(ROUND(INDEX('M03-S06'!$U$18:$U$199,2*(ROWS(AT$103:AT105)-1)+1),3)*INDEX(STDCOMPRESS[Previous Incentive],MATCH('M03-S06'!C22,STDCOMPRESS[Measure Name],0)))),"")</f>
        <v/>
      </c>
      <c r="AU105" s="278"/>
      <c r="AV105" s="278"/>
      <c r="AW105" s="278"/>
      <c r="AX105" s="278"/>
      <c r="AY105" s="278"/>
      <c r="AZ105" s="278"/>
      <c r="BA105" s="278"/>
      <c r="BB105" s="278"/>
      <c r="BC105" s="278"/>
      <c r="BD105" s="278"/>
      <c r="BE105" s="279"/>
      <c r="BL105" s="180"/>
      <c r="BP105" s="180"/>
      <c r="BQ105" s="180"/>
      <c r="BR105" s="180"/>
      <c r="CD105" s="180"/>
      <c r="CE105" s="180"/>
      <c r="CF105" s="180"/>
      <c r="CH105" s="180"/>
      <c r="CI105" s="180"/>
      <c r="CJ105" s="180"/>
      <c r="CK105" s="180"/>
      <c r="CL105" s="180"/>
      <c r="CM105" s="180"/>
      <c r="CN105" s="180"/>
      <c r="CQ105" s="180"/>
      <c r="CR105" s="180"/>
      <c r="CS105" s="180"/>
      <c r="DS105" s="180"/>
      <c r="DT105" s="180"/>
      <c r="DU105" s="180"/>
    </row>
    <row r="106" spans="1:125" s="54" customFormat="1" hidden="1">
      <c r="A106" s="135">
        <f t="shared" si="9"/>
        <v>0</v>
      </c>
      <c r="B106" s="178" t="str">
        <f t="shared" si="10"/>
        <v/>
      </c>
      <c r="C106" s="178" t="str">
        <f>IFERROR(IF(R106&gt;0,INDEX('M03-S06'!$BC$18:$BC$199,2*(ROWS($C$103:C106)-1)+1),""),"")</f>
        <v/>
      </c>
      <c r="D106" s="180" t="s">
        <v>1443</v>
      </c>
      <c r="E106" s="178" t="str">
        <f>IFERROR(INDEX('M03-S06'!$AZ$18:$AZ$199,2*(ROWS($E$103:E106)-1)+1),"")</f>
        <v/>
      </c>
      <c r="F106" s="408"/>
      <c r="G106" s="178">
        <f>IFERROR(INDEX('M03-S06'!$AA$18:$AA$199,2*(ROWS($G$103:G106)-1)+1),"")</f>
        <v>0</v>
      </c>
      <c r="H106" s="200">
        <f>IFERROR(INDEX('M03-S06'!$AE$18:$AE$199,2*(ROWS(H$103:H106)-1)+1),"")</f>
        <v>0</v>
      </c>
      <c r="I106" s="200">
        <f>IFERROR(INDEX('M03-S06'!$AG$18:$AG$199,2*(ROWS(I$103:I106)-1)+1),"")</f>
        <v>0</v>
      </c>
      <c r="J106" s="200" t="str">
        <f>IFERROR(INDEX('M03-S06'!$AT$18:$AT$199,2*(ROWS(J$103:J106)-1)+1),"")</f>
        <v/>
      </c>
      <c r="K106" s="178" t="s">
        <v>84</v>
      </c>
      <c r="L106" s="116">
        <f>IFERROR(ROUND(INDEX('M03-S06'!$U$18:$U$199,2*(ROWS(L$103:L106)-1)+1),3),"")</f>
        <v>0</v>
      </c>
      <c r="M106" s="116">
        <f>IFERROR(ROUND(INDEX('M03-S06'!$U$18:$U$199,2*(ROWS(M$103:M106)-1)+1),3),"")</f>
        <v>0</v>
      </c>
      <c r="N106" s="415" t="str">
        <f>IFERROR(INDEX('M03-S06'!$AV$18:$AV$199,2*(ROWS(N$103:N106)-1)+1),"")</f>
        <v/>
      </c>
      <c r="O106" s="415">
        <f>IFERROR(INDEX('M03-S06'!$BA$18:$BA$199,2*(ROWS(O$103:O106)-1)+1),"")</f>
        <v>0</v>
      </c>
      <c r="P106" s="415" t="str">
        <f>IFERROR(INDEX('M03-S06'!$AW$18:$AW$199,2*(ROWS(P$103:P106)-1)+1),"")</f>
        <v/>
      </c>
      <c r="Q106" s="415">
        <f>IFERROR(INDEX('M03-S06'!$BB$18:$BB$199,2*(ROWS(Q$103:Q106)-1)+1),"")</f>
        <v>0</v>
      </c>
      <c r="R106" s="200" t="str">
        <f>IFERROR(INDEX('M03-S06'!$AN$18:$AN$199,2*(ROWS(R$103:R106)-1)+1),"")</f>
        <v/>
      </c>
      <c r="S106" s="405"/>
      <c r="T106" s="405"/>
      <c r="U106" s="405"/>
      <c r="V106" s="325"/>
      <c r="W106" s="417"/>
      <c r="X106" s="417"/>
      <c r="Y106" s="408"/>
      <c r="Z106" s="408"/>
      <c r="AA106" s="418"/>
      <c r="AB106" s="418"/>
      <c r="AC106" s="325"/>
      <c r="AD106" s="415">
        <f>IFERROR(INDEX('M03-S06'!$AX$18:$AX$199,2*(ROWS(AD$103:AD106)-1)+1),"")</f>
        <v>0</v>
      </c>
      <c r="AE106" s="415">
        <f>IFERROR(INDEX('M03-S06'!$AY$18:$AY$199,2*(ROWS(AE$103:AE106)-1)+1),"")</f>
        <v>0</v>
      </c>
      <c r="AF106" s="408"/>
      <c r="AG106" s="408"/>
      <c r="AH106" s="408"/>
      <c r="AI106" s="178">
        <f>IFERROR(INDEX('M03-S06'!$B$18:$B$199,2*(ROWS(AI$103:AI106)-1)+1),"")</f>
        <v>4</v>
      </c>
      <c r="AJ106" s="325"/>
      <c r="AK106" s="178">
        <f>IFERROR(INDEX('M03-S06'!$C$18:$C$199,2*(ROWS(AK$103:AK106)-1)+1),"")</f>
        <v>0</v>
      </c>
      <c r="AL106" s="325"/>
      <c r="AM106" s="178">
        <f>IFERROR(INDEX('M03-S06'!$W$18:$W$199,2*(ROWS(AM$103:AM106)-1)+1),"")</f>
        <v>0</v>
      </c>
      <c r="AN106" s="405"/>
      <c r="AO106" s="405"/>
      <c r="AP106" s="178" t="str">
        <f>IFERROR(INDEX('M03-S06'!$AU$18:$AU$199,2*(ROWS(AP$103:AP106)-1)+1),"")</f>
        <v/>
      </c>
      <c r="AQ106" s="325"/>
      <c r="AR106" s="178" t="str">
        <f>IFERROR(INDEX(STDCOMPRESS[Reporting Methodology],MATCH(EXPORT!C106,STDCOMPRESS[Measure Number],0)),"")</f>
        <v/>
      </c>
      <c r="AS106" s="178" t="str">
        <f>IFERROR(INDEX(STDCOMPRESS[Primary Key],MATCH(C106,STDCOMPRESS[Measure Number],0)),"")</f>
        <v/>
      </c>
      <c r="AT106" s="200" t="str">
        <f>IFERROR(INDEX('M03-S06'!$AN$18:$AN$199,2*(ROWS(AT$103:AT106)-1)+1)-MIN(INDEX('M03-S06'!$AT$18:$AT$199,2*(ROWS(AT$103:AT106)-1)+1),(ROUND(INDEX('M03-S06'!$U$18:$U$199,2*(ROWS(AT$103:AT106)-1)+1),3)*INDEX(STDCOMPRESS[Previous Incentive],MATCH('M03-S06'!C24,STDCOMPRESS[Measure Name],0)))),"")</f>
        <v/>
      </c>
      <c r="AU106" s="278"/>
      <c r="AV106" s="278"/>
      <c r="AW106" s="278"/>
      <c r="AX106" s="278"/>
      <c r="AY106" s="278"/>
      <c r="AZ106" s="278"/>
      <c r="BA106" s="278"/>
      <c r="BB106" s="278"/>
      <c r="BC106" s="278"/>
      <c r="BD106" s="278"/>
      <c r="BE106" s="279"/>
      <c r="BL106" s="180"/>
      <c r="BP106" s="180"/>
      <c r="BQ106" s="180"/>
      <c r="BR106" s="180"/>
      <c r="CD106" s="180"/>
      <c r="CE106" s="180"/>
      <c r="CF106" s="180"/>
      <c r="CH106" s="180"/>
      <c r="CI106" s="180"/>
      <c r="CJ106" s="180"/>
      <c r="CK106" s="180"/>
      <c r="CL106" s="180"/>
      <c r="CM106" s="180"/>
      <c r="CN106" s="180"/>
      <c r="CQ106" s="180"/>
      <c r="CR106" s="180"/>
      <c r="CS106" s="180"/>
      <c r="DS106" s="180"/>
      <c r="DT106" s="180"/>
      <c r="DU106" s="180"/>
    </row>
    <row r="107" spans="1:125" s="54" customFormat="1" hidden="1">
      <c r="A107" s="135">
        <f t="shared" si="9"/>
        <v>0</v>
      </c>
      <c r="B107" s="178" t="str">
        <f t="shared" si="10"/>
        <v/>
      </c>
      <c r="C107" s="178" t="str">
        <f>IFERROR(IF(R107&gt;0,INDEX('M03-S06'!$BC$18:$BC$199,2*(ROWS($C$103:C107)-1)+1),""),"")</f>
        <v/>
      </c>
      <c r="D107" s="180" t="s">
        <v>1443</v>
      </c>
      <c r="E107" s="178" t="str">
        <f>IFERROR(INDEX('M03-S06'!$AZ$18:$AZ$199,2*(ROWS($E$103:E107)-1)+1),"")</f>
        <v/>
      </c>
      <c r="F107" s="408"/>
      <c r="G107" s="178">
        <f>IFERROR(INDEX('M03-S06'!$AA$18:$AA$199,2*(ROWS($G$103:G107)-1)+1),"")</f>
        <v>0</v>
      </c>
      <c r="H107" s="200">
        <f>IFERROR(INDEX('M03-S06'!$AE$18:$AE$199,2*(ROWS(H$103:H107)-1)+1),"")</f>
        <v>0</v>
      </c>
      <c r="I107" s="200">
        <f>IFERROR(INDEX('M03-S06'!$AG$18:$AG$199,2*(ROWS(I$103:I107)-1)+1),"")</f>
        <v>0</v>
      </c>
      <c r="J107" s="200" t="str">
        <f>IFERROR(INDEX('M03-S06'!$AT$18:$AT$199,2*(ROWS(J$103:J107)-1)+1),"")</f>
        <v/>
      </c>
      <c r="K107" s="178" t="s">
        <v>84</v>
      </c>
      <c r="L107" s="116">
        <f>IFERROR(ROUND(INDEX('M03-S06'!$U$18:$U$199,2*(ROWS(L$103:L107)-1)+1),3),"")</f>
        <v>0</v>
      </c>
      <c r="M107" s="116">
        <f>IFERROR(ROUND(INDEX('M03-S06'!$U$18:$U$199,2*(ROWS(M$103:M107)-1)+1),3),"")</f>
        <v>0</v>
      </c>
      <c r="N107" s="415" t="str">
        <f>IFERROR(INDEX('M03-S06'!$AV$18:$AV$199,2*(ROWS(N$103:N107)-1)+1),"")</f>
        <v/>
      </c>
      <c r="O107" s="415">
        <f>IFERROR(INDEX('M03-S06'!$BA$18:$BA$199,2*(ROWS(O$103:O107)-1)+1),"")</f>
        <v>0</v>
      </c>
      <c r="P107" s="415" t="str">
        <f>IFERROR(INDEX('M03-S06'!$AW$18:$AW$199,2*(ROWS(P$103:P107)-1)+1),"")</f>
        <v/>
      </c>
      <c r="Q107" s="415">
        <f>IFERROR(INDEX('M03-S06'!$BB$18:$BB$199,2*(ROWS(Q$103:Q107)-1)+1),"")</f>
        <v>0</v>
      </c>
      <c r="R107" s="200" t="str">
        <f>IFERROR(INDEX('M03-S06'!$AN$18:$AN$199,2*(ROWS(R$103:R107)-1)+1),"")</f>
        <v/>
      </c>
      <c r="S107" s="405"/>
      <c r="T107" s="405"/>
      <c r="U107" s="405"/>
      <c r="V107" s="325"/>
      <c r="W107" s="417"/>
      <c r="X107" s="417"/>
      <c r="Y107" s="408"/>
      <c r="Z107" s="408"/>
      <c r="AA107" s="418"/>
      <c r="AB107" s="418"/>
      <c r="AC107" s="325"/>
      <c r="AD107" s="415">
        <f>IFERROR(INDEX('M03-S06'!$AX$18:$AX$199,2*(ROWS(AD$103:AD107)-1)+1),"")</f>
        <v>0</v>
      </c>
      <c r="AE107" s="415">
        <f>IFERROR(INDEX('M03-S06'!$AY$18:$AY$199,2*(ROWS(AE$103:AE107)-1)+1),"")</f>
        <v>0</v>
      </c>
      <c r="AF107" s="408"/>
      <c r="AG107" s="408"/>
      <c r="AH107" s="408"/>
      <c r="AI107" s="178">
        <f>IFERROR(INDEX('M03-S06'!$B$18:$B$199,2*(ROWS(AI$103:AI107)-1)+1),"")</f>
        <v>5</v>
      </c>
      <c r="AJ107" s="325"/>
      <c r="AK107" s="178">
        <f>IFERROR(INDEX('M03-S06'!$C$18:$C$199,2*(ROWS(AK$103:AK107)-1)+1),"")</f>
        <v>0</v>
      </c>
      <c r="AL107" s="325"/>
      <c r="AM107" s="178">
        <f>IFERROR(INDEX('M03-S06'!$W$18:$W$199,2*(ROWS(AM$103:AM107)-1)+1),"")</f>
        <v>0</v>
      </c>
      <c r="AN107" s="405"/>
      <c r="AO107" s="405"/>
      <c r="AP107" s="178" t="str">
        <f>IFERROR(INDEX('M03-S06'!$AU$18:$AU$199,2*(ROWS(AP$103:AP107)-1)+1),"")</f>
        <v/>
      </c>
      <c r="AQ107" s="325"/>
      <c r="AR107" s="178" t="str">
        <f>IFERROR(INDEX(STDCOMPRESS[Reporting Methodology],MATCH(EXPORT!C107,STDCOMPRESS[Measure Number],0)),"")</f>
        <v/>
      </c>
      <c r="AS107" s="178" t="str">
        <f>IFERROR(INDEX(STDCOMPRESS[Primary Key],MATCH(C107,STDCOMPRESS[Measure Number],0)),"")</f>
        <v/>
      </c>
      <c r="AT107" s="200" t="str">
        <f>IFERROR(INDEX('M03-S06'!$AN$18:$AN$199,2*(ROWS(AT$103:AT107)-1)+1)-MIN(INDEX('M03-S06'!$AT$18:$AT$199,2*(ROWS(AT$103:AT107)-1)+1),(ROUND(INDEX('M03-S06'!$U$18:$U$199,2*(ROWS(AT$103:AT107)-1)+1),3)*INDEX(STDCOMPRESS[Previous Incentive],MATCH('M03-S06'!C26,STDCOMPRESS[Measure Name],0)))),"")</f>
        <v/>
      </c>
      <c r="AU107" s="278"/>
      <c r="AV107" s="278"/>
      <c r="AW107" s="278"/>
      <c r="AX107" s="278"/>
      <c r="AY107" s="278"/>
      <c r="AZ107" s="278"/>
      <c r="BA107" s="278"/>
      <c r="BB107" s="278"/>
      <c r="BC107" s="278"/>
      <c r="BD107" s="278"/>
      <c r="BE107" s="279"/>
      <c r="BL107" s="180"/>
      <c r="BP107" s="180"/>
      <c r="BQ107" s="180"/>
      <c r="BR107" s="180"/>
      <c r="CD107" s="180"/>
      <c r="CE107" s="180"/>
      <c r="CF107" s="180"/>
      <c r="CH107" s="180"/>
      <c r="CI107" s="180"/>
      <c r="CJ107" s="180"/>
      <c r="CK107" s="180"/>
      <c r="CL107" s="180"/>
      <c r="CM107" s="180"/>
      <c r="CN107" s="180"/>
      <c r="CQ107" s="180"/>
      <c r="CR107" s="180"/>
      <c r="CS107" s="180"/>
      <c r="DS107" s="180"/>
      <c r="DT107" s="180"/>
      <c r="DU107" s="180"/>
    </row>
    <row r="108" spans="1:125" s="54" customFormat="1" hidden="1">
      <c r="A108" s="135">
        <f t="shared" si="9"/>
        <v>0</v>
      </c>
      <c r="B108" s="178" t="str">
        <f t="shared" si="10"/>
        <v/>
      </c>
      <c r="C108" s="178" t="str">
        <f>IFERROR(IF(R108&gt;0,INDEX('M03-S06'!$BC$18:$BC$199,2*(ROWS($C$103:C108)-1)+1),""),"")</f>
        <v/>
      </c>
      <c r="D108" s="180" t="s">
        <v>1443</v>
      </c>
      <c r="E108" s="178" t="str">
        <f>IFERROR(INDEX('M03-S06'!$AZ$18:$AZ$199,2*(ROWS($E$103:E108)-1)+1),"")</f>
        <v/>
      </c>
      <c r="F108" s="408"/>
      <c r="G108" s="178">
        <f>IFERROR(INDEX('M03-S06'!$AA$18:$AA$199,2*(ROWS($G$103:G108)-1)+1),"")</f>
        <v>0</v>
      </c>
      <c r="H108" s="200">
        <f>IFERROR(INDEX('M03-S06'!$AE$18:$AE$199,2*(ROWS(H$103:H108)-1)+1),"")</f>
        <v>0</v>
      </c>
      <c r="I108" s="200">
        <f>IFERROR(INDEX('M03-S06'!$AG$18:$AG$199,2*(ROWS(I$103:I108)-1)+1),"")</f>
        <v>0</v>
      </c>
      <c r="J108" s="200" t="str">
        <f>IFERROR(INDEX('M03-S06'!$AT$18:$AT$199,2*(ROWS(J$103:J108)-1)+1),"")</f>
        <v/>
      </c>
      <c r="K108" s="178" t="s">
        <v>84</v>
      </c>
      <c r="L108" s="116">
        <f>IFERROR(ROUND(INDEX('M03-S06'!$U$18:$U$199,2*(ROWS(L$103:L108)-1)+1),3),"")</f>
        <v>0</v>
      </c>
      <c r="M108" s="116">
        <f>IFERROR(ROUND(INDEX('M03-S06'!$U$18:$U$199,2*(ROWS(M$103:M108)-1)+1),3),"")</f>
        <v>0</v>
      </c>
      <c r="N108" s="415" t="str">
        <f>IFERROR(INDEX('M03-S06'!$AV$18:$AV$199,2*(ROWS(N$103:N108)-1)+1),"")</f>
        <v/>
      </c>
      <c r="O108" s="415">
        <f>IFERROR(INDEX('M03-S06'!$BA$18:$BA$199,2*(ROWS(O$103:O108)-1)+1),"")</f>
        <v>0</v>
      </c>
      <c r="P108" s="415" t="str">
        <f>IFERROR(INDEX('M03-S06'!$AW$18:$AW$199,2*(ROWS(P$103:P108)-1)+1),"")</f>
        <v/>
      </c>
      <c r="Q108" s="415">
        <f>IFERROR(INDEX('M03-S06'!$BB$18:$BB$199,2*(ROWS(Q$103:Q108)-1)+1),"")</f>
        <v>0</v>
      </c>
      <c r="R108" s="200" t="str">
        <f>IFERROR(INDEX('M03-S06'!$AN$18:$AN$199,2*(ROWS(R$103:R108)-1)+1),"")</f>
        <v/>
      </c>
      <c r="S108" s="405"/>
      <c r="T108" s="405"/>
      <c r="U108" s="405"/>
      <c r="V108" s="325"/>
      <c r="W108" s="417"/>
      <c r="X108" s="417"/>
      <c r="Y108" s="408"/>
      <c r="Z108" s="408"/>
      <c r="AA108" s="418"/>
      <c r="AB108" s="418"/>
      <c r="AC108" s="325"/>
      <c r="AD108" s="415">
        <f>IFERROR(INDEX('M03-S06'!$AX$18:$AX$199,2*(ROWS(AD$103:AD108)-1)+1),"")</f>
        <v>0</v>
      </c>
      <c r="AE108" s="415">
        <f>IFERROR(INDEX('M03-S06'!$AY$18:$AY$199,2*(ROWS(AE$103:AE108)-1)+1),"")</f>
        <v>0</v>
      </c>
      <c r="AF108" s="408"/>
      <c r="AG108" s="408"/>
      <c r="AH108" s="408"/>
      <c r="AI108" s="178">
        <f>IFERROR(INDEX('M03-S06'!$B$18:$B$199,2*(ROWS(AI$103:AI108)-1)+1),"")</f>
        <v>6</v>
      </c>
      <c r="AJ108" s="325"/>
      <c r="AK108" s="178">
        <f>IFERROR(INDEX('M03-S06'!$C$18:$C$199,2*(ROWS(AK$103:AK108)-1)+1),"")</f>
        <v>0</v>
      </c>
      <c r="AL108" s="325"/>
      <c r="AM108" s="178">
        <f>IFERROR(INDEX('M03-S06'!$W$18:$W$199,2*(ROWS(AM$103:AM108)-1)+1),"")</f>
        <v>0</v>
      </c>
      <c r="AN108" s="405"/>
      <c r="AO108" s="405"/>
      <c r="AP108" s="178" t="str">
        <f>IFERROR(INDEX('M03-S06'!$AU$18:$AU$199,2*(ROWS(AP$103:AP108)-1)+1),"")</f>
        <v/>
      </c>
      <c r="AQ108" s="325"/>
      <c r="AR108" s="178" t="str">
        <f>IFERROR(INDEX(STDCOMPRESS[Reporting Methodology],MATCH(EXPORT!C108,STDCOMPRESS[Measure Number],0)),"")</f>
        <v/>
      </c>
      <c r="AS108" s="178" t="str">
        <f>IFERROR(INDEX(STDCOMPRESS[Primary Key],MATCH(C108,STDCOMPRESS[Measure Number],0)),"")</f>
        <v/>
      </c>
      <c r="AT108" s="200" t="str">
        <f>IFERROR(INDEX('M03-S06'!$AN$18:$AN$199,2*(ROWS(AT$103:AT108)-1)+1)-MIN(INDEX('M03-S06'!$AT$18:$AT$199,2*(ROWS(AT$103:AT108)-1)+1),(ROUND(INDEX('M03-S06'!$U$18:$U$199,2*(ROWS(AT$103:AT108)-1)+1),3)*INDEX(STDCOMPRESS[Previous Incentive],MATCH('M03-S06'!C28,STDCOMPRESS[Measure Name],0)))),"")</f>
        <v/>
      </c>
      <c r="AU108" s="278"/>
      <c r="AV108" s="278"/>
      <c r="AW108" s="278"/>
      <c r="AX108" s="278"/>
      <c r="AY108" s="278"/>
      <c r="AZ108" s="278"/>
      <c r="BA108" s="278"/>
      <c r="BB108" s="278"/>
      <c r="BC108" s="278"/>
      <c r="BD108" s="278"/>
      <c r="BE108" s="279"/>
      <c r="BL108" s="180"/>
      <c r="BP108" s="180"/>
      <c r="BQ108" s="180"/>
      <c r="BR108" s="180"/>
      <c r="CD108" s="180"/>
      <c r="CE108" s="180"/>
      <c r="CF108" s="180"/>
      <c r="CH108" s="180"/>
      <c r="CI108" s="180"/>
      <c r="CJ108" s="180"/>
      <c r="CK108" s="180"/>
      <c r="CL108" s="180"/>
      <c r="CM108" s="180"/>
      <c r="CN108" s="180"/>
      <c r="CQ108" s="180"/>
      <c r="CR108" s="180"/>
      <c r="CS108" s="180"/>
      <c r="DS108" s="180"/>
      <c r="DT108" s="180"/>
      <c r="DU108" s="180"/>
    </row>
    <row r="109" spans="1:125" s="54" customFormat="1" hidden="1">
      <c r="A109" s="135">
        <f t="shared" si="9"/>
        <v>0</v>
      </c>
      <c r="B109" s="178" t="str">
        <f t="shared" si="10"/>
        <v/>
      </c>
      <c r="C109" s="178" t="str">
        <f>IFERROR(IF(R109&gt;0,INDEX('M03-S06'!$BC$18:$BC$199,2*(ROWS($C$103:C109)-1)+1),""),"")</f>
        <v/>
      </c>
      <c r="D109" s="180" t="s">
        <v>1443</v>
      </c>
      <c r="E109" s="178" t="str">
        <f>IFERROR(INDEX('M03-S06'!$AZ$18:$AZ$199,2*(ROWS($E$103:E109)-1)+1),"")</f>
        <v/>
      </c>
      <c r="F109" s="408"/>
      <c r="G109" s="178">
        <f>IFERROR(INDEX('M03-S06'!$AA$18:$AA$199,2*(ROWS($G$103:G109)-1)+1),"")</f>
        <v>0</v>
      </c>
      <c r="H109" s="200">
        <f>IFERROR(INDEX('M03-S06'!$AE$18:$AE$199,2*(ROWS(H$103:H109)-1)+1),"")</f>
        <v>0</v>
      </c>
      <c r="I109" s="200">
        <f>IFERROR(INDEX('M03-S06'!$AG$18:$AG$199,2*(ROWS(I$103:I109)-1)+1),"")</f>
        <v>0</v>
      </c>
      <c r="J109" s="200" t="str">
        <f>IFERROR(INDEX('M03-S06'!$AT$18:$AT$199,2*(ROWS(J$103:J109)-1)+1),"")</f>
        <v/>
      </c>
      <c r="K109" s="178" t="s">
        <v>84</v>
      </c>
      <c r="L109" s="116">
        <f>IFERROR(ROUND(INDEX('M03-S06'!$U$18:$U$199,2*(ROWS(L$103:L109)-1)+1),3),"")</f>
        <v>0</v>
      </c>
      <c r="M109" s="116">
        <f>IFERROR(ROUND(INDEX('M03-S06'!$U$18:$U$199,2*(ROWS(M$103:M109)-1)+1),3),"")</f>
        <v>0</v>
      </c>
      <c r="N109" s="415" t="str">
        <f>IFERROR(INDEX('M03-S06'!$AV$18:$AV$199,2*(ROWS(N$103:N109)-1)+1),"")</f>
        <v/>
      </c>
      <c r="O109" s="415">
        <f>IFERROR(INDEX('M03-S06'!$BA$18:$BA$199,2*(ROWS(O$103:O109)-1)+1),"")</f>
        <v>0</v>
      </c>
      <c r="P109" s="415" t="str">
        <f>IFERROR(INDEX('M03-S06'!$AW$18:$AW$199,2*(ROWS(P$103:P109)-1)+1),"")</f>
        <v/>
      </c>
      <c r="Q109" s="415">
        <f>IFERROR(INDEX('M03-S06'!$BB$18:$BB$199,2*(ROWS(Q$103:Q109)-1)+1),"")</f>
        <v>0</v>
      </c>
      <c r="R109" s="200" t="str">
        <f>IFERROR(INDEX('M03-S06'!$AN$18:$AN$199,2*(ROWS(R$103:R109)-1)+1),"")</f>
        <v/>
      </c>
      <c r="S109" s="405"/>
      <c r="T109" s="405"/>
      <c r="U109" s="405"/>
      <c r="V109" s="325"/>
      <c r="W109" s="417"/>
      <c r="X109" s="417"/>
      <c r="Y109" s="408"/>
      <c r="Z109" s="408"/>
      <c r="AA109" s="418"/>
      <c r="AB109" s="418"/>
      <c r="AC109" s="325"/>
      <c r="AD109" s="415">
        <f>IFERROR(INDEX('M03-S06'!$AX$18:$AX$199,2*(ROWS(AD$103:AD109)-1)+1),"")</f>
        <v>0</v>
      </c>
      <c r="AE109" s="415">
        <f>IFERROR(INDEX('M03-S06'!$AY$18:$AY$199,2*(ROWS(AE$103:AE109)-1)+1),"")</f>
        <v>0</v>
      </c>
      <c r="AF109" s="408"/>
      <c r="AG109" s="408"/>
      <c r="AH109" s="408"/>
      <c r="AI109" s="178">
        <f>IFERROR(INDEX('M03-S06'!$B$18:$B$199,2*(ROWS(AI$103:AI109)-1)+1),"")</f>
        <v>7</v>
      </c>
      <c r="AJ109" s="325"/>
      <c r="AK109" s="178">
        <f>IFERROR(INDEX('M03-S06'!$C$18:$C$199,2*(ROWS(AK$103:AK109)-1)+1),"")</f>
        <v>0</v>
      </c>
      <c r="AL109" s="325"/>
      <c r="AM109" s="178">
        <f>IFERROR(INDEX('M03-S06'!$W$18:$W$199,2*(ROWS(AM$103:AM109)-1)+1),"")</f>
        <v>0</v>
      </c>
      <c r="AN109" s="405"/>
      <c r="AO109" s="405"/>
      <c r="AP109" s="178" t="str">
        <f>IFERROR(INDEX('M03-S06'!$AU$18:$AU$199,2*(ROWS(AP$103:AP109)-1)+1),"")</f>
        <v/>
      </c>
      <c r="AQ109" s="325"/>
      <c r="AR109" s="178" t="str">
        <f>IFERROR(INDEX(STDCOMPRESS[Reporting Methodology],MATCH(EXPORT!C109,STDCOMPRESS[Measure Number],0)),"")</f>
        <v/>
      </c>
      <c r="AS109" s="178" t="str">
        <f>IFERROR(INDEX(STDCOMPRESS[Primary Key],MATCH(C109,STDCOMPRESS[Measure Number],0)),"")</f>
        <v/>
      </c>
      <c r="AT109" s="200" t="str">
        <f>IFERROR(INDEX('M03-S06'!$AN$18:$AN$199,2*(ROWS(AT$103:AT109)-1)+1)-MIN(INDEX('M03-S06'!$AT$18:$AT$199,2*(ROWS(AT$103:AT109)-1)+1),(ROUND(INDEX('M03-S06'!$U$18:$U$199,2*(ROWS(AT$103:AT109)-1)+1),3)*INDEX(STDCOMPRESS[Previous Incentive],MATCH('M03-S06'!C30,STDCOMPRESS[Measure Name],0)))),"")</f>
        <v/>
      </c>
      <c r="AU109" s="278"/>
      <c r="AV109" s="278"/>
      <c r="AW109" s="278"/>
      <c r="AX109" s="278"/>
      <c r="AY109" s="278"/>
      <c r="AZ109" s="278"/>
      <c r="BA109" s="278"/>
      <c r="BB109" s="278"/>
      <c r="BC109" s="278"/>
      <c r="BD109" s="278"/>
      <c r="BE109" s="279"/>
      <c r="BL109" s="180"/>
      <c r="BP109"/>
      <c r="BQ109"/>
      <c r="BR109"/>
      <c r="CD109" s="180"/>
      <c r="CE109" s="180"/>
      <c r="CF109" s="180"/>
      <c r="CH109"/>
      <c r="CI109"/>
      <c r="CJ109"/>
      <c r="CK109"/>
      <c r="CL109"/>
      <c r="CM109"/>
      <c r="CN109"/>
      <c r="CQ109" s="180"/>
      <c r="CR109" s="180"/>
      <c r="CS109" s="180"/>
      <c r="DS109" s="180"/>
      <c r="DT109" s="180"/>
      <c r="DU109" s="180"/>
    </row>
    <row r="110" spans="1:125" s="54" customFormat="1" hidden="1">
      <c r="A110" s="135">
        <f t="shared" si="9"/>
        <v>0</v>
      </c>
      <c r="B110" s="178" t="str">
        <f t="shared" si="10"/>
        <v/>
      </c>
      <c r="C110" s="178" t="str">
        <f>IFERROR(IF(R110&gt;0,INDEX('M03-S06'!$BC$18:$BC$199,2*(ROWS($C$103:C110)-1)+1),""),"")</f>
        <v/>
      </c>
      <c r="D110" s="180" t="s">
        <v>1443</v>
      </c>
      <c r="E110" s="178" t="str">
        <f>IFERROR(INDEX('M03-S06'!$AZ$18:$AZ$199,2*(ROWS($E$103:E110)-1)+1),"")</f>
        <v/>
      </c>
      <c r="F110" s="408"/>
      <c r="G110" s="178">
        <f>IFERROR(INDEX('M03-S06'!$AA$18:$AA$199,2*(ROWS($G$103:G110)-1)+1),"")</f>
        <v>0</v>
      </c>
      <c r="H110" s="200">
        <f>IFERROR(INDEX('M03-S06'!$AE$18:$AE$199,2*(ROWS(H$103:H110)-1)+1),"")</f>
        <v>0</v>
      </c>
      <c r="I110" s="200">
        <f>IFERROR(INDEX('M03-S06'!$AG$18:$AG$199,2*(ROWS(I$103:I110)-1)+1),"")</f>
        <v>0</v>
      </c>
      <c r="J110" s="200" t="str">
        <f>IFERROR(INDEX('M03-S06'!$AT$18:$AT$199,2*(ROWS(J$103:J110)-1)+1),"")</f>
        <v/>
      </c>
      <c r="K110" s="178" t="s">
        <v>84</v>
      </c>
      <c r="L110" s="116">
        <f>IFERROR(ROUND(INDEX('M03-S06'!$U$18:$U$199,2*(ROWS(L$103:L110)-1)+1),3),"")</f>
        <v>0</v>
      </c>
      <c r="M110" s="116">
        <f>IFERROR(ROUND(INDEX('M03-S06'!$U$18:$U$199,2*(ROWS(M$103:M110)-1)+1),3),"")</f>
        <v>0</v>
      </c>
      <c r="N110" s="415" t="str">
        <f>IFERROR(INDEX('M03-S06'!$AV$18:$AV$199,2*(ROWS(N$103:N110)-1)+1),"")</f>
        <v/>
      </c>
      <c r="O110" s="415">
        <f>IFERROR(INDEX('M03-S06'!$BA$18:$BA$199,2*(ROWS(O$103:O110)-1)+1),"")</f>
        <v>0</v>
      </c>
      <c r="P110" s="415" t="str">
        <f>IFERROR(INDEX('M03-S06'!$AW$18:$AW$199,2*(ROWS(P$103:P110)-1)+1),"")</f>
        <v/>
      </c>
      <c r="Q110" s="415">
        <f>IFERROR(INDEX('M03-S06'!$BB$18:$BB$199,2*(ROWS(Q$103:Q110)-1)+1),"")</f>
        <v>0</v>
      </c>
      <c r="R110" s="200" t="str">
        <f>IFERROR(INDEX('M03-S06'!$AN$18:$AN$199,2*(ROWS(R$103:R110)-1)+1),"")</f>
        <v/>
      </c>
      <c r="S110" s="405"/>
      <c r="T110" s="405"/>
      <c r="U110" s="405"/>
      <c r="V110" s="325"/>
      <c r="W110" s="417"/>
      <c r="X110" s="417"/>
      <c r="Y110" s="408"/>
      <c r="Z110" s="408"/>
      <c r="AA110" s="418"/>
      <c r="AB110" s="418"/>
      <c r="AC110" s="325"/>
      <c r="AD110" s="415">
        <f>IFERROR(INDEX('M03-S06'!$AX$18:$AX$199,2*(ROWS(AD$103:AD110)-1)+1),"")</f>
        <v>0</v>
      </c>
      <c r="AE110" s="415">
        <f>IFERROR(INDEX('M03-S06'!$AY$18:$AY$199,2*(ROWS(AE$103:AE110)-1)+1),"")</f>
        <v>0</v>
      </c>
      <c r="AF110" s="408"/>
      <c r="AG110" s="408"/>
      <c r="AH110" s="408"/>
      <c r="AI110" s="178">
        <f>IFERROR(INDEX('M03-S06'!$B$18:$B$199,2*(ROWS(AI$103:AI110)-1)+1),"")</f>
        <v>8</v>
      </c>
      <c r="AJ110" s="325"/>
      <c r="AK110" s="178">
        <f>IFERROR(INDEX('M03-S06'!$C$18:$C$199,2*(ROWS(AK$103:AK110)-1)+1),"")</f>
        <v>0</v>
      </c>
      <c r="AL110" s="325"/>
      <c r="AM110" s="178">
        <f>IFERROR(INDEX('M03-S06'!$W$18:$W$199,2*(ROWS(AM$103:AM110)-1)+1),"")</f>
        <v>0</v>
      </c>
      <c r="AN110" s="405"/>
      <c r="AO110" s="405"/>
      <c r="AP110" s="178" t="str">
        <f>IFERROR(INDEX('M03-S06'!$AU$18:$AU$199,2*(ROWS(AP$103:AP110)-1)+1),"")</f>
        <v/>
      </c>
      <c r="AQ110" s="325"/>
      <c r="AR110" s="178" t="str">
        <f>IFERROR(INDEX(STDCOMPRESS[Reporting Methodology],MATCH(EXPORT!C110,STDCOMPRESS[Measure Number],0)),"")</f>
        <v/>
      </c>
      <c r="AS110" s="178" t="str">
        <f>IFERROR(INDEX(STDCOMPRESS[Primary Key],MATCH(C110,STDCOMPRESS[Measure Number],0)),"")</f>
        <v/>
      </c>
      <c r="AT110" s="200" t="str">
        <f>IFERROR(INDEX('M03-S06'!$AN$18:$AN$199,2*(ROWS(AT$103:AT110)-1)+1)-MIN(INDEX('M03-S06'!$AT$18:$AT$199,2*(ROWS(AT$103:AT110)-1)+1),(ROUND(INDEX('M03-S06'!$U$18:$U$199,2*(ROWS(AT$103:AT110)-1)+1),3)*INDEX(STDCOMPRESS[Previous Incentive],MATCH('M03-S06'!C32,STDCOMPRESS[Measure Name],0)))),"")</f>
        <v/>
      </c>
      <c r="AU110" s="278"/>
      <c r="AV110" s="278"/>
      <c r="AW110" s="278"/>
      <c r="AX110" s="278"/>
      <c r="AY110" s="278"/>
      <c r="AZ110" s="278"/>
      <c r="BA110" s="278"/>
      <c r="BB110" s="278"/>
      <c r="BC110" s="278"/>
      <c r="BD110" s="278"/>
      <c r="BE110" s="279"/>
      <c r="BL110" s="180"/>
      <c r="BP110"/>
      <c r="BQ110"/>
      <c r="BR110"/>
      <c r="CD110" s="180"/>
      <c r="CE110" s="180"/>
      <c r="CF110" s="180"/>
      <c r="CH110"/>
      <c r="CI110"/>
      <c r="CJ110"/>
      <c r="CK110"/>
      <c r="CL110"/>
      <c r="CM110"/>
      <c r="CN110"/>
      <c r="CQ110" s="180"/>
      <c r="CR110" s="180"/>
      <c r="CS110" s="180"/>
      <c r="DS110" s="180"/>
      <c r="DT110" s="180"/>
      <c r="DU110" s="180"/>
    </row>
    <row r="111" spans="1:125" s="54" customFormat="1" hidden="1">
      <c r="A111" s="135">
        <f t="shared" si="9"/>
        <v>0</v>
      </c>
      <c r="B111" s="178" t="str">
        <f t="shared" si="10"/>
        <v/>
      </c>
      <c r="C111" s="178" t="str">
        <f>IFERROR(IF(R111&gt;0,INDEX('M03-S06'!$BC$18:$BC$199,2*(ROWS($C$103:C111)-1)+1),""),"")</f>
        <v/>
      </c>
      <c r="D111" s="180" t="s">
        <v>1443</v>
      </c>
      <c r="E111" s="178" t="str">
        <f>IFERROR(INDEX('M03-S06'!$AZ$18:$AZ$199,2*(ROWS($E$103:E111)-1)+1),"")</f>
        <v/>
      </c>
      <c r="F111" s="408"/>
      <c r="G111" s="178">
        <f>IFERROR(INDEX('M03-S06'!$AA$18:$AA$199,2*(ROWS($G$103:G111)-1)+1),"")</f>
        <v>0</v>
      </c>
      <c r="H111" s="200">
        <f>IFERROR(INDEX('M03-S06'!$AE$18:$AE$199,2*(ROWS(H$103:H111)-1)+1),"")</f>
        <v>0</v>
      </c>
      <c r="I111" s="200">
        <f>IFERROR(INDEX('M03-S06'!$AG$18:$AG$199,2*(ROWS(I$103:I111)-1)+1),"")</f>
        <v>0</v>
      </c>
      <c r="J111" s="200" t="str">
        <f>IFERROR(INDEX('M03-S06'!$AT$18:$AT$199,2*(ROWS(J$103:J111)-1)+1),"")</f>
        <v/>
      </c>
      <c r="K111" s="178" t="s">
        <v>84</v>
      </c>
      <c r="L111" s="116">
        <f>IFERROR(ROUND(INDEX('M03-S06'!$U$18:$U$199,2*(ROWS(L$103:L111)-1)+1),3),"")</f>
        <v>0</v>
      </c>
      <c r="M111" s="116">
        <f>IFERROR(ROUND(INDEX('M03-S06'!$U$18:$U$199,2*(ROWS(M$103:M111)-1)+1),3),"")</f>
        <v>0</v>
      </c>
      <c r="N111" s="415" t="str">
        <f>IFERROR(INDEX('M03-S06'!$AV$18:$AV$199,2*(ROWS(N$103:N111)-1)+1),"")</f>
        <v/>
      </c>
      <c r="O111" s="415">
        <f>IFERROR(INDEX('M03-S06'!$BA$18:$BA$199,2*(ROWS(O$103:O111)-1)+1),"")</f>
        <v>0</v>
      </c>
      <c r="P111" s="415" t="str">
        <f>IFERROR(INDEX('M03-S06'!$AW$18:$AW$199,2*(ROWS(P$103:P111)-1)+1),"")</f>
        <v/>
      </c>
      <c r="Q111" s="415">
        <f>IFERROR(INDEX('M03-S06'!$BB$18:$BB$199,2*(ROWS(Q$103:Q111)-1)+1),"")</f>
        <v>0</v>
      </c>
      <c r="R111" s="200" t="str">
        <f>IFERROR(INDEX('M03-S06'!$AN$18:$AN$199,2*(ROWS(R$103:R111)-1)+1),"")</f>
        <v/>
      </c>
      <c r="S111" s="405"/>
      <c r="T111" s="405"/>
      <c r="U111" s="405"/>
      <c r="V111" s="325"/>
      <c r="W111" s="417"/>
      <c r="X111" s="417"/>
      <c r="Y111" s="408"/>
      <c r="Z111" s="408"/>
      <c r="AA111" s="418"/>
      <c r="AB111" s="418"/>
      <c r="AC111" s="325"/>
      <c r="AD111" s="415">
        <f>IFERROR(INDEX('M03-S06'!$AX$18:$AX$199,2*(ROWS(AD$103:AD111)-1)+1),"")</f>
        <v>0</v>
      </c>
      <c r="AE111" s="415">
        <f>IFERROR(INDEX('M03-S06'!$AY$18:$AY$199,2*(ROWS(AE$103:AE111)-1)+1),"")</f>
        <v>0</v>
      </c>
      <c r="AF111" s="408"/>
      <c r="AG111" s="408"/>
      <c r="AH111" s="408"/>
      <c r="AI111" s="178">
        <f>IFERROR(INDEX('M03-S06'!$B$18:$B$199,2*(ROWS(AI$103:AI111)-1)+1),"")</f>
        <v>9</v>
      </c>
      <c r="AJ111" s="325"/>
      <c r="AK111" s="178">
        <f>IFERROR(INDEX('M03-S06'!$C$18:$C$199,2*(ROWS(AK$103:AK111)-1)+1),"")</f>
        <v>0</v>
      </c>
      <c r="AL111" s="325"/>
      <c r="AM111" s="178">
        <f>IFERROR(INDEX('M03-S06'!$W$18:$W$199,2*(ROWS(AM$103:AM111)-1)+1),"")</f>
        <v>0</v>
      </c>
      <c r="AN111" s="405"/>
      <c r="AO111" s="405"/>
      <c r="AP111" s="178" t="str">
        <f>IFERROR(INDEX('M03-S06'!$AU$18:$AU$199,2*(ROWS(AP$103:AP111)-1)+1),"")</f>
        <v/>
      </c>
      <c r="AQ111" s="325"/>
      <c r="AR111" s="178" t="str">
        <f>IFERROR(INDEX(STDCOMPRESS[Reporting Methodology],MATCH(EXPORT!C111,STDCOMPRESS[Measure Number],0)),"")</f>
        <v/>
      </c>
      <c r="AS111" s="178" t="str">
        <f>IFERROR(INDEX(STDCOMPRESS[Primary Key],MATCH(C111,STDCOMPRESS[Measure Number],0)),"")</f>
        <v/>
      </c>
      <c r="AT111" s="200" t="str">
        <f>IFERROR(INDEX('M03-S06'!$AN$18:$AN$199,2*(ROWS(AT$103:AT111)-1)+1)-MIN(INDEX('M03-S06'!$AT$18:$AT$199,2*(ROWS(AT$103:AT111)-1)+1),(ROUND(INDEX('M03-S06'!$U$18:$U$199,2*(ROWS(AT$103:AT111)-1)+1),3)*INDEX(STDCOMPRESS[Previous Incentive],MATCH('M03-S06'!C34,STDCOMPRESS[Measure Name],0)))),"")</f>
        <v/>
      </c>
      <c r="AU111" s="278"/>
      <c r="AV111" s="278"/>
      <c r="AW111" s="278"/>
      <c r="AX111" s="278"/>
      <c r="AY111" s="278"/>
      <c r="AZ111" s="278"/>
      <c r="BA111" s="278"/>
      <c r="BB111" s="278"/>
      <c r="BC111" s="278"/>
      <c r="BD111" s="278"/>
      <c r="BE111" s="279"/>
      <c r="BL111" s="180"/>
      <c r="BP111"/>
      <c r="BQ111"/>
      <c r="BR111"/>
      <c r="CD111" s="180"/>
      <c r="CE111" s="180"/>
      <c r="CF111" s="180"/>
      <c r="CH111"/>
      <c r="CI111"/>
      <c r="CJ111"/>
      <c r="CK111"/>
      <c r="CL111"/>
      <c r="CM111"/>
      <c r="CN111"/>
      <c r="CQ111" s="180"/>
      <c r="CR111" s="180"/>
      <c r="CS111" s="180"/>
      <c r="DS111" s="180"/>
      <c r="DT111" s="180"/>
      <c r="DU111" s="180"/>
    </row>
    <row r="112" spans="1:125" s="54" customFormat="1" hidden="1">
      <c r="A112" s="135">
        <f t="shared" si="9"/>
        <v>0</v>
      </c>
      <c r="B112" s="178" t="str">
        <f t="shared" si="10"/>
        <v/>
      </c>
      <c r="C112" s="178" t="str">
        <f>IFERROR(IF(R112&gt;0,INDEX('M03-S06'!$BC$18:$BC$199,2*(ROWS($C$103:C112)-1)+1),""),"")</f>
        <v/>
      </c>
      <c r="D112" s="180" t="s">
        <v>1443</v>
      </c>
      <c r="E112" s="178" t="str">
        <f>IFERROR(INDEX('M03-S06'!$AZ$18:$AZ$199,2*(ROWS($E$103:E112)-1)+1),"")</f>
        <v/>
      </c>
      <c r="F112" s="408"/>
      <c r="G112" s="178">
        <f>IFERROR(INDEX('M03-S06'!$AA$18:$AA$199,2*(ROWS($G$103:G112)-1)+1),"")</f>
        <v>0</v>
      </c>
      <c r="H112" s="200">
        <f>IFERROR(INDEX('M03-S06'!$AE$18:$AE$199,2*(ROWS(H$103:H112)-1)+1),"")</f>
        <v>0</v>
      </c>
      <c r="I112" s="200">
        <f>IFERROR(INDEX('M03-S06'!$AG$18:$AG$199,2*(ROWS(I$103:I112)-1)+1),"")</f>
        <v>0</v>
      </c>
      <c r="J112" s="200" t="str">
        <f>IFERROR(INDEX('M03-S06'!$AT$18:$AT$199,2*(ROWS(J$103:J112)-1)+1),"")</f>
        <v/>
      </c>
      <c r="K112" s="178" t="s">
        <v>84</v>
      </c>
      <c r="L112" s="116">
        <f>IFERROR(ROUND(INDEX('M03-S06'!$U$18:$U$199,2*(ROWS(L$103:L112)-1)+1),3),"")</f>
        <v>0</v>
      </c>
      <c r="M112" s="116">
        <f>IFERROR(ROUND(INDEX('M03-S06'!$U$18:$U$199,2*(ROWS(M$103:M112)-1)+1),3),"")</f>
        <v>0</v>
      </c>
      <c r="N112" s="415" t="str">
        <f>IFERROR(INDEX('M03-S06'!$AV$18:$AV$199,2*(ROWS(N$103:N112)-1)+1),"")</f>
        <v/>
      </c>
      <c r="O112" s="415">
        <f>IFERROR(INDEX('M03-S06'!$BA$18:$BA$199,2*(ROWS(O$103:O112)-1)+1),"")</f>
        <v>0</v>
      </c>
      <c r="P112" s="415" t="str">
        <f>IFERROR(INDEX('M03-S06'!$AW$18:$AW$199,2*(ROWS(P$103:P112)-1)+1),"")</f>
        <v/>
      </c>
      <c r="Q112" s="415">
        <f>IFERROR(INDEX('M03-S06'!$BB$18:$BB$199,2*(ROWS(Q$103:Q112)-1)+1),"")</f>
        <v>0</v>
      </c>
      <c r="R112" s="200" t="str">
        <f>IFERROR(INDEX('M03-S06'!$AN$18:$AN$199,2*(ROWS(R$103:R112)-1)+1),"")</f>
        <v/>
      </c>
      <c r="S112" s="405"/>
      <c r="T112" s="405"/>
      <c r="U112" s="405"/>
      <c r="V112" s="325"/>
      <c r="W112" s="417"/>
      <c r="X112" s="417"/>
      <c r="Y112" s="408"/>
      <c r="Z112" s="408"/>
      <c r="AA112" s="418"/>
      <c r="AB112" s="418"/>
      <c r="AC112" s="325"/>
      <c r="AD112" s="415">
        <f>IFERROR(INDEX('M03-S06'!$AX$18:$AX$199,2*(ROWS(AD$103:AD112)-1)+1),"")</f>
        <v>0</v>
      </c>
      <c r="AE112" s="415">
        <f>IFERROR(INDEX('M03-S06'!$AY$18:$AY$199,2*(ROWS(AE$103:AE112)-1)+1),"")</f>
        <v>0</v>
      </c>
      <c r="AF112" s="408"/>
      <c r="AG112" s="408"/>
      <c r="AH112" s="408"/>
      <c r="AI112" s="178">
        <f>IFERROR(INDEX('M03-S06'!$B$18:$B$199,2*(ROWS(AI$103:AI112)-1)+1),"")</f>
        <v>10</v>
      </c>
      <c r="AJ112" s="325"/>
      <c r="AK112" s="178">
        <f>IFERROR(INDEX('M03-S06'!$C$18:$C$199,2*(ROWS(AK$103:AK112)-1)+1),"")</f>
        <v>0</v>
      </c>
      <c r="AL112" s="325"/>
      <c r="AM112" s="178">
        <f>IFERROR(INDEX('M03-S06'!$W$18:$W$199,2*(ROWS(AM$103:AM112)-1)+1),"")</f>
        <v>0</v>
      </c>
      <c r="AN112" s="405"/>
      <c r="AO112" s="405"/>
      <c r="AP112" s="178" t="str">
        <f>IFERROR(INDEX('M03-S06'!$AU$18:$AU$199,2*(ROWS(AP$103:AP112)-1)+1),"")</f>
        <v/>
      </c>
      <c r="AQ112" s="325"/>
      <c r="AR112" s="178" t="str">
        <f>IFERROR(INDEX(STDCOMPRESS[Reporting Methodology],MATCH(EXPORT!C112,STDCOMPRESS[Measure Number],0)),"")</f>
        <v/>
      </c>
      <c r="AS112" s="178" t="str">
        <f>IFERROR(INDEX(STDCOMPRESS[Primary Key],MATCH(C112,STDCOMPRESS[Measure Number],0)),"")</f>
        <v/>
      </c>
      <c r="AT112" s="200" t="str">
        <f>IFERROR(INDEX('M03-S06'!$AN$18:$AN$199,2*(ROWS(AT$103:AT112)-1)+1)-MIN(INDEX('M03-S06'!$AT$18:$AT$199,2*(ROWS(AT$103:AT112)-1)+1),(ROUND(INDEX('M03-S06'!$U$18:$U$199,2*(ROWS(AT$103:AT112)-1)+1),3)*INDEX(STDCOMPRESS[Previous Incentive],MATCH('M03-S06'!C36,STDCOMPRESS[Measure Name],0)))),"")</f>
        <v/>
      </c>
      <c r="AU112" s="278"/>
      <c r="AV112" s="278"/>
      <c r="AW112" s="278"/>
      <c r="AX112" s="278"/>
      <c r="AY112" s="278"/>
      <c r="AZ112" s="278"/>
      <c r="BA112" s="278"/>
      <c r="BB112" s="278"/>
      <c r="BC112" s="278"/>
      <c r="BD112" s="278"/>
      <c r="BE112" s="279"/>
      <c r="BL112" s="180"/>
      <c r="BP112"/>
      <c r="BQ112"/>
      <c r="BR112"/>
      <c r="CD112" s="180"/>
      <c r="CE112" s="180"/>
      <c r="CF112" s="180"/>
      <c r="CH112"/>
      <c r="CI112"/>
      <c r="CJ112"/>
      <c r="CK112"/>
      <c r="CL112"/>
      <c r="CM112"/>
      <c r="CN112"/>
      <c r="CQ112" s="180"/>
      <c r="CR112" s="180"/>
      <c r="CS112" s="180"/>
      <c r="DS112" s="180"/>
      <c r="DT112" s="180"/>
      <c r="DU112" s="180"/>
    </row>
    <row r="113" spans="1:125" s="54" customFormat="1" hidden="1">
      <c r="A113" s="135">
        <f t="shared" si="9"/>
        <v>0</v>
      </c>
      <c r="B113" s="178" t="str">
        <f t="shared" si="10"/>
        <v/>
      </c>
      <c r="C113" s="178" t="str">
        <f>IFERROR(IF(R113&gt;0,INDEX('M03-S06'!$BC$18:$BC$199,2*(ROWS($C$103:C113)-1)+1),""),"")</f>
        <v/>
      </c>
      <c r="D113" s="180" t="s">
        <v>1443</v>
      </c>
      <c r="E113" s="178">
        <f>IFERROR(INDEX('M03-S06'!$AZ$18:$AZ$199,2*(ROWS($E$103:E113)-1)+1),"")</f>
        <v>0</v>
      </c>
      <c r="F113" s="408"/>
      <c r="G113" s="178">
        <f>IFERROR(INDEX('M03-S06'!$AA$18:$AA$199,2*(ROWS($G$103:G113)-1)+1),"")</f>
        <v>0</v>
      </c>
      <c r="H113" s="200">
        <f>IFERROR(INDEX('M03-S06'!$AE$18:$AE$199,2*(ROWS(H$103:H113)-1)+1),"")</f>
        <v>0</v>
      </c>
      <c r="I113" s="200">
        <f>IFERROR(INDEX('M03-S06'!$AG$18:$AG$199,2*(ROWS(I$103:I113)-1)+1),"")</f>
        <v>0</v>
      </c>
      <c r="J113" s="200">
        <f>IFERROR(INDEX('M03-S06'!$AT$18:$AT$199,2*(ROWS(J$103:J113)-1)+1),"")</f>
        <v>0</v>
      </c>
      <c r="K113" s="178" t="s">
        <v>84</v>
      </c>
      <c r="L113" s="116">
        <f>IFERROR(ROUND(INDEX('M03-S06'!$U$18:$U$199,2*(ROWS(L$103:L113)-1)+1),3),"")</f>
        <v>0</v>
      </c>
      <c r="M113" s="116">
        <f>IFERROR(ROUND(INDEX('M03-S06'!$U$18:$U$199,2*(ROWS(M$103:M113)-1)+1),3),"")</f>
        <v>0</v>
      </c>
      <c r="N113" s="415">
        <f>IFERROR(INDEX('M03-S06'!$AV$18:$AV$199,2*(ROWS(N$103:N113)-1)+1),"")</f>
        <v>0</v>
      </c>
      <c r="O113" s="415">
        <f>IFERROR(INDEX('M03-S06'!$BA$18:$BA$199,2*(ROWS(O$103:O113)-1)+1),"")</f>
        <v>0</v>
      </c>
      <c r="P113" s="415">
        <f>IFERROR(INDEX('M03-S06'!$AW$18:$AW$199,2*(ROWS(P$103:P113)-1)+1),"")</f>
        <v>0</v>
      </c>
      <c r="Q113" s="415">
        <f>IFERROR(INDEX('M03-S06'!$BB$18:$BB$199,2*(ROWS(Q$103:Q113)-1)+1),"")</f>
        <v>0</v>
      </c>
      <c r="R113" s="200">
        <f>IFERROR(INDEX('M03-S06'!$AN$18:$AN$199,2*(ROWS(R$103:R113)-1)+1),"")</f>
        <v>0</v>
      </c>
      <c r="S113" s="405"/>
      <c r="T113" s="405"/>
      <c r="U113" s="405"/>
      <c r="V113" s="325"/>
      <c r="W113" s="417"/>
      <c r="X113" s="417"/>
      <c r="Y113" s="408"/>
      <c r="Z113" s="408"/>
      <c r="AA113" s="418"/>
      <c r="AB113" s="418"/>
      <c r="AC113" s="325"/>
      <c r="AD113" s="415">
        <f>IFERROR(INDEX('M03-S06'!$AX$18:$AX$199,2*(ROWS(AD$103:AD113)-1)+1),"")</f>
        <v>0</v>
      </c>
      <c r="AE113" s="415">
        <f>IFERROR(INDEX('M03-S06'!$AY$18:$AY$199,2*(ROWS(AE$103:AE113)-1)+1),"")</f>
        <v>0</v>
      </c>
      <c r="AF113" s="408"/>
      <c r="AG113" s="408"/>
      <c r="AH113" s="408"/>
      <c r="AI113" s="178">
        <f>IFERROR(INDEX('M03-S06'!$B$18:$B$199,2*(ROWS(AI$103:AI113)-1)+1),"")</f>
        <v>0</v>
      </c>
      <c r="AJ113" s="325"/>
      <c r="AK113" s="178">
        <f>IFERROR(INDEX('M03-S06'!$C$18:$C$199,2*(ROWS(AK$103:AK113)-1)+1),"")</f>
        <v>0</v>
      </c>
      <c r="AL113" s="325"/>
      <c r="AM113" s="178">
        <f>IFERROR(INDEX('M03-S06'!$W$18:$W$199,2*(ROWS(AM$103:AM113)-1)+1),"")</f>
        <v>0</v>
      </c>
      <c r="AN113" s="405"/>
      <c r="AO113" s="405"/>
      <c r="AP113" s="178">
        <f>IFERROR(INDEX('M03-S06'!$AU$18:$AU$199,2*(ROWS(AP$103:AP113)-1)+1),"")</f>
        <v>0</v>
      </c>
      <c r="AQ113" s="325"/>
      <c r="AR113" s="178" t="str">
        <f>IFERROR(INDEX(STDCOMPRESS[Reporting Methodology],MATCH(EXPORT!C113,STDCOMPRESS[Measure Number],0)),"")</f>
        <v/>
      </c>
      <c r="AS113" s="178" t="str">
        <f>IFERROR(INDEX(STDCOMPRESS[Primary Key],MATCH(C113,STDCOMPRESS[Measure Number],0)),"")</f>
        <v/>
      </c>
      <c r="AT113" s="200" t="str">
        <f>IFERROR(INDEX('M03-S06'!$AN$18:$AN$199,2*(ROWS(AT$103:AT113)-1)+1)-MIN(INDEX('M03-S06'!$AT$18:$AT$199,2*(ROWS(AT$103:AT113)-1)+1),(ROUND(INDEX('M03-S06'!$U$18:$U$199,2*(ROWS(AT$103:AT113)-1)+1),3)*INDEX(STDCOMPRESS[Previous Incentive],MATCH('M03-S06'!C38,STDCOMPRESS[Measure Name],0)))),"")</f>
        <v/>
      </c>
      <c r="AU113" s="278"/>
      <c r="AV113" s="278"/>
      <c r="AW113" s="278"/>
      <c r="AX113" s="278"/>
      <c r="AY113" s="278"/>
      <c r="AZ113" s="278"/>
      <c r="BA113" s="278"/>
      <c r="BB113" s="278"/>
      <c r="BC113" s="278"/>
      <c r="BD113" s="278"/>
      <c r="BE113" s="279"/>
      <c r="BL113" s="180"/>
      <c r="BP113"/>
      <c r="BQ113"/>
      <c r="BR113"/>
      <c r="CD113" s="180"/>
      <c r="CE113" s="180"/>
      <c r="CF113" s="180"/>
      <c r="CH113"/>
      <c r="CI113"/>
      <c r="CJ113"/>
      <c r="CK113"/>
      <c r="CL113"/>
      <c r="CM113"/>
      <c r="CN113"/>
      <c r="CQ113" s="180"/>
      <c r="CR113" s="180"/>
      <c r="CS113" s="180"/>
      <c r="DS113" s="180"/>
      <c r="DT113" s="180"/>
      <c r="DU113" s="180"/>
    </row>
    <row r="114" spans="1:125" s="54" customFormat="1" hidden="1">
      <c r="A114" s="135">
        <f t="shared" si="9"/>
        <v>0</v>
      </c>
      <c r="B114" s="178" t="str">
        <f t="shared" si="10"/>
        <v/>
      </c>
      <c r="C114" s="178" t="str">
        <f>IFERROR(IF(R114&gt;0,INDEX('M03-S06'!$BC$18:$BC$199,2*(ROWS($C$103:C114)-1)+1),""),"")</f>
        <v/>
      </c>
      <c r="D114" s="180" t="s">
        <v>1443</v>
      </c>
      <c r="E114" s="178">
        <f>IFERROR(INDEX('M03-S06'!$AZ$18:$AZ$199,2*(ROWS($E$103:E114)-1)+1),"")</f>
        <v>0</v>
      </c>
      <c r="F114" s="408"/>
      <c r="G114" s="178">
        <f>IFERROR(INDEX('M03-S06'!$AA$18:$AA$199,2*(ROWS($G$103:G114)-1)+1),"")</f>
        <v>0</v>
      </c>
      <c r="H114" s="200">
        <f>IFERROR(INDEX('M03-S06'!$AE$18:$AE$199,2*(ROWS(H$103:H114)-1)+1),"")</f>
        <v>0</v>
      </c>
      <c r="I114" s="200">
        <f>IFERROR(INDEX('M03-S06'!$AG$18:$AG$199,2*(ROWS(I$103:I114)-1)+1),"")</f>
        <v>0</v>
      </c>
      <c r="J114" s="200">
        <f>IFERROR(INDEX('M03-S06'!$AT$18:$AT$199,2*(ROWS(J$103:J114)-1)+1),"")</f>
        <v>0</v>
      </c>
      <c r="K114" s="178" t="s">
        <v>84</v>
      </c>
      <c r="L114" s="116">
        <f>IFERROR(ROUND(INDEX('M03-S06'!$U$18:$U$199,2*(ROWS(L$103:L114)-1)+1),3),"")</f>
        <v>0</v>
      </c>
      <c r="M114" s="116">
        <f>IFERROR(ROUND(INDEX('M03-S06'!$U$18:$U$199,2*(ROWS(M$103:M114)-1)+1),3),"")</f>
        <v>0</v>
      </c>
      <c r="N114" s="415">
        <f>IFERROR(INDEX('M03-S06'!$AV$18:$AV$199,2*(ROWS(N$103:N114)-1)+1),"")</f>
        <v>0</v>
      </c>
      <c r="O114" s="415">
        <f>IFERROR(INDEX('M03-S06'!$BA$18:$BA$199,2*(ROWS(O$103:O114)-1)+1),"")</f>
        <v>0</v>
      </c>
      <c r="P114" s="415">
        <f>IFERROR(INDEX('M03-S06'!$AW$18:$AW$199,2*(ROWS(P$103:P114)-1)+1),"")</f>
        <v>0</v>
      </c>
      <c r="Q114" s="415">
        <f>IFERROR(INDEX('M03-S06'!$BB$18:$BB$199,2*(ROWS(Q$103:Q114)-1)+1),"")</f>
        <v>0</v>
      </c>
      <c r="R114" s="200">
        <f>IFERROR(INDEX('M03-S06'!$AN$18:$AN$199,2*(ROWS(R$103:R114)-1)+1),"")</f>
        <v>0</v>
      </c>
      <c r="S114" s="405"/>
      <c r="T114" s="405"/>
      <c r="U114" s="405"/>
      <c r="V114" s="325"/>
      <c r="W114" s="417"/>
      <c r="X114" s="417"/>
      <c r="Y114" s="408"/>
      <c r="Z114" s="408"/>
      <c r="AA114" s="418"/>
      <c r="AB114" s="418"/>
      <c r="AC114" s="325"/>
      <c r="AD114" s="415">
        <f>IFERROR(INDEX('M03-S06'!$AX$18:$AX$199,2*(ROWS(AD$103:AD114)-1)+1),"")</f>
        <v>0</v>
      </c>
      <c r="AE114" s="415">
        <f>IFERROR(INDEX('M03-S06'!$AY$18:$AY$199,2*(ROWS(AE$103:AE114)-1)+1),"")</f>
        <v>0</v>
      </c>
      <c r="AF114" s="408"/>
      <c r="AG114" s="408"/>
      <c r="AH114" s="408"/>
      <c r="AI114" s="178">
        <f>IFERROR(INDEX('M03-S06'!$B$18:$B$199,2*(ROWS(AI$103:AI114)-1)+1),"")</f>
        <v>0</v>
      </c>
      <c r="AJ114" s="325"/>
      <c r="AK114" s="178">
        <f>IFERROR(INDEX('M03-S06'!$C$18:$C$199,2*(ROWS(AK$103:AK114)-1)+1),"")</f>
        <v>0</v>
      </c>
      <c r="AL114" s="325"/>
      <c r="AM114" s="178">
        <f>IFERROR(INDEX('M03-S06'!$W$18:$W$199,2*(ROWS(AM$103:AM114)-1)+1),"")</f>
        <v>0</v>
      </c>
      <c r="AN114" s="405"/>
      <c r="AO114" s="405"/>
      <c r="AP114" s="178">
        <f>IFERROR(INDEX('M03-S06'!$AU$18:$AU$199,2*(ROWS(AP$103:AP114)-1)+1),"")</f>
        <v>0</v>
      </c>
      <c r="AQ114" s="325"/>
      <c r="AR114" s="178" t="str">
        <f>IFERROR(INDEX(STDCOMPRESS[Reporting Methodology],MATCH(EXPORT!C114,STDCOMPRESS[Measure Number],0)),"")</f>
        <v/>
      </c>
      <c r="AS114" s="178" t="str">
        <f>IFERROR(INDEX(STDCOMPRESS[Primary Key],MATCH(C114,STDCOMPRESS[Measure Number],0)),"")</f>
        <v/>
      </c>
      <c r="AT114" s="200" t="str">
        <f>IFERROR(INDEX('M03-S06'!$AN$18:$AN$199,2*(ROWS(AT$103:AT114)-1)+1)-MIN(INDEX('M03-S06'!$AT$18:$AT$199,2*(ROWS(AT$103:AT114)-1)+1),(ROUND(INDEX('M03-S06'!$U$18:$U$199,2*(ROWS(AT$103:AT114)-1)+1),3)*INDEX(STDCOMPRESS[Previous Incentive],MATCH('M03-S06'!C40,STDCOMPRESS[Measure Name],0)))),"")</f>
        <v/>
      </c>
      <c r="AU114" s="278"/>
      <c r="AV114" s="278"/>
      <c r="AW114" s="278"/>
      <c r="AX114" s="278"/>
      <c r="AY114" s="278"/>
      <c r="AZ114" s="278"/>
      <c r="BA114" s="278"/>
      <c r="BB114" s="278"/>
      <c r="BC114" s="278"/>
      <c r="BD114" s="278"/>
      <c r="BE114" s="279"/>
      <c r="BL114" s="180"/>
      <c r="BP114"/>
      <c r="BQ114"/>
      <c r="BR114"/>
      <c r="CD114" s="180"/>
      <c r="CE114" s="180"/>
      <c r="CF114" s="180"/>
      <c r="CH114"/>
      <c r="CI114"/>
      <c r="CJ114"/>
      <c r="CK114"/>
      <c r="CL114"/>
      <c r="CM114"/>
      <c r="CN114"/>
      <c r="CQ114" s="180"/>
      <c r="CR114" s="180"/>
      <c r="CS114" s="180"/>
      <c r="DS114" s="180"/>
      <c r="DT114" s="180"/>
      <c r="DU114" s="180"/>
    </row>
    <row r="115" spans="1:125" s="54" customFormat="1" hidden="1">
      <c r="A115" s="135">
        <f t="shared" si="9"/>
        <v>0</v>
      </c>
      <c r="B115" s="178" t="str">
        <f t="shared" si="10"/>
        <v/>
      </c>
      <c r="C115" s="178" t="str">
        <f>IFERROR(IF(R115&gt;0,INDEX('M03-S06'!$BC$18:$BC$199,2*(ROWS($C$103:C115)-1)+1),""),"")</f>
        <v/>
      </c>
      <c r="D115" s="180" t="s">
        <v>1443</v>
      </c>
      <c r="E115" s="178">
        <f>IFERROR(INDEX('M03-S06'!$AZ$18:$AZ$199,2*(ROWS($E$103:E115)-1)+1),"")</f>
        <v>0</v>
      </c>
      <c r="F115" s="408"/>
      <c r="G115" s="178">
        <f>IFERROR(INDEX('M03-S06'!$AA$18:$AA$199,2*(ROWS($G$103:G115)-1)+1),"")</f>
        <v>0</v>
      </c>
      <c r="H115" s="200">
        <f>IFERROR(INDEX('M03-S06'!$AE$18:$AE$199,2*(ROWS(H$103:H115)-1)+1),"")</f>
        <v>0</v>
      </c>
      <c r="I115" s="200">
        <f>IFERROR(INDEX('M03-S06'!$AG$18:$AG$199,2*(ROWS(I$103:I115)-1)+1),"")</f>
        <v>0</v>
      </c>
      <c r="J115" s="200">
        <f>IFERROR(INDEX('M03-S06'!$AT$18:$AT$199,2*(ROWS(J$103:J115)-1)+1),"")</f>
        <v>0</v>
      </c>
      <c r="K115" s="178" t="s">
        <v>84</v>
      </c>
      <c r="L115" s="116">
        <f>IFERROR(ROUND(INDEX('M03-S06'!$U$18:$U$199,2*(ROWS(L$103:L115)-1)+1),3),"")</f>
        <v>0</v>
      </c>
      <c r="M115" s="116">
        <f>IFERROR(ROUND(INDEX('M03-S06'!$U$18:$U$199,2*(ROWS(M$103:M115)-1)+1),3),"")</f>
        <v>0</v>
      </c>
      <c r="N115" s="415">
        <f>IFERROR(INDEX('M03-S06'!$AV$18:$AV$199,2*(ROWS(N$103:N115)-1)+1),"")</f>
        <v>0</v>
      </c>
      <c r="O115" s="415">
        <f>IFERROR(INDEX('M03-S06'!$BA$18:$BA$199,2*(ROWS(O$103:O115)-1)+1),"")</f>
        <v>0</v>
      </c>
      <c r="P115" s="415">
        <f>IFERROR(INDEX('M03-S06'!$AW$18:$AW$199,2*(ROWS(P$103:P115)-1)+1),"")</f>
        <v>0</v>
      </c>
      <c r="Q115" s="415">
        <f>IFERROR(INDEX('M03-S06'!$BB$18:$BB$199,2*(ROWS(Q$103:Q115)-1)+1),"")</f>
        <v>0</v>
      </c>
      <c r="R115" s="200">
        <f>IFERROR(INDEX('M03-S06'!$AN$18:$AN$199,2*(ROWS(R$103:R115)-1)+1),"")</f>
        <v>0</v>
      </c>
      <c r="S115" s="405"/>
      <c r="T115" s="405"/>
      <c r="U115" s="405"/>
      <c r="V115" s="325"/>
      <c r="W115" s="417"/>
      <c r="X115" s="417"/>
      <c r="Y115" s="408"/>
      <c r="Z115" s="408"/>
      <c r="AA115" s="418"/>
      <c r="AB115" s="418"/>
      <c r="AC115" s="325"/>
      <c r="AD115" s="415">
        <f>IFERROR(INDEX('M03-S06'!$AX$18:$AX$199,2*(ROWS(AD$103:AD115)-1)+1),"")</f>
        <v>0</v>
      </c>
      <c r="AE115" s="415">
        <f>IFERROR(INDEX('M03-S06'!$AY$18:$AY$199,2*(ROWS(AE$103:AE115)-1)+1),"")</f>
        <v>0</v>
      </c>
      <c r="AF115" s="408"/>
      <c r="AG115" s="408"/>
      <c r="AH115" s="408"/>
      <c r="AI115" s="178">
        <f>IFERROR(INDEX('M03-S06'!$B$18:$B$199,2*(ROWS(AI$103:AI115)-1)+1),"")</f>
        <v>0</v>
      </c>
      <c r="AJ115" s="325"/>
      <c r="AK115" s="178">
        <f>IFERROR(INDEX('M03-S06'!$C$18:$C$199,2*(ROWS(AK$103:AK115)-1)+1),"")</f>
        <v>0</v>
      </c>
      <c r="AL115" s="325"/>
      <c r="AM115" s="178">
        <f>IFERROR(INDEX('M03-S06'!$W$18:$W$199,2*(ROWS(AM$103:AM115)-1)+1),"")</f>
        <v>0</v>
      </c>
      <c r="AN115" s="405"/>
      <c r="AO115" s="405"/>
      <c r="AP115" s="178">
        <f>IFERROR(INDEX('M03-S06'!$AU$18:$AU$199,2*(ROWS(AP$103:AP115)-1)+1),"")</f>
        <v>0</v>
      </c>
      <c r="AQ115" s="325"/>
      <c r="AR115" s="178" t="str">
        <f>IFERROR(INDEX(STDCOMPRESS[Reporting Methodology],MATCH(EXPORT!C115,STDCOMPRESS[Measure Number],0)),"")</f>
        <v/>
      </c>
      <c r="AS115" s="178" t="str">
        <f>IFERROR(INDEX(STDCOMPRESS[Primary Key],MATCH(C115,STDCOMPRESS[Measure Number],0)),"")</f>
        <v/>
      </c>
      <c r="AT115" s="200" t="str">
        <f>IFERROR(INDEX('M03-S06'!$AN$18:$AN$199,2*(ROWS(AT$103:AT115)-1)+1)-MIN(INDEX('M03-S06'!$AT$18:$AT$199,2*(ROWS(AT$103:AT115)-1)+1),(ROUND(INDEX('M03-S06'!$U$18:$U$199,2*(ROWS(AT$103:AT115)-1)+1),3)*INDEX(STDCOMPRESS[Previous Incentive],MATCH('M03-S06'!C42,STDCOMPRESS[Measure Name],0)))),"")</f>
        <v/>
      </c>
      <c r="AU115" s="278"/>
      <c r="AV115" s="278"/>
      <c r="AW115" s="278"/>
      <c r="AX115" s="278"/>
      <c r="AY115" s="278"/>
      <c r="AZ115" s="278"/>
      <c r="BA115" s="278"/>
      <c r="BB115" s="278"/>
      <c r="BC115" s="278"/>
      <c r="BD115" s="278"/>
      <c r="BE115" s="279"/>
      <c r="BL115" s="180"/>
      <c r="BP115"/>
      <c r="BQ115"/>
      <c r="BR115"/>
      <c r="CD115" s="180"/>
      <c r="CE115" s="180"/>
      <c r="CF115" s="180"/>
      <c r="CH115"/>
      <c r="CI115"/>
      <c r="CJ115"/>
      <c r="CK115"/>
      <c r="CL115"/>
      <c r="CM115"/>
      <c r="CN115"/>
      <c r="CQ115" s="180"/>
      <c r="CR115" s="180"/>
      <c r="CS115" s="180"/>
      <c r="DS115" s="180"/>
      <c r="DT115" s="180"/>
      <c r="DU115" s="180"/>
    </row>
    <row r="116" spans="1:125" s="54" customFormat="1" hidden="1">
      <c r="A116" s="135">
        <f t="shared" si="9"/>
        <v>0</v>
      </c>
      <c r="B116" s="178" t="str">
        <f t="shared" si="10"/>
        <v/>
      </c>
      <c r="C116" s="178" t="str">
        <f>IFERROR(IF(R116&gt;0,INDEX('M03-S06'!$BC$18:$BC$199,2*(ROWS($C$103:C116)-1)+1),""),"")</f>
        <v/>
      </c>
      <c r="D116" s="180" t="s">
        <v>1443</v>
      </c>
      <c r="E116" s="178">
        <f>IFERROR(INDEX('M03-S06'!$AZ$18:$AZ$199,2*(ROWS($E$103:E116)-1)+1),"")</f>
        <v>0</v>
      </c>
      <c r="F116" s="408"/>
      <c r="G116" s="178">
        <f>IFERROR(INDEX('M03-S06'!$AA$18:$AA$199,2*(ROWS($G$103:G116)-1)+1),"")</f>
        <v>0</v>
      </c>
      <c r="H116" s="200">
        <f>IFERROR(INDEX('M03-S06'!$AE$18:$AE$199,2*(ROWS(H$103:H116)-1)+1),"")</f>
        <v>0</v>
      </c>
      <c r="I116" s="200">
        <f>IFERROR(INDEX('M03-S06'!$AG$18:$AG$199,2*(ROWS(I$103:I116)-1)+1),"")</f>
        <v>0</v>
      </c>
      <c r="J116" s="200">
        <f>IFERROR(INDEX('M03-S06'!$AT$18:$AT$199,2*(ROWS(J$103:J116)-1)+1),"")</f>
        <v>0</v>
      </c>
      <c r="K116" s="178" t="s">
        <v>84</v>
      </c>
      <c r="L116" s="116">
        <f>IFERROR(ROUND(INDEX('M03-S06'!$U$18:$U$199,2*(ROWS(L$103:L116)-1)+1),3),"")</f>
        <v>0</v>
      </c>
      <c r="M116" s="116">
        <f>IFERROR(ROUND(INDEX('M03-S06'!$U$18:$U$199,2*(ROWS(M$103:M116)-1)+1),3),"")</f>
        <v>0</v>
      </c>
      <c r="N116" s="415">
        <f>IFERROR(INDEX('M03-S06'!$AV$18:$AV$199,2*(ROWS(N$103:N116)-1)+1),"")</f>
        <v>0</v>
      </c>
      <c r="O116" s="415">
        <f>IFERROR(INDEX('M03-S06'!$BA$18:$BA$199,2*(ROWS(O$103:O116)-1)+1),"")</f>
        <v>0</v>
      </c>
      <c r="P116" s="415">
        <f>IFERROR(INDEX('M03-S06'!$AW$18:$AW$199,2*(ROWS(P$103:P116)-1)+1),"")</f>
        <v>0</v>
      </c>
      <c r="Q116" s="415">
        <f>IFERROR(INDEX('M03-S06'!$BB$18:$BB$199,2*(ROWS(Q$103:Q116)-1)+1),"")</f>
        <v>0</v>
      </c>
      <c r="R116" s="200">
        <f>IFERROR(INDEX('M03-S06'!$AN$18:$AN$199,2*(ROWS(R$103:R116)-1)+1),"")</f>
        <v>0</v>
      </c>
      <c r="S116" s="405"/>
      <c r="T116" s="405"/>
      <c r="U116" s="405"/>
      <c r="V116" s="325"/>
      <c r="W116" s="417"/>
      <c r="X116" s="417"/>
      <c r="Y116" s="408"/>
      <c r="Z116" s="408"/>
      <c r="AA116" s="418"/>
      <c r="AB116" s="418"/>
      <c r="AC116" s="325"/>
      <c r="AD116" s="415">
        <f>IFERROR(INDEX('M03-S06'!$AX$18:$AX$199,2*(ROWS(AD$103:AD116)-1)+1),"")</f>
        <v>0</v>
      </c>
      <c r="AE116" s="415">
        <f>IFERROR(INDEX('M03-S06'!$AY$18:$AY$199,2*(ROWS(AE$103:AE116)-1)+1),"")</f>
        <v>0</v>
      </c>
      <c r="AF116" s="408"/>
      <c r="AG116" s="408"/>
      <c r="AH116" s="408"/>
      <c r="AI116" s="178">
        <f>IFERROR(INDEX('M03-S06'!$B$18:$B$199,2*(ROWS(AI$103:AI116)-1)+1),"")</f>
        <v>0</v>
      </c>
      <c r="AJ116" s="325"/>
      <c r="AK116" s="178">
        <f>IFERROR(INDEX('M03-S06'!$C$18:$C$199,2*(ROWS(AK$103:AK116)-1)+1),"")</f>
        <v>0</v>
      </c>
      <c r="AL116" s="325"/>
      <c r="AM116" s="178">
        <f>IFERROR(INDEX('M03-S06'!$W$18:$W$199,2*(ROWS(AM$103:AM116)-1)+1),"")</f>
        <v>0</v>
      </c>
      <c r="AN116" s="405"/>
      <c r="AO116" s="405"/>
      <c r="AP116" s="178">
        <f>IFERROR(INDEX('M03-S06'!$AU$18:$AU$199,2*(ROWS(AP$103:AP116)-1)+1),"")</f>
        <v>0</v>
      </c>
      <c r="AQ116" s="325"/>
      <c r="AR116" s="178" t="str">
        <f>IFERROR(INDEX(STDCOMPRESS[Reporting Methodology],MATCH(EXPORT!C116,STDCOMPRESS[Measure Number],0)),"")</f>
        <v/>
      </c>
      <c r="AS116" s="178" t="str">
        <f>IFERROR(INDEX(STDCOMPRESS[Primary Key],MATCH(C116,STDCOMPRESS[Measure Number],0)),"")</f>
        <v/>
      </c>
      <c r="AT116" s="200" t="str">
        <f>IFERROR(INDEX('M03-S06'!$AN$18:$AN$199,2*(ROWS(AT$103:AT116)-1)+1)-MIN(INDEX('M03-S06'!$AT$18:$AT$199,2*(ROWS(AT$103:AT116)-1)+1),(ROUND(INDEX('M03-S06'!$U$18:$U$199,2*(ROWS(AT$103:AT116)-1)+1),3)*INDEX(STDCOMPRESS[Previous Incentive],MATCH('M03-S06'!C44,STDCOMPRESS[Measure Name],0)))),"")</f>
        <v/>
      </c>
      <c r="AU116" s="278"/>
      <c r="AV116" s="278"/>
      <c r="AW116" s="278"/>
      <c r="AX116" s="278"/>
      <c r="AY116" s="278"/>
      <c r="AZ116" s="278"/>
      <c r="BA116" s="278"/>
      <c r="BB116" s="278"/>
      <c r="BC116" s="278"/>
      <c r="BD116" s="278"/>
      <c r="BE116" s="279"/>
      <c r="BL116" s="180"/>
      <c r="BP116"/>
      <c r="BQ116"/>
      <c r="BR116"/>
      <c r="CD116" s="180"/>
      <c r="CE116" s="180"/>
      <c r="CF116" s="180"/>
      <c r="CH116"/>
      <c r="CI116"/>
      <c r="CJ116"/>
      <c r="CK116"/>
      <c r="CL116"/>
      <c r="CM116"/>
      <c r="CN116"/>
      <c r="CQ116" s="180"/>
      <c r="CR116" s="180"/>
      <c r="CS116" s="180"/>
      <c r="DS116" s="180"/>
      <c r="DT116" s="180"/>
      <c r="DU116" s="180"/>
    </row>
    <row r="117" spans="1:125" s="54" customFormat="1" hidden="1">
      <c r="A117" s="135">
        <f t="shared" si="9"/>
        <v>0</v>
      </c>
      <c r="B117" s="178" t="str">
        <f t="shared" si="10"/>
        <v/>
      </c>
      <c r="C117" s="178" t="str">
        <f>IFERROR(IF(R117&gt;0,INDEX('M03-S06'!$BC$18:$BC$199,2*(ROWS($C$103:C117)-1)+1),""),"")</f>
        <v/>
      </c>
      <c r="D117" s="180" t="s">
        <v>1443</v>
      </c>
      <c r="E117" s="178">
        <f>IFERROR(INDEX('M03-S06'!$AZ$18:$AZ$199,2*(ROWS($E$103:E117)-1)+1),"")</f>
        <v>0</v>
      </c>
      <c r="F117" s="408"/>
      <c r="G117" s="178">
        <f>IFERROR(INDEX('M03-S06'!$AA$18:$AA$199,2*(ROWS($G$103:G117)-1)+1),"")</f>
        <v>0</v>
      </c>
      <c r="H117" s="200">
        <f>IFERROR(INDEX('M03-S06'!$AE$18:$AE$199,2*(ROWS(H$103:H117)-1)+1),"")</f>
        <v>0</v>
      </c>
      <c r="I117" s="200">
        <f>IFERROR(INDEX('M03-S06'!$AG$18:$AG$199,2*(ROWS(I$103:I117)-1)+1),"")</f>
        <v>0</v>
      </c>
      <c r="J117" s="200">
        <f>IFERROR(INDEX('M03-S06'!$AT$18:$AT$199,2*(ROWS(J$103:J117)-1)+1),"")</f>
        <v>0</v>
      </c>
      <c r="K117" s="178" t="s">
        <v>84</v>
      </c>
      <c r="L117" s="116">
        <f>IFERROR(ROUND(INDEX('M03-S06'!$U$18:$U$199,2*(ROWS(L$103:L117)-1)+1),3),"")</f>
        <v>0</v>
      </c>
      <c r="M117" s="116">
        <f>IFERROR(ROUND(INDEX('M03-S06'!$U$18:$U$199,2*(ROWS(M$103:M117)-1)+1),3),"")</f>
        <v>0</v>
      </c>
      <c r="N117" s="415">
        <f>IFERROR(INDEX('M03-S06'!$AV$18:$AV$199,2*(ROWS(N$103:N117)-1)+1),"")</f>
        <v>0</v>
      </c>
      <c r="O117" s="415">
        <f>IFERROR(INDEX('M03-S06'!$BA$18:$BA$199,2*(ROWS(O$103:O117)-1)+1),"")</f>
        <v>0</v>
      </c>
      <c r="P117" s="415">
        <f>IFERROR(INDEX('M03-S06'!$AW$18:$AW$199,2*(ROWS(P$103:P117)-1)+1),"")</f>
        <v>0</v>
      </c>
      <c r="Q117" s="415">
        <f>IFERROR(INDEX('M03-S06'!$BB$18:$BB$199,2*(ROWS(Q$103:Q117)-1)+1),"")</f>
        <v>0</v>
      </c>
      <c r="R117" s="200">
        <f>IFERROR(INDEX('M03-S06'!$AN$18:$AN$199,2*(ROWS(R$103:R117)-1)+1),"")</f>
        <v>0</v>
      </c>
      <c r="S117" s="405"/>
      <c r="T117" s="405"/>
      <c r="U117" s="405"/>
      <c r="V117" s="325"/>
      <c r="W117" s="417"/>
      <c r="X117" s="417"/>
      <c r="Y117" s="408"/>
      <c r="Z117" s="408"/>
      <c r="AA117" s="418"/>
      <c r="AB117" s="418"/>
      <c r="AC117" s="325"/>
      <c r="AD117" s="415">
        <f>IFERROR(INDEX('M03-S06'!$AX$18:$AX$199,2*(ROWS(AD$103:AD117)-1)+1),"")</f>
        <v>0</v>
      </c>
      <c r="AE117" s="415">
        <f>IFERROR(INDEX('M03-S06'!$AY$18:$AY$199,2*(ROWS(AE$103:AE117)-1)+1),"")</f>
        <v>0</v>
      </c>
      <c r="AF117" s="408"/>
      <c r="AG117" s="408"/>
      <c r="AH117" s="408"/>
      <c r="AI117" s="178">
        <f>IFERROR(INDEX('M03-S06'!$B$18:$B$199,2*(ROWS(AI$103:AI117)-1)+1),"")</f>
        <v>0</v>
      </c>
      <c r="AJ117" s="325"/>
      <c r="AK117" s="178">
        <f>IFERROR(INDEX('M03-S06'!$C$18:$C$199,2*(ROWS(AK$103:AK117)-1)+1),"")</f>
        <v>0</v>
      </c>
      <c r="AL117" s="325"/>
      <c r="AM117" s="178">
        <f>IFERROR(INDEX('M03-S06'!$W$18:$W$199,2*(ROWS(AM$103:AM117)-1)+1),"")</f>
        <v>0</v>
      </c>
      <c r="AN117" s="405"/>
      <c r="AO117" s="405"/>
      <c r="AP117" s="178">
        <f>IFERROR(INDEX('M03-S06'!$AU$18:$AU$199,2*(ROWS(AP$103:AP117)-1)+1),"")</f>
        <v>0</v>
      </c>
      <c r="AQ117" s="325"/>
      <c r="AR117" s="178" t="str">
        <f>IFERROR(INDEX(STDCOMPRESS[Reporting Methodology],MATCH(EXPORT!C117,STDCOMPRESS[Measure Number],0)),"")</f>
        <v/>
      </c>
      <c r="AS117" s="178" t="str">
        <f>IFERROR(INDEX(STDCOMPRESS[Primary Key],MATCH(C117,STDCOMPRESS[Measure Number],0)),"")</f>
        <v/>
      </c>
      <c r="AT117" s="200" t="str">
        <f>IFERROR(INDEX('M03-S06'!$AN$18:$AN$199,2*(ROWS(AT$103:AT117)-1)+1)-MIN(INDEX('M03-S06'!$AT$18:$AT$199,2*(ROWS(AT$103:AT117)-1)+1),(ROUND(INDEX('M03-S06'!$U$18:$U$199,2*(ROWS(AT$103:AT117)-1)+1),3)*INDEX(STDCOMPRESS[Previous Incentive],MATCH('M03-S06'!C46,STDCOMPRESS[Measure Name],0)))),"")</f>
        <v/>
      </c>
      <c r="AU117" s="278"/>
      <c r="AV117" s="278"/>
      <c r="AW117" s="278"/>
      <c r="AX117" s="278"/>
      <c r="AY117" s="278"/>
      <c r="AZ117" s="278"/>
      <c r="BA117" s="278"/>
      <c r="BB117" s="278"/>
      <c r="BC117" s="278"/>
      <c r="BD117" s="278"/>
      <c r="BE117" s="279"/>
      <c r="BL117" s="180"/>
      <c r="BP117"/>
      <c r="BQ117"/>
      <c r="BR117"/>
      <c r="CD117" s="180"/>
      <c r="CE117" s="180"/>
      <c r="CF117" s="180"/>
      <c r="CH117"/>
      <c r="CI117"/>
      <c r="CJ117"/>
      <c r="CK117"/>
      <c r="CL117"/>
      <c r="CM117"/>
      <c r="CN117"/>
      <c r="CQ117" s="180"/>
      <c r="CR117" s="180"/>
      <c r="CS117" s="180"/>
      <c r="DS117" s="180"/>
      <c r="DT117" s="180"/>
      <c r="DU117" s="180"/>
    </row>
    <row r="118" spans="1:125" s="331" customFormat="1">
      <c r="A118" s="428" t="str">
        <f>"Standard "&amp;M3S7</f>
        <v>Standard Water Heating / Food Services</v>
      </c>
      <c r="B118" s="327"/>
      <c r="C118" s="327"/>
      <c r="D118" s="327"/>
      <c r="E118" s="327"/>
      <c r="F118" s="407"/>
      <c r="G118" s="327"/>
      <c r="H118" s="403"/>
      <c r="I118" s="403"/>
      <c r="J118" s="403"/>
      <c r="K118" s="327"/>
      <c r="L118" s="411"/>
      <c r="M118" s="411"/>
      <c r="N118" s="414"/>
      <c r="O118" s="414"/>
      <c r="P118" s="414"/>
      <c r="Q118" s="414"/>
      <c r="R118" s="403"/>
      <c r="S118" s="403"/>
      <c r="T118" s="403"/>
      <c r="U118" s="403"/>
      <c r="V118" s="327"/>
      <c r="W118" s="411"/>
      <c r="X118" s="411"/>
      <c r="Y118" s="407"/>
      <c r="Z118" s="407"/>
      <c r="AA118" s="414"/>
      <c r="AB118" s="414"/>
      <c r="AC118" s="327"/>
      <c r="AD118" s="414"/>
      <c r="AE118" s="414"/>
      <c r="AF118" s="407"/>
      <c r="AG118" s="407"/>
      <c r="AH118" s="407"/>
      <c r="AI118" s="327"/>
      <c r="AJ118" s="327"/>
      <c r="AK118" s="328"/>
      <c r="AL118" s="327"/>
      <c r="AM118" s="327"/>
      <c r="AN118" s="403"/>
      <c r="AO118" s="403"/>
      <c r="AP118" s="327"/>
      <c r="AR118" s="327"/>
      <c r="AS118" s="327"/>
      <c r="AT118" s="327"/>
      <c r="AU118" s="329"/>
      <c r="AV118" s="329"/>
      <c r="AW118" s="329"/>
      <c r="AX118" s="329"/>
      <c r="AY118" s="329"/>
      <c r="AZ118" s="329"/>
      <c r="BA118" s="329"/>
      <c r="BB118" s="329"/>
      <c r="BC118" s="329"/>
      <c r="BD118" s="329"/>
      <c r="BE118" s="330"/>
    </row>
    <row r="119" spans="1:125" s="54" customFormat="1" hidden="1">
      <c r="A119" s="135">
        <f t="shared" ref="A119:A149" si="11">PROJID</f>
        <v>0</v>
      </c>
      <c r="B119" s="178" t="str">
        <f>IF(C119="","",CONCATENATE(ROW(),"-",C119))</f>
        <v/>
      </c>
      <c r="C119" s="178" t="str">
        <f>IFERROR(IF(R119&gt;0,INDEX('M03-S07'!$BC$18:$BC$199,2*(ROWS($C$119:C119)-1)+1),""),"")</f>
        <v/>
      </c>
      <c r="D119" s="180" t="s">
        <v>1443</v>
      </c>
      <c r="E119" s="178" t="str">
        <f>IFERROR(INDEX('M03-S07'!$AZ$18:$AZ$199,2*(ROWS($E$119:E119)-1)+1),"")</f>
        <v/>
      </c>
      <c r="F119" s="408"/>
      <c r="G119" s="178">
        <f>IFERROR(INDEX('M03-S07'!$AA$18:$AA$199,2*(ROWS($G$119:G119)-1)+1),"")</f>
        <v>0</v>
      </c>
      <c r="H119" s="200">
        <f>IFERROR(INDEX('M03-S07'!$AE$18:$AE$199,2*(ROWS(H$119:H119)-1)+1),"")</f>
        <v>0</v>
      </c>
      <c r="I119" s="200">
        <f>IFERROR(INDEX('M03-S07'!$AG$18:$AG$199,2*(ROWS(I$119:I119)-1)+1),"")</f>
        <v>0</v>
      </c>
      <c r="J119" s="200" t="str">
        <f>IFERROR(INDEX('M03-S07'!$AT$18:$AT$199,2*(ROWS(J$119:J119)-1)+1),"")</f>
        <v/>
      </c>
      <c r="K119" s="178" t="s">
        <v>84</v>
      </c>
      <c r="L119" s="116">
        <f>IFERROR(ROUND(INDEX('M03-S07'!$U$18:$U$199,2*(ROWS(L$119:L119)-1)+1),3),"")</f>
        <v>0</v>
      </c>
      <c r="M119" s="116">
        <f>IFERROR(ROUND(INDEX('M03-S07'!$U$18:$U$199,2*(ROWS(M$119:M119)-1)+1),3),"")</f>
        <v>0</v>
      </c>
      <c r="N119" s="415" t="str">
        <f>IFERROR(INDEX('M03-S07'!$AV$18:$AV$199,2*(ROWS(N$119:N119)-1)+1),"")</f>
        <v/>
      </c>
      <c r="O119" s="415">
        <f>IFERROR(INDEX('M03-S07'!$BA$18:$BA$199,2*(ROWS(O$119:O119)-1)+1),"")</f>
        <v>0</v>
      </c>
      <c r="P119" s="415" t="str">
        <f>IFERROR(INDEX('M03-S07'!$AW$18:$AW$199,2*(ROWS(P$119:P119)-1)+1),"")</f>
        <v/>
      </c>
      <c r="Q119" s="415">
        <f>IFERROR(INDEX('M03-S07'!$BB$18:$BB$199,2*(ROWS(Q$119:Q119)-1)+1),"")</f>
        <v>0</v>
      </c>
      <c r="R119" s="200" t="str">
        <f>IFERROR(INDEX('M03-S07'!$AN$18:$AN$199,2*(ROWS(R$119:R119)-1)+1),"")</f>
        <v/>
      </c>
      <c r="S119" s="405"/>
      <c r="T119" s="405"/>
      <c r="U119" s="405"/>
      <c r="V119" s="325"/>
      <c r="W119" s="417"/>
      <c r="X119" s="417"/>
      <c r="Y119" s="408"/>
      <c r="Z119" s="408"/>
      <c r="AA119" s="418"/>
      <c r="AB119" s="418"/>
      <c r="AC119" s="325"/>
      <c r="AD119" s="415">
        <f>IFERROR(INDEX('M03-S07'!$AX$18:$AX$199,2*(ROWS(AD$119:AD119)-1)+1),"")</f>
        <v>0</v>
      </c>
      <c r="AE119" s="415">
        <f>IFERROR(INDEX('M03-S07'!$AY$18:$AY$199,2*(ROWS(AE$119:AE119)-1)+1),"")</f>
        <v>0</v>
      </c>
      <c r="AF119" s="408"/>
      <c r="AG119" s="408"/>
      <c r="AH119" s="408"/>
      <c r="AI119" s="178">
        <f>IFERROR(INDEX('M03-S07'!$B$18:$B$199,2*(ROWS(AI$119:AI119)-1)+1),"")</f>
        <v>1</v>
      </c>
      <c r="AJ119" s="325"/>
      <c r="AK119" s="178">
        <f>IFERROR(INDEX('M03-S07'!$C$18:$C$199,2*(ROWS(AK$119:AK119)-1)+1),"")</f>
        <v>0</v>
      </c>
      <c r="AL119" s="325"/>
      <c r="AM119" s="178">
        <f>IFERROR(INDEX('M03-S07'!$W$18:$W$199,2*(ROWS(AM$119:AM119)-1)+1),"")</f>
        <v>0</v>
      </c>
      <c r="AN119" s="405"/>
      <c r="AO119" s="405"/>
      <c r="AP119" s="178" t="str">
        <f>IFERROR(INDEX('M03-S07'!$AU$18:$AU$199,2*(ROWS(AP$119:AP119)-1)+1),"")</f>
        <v/>
      </c>
      <c r="AQ119" s="325"/>
      <c r="AR119" s="178" t="str">
        <f>IFERROR(INDEX(STDWATER[Reporting Methodology],MATCH(EXPORT!C119,STDWATER[Measure Number],0)),"")</f>
        <v/>
      </c>
      <c r="AS119" s="178" t="str">
        <f>IFERROR(INDEX(STDWATER[Primary Key],MATCH(C119,STDWATER[Measure Number],0)),"")</f>
        <v/>
      </c>
      <c r="AT119" s="200" t="str">
        <f>IFERROR(INDEX('M03-S07'!$AN$18:$AN$199,2*(ROWS(AT$119:AT119)-1)+1)-MIN(INDEX('M03-S07'!$AT$18:$AT$199,2*(ROWS(AT$119:AT119)-1)+1),(ROUND(INDEX('M03-S07'!$U$18:$U$199,2*(ROWS(AT$119:AT119)-1)+1)*INDEX(STDWATER[Previous Incentive],MATCH('M03-S07'!C18,STDWATER[Measure Name],0)),3))),"")</f>
        <v/>
      </c>
      <c r="AU119" s="278"/>
      <c r="AV119" s="278"/>
      <c r="AW119" s="278"/>
      <c r="AX119" s="278"/>
      <c r="AY119" s="278"/>
      <c r="AZ119" s="278"/>
      <c r="BA119" s="278"/>
      <c r="BB119" s="278"/>
      <c r="BC119" s="278"/>
      <c r="BD119" s="278"/>
      <c r="BE119" s="279"/>
      <c r="BL119" s="180"/>
      <c r="BP119" s="180"/>
      <c r="BQ119" s="180"/>
      <c r="BR119" s="180"/>
      <c r="CD119" s="180"/>
      <c r="CE119" s="180"/>
      <c r="CF119" s="180"/>
      <c r="CH119" s="180"/>
      <c r="CI119" s="180"/>
      <c r="CJ119" s="180"/>
      <c r="CK119" s="180"/>
      <c r="CL119" s="180"/>
      <c r="CM119" s="180"/>
      <c r="CN119" s="180"/>
      <c r="CQ119" s="180"/>
      <c r="CR119" s="180"/>
      <c r="CS119" s="180"/>
      <c r="DS119" s="180"/>
      <c r="DT119" s="180"/>
      <c r="DU119" s="180"/>
    </row>
    <row r="120" spans="1:125" s="54" customFormat="1" hidden="1">
      <c r="A120" s="135">
        <f t="shared" si="11"/>
        <v>0</v>
      </c>
      <c r="B120" s="178" t="str">
        <f t="shared" ref="B120:B133" si="12">IF(C120="","",CONCATENATE(ROW(),"-",C120))</f>
        <v/>
      </c>
      <c r="C120" s="178" t="str">
        <f>IFERROR(IF(R120&gt;0,INDEX('M03-S07'!$BC$18:$BC$199,2*(ROWS($C$119:C120)-1)+1),""),"")</f>
        <v/>
      </c>
      <c r="D120" s="180" t="s">
        <v>1443</v>
      </c>
      <c r="E120" s="178" t="str">
        <f>IFERROR(INDEX('M03-S07'!$AZ$18:$AZ$199,2*(ROWS($E$119:E120)-1)+1),"")</f>
        <v/>
      </c>
      <c r="F120" s="408"/>
      <c r="G120" s="178">
        <f>IFERROR(INDEX('M03-S07'!$AA$18:$AA$199,2*(ROWS($G$119:G120)-1)+1),"")</f>
        <v>0</v>
      </c>
      <c r="H120" s="200">
        <f>IFERROR(INDEX('M03-S07'!$AE$18:$AE$199,2*(ROWS(H$119:H120)-1)+1),"")</f>
        <v>0</v>
      </c>
      <c r="I120" s="200">
        <f>IFERROR(INDEX('M03-S07'!$AG$18:$AG$199,2*(ROWS(I$119:I120)-1)+1),"")</f>
        <v>0</v>
      </c>
      <c r="J120" s="200" t="str">
        <f>IFERROR(INDEX('M03-S07'!$AT$18:$AT$199,2*(ROWS(J$119:J120)-1)+1),"")</f>
        <v/>
      </c>
      <c r="K120" s="178" t="s">
        <v>84</v>
      </c>
      <c r="L120" s="116">
        <f>IFERROR(ROUND(INDEX('M03-S07'!$U$18:$U$199,2*(ROWS(L$119:L120)-1)+1),3),"")</f>
        <v>0</v>
      </c>
      <c r="M120" s="116">
        <f>IFERROR(ROUND(INDEX('M03-S07'!$U$18:$U$199,2*(ROWS(M$119:M120)-1)+1),3),"")</f>
        <v>0</v>
      </c>
      <c r="N120" s="415" t="str">
        <f>IFERROR(INDEX('M03-S07'!$AV$18:$AV$199,2*(ROWS(N$119:N120)-1)+1),"")</f>
        <v/>
      </c>
      <c r="O120" s="415">
        <f>IFERROR(INDEX('M03-S07'!$BA$18:$BA$199,2*(ROWS(O$119:O120)-1)+1),"")</f>
        <v>0</v>
      </c>
      <c r="P120" s="415" t="str">
        <f>IFERROR(INDEX('M03-S07'!$AW$18:$AW$199,2*(ROWS(P$119:P120)-1)+1),"")</f>
        <v/>
      </c>
      <c r="Q120" s="415">
        <f>IFERROR(INDEX('M03-S07'!$BB$18:$BB$199,2*(ROWS(Q$119:Q120)-1)+1),"")</f>
        <v>0</v>
      </c>
      <c r="R120" s="200" t="str">
        <f>IFERROR(INDEX('M03-S07'!$AN$18:$AN$199,2*(ROWS(R$119:R120)-1)+1),"")</f>
        <v/>
      </c>
      <c r="S120" s="405"/>
      <c r="T120" s="405"/>
      <c r="U120" s="405"/>
      <c r="V120" s="325"/>
      <c r="W120" s="417"/>
      <c r="X120" s="417"/>
      <c r="Y120" s="408"/>
      <c r="Z120" s="408"/>
      <c r="AA120" s="418"/>
      <c r="AB120" s="418"/>
      <c r="AC120" s="325"/>
      <c r="AD120" s="415">
        <f>IFERROR(INDEX('M03-S07'!$AX$18:$AX$199,2*(ROWS(AD$119:AD120)-1)+1),"")</f>
        <v>0</v>
      </c>
      <c r="AE120" s="415">
        <f>IFERROR(INDEX('M03-S07'!$AY$18:$AY$199,2*(ROWS(AE$119:AE120)-1)+1),"")</f>
        <v>0</v>
      </c>
      <c r="AF120" s="408"/>
      <c r="AG120" s="408"/>
      <c r="AH120" s="408"/>
      <c r="AI120" s="178">
        <f>IFERROR(INDEX('M03-S07'!$B$18:$B$199,2*(ROWS(AI$119:AI120)-1)+1),"")</f>
        <v>2</v>
      </c>
      <c r="AJ120" s="325"/>
      <c r="AK120" s="178">
        <f>IFERROR(INDEX('M03-S07'!$C$18:$C$199,2*(ROWS(AK$119:AK120)-1)+1),"")</f>
        <v>0</v>
      </c>
      <c r="AL120" s="325"/>
      <c r="AM120" s="178">
        <f>IFERROR(INDEX('M03-S07'!$W$18:$W$199,2*(ROWS(AM$119:AM120)-1)+1),"")</f>
        <v>0</v>
      </c>
      <c r="AN120" s="405"/>
      <c r="AO120" s="405"/>
      <c r="AP120" s="178" t="str">
        <f>IFERROR(INDEX('M03-S07'!$AU$18:$AU$199,2*(ROWS(AP$119:AP120)-1)+1),"")</f>
        <v/>
      </c>
      <c r="AQ120" s="325"/>
      <c r="AR120" s="178" t="str">
        <f>IFERROR(INDEX(STDWATER[Reporting Methodology],MATCH(EXPORT!C120,STDWATER[Measure Number],0)),"")</f>
        <v/>
      </c>
      <c r="AS120" s="178" t="str">
        <f>IFERROR(INDEX(STDWATER[Primary Key],MATCH(C120,STDWATER[Measure Number],0)),"")</f>
        <v/>
      </c>
      <c r="AT120" s="200" t="str">
        <f>IFERROR(INDEX('M03-S07'!$AN$18:$AN$199,2*(ROWS(AT$119:AT120)-1)+1)-MIN(INDEX('M03-S07'!$AT$18:$AT$199,2*(ROWS(AT$119:AT120)-1)+1),(ROUND(INDEX('M03-S07'!$U$18:$U$199,2*(ROWS(AT$119:AT120)-1)+1)*INDEX(STDWATER[Previous Incentive],MATCH('M03-S07'!C20,STDWATER[Measure Name],0)),3))),"")</f>
        <v/>
      </c>
      <c r="AU120" s="278"/>
      <c r="AV120" s="278"/>
      <c r="AW120" s="278"/>
      <c r="AX120" s="278"/>
      <c r="AY120" s="278"/>
      <c r="AZ120" s="278"/>
      <c r="BA120" s="278"/>
      <c r="BB120" s="278"/>
      <c r="BC120" s="278"/>
      <c r="BD120" s="278"/>
      <c r="BE120" s="279"/>
      <c r="BL120" s="180"/>
      <c r="BP120"/>
      <c r="BQ120"/>
      <c r="BR120"/>
      <c r="CD120" s="180"/>
      <c r="CE120" s="180"/>
      <c r="CF120" s="180"/>
      <c r="CH120"/>
      <c r="CI120"/>
      <c r="CJ120"/>
      <c r="CK120"/>
      <c r="CL120"/>
      <c r="CM120"/>
      <c r="CN120"/>
      <c r="CQ120" s="180"/>
      <c r="CR120" s="180"/>
      <c r="CS120" s="180"/>
      <c r="DS120" s="180"/>
      <c r="DT120" s="180"/>
      <c r="DU120" s="180"/>
    </row>
    <row r="121" spans="1:125" s="54" customFormat="1" hidden="1">
      <c r="A121" s="135">
        <f t="shared" si="11"/>
        <v>0</v>
      </c>
      <c r="B121" s="178" t="str">
        <f t="shared" si="12"/>
        <v/>
      </c>
      <c r="C121" s="178" t="str">
        <f>IFERROR(IF(R121&gt;0,INDEX('M03-S07'!$BC$18:$BC$199,2*(ROWS($C$119:C121)-1)+1),""),"")</f>
        <v/>
      </c>
      <c r="D121" s="180" t="s">
        <v>1443</v>
      </c>
      <c r="E121" s="178" t="str">
        <f>IFERROR(INDEX('M03-S07'!$AZ$18:$AZ$199,2*(ROWS($E$119:E121)-1)+1),"")</f>
        <v/>
      </c>
      <c r="F121" s="408"/>
      <c r="G121" s="178">
        <f>IFERROR(INDEX('M03-S07'!$AA$18:$AA$199,2*(ROWS($G$119:G121)-1)+1),"")</f>
        <v>0</v>
      </c>
      <c r="H121" s="200">
        <f>IFERROR(INDEX('M03-S07'!$AE$18:$AE$199,2*(ROWS(H$119:H121)-1)+1),"")</f>
        <v>0</v>
      </c>
      <c r="I121" s="200">
        <f>IFERROR(INDEX('M03-S07'!$AG$18:$AG$199,2*(ROWS(I$119:I121)-1)+1),"")</f>
        <v>0</v>
      </c>
      <c r="J121" s="200" t="str">
        <f>IFERROR(INDEX('M03-S07'!$AT$18:$AT$199,2*(ROWS(J$119:J121)-1)+1),"")</f>
        <v/>
      </c>
      <c r="K121" s="178" t="s">
        <v>84</v>
      </c>
      <c r="L121" s="116">
        <f>IFERROR(ROUND(INDEX('M03-S07'!$U$18:$U$199,2*(ROWS(L$119:L121)-1)+1),3),"")</f>
        <v>0</v>
      </c>
      <c r="M121" s="116">
        <f>IFERROR(ROUND(INDEX('M03-S07'!$U$18:$U$199,2*(ROWS(M$119:M121)-1)+1),3),"")</f>
        <v>0</v>
      </c>
      <c r="N121" s="415" t="str">
        <f>IFERROR(INDEX('M03-S07'!$AV$18:$AV$199,2*(ROWS(N$119:N121)-1)+1),"")</f>
        <v/>
      </c>
      <c r="O121" s="415">
        <f>IFERROR(INDEX('M03-S07'!$BA$18:$BA$199,2*(ROWS(O$119:O121)-1)+1),"")</f>
        <v>0</v>
      </c>
      <c r="P121" s="415" t="str">
        <f>IFERROR(INDEX('M03-S07'!$AW$18:$AW$199,2*(ROWS(P$119:P121)-1)+1),"")</f>
        <v/>
      </c>
      <c r="Q121" s="415">
        <f>IFERROR(INDEX('M03-S07'!$BB$18:$BB$199,2*(ROWS(Q$119:Q121)-1)+1),"")</f>
        <v>0</v>
      </c>
      <c r="R121" s="200" t="str">
        <f>IFERROR(INDEX('M03-S07'!$AN$18:$AN$199,2*(ROWS(R$119:R121)-1)+1),"")</f>
        <v/>
      </c>
      <c r="S121" s="405"/>
      <c r="T121" s="405"/>
      <c r="U121" s="405"/>
      <c r="V121" s="325"/>
      <c r="W121" s="417"/>
      <c r="X121" s="417"/>
      <c r="Y121" s="408"/>
      <c r="Z121" s="408"/>
      <c r="AA121" s="418"/>
      <c r="AB121" s="418"/>
      <c r="AC121" s="325"/>
      <c r="AD121" s="415">
        <f>IFERROR(INDEX('M03-S07'!$AX$18:$AX$199,2*(ROWS(AD$119:AD121)-1)+1),"")</f>
        <v>0</v>
      </c>
      <c r="AE121" s="415">
        <f>IFERROR(INDEX('M03-S07'!$AY$18:$AY$199,2*(ROWS(AE$119:AE121)-1)+1),"")</f>
        <v>0</v>
      </c>
      <c r="AF121" s="408"/>
      <c r="AG121" s="408"/>
      <c r="AH121" s="408"/>
      <c r="AI121" s="178">
        <f>IFERROR(INDEX('M03-S07'!$B$18:$B$199,2*(ROWS(AI$119:AI121)-1)+1),"")</f>
        <v>3</v>
      </c>
      <c r="AJ121" s="325"/>
      <c r="AK121" s="178">
        <f>IFERROR(INDEX('M03-S07'!$C$18:$C$199,2*(ROWS(AK$119:AK121)-1)+1),"")</f>
        <v>0</v>
      </c>
      <c r="AL121" s="325"/>
      <c r="AM121" s="178">
        <f>IFERROR(INDEX('M03-S07'!$W$18:$W$199,2*(ROWS(AM$119:AM121)-1)+1),"")</f>
        <v>0</v>
      </c>
      <c r="AN121" s="405"/>
      <c r="AO121" s="405"/>
      <c r="AP121" s="178" t="str">
        <f>IFERROR(INDEX('M03-S07'!$AU$18:$AU$199,2*(ROWS(AP$119:AP121)-1)+1),"")</f>
        <v/>
      </c>
      <c r="AQ121" s="325"/>
      <c r="AR121" s="178" t="str">
        <f>IFERROR(INDEX(STDWATER[Reporting Methodology],MATCH(EXPORT!C121,STDWATER[Measure Number],0)),"")</f>
        <v/>
      </c>
      <c r="AS121" s="178" t="str">
        <f>IFERROR(INDEX(STDWATER[Primary Key],MATCH(C121,STDWATER[Measure Number],0)),"")</f>
        <v/>
      </c>
      <c r="AT121" s="200" t="str">
        <f>IFERROR(INDEX('M03-S07'!$AN$18:$AN$199,2*(ROWS(AT$119:AT121)-1)+1)-MIN(INDEX('M03-S07'!$AT$18:$AT$199,2*(ROWS(AT$119:AT121)-1)+1),(ROUND(INDEX('M03-S07'!$U$18:$U$199,2*(ROWS(AT$119:AT121)-1)+1)*INDEX(STDWATER[Previous Incentive],MATCH('M03-S07'!C22,STDWATER[Measure Name],0)),3))),"")</f>
        <v/>
      </c>
      <c r="AU121" s="278"/>
      <c r="AV121" s="278"/>
      <c r="AW121" s="278"/>
      <c r="AX121" s="278"/>
      <c r="AY121" s="278"/>
      <c r="AZ121" s="278"/>
      <c r="BA121" s="278"/>
      <c r="BB121" s="278"/>
      <c r="BC121" s="278"/>
      <c r="BD121" s="278"/>
      <c r="BE121" s="279"/>
      <c r="BL121" s="180"/>
      <c r="BP121"/>
      <c r="BQ121"/>
      <c r="BR121"/>
      <c r="CD121" s="180"/>
      <c r="CE121" s="180"/>
      <c r="CF121" s="180"/>
      <c r="CH121"/>
      <c r="CI121"/>
      <c r="CJ121"/>
      <c r="CK121"/>
      <c r="CL121"/>
      <c r="CM121"/>
      <c r="CN121"/>
      <c r="CQ121" s="180"/>
      <c r="CR121" s="180"/>
      <c r="CS121" s="180"/>
      <c r="DS121" s="180"/>
      <c r="DT121" s="180"/>
      <c r="DU121" s="180"/>
    </row>
    <row r="122" spans="1:125" s="54" customFormat="1" hidden="1">
      <c r="A122" s="135">
        <f t="shared" si="11"/>
        <v>0</v>
      </c>
      <c r="B122" s="178" t="str">
        <f t="shared" si="12"/>
        <v/>
      </c>
      <c r="C122" s="178" t="str">
        <f>IFERROR(IF(R122&gt;0,INDEX('M03-S07'!$BC$18:$BC$199,2*(ROWS($C$119:C122)-1)+1),""),"")</f>
        <v/>
      </c>
      <c r="D122" s="180" t="s">
        <v>1443</v>
      </c>
      <c r="E122" s="178" t="str">
        <f>IFERROR(INDEX('M03-S07'!$AZ$18:$AZ$199,2*(ROWS($E$119:E122)-1)+1),"")</f>
        <v/>
      </c>
      <c r="F122" s="408"/>
      <c r="G122" s="178">
        <f>IFERROR(INDEX('M03-S07'!$AA$18:$AA$199,2*(ROWS($G$119:G122)-1)+1),"")</f>
        <v>0</v>
      </c>
      <c r="H122" s="200">
        <f>IFERROR(INDEX('M03-S07'!$AE$18:$AE$199,2*(ROWS(H$119:H122)-1)+1),"")</f>
        <v>0</v>
      </c>
      <c r="I122" s="200">
        <f>IFERROR(INDEX('M03-S07'!$AG$18:$AG$199,2*(ROWS(I$119:I122)-1)+1),"")</f>
        <v>0</v>
      </c>
      <c r="J122" s="200" t="str">
        <f>IFERROR(INDEX('M03-S07'!$AT$18:$AT$199,2*(ROWS(J$119:J122)-1)+1),"")</f>
        <v/>
      </c>
      <c r="K122" s="178" t="s">
        <v>84</v>
      </c>
      <c r="L122" s="116">
        <f>IFERROR(ROUND(INDEX('M03-S07'!$U$18:$U$199,2*(ROWS(L$119:L122)-1)+1),3),"")</f>
        <v>0</v>
      </c>
      <c r="M122" s="116">
        <f>IFERROR(ROUND(INDEX('M03-S07'!$U$18:$U$199,2*(ROWS(M$119:M122)-1)+1),3),"")</f>
        <v>0</v>
      </c>
      <c r="N122" s="415" t="str">
        <f>IFERROR(INDEX('M03-S07'!$AV$18:$AV$199,2*(ROWS(N$119:N122)-1)+1),"")</f>
        <v/>
      </c>
      <c r="O122" s="415">
        <f>IFERROR(INDEX('M03-S07'!$BA$18:$BA$199,2*(ROWS(O$119:O122)-1)+1),"")</f>
        <v>0</v>
      </c>
      <c r="P122" s="415" t="str">
        <f>IFERROR(INDEX('M03-S07'!$AW$18:$AW$199,2*(ROWS(P$119:P122)-1)+1),"")</f>
        <v/>
      </c>
      <c r="Q122" s="415">
        <f>IFERROR(INDEX('M03-S07'!$BB$18:$BB$199,2*(ROWS(Q$119:Q122)-1)+1),"")</f>
        <v>0</v>
      </c>
      <c r="R122" s="200" t="str">
        <f>IFERROR(INDEX('M03-S07'!$AN$18:$AN$199,2*(ROWS(R$119:R122)-1)+1),"")</f>
        <v/>
      </c>
      <c r="S122" s="405"/>
      <c r="T122" s="405"/>
      <c r="U122" s="405"/>
      <c r="V122" s="325"/>
      <c r="W122" s="417"/>
      <c r="X122" s="417"/>
      <c r="Y122" s="408"/>
      <c r="Z122" s="408"/>
      <c r="AA122" s="418"/>
      <c r="AB122" s="418"/>
      <c r="AC122" s="325"/>
      <c r="AD122" s="415">
        <f>IFERROR(INDEX('M03-S07'!$AX$18:$AX$199,2*(ROWS(AD$119:AD122)-1)+1),"")</f>
        <v>0</v>
      </c>
      <c r="AE122" s="415">
        <f>IFERROR(INDEX('M03-S07'!$AY$18:$AY$199,2*(ROWS(AE$119:AE122)-1)+1),"")</f>
        <v>0</v>
      </c>
      <c r="AF122" s="408"/>
      <c r="AG122" s="408"/>
      <c r="AH122" s="408"/>
      <c r="AI122" s="178">
        <f>IFERROR(INDEX('M03-S07'!$B$18:$B$199,2*(ROWS(AI$119:AI122)-1)+1),"")</f>
        <v>4</v>
      </c>
      <c r="AJ122" s="325"/>
      <c r="AK122" s="178">
        <f>IFERROR(INDEX('M03-S07'!$C$18:$C$199,2*(ROWS(AK$119:AK122)-1)+1),"")</f>
        <v>0</v>
      </c>
      <c r="AL122" s="325"/>
      <c r="AM122" s="178">
        <f>IFERROR(INDEX('M03-S07'!$W$18:$W$199,2*(ROWS(AM$119:AM122)-1)+1),"")</f>
        <v>0</v>
      </c>
      <c r="AN122" s="405"/>
      <c r="AO122" s="405"/>
      <c r="AP122" s="178" t="str">
        <f>IFERROR(INDEX('M03-S07'!$AU$18:$AU$199,2*(ROWS(AP$119:AP122)-1)+1),"")</f>
        <v/>
      </c>
      <c r="AQ122" s="325"/>
      <c r="AR122" s="178" t="str">
        <f>IFERROR(INDEX(STDWATER[Reporting Methodology],MATCH(EXPORT!C122,STDWATER[Measure Number],0)),"")</f>
        <v/>
      </c>
      <c r="AS122" s="178" t="str">
        <f>IFERROR(INDEX(STDWATER[Primary Key],MATCH(C122,STDWATER[Measure Number],0)),"")</f>
        <v/>
      </c>
      <c r="AT122" s="200" t="str">
        <f>IFERROR(INDEX('M03-S07'!$AN$18:$AN$199,2*(ROWS(AT$119:AT122)-1)+1)-MIN(INDEX('M03-S07'!$AT$18:$AT$199,2*(ROWS(AT$119:AT122)-1)+1),(ROUND(INDEX('M03-S07'!$U$18:$U$199,2*(ROWS(AT$119:AT122)-1)+1)*INDEX(STDWATER[Previous Incentive],MATCH('M03-S07'!C24,STDWATER[Measure Name],0)),3))),"")</f>
        <v/>
      </c>
      <c r="AU122" s="278"/>
      <c r="AV122" s="278"/>
      <c r="AW122" s="278"/>
      <c r="AX122" s="278"/>
      <c r="AY122" s="278"/>
      <c r="AZ122" s="278"/>
      <c r="BA122" s="278"/>
      <c r="BB122" s="278"/>
      <c r="BC122" s="278"/>
      <c r="BD122" s="278"/>
      <c r="BE122" s="279"/>
      <c r="BL122" s="180"/>
      <c r="BP122" s="180"/>
      <c r="BQ122" s="180"/>
      <c r="BR122" s="180"/>
      <c r="CD122" s="180"/>
      <c r="CE122" s="180"/>
      <c r="CF122" s="180"/>
      <c r="CH122" s="180"/>
      <c r="CI122" s="180"/>
      <c r="CJ122" s="180"/>
      <c r="CK122" s="180"/>
      <c r="CL122" s="180"/>
      <c r="CM122" s="180"/>
      <c r="CN122" s="180"/>
      <c r="CQ122" s="180"/>
      <c r="CR122" s="180"/>
      <c r="CS122" s="180"/>
      <c r="DS122" s="180"/>
      <c r="DT122" s="180"/>
      <c r="DU122" s="180"/>
    </row>
    <row r="123" spans="1:125" s="54" customFormat="1" hidden="1">
      <c r="A123" s="135">
        <f t="shared" si="11"/>
        <v>0</v>
      </c>
      <c r="B123" s="178" t="str">
        <f t="shared" si="12"/>
        <v/>
      </c>
      <c r="C123" s="178" t="str">
        <f>IFERROR(IF(R123&gt;0,INDEX('M03-S07'!$BC$18:$BC$199,2*(ROWS($C$119:C123)-1)+1),""),"")</f>
        <v/>
      </c>
      <c r="D123" s="180" t="s">
        <v>1443</v>
      </c>
      <c r="E123" s="178" t="str">
        <f>IFERROR(INDEX('M03-S07'!$AZ$18:$AZ$199,2*(ROWS($E$119:E123)-1)+1),"")</f>
        <v/>
      </c>
      <c r="F123" s="408"/>
      <c r="G123" s="178">
        <f>IFERROR(INDEX('M03-S07'!$AA$18:$AA$199,2*(ROWS($G$119:G123)-1)+1),"")</f>
        <v>0</v>
      </c>
      <c r="H123" s="200">
        <f>IFERROR(INDEX('M03-S07'!$AE$18:$AE$199,2*(ROWS(H$119:H123)-1)+1),"")</f>
        <v>0</v>
      </c>
      <c r="I123" s="200">
        <f>IFERROR(INDEX('M03-S07'!$AG$18:$AG$199,2*(ROWS(I$119:I123)-1)+1),"")</f>
        <v>0</v>
      </c>
      <c r="J123" s="200" t="str">
        <f>IFERROR(INDEX('M03-S07'!$AT$18:$AT$199,2*(ROWS(J$119:J123)-1)+1),"")</f>
        <v/>
      </c>
      <c r="K123" s="178" t="s">
        <v>84</v>
      </c>
      <c r="L123" s="116">
        <f>IFERROR(ROUND(INDEX('M03-S07'!$U$18:$U$199,2*(ROWS(L$119:L123)-1)+1),3),"")</f>
        <v>0</v>
      </c>
      <c r="M123" s="116">
        <f>IFERROR(ROUND(INDEX('M03-S07'!$U$18:$U$199,2*(ROWS(M$119:M123)-1)+1),3),"")</f>
        <v>0</v>
      </c>
      <c r="N123" s="415" t="str">
        <f>IFERROR(INDEX('M03-S07'!$AV$18:$AV$199,2*(ROWS(N$119:N123)-1)+1),"")</f>
        <v/>
      </c>
      <c r="O123" s="415">
        <f>IFERROR(INDEX('M03-S07'!$BA$18:$BA$199,2*(ROWS(O$119:O123)-1)+1),"")</f>
        <v>0</v>
      </c>
      <c r="P123" s="415" t="str">
        <f>IFERROR(INDEX('M03-S07'!$AW$18:$AW$199,2*(ROWS(P$119:P123)-1)+1),"")</f>
        <v/>
      </c>
      <c r="Q123" s="415">
        <f>IFERROR(INDEX('M03-S07'!$BB$18:$BB$199,2*(ROWS(Q$119:Q123)-1)+1),"")</f>
        <v>0</v>
      </c>
      <c r="R123" s="200" t="str">
        <f>IFERROR(INDEX('M03-S07'!$AN$18:$AN$199,2*(ROWS(R$119:R123)-1)+1),"")</f>
        <v/>
      </c>
      <c r="S123" s="405"/>
      <c r="T123" s="405"/>
      <c r="U123" s="405"/>
      <c r="V123" s="325"/>
      <c r="W123" s="417"/>
      <c r="X123" s="417"/>
      <c r="Y123" s="408"/>
      <c r="Z123" s="408"/>
      <c r="AA123" s="418"/>
      <c r="AB123" s="418"/>
      <c r="AC123" s="325"/>
      <c r="AD123" s="415">
        <f>IFERROR(INDEX('M03-S07'!$AX$18:$AX$199,2*(ROWS(AD$119:AD123)-1)+1),"")</f>
        <v>0</v>
      </c>
      <c r="AE123" s="415">
        <f>IFERROR(INDEX('M03-S07'!$AY$18:$AY$199,2*(ROWS(AE$119:AE123)-1)+1),"")</f>
        <v>0</v>
      </c>
      <c r="AF123" s="408"/>
      <c r="AG123" s="408"/>
      <c r="AH123" s="408"/>
      <c r="AI123" s="178">
        <f>IFERROR(INDEX('M03-S07'!$B$18:$B$199,2*(ROWS(AI$119:AI123)-1)+1),"")</f>
        <v>5</v>
      </c>
      <c r="AJ123" s="325"/>
      <c r="AK123" s="178">
        <f>IFERROR(INDEX('M03-S07'!$C$18:$C$199,2*(ROWS(AK$119:AK123)-1)+1),"")</f>
        <v>0</v>
      </c>
      <c r="AL123" s="325"/>
      <c r="AM123" s="178">
        <f>IFERROR(INDEX('M03-S07'!$W$18:$W$199,2*(ROWS(AM$119:AM123)-1)+1),"")</f>
        <v>0</v>
      </c>
      <c r="AN123" s="405"/>
      <c r="AO123" s="405"/>
      <c r="AP123" s="178" t="str">
        <f>IFERROR(INDEX('M03-S07'!$AU$18:$AU$199,2*(ROWS(AP$119:AP123)-1)+1),"")</f>
        <v/>
      </c>
      <c r="AQ123" s="325"/>
      <c r="AR123" s="178" t="str">
        <f>IFERROR(INDEX(STDWATER[Reporting Methodology],MATCH(EXPORT!C123,STDWATER[Measure Number],0)),"")</f>
        <v/>
      </c>
      <c r="AS123" s="178" t="str">
        <f>IFERROR(INDEX(STDWATER[Primary Key],MATCH(C123,STDWATER[Measure Number],0)),"")</f>
        <v/>
      </c>
      <c r="AT123" s="200" t="str">
        <f>IFERROR(INDEX('M03-S07'!$AN$18:$AN$199,2*(ROWS(AT$119:AT123)-1)+1)-MIN(INDEX('M03-S07'!$AT$18:$AT$199,2*(ROWS(AT$119:AT123)-1)+1),(ROUND(INDEX('M03-S07'!$U$18:$U$199,2*(ROWS(AT$119:AT123)-1)+1)*INDEX(STDWATER[Previous Incentive],MATCH('M03-S07'!C26,STDWATER[Measure Name],0)),3))),"")</f>
        <v/>
      </c>
      <c r="AU123" s="278"/>
      <c r="AV123" s="278"/>
      <c r="AW123" s="278"/>
      <c r="AX123" s="278"/>
      <c r="AY123" s="278"/>
      <c r="AZ123" s="278"/>
      <c r="BA123" s="278"/>
      <c r="BB123" s="278"/>
      <c r="BC123" s="278"/>
      <c r="BD123" s="278"/>
      <c r="BE123" s="279"/>
      <c r="BL123" s="180"/>
      <c r="BP123" s="180"/>
      <c r="BQ123" s="180"/>
      <c r="BR123" s="180"/>
      <c r="CD123" s="180"/>
      <c r="CE123" s="180"/>
      <c r="CF123" s="180"/>
      <c r="CH123" s="180"/>
      <c r="CI123" s="180"/>
      <c r="CJ123" s="180"/>
      <c r="CK123" s="180"/>
      <c r="CL123" s="180"/>
      <c r="CM123" s="180"/>
      <c r="CN123" s="180"/>
      <c r="CQ123" s="180"/>
      <c r="CR123" s="180"/>
      <c r="CS123" s="180"/>
      <c r="DS123" s="180"/>
      <c r="DT123" s="180"/>
      <c r="DU123" s="180"/>
    </row>
    <row r="124" spans="1:125" s="54" customFormat="1" hidden="1">
      <c r="A124" s="135">
        <f t="shared" si="11"/>
        <v>0</v>
      </c>
      <c r="B124" s="178" t="str">
        <f t="shared" si="12"/>
        <v/>
      </c>
      <c r="C124" s="178" t="str">
        <f>IFERROR(IF(R124&gt;0,INDEX('M03-S07'!$BC$18:$BC$199,2*(ROWS($C$119:C124)-1)+1),""),"")</f>
        <v/>
      </c>
      <c r="D124" s="180" t="s">
        <v>1443</v>
      </c>
      <c r="E124" s="178" t="str">
        <f>IFERROR(INDEX('M03-S07'!$AZ$18:$AZ$199,2*(ROWS($E$119:E124)-1)+1),"")</f>
        <v/>
      </c>
      <c r="F124" s="408"/>
      <c r="G124" s="178">
        <f>IFERROR(INDEX('M03-S07'!$AA$18:$AA$199,2*(ROWS($G$119:G124)-1)+1),"")</f>
        <v>0</v>
      </c>
      <c r="H124" s="200">
        <f>IFERROR(INDEX('M03-S07'!$AE$18:$AE$199,2*(ROWS(H$119:H124)-1)+1),"")</f>
        <v>0</v>
      </c>
      <c r="I124" s="200">
        <f>IFERROR(INDEX('M03-S07'!$AG$18:$AG$199,2*(ROWS(I$119:I124)-1)+1),"")</f>
        <v>0</v>
      </c>
      <c r="J124" s="200" t="str">
        <f>IFERROR(INDEX('M03-S07'!$AT$18:$AT$199,2*(ROWS(J$119:J124)-1)+1),"")</f>
        <v/>
      </c>
      <c r="K124" s="178" t="s">
        <v>84</v>
      </c>
      <c r="L124" s="116">
        <f>IFERROR(ROUND(INDEX('M03-S07'!$U$18:$U$199,2*(ROWS(L$119:L124)-1)+1),3),"")</f>
        <v>0</v>
      </c>
      <c r="M124" s="116">
        <f>IFERROR(ROUND(INDEX('M03-S07'!$U$18:$U$199,2*(ROWS(M$119:M124)-1)+1),3),"")</f>
        <v>0</v>
      </c>
      <c r="N124" s="415" t="str">
        <f>IFERROR(INDEX('M03-S07'!$AV$18:$AV$199,2*(ROWS(N$119:N124)-1)+1),"")</f>
        <v/>
      </c>
      <c r="O124" s="415">
        <f>IFERROR(INDEX('M03-S07'!$BA$18:$BA$199,2*(ROWS(O$119:O124)-1)+1),"")</f>
        <v>0</v>
      </c>
      <c r="P124" s="415" t="str">
        <f>IFERROR(INDEX('M03-S07'!$AW$18:$AW$199,2*(ROWS(P$119:P124)-1)+1),"")</f>
        <v/>
      </c>
      <c r="Q124" s="415">
        <f>IFERROR(INDEX('M03-S07'!$BB$18:$BB$199,2*(ROWS(Q$119:Q124)-1)+1),"")</f>
        <v>0</v>
      </c>
      <c r="R124" s="200" t="str">
        <f>IFERROR(INDEX('M03-S07'!$AN$18:$AN$199,2*(ROWS(R$119:R124)-1)+1),"")</f>
        <v/>
      </c>
      <c r="S124" s="405"/>
      <c r="T124" s="405"/>
      <c r="U124" s="405"/>
      <c r="V124" s="325"/>
      <c r="W124" s="417"/>
      <c r="X124" s="417"/>
      <c r="Y124" s="408"/>
      <c r="Z124" s="408"/>
      <c r="AA124" s="418"/>
      <c r="AB124" s="418"/>
      <c r="AC124" s="325"/>
      <c r="AD124" s="415">
        <f>IFERROR(INDEX('M03-S07'!$AX$18:$AX$199,2*(ROWS(AD$119:AD124)-1)+1),"")</f>
        <v>0</v>
      </c>
      <c r="AE124" s="415">
        <f>IFERROR(INDEX('M03-S07'!$AY$18:$AY$199,2*(ROWS(AE$119:AE124)-1)+1),"")</f>
        <v>0</v>
      </c>
      <c r="AF124" s="408"/>
      <c r="AG124" s="408"/>
      <c r="AH124" s="408"/>
      <c r="AI124" s="178">
        <f>IFERROR(INDEX('M03-S07'!$B$18:$B$199,2*(ROWS(AI$119:AI124)-1)+1),"")</f>
        <v>6</v>
      </c>
      <c r="AJ124" s="325"/>
      <c r="AK124" s="178">
        <f>IFERROR(INDEX('M03-S07'!$C$18:$C$199,2*(ROWS(AK$119:AK124)-1)+1),"")</f>
        <v>0</v>
      </c>
      <c r="AL124" s="325"/>
      <c r="AM124" s="178">
        <f>IFERROR(INDEX('M03-S07'!$W$18:$W$199,2*(ROWS(AM$119:AM124)-1)+1),"")</f>
        <v>0</v>
      </c>
      <c r="AN124" s="405"/>
      <c r="AO124" s="405"/>
      <c r="AP124" s="178" t="str">
        <f>IFERROR(INDEX('M03-S07'!$AU$18:$AU$199,2*(ROWS(AP$119:AP124)-1)+1),"")</f>
        <v/>
      </c>
      <c r="AQ124" s="325"/>
      <c r="AR124" s="178" t="str">
        <f>IFERROR(INDEX(STDWATER[Reporting Methodology],MATCH(EXPORT!C124,STDWATER[Measure Number],0)),"")</f>
        <v/>
      </c>
      <c r="AS124" s="178" t="str">
        <f>IFERROR(INDEX(STDWATER[Primary Key],MATCH(C124,STDWATER[Measure Number],0)),"")</f>
        <v/>
      </c>
      <c r="AT124" s="200" t="str">
        <f>IFERROR(INDEX('M03-S07'!$AN$18:$AN$199,2*(ROWS(AT$119:AT124)-1)+1)-MIN(INDEX('M03-S07'!$AT$18:$AT$199,2*(ROWS(AT$119:AT124)-1)+1),(ROUND(INDEX('M03-S07'!$U$18:$U$199,2*(ROWS(AT$119:AT124)-1)+1)*INDEX(STDWATER[Previous Incentive],MATCH('M03-S07'!C28,STDWATER[Measure Name],0)),3))),"")</f>
        <v/>
      </c>
      <c r="AU124" s="278"/>
      <c r="AV124" s="278"/>
      <c r="AW124" s="278"/>
      <c r="AX124" s="278"/>
      <c r="AY124" s="278"/>
      <c r="AZ124" s="278"/>
      <c r="BA124" s="278"/>
      <c r="BB124" s="278"/>
      <c r="BC124" s="278"/>
      <c r="BD124" s="278"/>
      <c r="BE124" s="279"/>
      <c r="BL124" s="180"/>
      <c r="BP124" s="180"/>
      <c r="BQ124" s="180"/>
      <c r="BR124" s="180"/>
      <c r="CD124" s="180"/>
      <c r="CE124" s="180"/>
      <c r="CF124" s="180"/>
      <c r="CH124" s="180"/>
      <c r="CI124" s="180"/>
      <c r="CJ124" s="180"/>
      <c r="CK124" s="180"/>
      <c r="CL124" s="180"/>
      <c r="CM124" s="180"/>
      <c r="CN124" s="180"/>
      <c r="CQ124" s="180"/>
      <c r="CR124" s="180"/>
      <c r="CS124" s="180"/>
      <c r="DS124" s="180"/>
      <c r="DT124" s="180"/>
      <c r="DU124" s="180"/>
    </row>
    <row r="125" spans="1:125" s="54" customFormat="1" hidden="1">
      <c r="A125" s="135">
        <f t="shared" si="11"/>
        <v>0</v>
      </c>
      <c r="B125" s="178" t="str">
        <f t="shared" si="12"/>
        <v/>
      </c>
      <c r="C125" s="178" t="str">
        <f>IFERROR(IF(R125&gt;0,INDEX('M03-S07'!$BC$18:$BC$199,2*(ROWS($C$119:C125)-1)+1),""),"")</f>
        <v/>
      </c>
      <c r="D125" s="180" t="s">
        <v>1443</v>
      </c>
      <c r="E125" s="178" t="str">
        <f>IFERROR(INDEX('M03-S07'!$AZ$18:$AZ$199,2*(ROWS($E$119:E125)-1)+1),"")</f>
        <v/>
      </c>
      <c r="F125" s="408"/>
      <c r="G125" s="178">
        <f>IFERROR(INDEX('M03-S07'!$AA$18:$AA$199,2*(ROWS($G$119:G125)-1)+1),"")</f>
        <v>0</v>
      </c>
      <c r="H125" s="200">
        <f>IFERROR(INDEX('M03-S07'!$AE$18:$AE$199,2*(ROWS(H$119:H125)-1)+1),"")</f>
        <v>0</v>
      </c>
      <c r="I125" s="200">
        <f>IFERROR(INDEX('M03-S07'!$AG$18:$AG$199,2*(ROWS(I$119:I125)-1)+1),"")</f>
        <v>0</v>
      </c>
      <c r="J125" s="200" t="str">
        <f>IFERROR(INDEX('M03-S07'!$AT$18:$AT$199,2*(ROWS(J$119:J125)-1)+1),"")</f>
        <v/>
      </c>
      <c r="K125" s="178" t="s">
        <v>84</v>
      </c>
      <c r="L125" s="116">
        <f>IFERROR(ROUND(INDEX('M03-S07'!$U$18:$U$199,2*(ROWS(L$119:L125)-1)+1),3),"")</f>
        <v>0</v>
      </c>
      <c r="M125" s="116">
        <f>IFERROR(ROUND(INDEX('M03-S07'!$U$18:$U$199,2*(ROWS(M$119:M125)-1)+1),3),"")</f>
        <v>0</v>
      </c>
      <c r="N125" s="415" t="str">
        <f>IFERROR(INDEX('M03-S07'!$AV$18:$AV$199,2*(ROWS(N$119:N125)-1)+1),"")</f>
        <v/>
      </c>
      <c r="O125" s="415">
        <f>IFERROR(INDEX('M03-S07'!$BA$18:$BA$199,2*(ROWS(O$119:O125)-1)+1),"")</f>
        <v>0</v>
      </c>
      <c r="P125" s="415" t="str">
        <f>IFERROR(INDEX('M03-S07'!$AW$18:$AW$199,2*(ROWS(P$119:P125)-1)+1),"")</f>
        <v/>
      </c>
      <c r="Q125" s="415">
        <f>IFERROR(INDEX('M03-S07'!$BB$18:$BB$199,2*(ROWS(Q$119:Q125)-1)+1),"")</f>
        <v>0</v>
      </c>
      <c r="R125" s="200" t="str">
        <f>IFERROR(INDEX('M03-S07'!$AN$18:$AN$199,2*(ROWS(R$119:R125)-1)+1),"")</f>
        <v/>
      </c>
      <c r="S125" s="405"/>
      <c r="T125" s="405"/>
      <c r="U125" s="405"/>
      <c r="V125" s="325"/>
      <c r="W125" s="417"/>
      <c r="X125" s="417"/>
      <c r="Y125" s="408"/>
      <c r="Z125" s="408"/>
      <c r="AA125" s="418"/>
      <c r="AB125" s="418"/>
      <c r="AC125" s="325"/>
      <c r="AD125" s="415">
        <f>IFERROR(INDEX('M03-S07'!$AX$18:$AX$199,2*(ROWS(AD$119:AD125)-1)+1),"")</f>
        <v>0</v>
      </c>
      <c r="AE125" s="415">
        <f>IFERROR(INDEX('M03-S07'!$AY$18:$AY$199,2*(ROWS(AE$119:AE125)-1)+1),"")</f>
        <v>0</v>
      </c>
      <c r="AF125" s="408"/>
      <c r="AG125" s="408"/>
      <c r="AH125" s="408"/>
      <c r="AI125" s="178">
        <f>IFERROR(INDEX('M03-S07'!$B$18:$B$199,2*(ROWS(AI$119:AI125)-1)+1),"")</f>
        <v>7</v>
      </c>
      <c r="AJ125" s="325"/>
      <c r="AK125" s="178">
        <f>IFERROR(INDEX('M03-S07'!$C$18:$C$199,2*(ROWS(AK$119:AK125)-1)+1),"")</f>
        <v>0</v>
      </c>
      <c r="AL125" s="325"/>
      <c r="AM125" s="178">
        <f>IFERROR(INDEX('M03-S07'!$W$18:$W$199,2*(ROWS(AM$119:AM125)-1)+1),"")</f>
        <v>0</v>
      </c>
      <c r="AN125" s="405"/>
      <c r="AO125" s="405"/>
      <c r="AP125" s="178" t="str">
        <f>IFERROR(INDEX('M03-S07'!$AU$18:$AU$199,2*(ROWS(AP$119:AP125)-1)+1),"")</f>
        <v/>
      </c>
      <c r="AQ125" s="325"/>
      <c r="AR125" s="178" t="str">
        <f>IFERROR(INDEX(STDWATER[Reporting Methodology],MATCH(EXPORT!C125,STDWATER[Measure Number],0)),"")</f>
        <v/>
      </c>
      <c r="AS125" s="178" t="str">
        <f>IFERROR(INDEX(STDWATER[Primary Key],MATCH(C125,STDWATER[Measure Number],0)),"")</f>
        <v/>
      </c>
      <c r="AT125" s="200" t="str">
        <f>IFERROR(INDEX('M03-S07'!$AN$18:$AN$199,2*(ROWS(AT$119:AT125)-1)+1)-MIN(INDEX('M03-S07'!$AT$18:$AT$199,2*(ROWS(AT$119:AT125)-1)+1),(ROUND(INDEX('M03-S07'!$U$18:$U$199,2*(ROWS(AT$119:AT125)-1)+1)*INDEX(STDWATER[Previous Incentive],MATCH('M03-S07'!C30,STDWATER[Measure Name],0)),3))),"")</f>
        <v/>
      </c>
      <c r="AU125" s="278"/>
      <c r="AV125" s="278"/>
      <c r="AW125" s="278"/>
      <c r="AX125" s="278"/>
      <c r="AY125" s="278"/>
      <c r="AZ125" s="278"/>
      <c r="BA125" s="278"/>
      <c r="BB125" s="278"/>
      <c r="BC125" s="278"/>
      <c r="BD125" s="278"/>
      <c r="BE125" s="279"/>
      <c r="BL125" s="180"/>
      <c r="BP125" s="180"/>
      <c r="BQ125" s="180"/>
      <c r="BR125" s="180"/>
      <c r="CD125" s="180"/>
      <c r="CE125" s="180"/>
      <c r="CF125" s="180"/>
      <c r="CH125" s="180"/>
      <c r="CI125" s="180"/>
      <c r="CJ125" s="180"/>
      <c r="CK125" s="180"/>
      <c r="CL125" s="180"/>
      <c r="CM125" s="180"/>
      <c r="CN125" s="180"/>
      <c r="CQ125" s="180"/>
      <c r="CR125" s="180"/>
      <c r="CS125" s="180"/>
      <c r="DS125" s="180"/>
      <c r="DT125" s="180"/>
      <c r="DU125" s="180"/>
    </row>
    <row r="126" spans="1:125" s="54" customFormat="1" hidden="1">
      <c r="A126" s="135">
        <f t="shared" si="11"/>
        <v>0</v>
      </c>
      <c r="B126" s="178" t="str">
        <f t="shared" si="12"/>
        <v/>
      </c>
      <c r="C126" s="178" t="str">
        <f>IFERROR(IF(R126&gt;0,INDEX('M03-S07'!$BC$18:$BC$199,2*(ROWS($C$119:C126)-1)+1),""),"")</f>
        <v/>
      </c>
      <c r="D126" s="180" t="s">
        <v>1443</v>
      </c>
      <c r="E126" s="178" t="str">
        <f>IFERROR(INDEX('M03-S07'!$AZ$18:$AZ$199,2*(ROWS($E$119:E126)-1)+1),"")</f>
        <v/>
      </c>
      <c r="F126" s="408"/>
      <c r="G126" s="178">
        <f>IFERROR(INDEX('M03-S07'!$AA$18:$AA$199,2*(ROWS($G$119:G126)-1)+1),"")</f>
        <v>0</v>
      </c>
      <c r="H126" s="200">
        <f>IFERROR(INDEX('M03-S07'!$AE$18:$AE$199,2*(ROWS(H$119:H126)-1)+1),"")</f>
        <v>0</v>
      </c>
      <c r="I126" s="200">
        <f>IFERROR(INDEX('M03-S07'!$AG$18:$AG$199,2*(ROWS(I$119:I126)-1)+1),"")</f>
        <v>0</v>
      </c>
      <c r="J126" s="200" t="str">
        <f>IFERROR(INDEX('M03-S07'!$AT$18:$AT$199,2*(ROWS(J$119:J126)-1)+1),"")</f>
        <v/>
      </c>
      <c r="K126" s="178" t="s">
        <v>84</v>
      </c>
      <c r="L126" s="116">
        <f>IFERROR(ROUND(INDEX('M03-S07'!$U$18:$U$199,2*(ROWS(L$119:L126)-1)+1),3),"")</f>
        <v>0</v>
      </c>
      <c r="M126" s="116">
        <f>IFERROR(ROUND(INDEX('M03-S07'!$U$18:$U$199,2*(ROWS(M$119:M126)-1)+1),3),"")</f>
        <v>0</v>
      </c>
      <c r="N126" s="415" t="str">
        <f>IFERROR(INDEX('M03-S07'!$AV$18:$AV$199,2*(ROWS(N$119:N126)-1)+1),"")</f>
        <v/>
      </c>
      <c r="O126" s="415">
        <f>IFERROR(INDEX('M03-S07'!$BA$18:$BA$199,2*(ROWS(O$119:O126)-1)+1),"")</f>
        <v>0</v>
      </c>
      <c r="P126" s="415" t="str">
        <f>IFERROR(INDEX('M03-S07'!$AW$18:$AW$199,2*(ROWS(P$119:P126)-1)+1),"")</f>
        <v/>
      </c>
      <c r="Q126" s="415">
        <f>IFERROR(INDEX('M03-S07'!$BB$18:$BB$199,2*(ROWS(Q$119:Q126)-1)+1),"")</f>
        <v>0</v>
      </c>
      <c r="R126" s="200" t="str">
        <f>IFERROR(INDEX('M03-S07'!$AN$18:$AN$199,2*(ROWS(R$119:R126)-1)+1),"")</f>
        <v/>
      </c>
      <c r="S126" s="405"/>
      <c r="T126" s="405"/>
      <c r="U126" s="405"/>
      <c r="V126" s="325"/>
      <c r="W126" s="417"/>
      <c r="X126" s="417"/>
      <c r="Y126" s="408"/>
      <c r="Z126" s="408"/>
      <c r="AA126" s="418"/>
      <c r="AB126" s="418"/>
      <c r="AC126" s="325"/>
      <c r="AD126" s="415">
        <f>IFERROR(INDEX('M03-S07'!$AX$18:$AX$199,2*(ROWS(AD$119:AD126)-1)+1),"")</f>
        <v>0</v>
      </c>
      <c r="AE126" s="415">
        <f>IFERROR(INDEX('M03-S07'!$AY$18:$AY$199,2*(ROWS(AE$119:AE126)-1)+1),"")</f>
        <v>0</v>
      </c>
      <c r="AF126" s="408"/>
      <c r="AG126" s="408"/>
      <c r="AH126" s="408"/>
      <c r="AI126" s="178">
        <f>IFERROR(INDEX('M03-S07'!$B$18:$B$199,2*(ROWS(AI$119:AI126)-1)+1),"")</f>
        <v>8</v>
      </c>
      <c r="AJ126" s="325"/>
      <c r="AK126" s="178">
        <f>IFERROR(INDEX('M03-S07'!$C$18:$C$199,2*(ROWS(AK$119:AK126)-1)+1),"")</f>
        <v>0</v>
      </c>
      <c r="AL126" s="325"/>
      <c r="AM126" s="178">
        <f>IFERROR(INDEX('M03-S07'!$W$18:$W$199,2*(ROWS(AM$119:AM126)-1)+1),"")</f>
        <v>0</v>
      </c>
      <c r="AN126" s="405"/>
      <c r="AO126" s="405"/>
      <c r="AP126" s="178" t="str">
        <f>IFERROR(INDEX('M03-S07'!$AU$18:$AU$199,2*(ROWS(AP$119:AP126)-1)+1),"")</f>
        <v/>
      </c>
      <c r="AQ126" s="325"/>
      <c r="AR126" s="178" t="str">
        <f>IFERROR(INDEX(STDWATER[Reporting Methodology],MATCH(EXPORT!C126,STDWATER[Measure Number],0)),"")</f>
        <v/>
      </c>
      <c r="AS126" s="178" t="str">
        <f>IFERROR(INDEX(STDWATER[Primary Key],MATCH(C126,STDWATER[Measure Number],0)),"")</f>
        <v/>
      </c>
      <c r="AT126" s="200" t="str">
        <f>IFERROR(INDEX('M03-S07'!$AN$18:$AN$199,2*(ROWS(AT$119:AT126)-1)+1)-MIN(INDEX('M03-S07'!$AT$18:$AT$199,2*(ROWS(AT$119:AT126)-1)+1),(ROUND(INDEX('M03-S07'!$U$18:$U$199,2*(ROWS(AT$119:AT126)-1)+1)*INDEX(STDWATER[Previous Incentive],MATCH('M03-S07'!C32,STDWATER[Measure Name],0)),3))),"")</f>
        <v/>
      </c>
      <c r="AU126" s="278"/>
      <c r="AV126" s="278"/>
      <c r="AW126" s="278"/>
      <c r="AX126" s="278"/>
      <c r="AY126" s="278"/>
      <c r="AZ126" s="278"/>
      <c r="BA126" s="278"/>
      <c r="BB126" s="278"/>
      <c r="BC126" s="278"/>
      <c r="BD126" s="278"/>
      <c r="BE126" s="279"/>
      <c r="BL126" s="180"/>
      <c r="BP126" s="180"/>
      <c r="BQ126" s="180"/>
      <c r="BR126" s="180"/>
      <c r="CD126" s="180"/>
      <c r="CE126" s="180"/>
      <c r="CF126" s="180"/>
      <c r="CH126" s="180"/>
      <c r="CI126" s="180"/>
      <c r="CJ126" s="180"/>
      <c r="CK126" s="180"/>
      <c r="CL126" s="180"/>
      <c r="CM126" s="180"/>
      <c r="CN126" s="180"/>
      <c r="CQ126" s="180"/>
      <c r="CR126" s="180"/>
      <c r="CS126" s="180"/>
      <c r="DS126" s="180"/>
      <c r="DT126" s="180"/>
      <c r="DU126" s="180"/>
    </row>
    <row r="127" spans="1:125" s="54" customFormat="1" hidden="1">
      <c r="A127" s="135">
        <f t="shared" si="11"/>
        <v>0</v>
      </c>
      <c r="B127" s="178" t="str">
        <f t="shared" si="12"/>
        <v/>
      </c>
      <c r="C127" s="178" t="str">
        <f>IFERROR(IF(R127&gt;0,INDEX('M03-S07'!$BC$18:$BC$199,2*(ROWS($C$119:C127)-1)+1),""),"")</f>
        <v/>
      </c>
      <c r="D127" s="180" t="s">
        <v>1443</v>
      </c>
      <c r="E127" s="178" t="str">
        <f>IFERROR(INDEX('M03-S07'!$AZ$18:$AZ$199,2*(ROWS($E$119:E127)-1)+1),"")</f>
        <v/>
      </c>
      <c r="F127" s="408"/>
      <c r="G127" s="178">
        <f>IFERROR(INDEX('M03-S07'!$AA$18:$AA$199,2*(ROWS($G$119:G127)-1)+1),"")</f>
        <v>0</v>
      </c>
      <c r="H127" s="200">
        <f>IFERROR(INDEX('M03-S07'!$AE$18:$AE$199,2*(ROWS(H$119:H127)-1)+1),"")</f>
        <v>0</v>
      </c>
      <c r="I127" s="200">
        <f>IFERROR(INDEX('M03-S07'!$AG$18:$AG$199,2*(ROWS(I$119:I127)-1)+1),"")</f>
        <v>0</v>
      </c>
      <c r="J127" s="200" t="str">
        <f>IFERROR(INDEX('M03-S07'!$AT$18:$AT$199,2*(ROWS(J$119:J127)-1)+1),"")</f>
        <v/>
      </c>
      <c r="K127" s="178" t="s">
        <v>84</v>
      </c>
      <c r="L127" s="116">
        <f>IFERROR(ROUND(INDEX('M03-S07'!$U$18:$U$199,2*(ROWS(L$119:L127)-1)+1),3),"")</f>
        <v>0</v>
      </c>
      <c r="M127" s="116">
        <f>IFERROR(ROUND(INDEX('M03-S07'!$U$18:$U$199,2*(ROWS(M$119:M127)-1)+1),3),"")</f>
        <v>0</v>
      </c>
      <c r="N127" s="415" t="str">
        <f>IFERROR(INDEX('M03-S07'!$AV$18:$AV$199,2*(ROWS(N$119:N127)-1)+1),"")</f>
        <v/>
      </c>
      <c r="O127" s="415">
        <f>IFERROR(INDEX('M03-S07'!$BA$18:$BA$199,2*(ROWS(O$119:O127)-1)+1),"")</f>
        <v>0</v>
      </c>
      <c r="P127" s="415" t="str">
        <f>IFERROR(INDEX('M03-S07'!$AW$18:$AW$199,2*(ROWS(P$119:P127)-1)+1),"")</f>
        <v/>
      </c>
      <c r="Q127" s="415">
        <f>IFERROR(INDEX('M03-S07'!$BB$18:$BB$199,2*(ROWS(Q$119:Q127)-1)+1),"")</f>
        <v>0</v>
      </c>
      <c r="R127" s="200" t="str">
        <f>IFERROR(INDEX('M03-S07'!$AN$18:$AN$199,2*(ROWS(R$119:R127)-1)+1),"")</f>
        <v/>
      </c>
      <c r="S127" s="405"/>
      <c r="T127" s="405"/>
      <c r="U127" s="405"/>
      <c r="V127" s="325"/>
      <c r="W127" s="417"/>
      <c r="X127" s="417"/>
      <c r="Y127" s="408"/>
      <c r="Z127" s="408"/>
      <c r="AA127" s="418"/>
      <c r="AB127" s="418"/>
      <c r="AC127" s="325"/>
      <c r="AD127" s="415">
        <f>IFERROR(INDEX('M03-S07'!$AX$18:$AX$199,2*(ROWS(AD$119:AD127)-1)+1),"")</f>
        <v>0</v>
      </c>
      <c r="AE127" s="415">
        <f>IFERROR(INDEX('M03-S07'!$AY$18:$AY$199,2*(ROWS(AE$119:AE127)-1)+1),"")</f>
        <v>0</v>
      </c>
      <c r="AF127" s="408"/>
      <c r="AG127" s="408"/>
      <c r="AH127" s="408"/>
      <c r="AI127" s="178">
        <f>IFERROR(INDEX('M03-S07'!$B$18:$B$199,2*(ROWS(AI$119:AI127)-1)+1),"")</f>
        <v>9</v>
      </c>
      <c r="AJ127" s="325"/>
      <c r="AK127" s="178">
        <f>IFERROR(INDEX('M03-S07'!$C$18:$C$199,2*(ROWS(AK$119:AK127)-1)+1),"")</f>
        <v>0</v>
      </c>
      <c r="AL127" s="325"/>
      <c r="AM127" s="178">
        <f>IFERROR(INDEX('M03-S07'!$W$18:$W$199,2*(ROWS(AM$119:AM127)-1)+1),"")</f>
        <v>0</v>
      </c>
      <c r="AN127" s="405"/>
      <c r="AO127" s="405"/>
      <c r="AP127" s="178" t="str">
        <f>IFERROR(INDEX('M03-S07'!$AU$18:$AU$199,2*(ROWS(AP$119:AP127)-1)+1),"")</f>
        <v/>
      </c>
      <c r="AQ127" s="325"/>
      <c r="AR127" s="178" t="str">
        <f>IFERROR(INDEX(STDWATER[Reporting Methodology],MATCH(EXPORT!C127,STDWATER[Measure Number],0)),"")</f>
        <v/>
      </c>
      <c r="AS127" s="178" t="str">
        <f>IFERROR(INDEX(STDWATER[Primary Key],MATCH(C127,STDWATER[Measure Number],0)),"")</f>
        <v/>
      </c>
      <c r="AT127" s="200" t="str">
        <f>IFERROR(INDEX('M03-S07'!$AN$18:$AN$199,2*(ROWS(AT$119:AT127)-1)+1)-MIN(INDEX('M03-S07'!$AT$18:$AT$199,2*(ROWS(AT$119:AT127)-1)+1),(ROUND(INDEX('M03-S07'!$U$18:$U$199,2*(ROWS(AT$119:AT127)-1)+1)*INDEX(STDWATER[Previous Incentive],MATCH('M03-S07'!C34,STDWATER[Measure Name],0)),3))),"")</f>
        <v/>
      </c>
      <c r="AU127" s="278"/>
      <c r="AV127" s="278"/>
      <c r="AW127" s="278"/>
      <c r="AX127" s="278"/>
      <c r="AY127" s="278"/>
      <c r="AZ127" s="278"/>
      <c r="BA127" s="278"/>
      <c r="BB127" s="278"/>
      <c r="BC127" s="278"/>
      <c r="BD127" s="278"/>
      <c r="BE127" s="279"/>
      <c r="BL127" s="180"/>
      <c r="BP127"/>
      <c r="BQ127"/>
      <c r="BR127"/>
      <c r="CD127" s="180"/>
      <c r="CE127" s="180"/>
      <c r="CF127" s="180"/>
      <c r="CH127"/>
      <c r="CI127"/>
      <c r="CJ127"/>
      <c r="CK127"/>
      <c r="CL127"/>
      <c r="CM127"/>
      <c r="CN127"/>
      <c r="CQ127" s="180"/>
      <c r="CR127" s="180"/>
      <c r="CS127" s="180"/>
      <c r="DS127" s="180"/>
      <c r="DT127" s="180"/>
      <c r="DU127" s="180"/>
    </row>
    <row r="128" spans="1:125" s="54" customFormat="1" hidden="1">
      <c r="A128" s="135">
        <f t="shared" si="11"/>
        <v>0</v>
      </c>
      <c r="B128" s="178" t="str">
        <f t="shared" si="12"/>
        <v/>
      </c>
      <c r="C128" s="178" t="str">
        <f>IFERROR(IF(R128&gt;0,INDEX('M03-S07'!$BC$18:$BC$199,2*(ROWS($C$119:C128)-1)+1),""),"")</f>
        <v/>
      </c>
      <c r="D128" s="180" t="s">
        <v>1443</v>
      </c>
      <c r="E128" s="178" t="str">
        <f>IFERROR(INDEX('M03-S07'!$AZ$18:$AZ$199,2*(ROWS($E$119:E128)-1)+1),"")</f>
        <v/>
      </c>
      <c r="F128" s="408"/>
      <c r="G128" s="178">
        <f>IFERROR(INDEX('M03-S07'!$AA$18:$AA$199,2*(ROWS($G$119:G128)-1)+1),"")</f>
        <v>0</v>
      </c>
      <c r="H128" s="200">
        <f>IFERROR(INDEX('M03-S07'!$AE$18:$AE$199,2*(ROWS(H$119:H128)-1)+1),"")</f>
        <v>0</v>
      </c>
      <c r="I128" s="200">
        <f>IFERROR(INDEX('M03-S07'!$AG$18:$AG$199,2*(ROWS(I$119:I128)-1)+1),"")</f>
        <v>0</v>
      </c>
      <c r="J128" s="200" t="str">
        <f>IFERROR(INDEX('M03-S07'!$AT$18:$AT$199,2*(ROWS(J$119:J128)-1)+1),"")</f>
        <v/>
      </c>
      <c r="K128" s="178" t="s">
        <v>84</v>
      </c>
      <c r="L128" s="116">
        <f>IFERROR(ROUND(INDEX('M03-S07'!$U$18:$U$199,2*(ROWS(L$119:L128)-1)+1),3),"")</f>
        <v>0</v>
      </c>
      <c r="M128" s="116">
        <f>IFERROR(ROUND(INDEX('M03-S07'!$U$18:$U$199,2*(ROWS(M$119:M128)-1)+1),3),"")</f>
        <v>0</v>
      </c>
      <c r="N128" s="415" t="str">
        <f>IFERROR(INDEX('M03-S07'!$AV$18:$AV$199,2*(ROWS(N$119:N128)-1)+1),"")</f>
        <v/>
      </c>
      <c r="O128" s="415">
        <f>IFERROR(INDEX('M03-S07'!$BA$18:$BA$199,2*(ROWS(O$119:O128)-1)+1),"")</f>
        <v>0</v>
      </c>
      <c r="P128" s="415" t="str">
        <f>IFERROR(INDEX('M03-S07'!$AW$18:$AW$199,2*(ROWS(P$119:P128)-1)+1),"")</f>
        <v/>
      </c>
      <c r="Q128" s="415">
        <f>IFERROR(INDEX('M03-S07'!$BB$18:$BB$199,2*(ROWS(Q$119:Q128)-1)+1),"")</f>
        <v>0</v>
      </c>
      <c r="R128" s="200" t="str">
        <f>IFERROR(INDEX('M03-S07'!$AN$18:$AN$199,2*(ROWS(R$119:R128)-1)+1),"")</f>
        <v/>
      </c>
      <c r="S128" s="405"/>
      <c r="T128" s="405"/>
      <c r="U128" s="405"/>
      <c r="V128" s="325"/>
      <c r="W128" s="417"/>
      <c r="X128" s="417"/>
      <c r="Y128" s="408"/>
      <c r="Z128" s="408"/>
      <c r="AA128" s="418"/>
      <c r="AB128" s="418"/>
      <c r="AC128" s="325"/>
      <c r="AD128" s="415">
        <f>IFERROR(INDEX('M03-S07'!$AX$18:$AX$199,2*(ROWS(AD$119:AD128)-1)+1),"")</f>
        <v>0</v>
      </c>
      <c r="AE128" s="415">
        <f>IFERROR(INDEX('M03-S07'!$AY$18:$AY$199,2*(ROWS(AE$119:AE128)-1)+1),"")</f>
        <v>0</v>
      </c>
      <c r="AF128" s="408"/>
      <c r="AG128" s="408"/>
      <c r="AH128" s="408"/>
      <c r="AI128" s="178">
        <f>IFERROR(INDEX('M03-S07'!$B$18:$B$199,2*(ROWS(AI$119:AI128)-1)+1),"")</f>
        <v>10</v>
      </c>
      <c r="AJ128" s="325"/>
      <c r="AK128" s="178">
        <f>IFERROR(INDEX('M03-S07'!$C$18:$C$199,2*(ROWS(AK$119:AK128)-1)+1),"")</f>
        <v>0</v>
      </c>
      <c r="AL128" s="325"/>
      <c r="AM128" s="178">
        <f>IFERROR(INDEX('M03-S07'!$W$18:$W$199,2*(ROWS(AM$119:AM128)-1)+1),"")</f>
        <v>0</v>
      </c>
      <c r="AN128" s="405"/>
      <c r="AO128" s="405"/>
      <c r="AP128" s="178" t="str">
        <f>IFERROR(INDEX('M03-S07'!$AU$18:$AU$199,2*(ROWS(AP$119:AP128)-1)+1),"")</f>
        <v/>
      </c>
      <c r="AQ128" s="325"/>
      <c r="AR128" s="178" t="str">
        <f>IFERROR(INDEX(STDWATER[Reporting Methodology],MATCH(EXPORT!C128,STDWATER[Measure Number],0)),"")</f>
        <v/>
      </c>
      <c r="AS128" s="178" t="str">
        <f>IFERROR(INDEX(STDWATER[Primary Key],MATCH(C128,STDWATER[Measure Number],0)),"")</f>
        <v/>
      </c>
      <c r="AT128" s="200" t="str">
        <f>IFERROR(INDEX('M03-S07'!$AN$18:$AN$199,2*(ROWS(AT$119:AT128)-1)+1)-MIN(INDEX('M03-S07'!$AT$18:$AT$199,2*(ROWS(AT$119:AT128)-1)+1),(ROUND(INDEX('M03-S07'!$U$18:$U$199,2*(ROWS(AT$119:AT128)-1)+1)*INDEX(STDWATER[Previous Incentive],MATCH('M03-S07'!C36,STDWATER[Measure Name],0)),3))),"")</f>
        <v/>
      </c>
      <c r="AU128" s="278"/>
      <c r="AV128" s="278"/>
      <c r="AW128" s="278"/>
      <c r="AX128" s="278"/>
      <c r="AY128" s="278"/>
      <c r="AZ128" s="278"/>
      <c r="BA128" s="278"/>
      <c r="BB128" s="278"/>
      <c r="BC128" s="278"/>
      <c r="BD128" s="278"/>
      <c r="BE128" s="279"/>
      <c r="BL128" s="180"/>
      <c r="BP128"/>
      <c r="BQ128"/>
      <c r="BR128"/>
      <c r="CD128" s="180"/>
      <c r="CE128" s="180"/>
      <c r="CF128" s="180"/>
      <c r="CH128"/>
      <c r="CI128"/>
      <c r="CJ128"/>
      <c r="CK128"/>
      <c r="CL128"/>
      <c r="CM128"/>
      <c r="CN128"/>
      <c r="CQ128" s="180"/>
      <c r="CR128" s="180"/>
      <c r="CS128" s="180"/>
      <c r="DS128" s="180"/>
      <c r="DT128" s="180"/>
      <c r="DU128" s="180"/>
    </row>
    <row r="129" spans="1:125" s="54" customFormat="1" hidden="1">
      <c r="A129" s="135">
        <f t="shared" si="11"/>
        <v>0</v>
      </c>
      <c r="B129" s="178" t="str">
        <f t="shared" si="12"/>
        <v/>
      </c>
      <c r="C129" s="178" t="str">
        <f>IFERROR(IF(R129&gt;0,INDEX('M03-S07'!$BC$18:$BC$199,2*(ROWS($C$119:C129)-1)+1),""),"")</f>
        <v/>
      </c>
      <c r="D129" s="180" t="s">
        <v>1443</v>
      </c>
      <c r="E129" s="178">
        <f>IFERROR(INDEX('M03-S07'!$AZ$18:$AZ$199,2*(ROWS($E$119:E129)-1)+1),"")</f>
        <v>0</v>
      </c>
      <c r="F129" s="408"/>
      <c r="G129" s="178">
        <f>IFERROR(INDEX('M03-S07'!$AA$18:$AA$199,2*(ROWS($G$119:G129)-1)+1),"")</f>
        <v>0</v>
      </c>
      <c r="H129" s="200">
        <f>IFERROR(INDEX('M03-S07'!$AE$18:$AE$199,2*(ROWS(H$119:H129)-1)+1),"")</f>
        <v>0</v>
      </c>
      <c r="I129" s="200">
        <f>IFERROR(INDEX('M03-S07'!$AG$18:$AG$199,2*(ROWS(I$119:I129)-1)+1),"")</f>
        <v>0</v>
      </c>
      <c r="J129" s="200">
        <f>IFERROR(INDEX('M03-S07'!$AT$18:$AT$199,2*(ROWS(J$119:J129)-1)+1),"")</f>
        <v>0</v>
      </c>
      <c r="K129" s="178" t="s">
        <v>84</v>
      </c>
      <c r="L129" s="116">
        <f>IFERROR(ROUND(INDEX('M03-S07'!$U$18:$U$199,2*(ROWS(L$119:L129)-1)+1),3),"")</f>
        <v>0</v>
      </c>
      <c r="M129" s="116">
        <f>IFERROR(ROUND(INDEX('M03-S07'!$U$18:$U$199,2*(ROWS(M$119:M129)-1)+1),3),"")</f>
        <v>0</v>
      </c>
      <c r="N129" s="415">
        <f>IFERROR(INDEX('M03-S07'!$AV$18:$AV$199,2*(ROWS(N$119:N129)-1)+1),"")</f>
        <v>0</v>
      </c>
      <c r="O129" s="415">
        <f>IFERROR(INDEX('M03-S07'!$BA$18:$BA$199,2*(ROWS(O$119:O129)-1)+1),"")</f>
        <v>0</v>
      </c>
      <c r="P129" s="415">
        <f>IFERROR(INDEX('M03-S07'!$AW$18:$AW$199,2*(ROWS(P$119:P129)-1)+1),"")</f>
        <v>0</v>
      </c>
      <c r="Q129" s="415">
        <f>IFERROR(INDEX('M03-S07'!$BB$18:$BB$199,2*(ROWS(Q$119:Q129)-1)+1),"")</f>
        <v>0</v>
      </c>
      <c r="R129" s="200">
        <f>IFERROR(INDEX('M03-S07'!$AN$18:$AN$199,2*(ROWS(R$119:R129)-1)+1),"")</f>
        <v>0</v>
      </c>
      <c r="S129" s="405"/>
      <c r="T129" s="405"/>
      <c r="U129" s="405"/>
      <c r="V129" s="325"/>
      <c r="W129" s="417"/>
      <c r="X129" s="417"/>
      <c r="Y129" s="408"/>
      <c r="Z129" s="408"/>
      <c r="AA129" s="418"/>
      <c r="AB129" s="418"/>
      <c r="AC129" s="325"/>
      <c r="AD129" s="415">
        <f>IFERROR(INDEX('M03-S07'!$AX$18:$AX$199,2*(ROWS(AD$119:AD129)-1)+1),"")</f>
        <v>0</v>
      </c>
      <c r="AE129" s="415">
        <f>IFERROR(INDEX('M03-S07'!$AY$18:$AY$199,2*(ROWS(AE$119:AE129)-1)+1),"")</f>
        <v>0</v>
      </c>
      <c r="AF129" s="408"/>
      <c r="AG129" s="408"/>
      <c r="AH129" s="408"/>
      <c r="AI129" s="178">
        <f>IFERROR(INDEX('M03-S07'!$B$18:$B$199,2*(ROWS(AI$119:AI129)-1)+1),"")</f>
        <v>0</v>
      </c>
      <c r="AJ129" s="325"/>
      <c r="AK129" s="178">
        <f>IFERROR(INDEX('M03-S07'!$C$18:$C$199,2*(ROWS(AK$119:AK129)-1)+1),"")</f>
        <v>0</v>
      </c>
      <c r="AL129" s="325"/>
      <c r="AM129" s="178">
        <f>IFERROR(INDEX('M03-S07'!$W$18:$W$199,2*(ROWS(AM$119:AM129)-1)+1),"")</f>
        <v>0</v>
      </c>
      <c r="AN129" s="405"/>
      <c r="AO129" s="405"/>
      <c r="AP129" s="178">
        <f>IFERROR(INDEX('M03-S07'!$AU$18:$AU$199,2*(ROWS(AP$119:AP129)-1)+1),"")</f>
        <v>0</v>
      </c>
      <c r="AQ129" s="325"/>
      <c r="AR129" s="178" t="str">
        <f>IFERROR(INDEX(STDWATER[Reporting Methodology],MATCH(EXPORT!C129,STDWATER[Measure Number],0)),"")</f>
        <v/>
      </c>
      <c r="AS129" s="178" t="str">
        <f>IFERROR(INDEX(STDWATER[Primary Key],MATCH(C129,STDWATER[Measure Number],0)),"")</f>
        <v/>
      </c>
      <c r="AT129" s="200" t="str">
        <f>IFERROR(INDEX('M03-S07'!$AN$18:$AN$199,2*(ROWS(AT$119:AT129)-1)+1)-MIN(INDEX('M03-S07'!$AT$18:$AT$199,2*(ROWS(AT$119:AT129)-1)+1),(ROUND(INDEX('M03-S07'!$U$18:$U$199,2*(ROWS(AT$119:AT129)-1)+1)*INDEX(STDWATER[Previous Incentive],MATCH('M03-S07'!C38,STDWATER[Measure Name],0)),3))),"")</f>
        <v/>
      </c>
      <c r="AU129" s="278"/>
      <c r="AV129" s="278"/>
      <c r="AW129" s="278"/>
      <c r="AX129" s="278"/>
      <c r="AY129" s="278"/>
      <c r="AZ129" s="278"/>
      <c r="BA129" s="278"/>
      <c r="BB129" s="278"/>
      <c r="BC129" s="278"/>
      <c r="BD129" s="278"/>
      <c r="BE129" s="279"/>
      <c r="BL129" s="180"/>
      <c r="BP129"/>
      <c r="BQ129"/>
      <c r="BR129"/>
      <c r="CD129" s="180"/>
      <c r="CE129" s="180"/>
      <c r="CF129" s="180"/>
      <c r="CH129"/>
      <c r="CI129"/>
      <c r="CJ129"/>
      <c r="CK129"/>
      <c r="CL129"/>
      <c r="CM129"/>
      <c r="CN129"/>
      <c r="CQ129" s="180"/>
      <c r="CR129" s="180"/>
      <c r="CS129" s="180"/>
      <c r="DS129" s="180"/>
      <c r="DT129" s="180"/>
      <c r="DU129" s="180"/>
    </row>
    <row r="130" spans="1:125" s="54" customFormat="1" hidden="1">
      <c r="A130" s="135">
        <f t="shared" si="11"/>
        <v>0</v>
      </c>
      <c r="B130" s="178" t="str">
        <f t="shared" si="12"/>
        <v/>
      </c>
      <c r="C130" s="178" t="str">
        <f>IFERROR(IF(R130&gt;0,INDEX('M03-S07'!$BC$18:$BC$199,2*(ROWS($C$119:C130)-1)+1),""),"")</f>
        <v/>
      </c>
      <c r="D130" s="180" t="s">
        <v>1443</v>
      </c>
      <c r="E130" s="178">
        <f>IFERROR(INDEX('M03-S07'!$AZ$18:$AZ$199,2*(ROWS($E$119:E130)-1)+1),"")</f>
        <v>0</v>
      </c>
      <c r="F130" s="408"/>
      <c r="G130" s="178">
        <f>IFERROR(INDEX('M03-S07'!$AA$18:$AA$199,2*(ROWS($G$119:G130)-1)+1),"")</f>
        <v>0</v>
      </c>
      <c r="H130" s="200">
        <f>IFERROR(INDEX('M03-S07'!$AE$18:$AE$199,2*(ROWS(H$119:H130)-1)+1),"")</f>
        <v>0</v>
      </c>
      <c r="I130" s="200">
        <f>IFERROR(INDEX('M03-S07'!$AG$18:$AG$199,2*(ROWS(I$119:I130)-1)+1),"")</f>
        <v>0</v>
      </c>
      <c r="J130" s="200">
        <f>IFERROR(INDEX('M03-S07'!$AT$18:$AT$199,2*(ROWS(J$119:J130)-1)+1),"")</f>
        <v>0</v>
      </c>
      <c r="K130" s="178" t="s">
        <v>84</v>
      </c>
      <c r="L130" s="116">
        <f>IFERROR(ROUND(INDEX('M03-S07'!$U$18:$U$199,2*(ROWS(L$119:L130)-1)+1),3),"")</f>
        <v>0</v>
      </c>
      <c r="M130" s="116">
        <f>IFERROR(ROUND(INDEX('M03-S07'!$U$18:$U$199,2*(ROWS(M$119:M130)-1)+1),3),"")</f>
        <v>0</v>
      </c>
      <c r="N130" s="415">
        <f>IFERROR(INDEX('M03-S07'!$AV$18:$AV$199,2*(ROWS(N$119:N130)-1)+1),"")</f>
        <v>0</v>
      </c>
      <c r="O130" s="415">
        <f>IFERROR(INDEX('M03-S07'!$BA$18:$BA$199,2*(ROWS(O$119:O130)-1)+1),"")</f>
        <v>0</v>
      </c>
      <c r="P130" s="415">
        <f>IFERROR(INDEX('M03-S07'!$AW$18:$AW$199,2*(ROWS(P$119:P130)-1)+1),"")</f>
        <v>0</v>
      </c>
      <c r="Q130" s="415">
        <f>IFERROR(INDEX('M03-S07'!$BB$18:$BB$199,2*(ROWS(Q$119:Q130)-1)+1),"")</f>
        <v>0</v>
      </c>
      <c r="R130" s="200">
        <f>IFERROR(INDEX('M03-S07'!$AN$18:$AN$199,2*(ROWS(R$119:R130)-1)+1),"")</f>
        <v>0</v>
      </c>
      <c r="S130" s="405"/>
      <c r="T130" s="405"/>
      <c r="U130" s="405"/>
      <c r="V130" s="325"/>
      <c r="W130" s="417"/>
      <c r="X130" s="417"/>
      <c r="Y130" s="408"/>
      <c r="Z130" s="408"/>
      <c r="AA130" s="418"/>
      <c r="AB130" s="418"/>
      <c r="AC130" s="325"/>
      <c r="AD130" s="415">
        <f>IFERROR(INDEX('M03-S07'!$AX$18:$AX$199,2*(ROWS(AD$119:AD130)-1)+1),"")</f>
        <v>0</v>
      </c>
      <c r="AE130" s="415">
        <f>IFERROR(INDEX('M03-S07'!$AY$18:$AY$199,2*(ROWS(AE$119:AE130)-1)+1),"")</f>
        <v>0</v>
      </c>
      <c r="AF130" s="408"/>
      <c r="AG130" s="408"/>
      <c r="AH130" s="408"/>
      <c r="AI130" s="178">
        <f>IFERROR(INDEX('M03-S07'!$B$18:$B$199,2*(ROWS(AI$119:AI130)-1)+1),"")</f>
        <v>0</v>
      </c>
      <c r="AJ130" s="325"/>
      <c r="AK130" s="178">
        <f>IFERROR(INDEX('M03-S07'!$C$18:$C$199,2*(ROWS(AK$119:AK130)-1)+1),"")</f>
        <v>0</v>
      </c>
      <c r="AL130" s="325"/>
      <c r="AM130" s="178">
        <f>IFERROR(INDEX('M03-S07'!$W$18:$W$199,2*(ROWS(AM$119:AM130)-1)+1),"")</f>
        <v>0</v>
      </c>
      <c r="AN130" s="405"/>
      <c r="AO130" s="405"/>
      <c r="AP130" s="178">
        <f>IFERROR(INDEX('M03-S07'!$AU$18:$AU$199,2*(ROWS(AP$119:AP130)-1)+1),"")</f>
        <v>0</v>
      </c>
      <c r="AQ130" s="325"/>
      <c r="AR130" s="178" t="str">
        <f>IFERROR(INDEX(STDWATER[Reporting Methodology],MATCH(EXPORT!C130,STDWATER[Measure Number],0)),"")</f>
        <v/>
      </c>
      <c r="AS130" s="178" t="str">
        <f>IFERROR(INDEX(STDWATER[Primary Key],MATCH(C130,STDWATER[Measure Number],0)),"")</f>
        <v/>
      </c>
      <c r="AT130" s="200" t="str">
        <f>IFERROR(INDEX('M03-S07'!$AN$18:$AN$199,2*(ROWS(AT$119:AT130)-1)+1)-MIN(INDEX('M03-S07'!$AT$18:$AT$199,2*(ROWS(AT$119:AT130)-1)+1),(ROUND(INDEX('M03-S07'!$U$18:$U$199,2*(ROWS(AT$119:AT130)-1)+1)*INDEX(STDWATER[Previous Incentive],MATCH('M03-S07'!C40,STDWATER[Measure Name],0)),3))),"")</f>
        <v/>
      </c>
      <c r="AU130" s="278"/>
      <c r="AV130" s="278"/>
      <c r="AW130" s="278"/>
      <c r="AX130" s="278"/>
      <c r="AY130" s="278"/>
      <c r="AZ130" s="278"/>
      <c r="BA130" s="278"/>
      <c r="BB130" s="278"/>
      <c r="BC130" s="278"/>
      <c r="BD130" s="278"/>
      <c r="BE130" s="279"/>
      <c r="BL130" s="180"/>
      <c r="BP130"/>
      <c r="BQ130"/>
      <c r="BR130"/>
      <c r="CD130" s="180"/>
      <c r="CE130" s="180"/>
      <c r="CF130" s="180"/>
      <c r="CH130"/>
      <c r="CI130"/>
      <c r="CJ130"/>
      <c r="CK130"/>
      <c r="CL130"/>
      <c r="CM130"/>
      <c r="CN130"/>
      <c r="CQ130" s="180"/>
      <c r="CR130" s="180"/>
      <c r="CS130" s="180"/>
      <c r="DS130" s="180"/>
      <c r="DT130" s="180"/>
      <c r="DU130" s="180"/>
    </row>
    <row r="131" spans="1:125" s="54" customFormat="1" hidden="1">
      <c r="A131" s="135">
        <f t="shared" si="11"/>
        <v>0</v>
      </c>
      <c r="B131" s="178" t="str">
        <f t="shared" si="12"/>
        <v/>
      </c>
      <c r="C131" s="178" t="str">
        <f>IFERROR(IF(R131&gt;0,INDEX('M03-S07'!$BC$18:$BC$199,2*(ROWS($C$119:C131)-1)+1),""),"")</f>
        <v/>
      </c>
      <c r="D131" s="180" t="s">
        <v>1443</v>
      </c>
      <c r="E131" s="178">
        <f>IFERROR(INDEX('M03-S07'!$AZ$18:$AZ$199,2*(ROWS($E$119:E131)-1)+1),"")</f>
        <v>0</v>
      </c>
      <c r="F131" s="408"/>
      <c r="G131" s="178">
        <f>IFERROR(INDEX('M03-S07'!$AA$18:$AA$199,2*(ROWS($G$119:G131)-1)+1),"")</f>
        <v>0</v>
      </c>
      <c r="H131" s="200">
        <f>IFERROR(INDEX('M03-S07'!$AE$18:$AE$199,2*(ROWS(H$119:H131)-1)+1),"")</f>
        <v>0</v>
      </c>
      <c r="I131" s="200">
        <f>IFERROR(INDEX('M03-S07'!$AG$18:$AG$199,2*(ROWS(I$119:I131)-1)+1),"")</f>
        <v>0</v>
      </c>
      <c r="J131" s="200">
        <f>IFERROR(INDEX('M03-S07'!$AT$18:$AT$199,2*(ROWS(J$119:J131)-1)+1),"")</f>
        <v>0</v>
      </c>
      <c r="K131" s="178" t="s">
        <v>84</v>
      </c>
      <c r="L131" s="116">
        <f>IFERROR(ROUND(INDEX('M03-S07'!$U$18:$U$199,2*(ROWS(L$119:L131)-1)+1),3),"")</f>
        <v>0</v>
      </c>
      <c r="M131" s="116">
        <f>IFERROR(ROUND(INDEX('M03-S07'!$U$18:$U$199,2*(ROWS(M$119:M131)-1)+1),3),"")</f>
        <v>0</v>
      </c>
      <c r="N131" s="415">
        <f>IFERROR(INDEX('M03-S07'!$AV$18:$AV$199,2*(ROWS(N$119:N131)-1)+1),"")</f>
        <v>0</v>
      </c>
      <c r="O131" s="415">
        <f>IFERROR(INDEX('M03-S07'!$BA$18:$BA$199,2*(ROWS(O$119:O131)-1)+1),"")</f>
        <v>0</v>
      </c>
      <c r="P131" s="415">
        <f>IFERROR(INDEX('M03-S07'!$AW$18:$AW$199,2*(ROWS(P$119:P131)-1)+1),"")</f>
        <v>0</v>
      </c>
      <c r="Q131" s="415">
        <f>IFERROR(INDEX('M03-S07'!$BB$18:$BB$199,2*(ROWS(Q$119:Q131)-1)+1),"")</f>
        <v>0</v>
      </c>
      <c r="R131" s="200">
        <f>IFERROR(INDEX('M03-S07'!$AN$18:$AN$199,2*(ROWS(R$119:R131)-1)+1),"")</f>
        <v>0</v>
      </c>
      <c r="S131" s="405"/>
      <c r="T131" s="405"/>
      <c r="U131" s="405"/>
      <c r="V131" s="325"/>
      <c r="W131" s="417"/>
      <c r="X131" s="417"/>
      <c r="Y131" s="408"/>
      <c r="Z131" s="408"/>
      <c r="AA131" s="418"/>
      <c r="AB131" s="418"/>
      <c r="AC131" s="325"/>
      <c r="AD131" s="415">
        <f>IFERROR(INDEX('M03-S07'!$AX$18:$AX$199,2*(ROWS(AD$119:AD131)-1)+1),"")</f>
        <v>0</v>
      </c>
      <c r="AE131" s="415">
        <f>IFERROR(INDEX('M03-S07'!$AY$18:$AY$199,2*(ROWS(AE$119:AE131)-1)+1),"")</f>
        <v>0</v>
      </c>
      <c r="AF131" s="408"/>
      <c r="AG131" s="408"/>
      <c r="AH131" s="408"/>
      <c r="AI131" s="178">
        <f>IFERROR(INDEX('M03-S07'!$B$18:$B$199,2*(ROWS(AI$119:AI131)-1)+1),"")</f>
        <v>0</v>
      </c>
      <c r="AJ131" s="325"/>
      <c r="AK131" s="178">
        <f>IFERROR(INDEX('M03-S07'!$C$18:$C$199,2*(ROWS(AK$119:AK131)-1)+1),"")</f>
        <v>0</v>
      </c>
      <c r="AL131" s="325"/>
      <c r="AM131" s="178">
        <f>IFERROR(INDEX('M03-S07'!$W$18:$W$199,2*(ROWS(AM$119:AM131)-1)+1),"")</f>
        <v>0</v>
      </c>
      <c r="AN131" s="405"/>
      <c r="AO131" s="405"/>
      <c r="AP131" s="178">
        <f>IFERROR(INDEX('M03-S07'!$AU$18:$AU$199,2*(ROWS(AP$119:AP131)-1)+1),"")</f>
        <v>0</v>
      </c>
      <c r="AQ131" s="325"/>
      <c r="AR131" s="178" t="str">
        <f>IFERROR(INDEX(STDWATER[Reporting Methodology],MATCH(EXPORT!C131,STDWATER[Measure Number],0)),"")</f>
        <v/>
      </c>
      <c r="AS131" s="178" t="str">
        <f>IFERROR(INDEX(STDWATER[Primary Key],MATCH(C131,STDWATER[Measure Number],0)),"")</f>
        <v/>
      </c>
      <c r="AT131" s="200" t="str">
        <f>IFERROR(INDEX('M03-S07'!$AN$18:$AN$199,2*(ROWS(AT$119:AT131)-1)+1)-MIN(INDEX('M03-S07'!$AT$18:$AT$199,2*(ROWS(AT$119:AT131)-1)+1),(ROUND(INDEX('M03-S07'!$U$18:$U$199,2*(ROWS(AT$119:AT131)-1)+1)*INDEX(STDWATER[Previous Incentive],MATCH('M03-S07'!C42,STDWATER[Measure Name],0)),3))),"")</f>
        <v/>
      </c>
      <c r="AU131" s="278"/>
      <c r="AV131" s="278"/>
      <c r="AW131" s="278"/>
      <c r="AX131" s="278"/>
      <c r="AY131" s="278"/>
      <c r="AZ131" s="278"/>
      <c r="BA131" s="278"/>
      <c r="BB131" s="278"/>
      <c r="BC131" s="278"/>
      <c r="BD131" s="278"/>
      <c r="BE131" s="279"/>
      <c r="BL131" s="180"/>
      <c r="BP131"/>
      <c r="BQ131"/>
      <c r="BR131"/>
      <c r="CD131" s="180"/>
      <c r="CE131" s="180"/>
      <c r="CF131" s="180"/>
      <c r="CH131"/>
      <c r="CI131"/>
      <c r="CJ131"/>
      <c r="CK131"/>
      <c r="CL131"/>
      <c r="CM131"/>
      <c r="CN131"/>
      <c r="CQ131" s="180"/>
      <c r="CR131" s="180"/>
      <c r="CS131" s="180"/>
      <c r="DS131" s="180"/>
      <c r="DT131" s="180"/>
      <c r="DU131" s="180"/>
    </row>
    <row r="132" spans="1:125" s="54" customFormat="1" hidden="1">
      <c r="A132" s="135">
        <f t="shared" si="11"/>
        <v>0</v>
      </c>
      <c r="B132" s="178" t="str">
        <f t="shared" si="12"/>
        <v/>
      </c>
      <c r="C132" s="178" t="str">
        <f>IFERROR(IF(R132&gt;0,INDEX('M03-S07'!$BC$18:$BC$199,2*(ROWS($C$119:C132)-1)+1),""),"")</f>
        <v/>
      </c>
      <c r="D132" s="180" t="s">
        <v>1443</v>
      </c>
      <c r="E132" s="178">
        <f>IFERROR(INDEX('M03-S07'!$AZ$18:$AZ$199,2*(ROWS($E$119:E132)-1)+1),"")</f>
        <v>0</v>
      </c>
      <c r="F132" s="408"/>
      <c r="G132" s="178">
        <f>IFERROR(INDEX('M03-S07'!$AA$18:$AA$199,2*(ROWS($G$119:G132)-1)+1),"")</f>
        <v>0</v>
      </c>
      <c r="H132" s="200">
        <f>IFERROR(INDEX('M03-S07'!$AE$18:$AE$199,2*(ROWS(H$119:H132)-1)+1),"")</f>
        <v>0</v>
      </c>
      <c r="I132" s="200">
        <f>IFERROR(INDEX('M03-S07'!$AG$18:$AG$199,2*(ROWS(I$119:I132)-1)+1),"")</f>
        <v>0</v>
      </c>
      <c r="J132" s="200">
        <f>IFERROR(INDEX('M03-S07'!$AT$18:$AT$199,2*(ROWS(J$119:J132)-1)+1),"")</f>
        <v>0</v>
      </c>
      <c r="K132" s="178" t="s">
        <v>84</v>
      </c>
      <c r="L132" s="116">
        <f>IFERROR(ROUND(INDEX('M03-S07'!$U$18:$U$199,2*(ROWS(L$119:L132)-1)+1),3),"")</f>
        <v>0</v>
      </c>
      <c r="M132" s="116">
        <f>IFERROR(ROUND(INDEX('M03-S07'!$U$18:$U$199,2*(ROWS(M$119:M132)-1)+1),3),"")</f>
        <v>0</v>
      </c>
      <c r="N132" s="415">
        <f>IFERROR(INDEX('M03-S07'!$AV$18:$AV$199,2*(ROWS(N$119:N132)-1)+1),"")</f>
        <v>0</v>
      </c>
      <c r="O132" s="415">
        <f>IFERROR(INDEX('M03-S07'!$BA$18:$BA$199,2*(ROWS(O$119:O132)-1)+1),"")</f>
        <v>0</v>
      </c>
      <c r="P132" s="415">
        <f>IFERROR(INDEX('M03-S07'!$AW$18:$AW$199,2*(ROWS(P$119:P132)-1)+1),"")</f>
        <v>0</v>
      </c>
      <c r="Q132" s="415">
        <f>IFERROR(INDEX('M03-S07'!$BB$18:$BB$199,2*(ROWS(Q$119:Q132)-1)+1),"")</f>
        <v>0</v>
      </c>
      <c r="R132" s="200">
        <f>IFERROR(INDEX('M03-S07'!$AN$18:$AN$199,2*(ROWS(R$119:R132)-1)+1),"")</f>
        <v>0</v>
      </c>
      <c r="S132" s="405"/>
      <c r="T132" s="405"/>
      <c r="U132" s="405"/>
      <c r="V132" s="325"/>
      <c r="W132" s="417"/>
      <c r="X132" s="417"/>
      <c r="Y132" s="408"/>
      <c r="Z132" s="408"/>
      <c r="AA132" s="418"/>
      <c r="AB132" s="418"/>
      <c r="AC132" s="325"/>
      <c r="AD132" s="415">
        <f>IFERROR(INDEX('M03-S07'!$AX$18:$AX$199,2*(ROWS(AD$119:AD132)-1)+1),"")</f>
        <v>0</v>
      </c>
      <c r="AE132" s="415">
        <f>IFERROR(INDEX('M03-S07'!$AY$18:$AY$199,2*(ROWS(AE$119:AE132)-1)+1),"")</f>
        <v>0</v>
      </c>
      <c r="AF132" s="408"/>
      <c r="AG132" s="408"/>
      <c r="AH132" s="408"/>
      <c r="AI132" s="178">
        <f>IFERROR(INDEX('M03-S07'!$B$18:$B$199,2*(ROWS(AI$119:AI132)-1)+1),"")</f>
        <v>0</v>
      </c>
      <c r="AJ132" s="325"/>
      <c r="AK132" s="178">
        <f>IFERROR(INDEX('M03-S07'!$C$18:$C$199,2*(ROWS(AK$119:AK132)-1)+1),"")</f>
        <v>0</v>
      </c>
      <c r="AL132" s="325"/>
      <c r="AM132" s="178">
        <f>IFERROR(INDEX('M03-S07'!$W$18:$W$199,2*(ROWS(AM$119:AM132)-1)+1),"")</f>
        <v>0</v>
      </c>
      <c r="AN132" s="405"/>
      <c r="AO132" s="405"/>
      <c r="AP132" s="178">
        <f>IFERROR(INDEX('M03-S07'!$AU$18:$AU$199,2*(ROWS(AP$119:AP132)-1)+1),"")</f>
        <v>0</v>
      </c>
      <c r="AQ132" s="325"/>
      <c r="AR132" s="178" t="str">
        <f>IFERROR(INDEX(STDWATER[Reporting Methodology],MATCH(EXPORT!C132,STDWATER[Measure Number],0)),"")</f>
        <v/>
      </c>
      <c r="AS132" s="178" t="str">
        <f>IFERROR(INDEX(STDWATER[Primary Key],MATCH(C132,STDWATER[Measure Number],0)),"")</f>
        <v/>
      </c>
      <c r="AT132" s="200" t="str">
        <f>IFERROR(INDEX('M03-S07'!$AN$18:$AN$199,2*(ROWS(AT$119:AT132)-1)+1)-MIN(INDEX('M03-S07'!$AT$18:$AT$199,2*(ROWS(AT$119:AT132)-1)+1),(ROUND(INDEX('M03-S07'!$U$18:$U$199,2*(ROWS(AT$119:AT132)-1)+1)*INDEX(STDWATER[Previous Incentive],MATCH('M03-S07'!C44,STDWATER[Measure Name],0)),3))),"")</f>
        <v/>
      </c>
      <c r="AU132" s="278"/>
      <c r="AV132" s="278"/>
      <c r="AW132" s="278"/>
      <c r="AX132" s="278"/>
      <c r="AY132" s="278"/>
      <c r="AZ132" s="278"/>
      <c r="BA132" s="278"/>
      <c r="BB132" s="278"/>
      <c r="BC132" s="278"/>
      <c r="BD132" s="278"/>
      <c r="BE132" s="279"/>
      <c r="BL132" s="180"/>
      <c r="BP132"/>
      <c r="BQ132"/>
      <c r="BR132"/>
      <c r="CD132" s="180"/>
      <c r="CE132" s="180"/>
      <c r="CF132" s="180"/>
      <c r="CH132"/>
      <c r="CI132"/>
      <c r="CJ132"/>
      <c r="CK132"/>
      <c r="CL132"/>
      <c r="CM132"/>
      <c r="CN132"/>
      <c r="CQ132" s="180"/>
      <c r="CR132" s="180"/>
      <c r="CS132" s="180"/>
      <c r="DS132" s="180"/>
      <c r="DT132" s="180"/>
      <c r="DU132" s="180"/>
    </row>
    <row r="133" spans="1:125" s="54" customFormat="1" hidden="1">
      <c r="A133" s="135">
        <f t="shared" si="11"/>
        <v>0</v>
      </c>
      <c r="B133" s="178" t="str">
        <f t="shared" si="12"/>
        <v/>
      </c>
      <c r="C133" s="178" t="str">
        <f>IFERROR(IF(R133&gt;0,INDEX('M03-S07'!$BC$18:$BC$199,2*(ROWS($C$119:C133)-1)+1),""),"")</f>
        <v/>
      </c>
      <c r="D133" s="180" t="s">
        <v>1443</v>
      </c>
      <c r="E133" s="178">
        <f>IFERROR(INDEX('M03-S07'!$AZ$18:$AZ$199,2*(ROWS($E$119:E133)-1)+1),"")</f>
        <v>0</v>
      </c>
      <c r="F133" s="408"/>
      <c r="G133" s="178">
        <f>IFERROR(INDEX('M03-S07'!$AA$18:$AA$199,2*(ROWS($G$119:G133)-1)+1),"")</f>
        <v>0</v>
      </c>
      <c r="H133" s="200">
        <f>IFERROR(INDEX('M03-S07'!$AE$18:$AE$199,2*(ROWS(H$119:H133)-1)+1),"")</f>
        <v>0</v>
      </c>
      <c r="I133" s="200">
        <f>IFERROR(INDEX('M03-S07'!$AG$18:$AG$199,2*(ROWS(I$119:I133)-1)+1),"")</f>
        <v>0</v>
      </c>
      <c r="J133" s="200">
        <f>IFERROR(INDEX('M03-S07'!$AT$18:$AT$199,2*(ROWS(J$119:J133)-1)+1),"")</f>
        <v>0</v>
      </c>
      <c r="K133" s="178" t="s">
        <v>84</v>
      </c>
      <c r="L133" s="116">
        <f>IFERROR(ROUND(INDEX('M03-S07'!$U$18:$U$199,2*(ROWS(L$119:L133)-1)+1),3),"")</f>
        <v>0</v>
      </c>
      <c r="M133" s="116">
        <f>IFERROR(ROUND(INDEX('M03-S07'!$U$18:$U$199,2*(ROWS(M$119:M133)-1)+1),3),"")</f>
        <v>0</v>
      </c>
      <c r="N133" s="415">
        <f>IFERROR(INDEX('M03-S07'!$AV$18:$AV$199,2*(ROWS(N$119:N133)-1)+1),"")</f>
        <v>0</v>
      </c>
      <c r="O133" s="415">
        <f>IFERROR(INDEX('M03-S07'!$BA$18:$BA$199,2*(ROWS(O$119:O133)-1)+1),"")</f>
        <v>0</v>
      </c>
      <c r="P133" s="415">
        <f>IFERROR(INDEX('M03-S07'!$AW$18:$AW$199,2*(ROWS(P$119:P133)-1)+1),"")</f>
        <v>0</v>
      </c>
      <c r="Q133" s="415">
        <f>IFERROR(INDEX('M03-S07'!$BB$18:$BB$199,2*(ROWS(Q$119:Q133)-1)+1),"")</f>
        <v>0</v>
      </c>
      <c r="R133" s="200">
        <f>IFERROR(INDEX('M03-S07'!$AN$18:$AN$199,2*(ROWS(R$119:R133)-1)+1),"")</f>
        <v>0</v>
      </c>
      <c r="S133" s="405"/>
      <c r="T133" s="405"/>
      <c r="U133" s="405"/>
      <c r="V133" s="325"/>
      <c r="W133" s="417"/>
      <c r="X133" s="417"/>
      <c r="Y133" s="408"/>
      <c r="Z133" s="408"/>
      <c r="AA133" s="418"/>
      <c r="AB133" s="418"/>
      <c r="AC133" s="325"/>
      <c r="AD133" s="415">
        <f>IFERROR(INDEX('M03-S07'!$AX$18:$AX$199,2*(ROWS(AD$119:AD133)-1)+1),"")</f>
        <v>0</v>
      </c>
      <c r="AE133" s="415">
        <f>IFERROR(INDEX('M03-S07'!$AY$18:$AY$199,2*(ROWS(AE$119:AE133)-1)+1),"")</f>
        <v>0</v>
      </c>
      <c r="AF133" s="408"/>
      <c r="AG133" s="408"/>
      <c r="AH133" s="408"/>
      <c r="AI133" s="178">
        <f>IFERROR(INDEX('M03-S07'!$B$18:$B$199,2*(ROWS(AI$119:AI133)-1)+1),"")</f>
        <v>0</v>
      </c>
      <c r="AJ133" s="325"/>
      <c r="AK133" s="178">
        <f>IFERROR(INDEX('M03-S07'!$C$18:$C$199,2*(ROWS(AK$119:AK133)-1)+1),"")</f>
        <v>0</v>
      </c>
      <c r="AL133" s="325"/>
      <c r="AM133" s="178">
        <f>IFERROR(INDEX('M03-S07'!$W$18:$W$199,2*(ROWS(AM$119:AM133)-1)+1),"")</f>
        <v>0</v>
      </c>
      <c r="AN133" s="405"/>
      <c r="AO133" s="405"/>
      <c r="AP133" s="178">
        <f>IFERROR(INDEX('M03-S07'!$AU$18:$AU$199,2*(ROWS(AP$119:AP133)-1)+1),"")</f>
        <v>0</v>
      </c>
      <c r="AQ133" s="325"/>
      <c r="AR133" s="178" t="str">
        <f>IFERROR(INDEX(STDWATER[Reporting Methodology],MATCH(EXPORT!C133,STDWATER[Measure Number],0)),"")</f>
        <v/>
      </c>
      <c r="AS133" s="178" t="str">
        <f>IFERROR(INDEX(STDWATER[Primary Key],MATCH(C133,STDWATER[Measure Number],0)),"")</f>
        <v/>
      </c>
      <c r="AT133" s="200" t="str">
        <f>IFERROR(INDEX('M03-S07'!$AN$18:$AN$199,2*(ROWS(AT$119:AT133)-1)+1)-MIN(INDEX('M03-S07'!$AT$18:$AT$199,2*(ROWS(AT$119:AT133)-1)+1),(ROUND(INDEX('M03-S07'!$U$18:$U$199,2*(ROWS(AT$119:AT133)-1)+1)*INDEX(STDWATER[Previous Incentive],MATCH('M03-S07'!C46,STDWATER[Measure Name],0)),3))),"")</f>
        <v/>
      </c>
      <c r="AU133" s="278"/>
      <c r="AV133" s="278"/>
      <c r="AW133" s="278"/>
      <c r="AX133" s="278"/>
      <c r="AY133" s="278"/>
      <c r="AZ133" s="278"/>
      <c r="BA133" s="278"/>
      <c r="BB133" s="278"/>
      <c r="BC133" s="278"/>
      <c r="BD133" s="278"/>
      <c r="BE133" s="279"/>
      <c r="BL133" s="180"/>
      <c r="BP133"/>
      <c r="BQ133"/>
      <c r="BR133"/>
      <c r="CD133" s="180"/>
      <c r="CE133" s="180"/>
      <c r="CF133" s="180"/>
      <c r="CH133"/>
      <c r="CI133"/>
      <c r="CJ133"/>
      <c r="CK133"/>
      <c r="CL133"/>
      <c r="CM133"/>
      <c r="CN133"/>
      <c r="CQ133" s="180"/>
      <c r="CR133" s="180"/>
      <c r="CS133" s="180"/>
      <c r="DS133" s="180"/>
      <c r="DT133" s="180"/>
      <c r="DU133" s="180"/>
    </row>
    <row r="134" spans="1:125" s="331" customFormat="1">
      <c r="A134" s="428" t="str">
        <f>"Standard "&amp;M3S8</f>
        <v>Standard Motors and Drives</v>
      </c>
      <c r="B134" s="327"/>
      <c r="C134" s="327"/>
      <c r="D134" s="327"/>
      <c r="E134" s="327"/>
      <c r="F134" s="407"/>
      <c r="G134" s="327"/>
      <c r="H134" s="403"/>
      <c r="I134" s="403"/>
      <c r="J134" s="403"/>
      <c r="K134" s="327"/>
      <c r="L134" s="411"/>
      <c r="M134" s="411"/>
      <c r="N134" s="414"/>
      <c r="O134" s="414"/>
      <c r="P134" s="414"/>
      <c r="Q134" s="414"/>
      <c r="R134" s="403"/>
      <c r="S134" s="403"/>
      <c r="T134" s="403"/>
      <c r="U134" s="403"/>
      <c r="V134" s="327"/>
      <c r="W134" s="411"/>
      <c r="X134" s="411"/>
      <c r="Y134" s="407"/>
      <c r="Z134" s="407"/>
      <c r="AA134" s="414"/>
      <c r="AB134" s="414"/>
      <c r="AC134" s="327"/>
      <c r="AD134" s="414"/>
      <c r="AE134" s="414"/>
      <c r="AF134" s="407"/>
      <c r="AG134" s="407"/>
      <c r="AH134" s="407"/>
      <c r="AI134" s="327"/>
      <c r="AJ134" s="327"/>
      <c r="AK134" s="328"/>
      <c r="AL134" s="327"/>
      <c r="AM134" s="327"/>
      <c r="AN134" s="403"/>
      <c r="AO134" s="403"/>
      <c r="AP134" s="327"/>
      <c r="AQ134" s="327"/>
      <c r="AR134" s="327"/>
      <c r="AS134" s="327"/>
      <c r="AT134" s="327"/>
      <c r="AU134" s="329"/>
      <c r="AV134" s="329"/>
      <c r="AW134" s="329"/>
      <c r="AX134" s="329"/>
      <c r="AY134" s="329"/>
      <c r="AZ134" s="329"/>
      <c r="BA134" s="329"/>
      <c r="BB134" s="329"/>
      <c r="BC134" s="329"/>
      <c r="BD134" s="329"/>
      <c r="BE134" s="330"/>
    </row>
    <row r="135" spans="1:125" s="54" customFormat="1" hidden="1">
      <c r="A135" s="135">
        <f t="shared" si="11"/>
        <v>0</v>
      </c>
      <c r="B135" s="178" t="str">
        <f>IF(C135="","",CONCATENATE(ROW(),"-",C135))</f>
        <v/>
      </c>
      <c r="C135" s="178" t="str">
        <f>IFERROR(IF(R135&gt;0,INDEX('M03-S08'!$BC$18:$BC$199,2*(ROWS($C$135:C135)-1)+1),""),"")</f>
        <v/>
      </c>
      <c r="D135" s="180" t="s">
        <v>1443</v>
      </c>
      <c r="E135" s="178" t="str">
        <f>IFERROR(INDEX('M03-S08'!$AZ$18:$AZ$199,2*(ROWS($E$135:E135)-1)+1),"")</f>
        <v/>
      </c>
      <c r="F135" s="408"/>
      <c r="G135" s="178">
        <f>IFERROR(INDEX('M03-S08'!$AA$18:$AA$199,2*(ROWS($G$135:G135)-1)+1),"")</f>
        <v>0</v>
      </c>
      <c r="H135" s="200">
        <f>IFERROR(INDEX('M03-S08'!$AE$18:$AE$199,2*(ROWS(H$135:H135)-1)+1),"")</f>
        <v>0</v>
      </c>
      <c r="I135" s="200">
        <f>IFERROR(INDEX('M03-S08'!$AG$18:$AG$199,2*(ROWS(I$135:I135)-1)+1),"")</f>
        <v>0</v>
      </c>
      <c r="J135" s="200" t="str">
        <f>IFERROR(INDEX('M03-S08'!$AT$18:$AT$199,2*(ROWS(J$135:J135)-1)+1),"")</f>
        <v/>
      </c>
      <c r="K135" s="178" t="s">
        <v>84</v>
      </c>
      <c r="L135" s="116">
        <f>IFERROR(ROUND(INDEX('M03-S08'!$U$18:$U$199,2*(ROWS(L$135:L135)-1)+1),3),"")</f>
        <v>0</v>
      </c>
      <c r="M135" s="116">
        <f>IFERROR(ROUND(INDEX('M03-S08'!$U$18:$U$199,2*(ROWS(M$135:M135)-1)+1),3),"")</f>
        <v>0</v>
      </c>
      <c r="N135" s="415" t="str">
        <f>IFERROR(INDEX('M03-S08'!$AV$18:$AV$199,2*(ROWS(N$135:N135)-1)+1),"")</f>
        <v/>
      </c>
      <c r="O135" s="415">
        <f>IFERROR(INDEX('M03-S08'!$BA$18:$BA$199,2*(ROWS(O$135:O135)-1)+1),"")</f>
        <v>0</v>
      </c>
      <c r="P135" s="415" t="str">
        <f>IFERROR(INDEX('M03-S08'!$AW$18:$AW$199,2*(ROWS(P$135:P135)-1)+1),"")</f>
        <v/>
      </c>
      <c r="Q135" s="415">
        <f>IFERROR(INDEX('M03-S08'!$BB$18:$BB$199,2*(ROWS(Q$135:Q135)-1)+1),"")</f>
        <v>0</v>
      </c>
      <c r="R135" s="200" t="str">
        <f>IFERROR(INDEX('M03-S08'!$AN$18:$AN$199,2*(ROWS(R$135:R135)-1)+1),"")</f>
        <v/>
      </c>
      <c r="S135" s="405"/>
      <c r="T135" s="405"/>
      <c r="U135" s="405"/>
      <c r="V135" s="325"/>
      <c r="W135" s="417"/>
      <c r="X135" s="417"/>
      <c r="Y135" s="408"/>
      <c r="Z135" s="408"/>
      <c r="AA135" s="418"/>
      <c r="AB135" s="418"/>
      <c r="AC135" s="325"/>
      <c r="AD135" s="415">
        <f>IFERROR(INDEX('M03-S08'!$AX$18:$AX$199,2*(ROWS(AD$135:AD135)-1)+1),"")</f>
        <v>0</v>
      </c>
      <c r="AE135" s="415">
        <f>IFERROR(INDEX('M03-S08'!$AY$18:$AY$199,2*(ROWS(AE$135:AE135)-1)+1),"")</f>
        <v>0</v>
      </c>
      <c r="AF135" s="408"/>
      <c r="AG135" s="408"/>
      <c r="AH135" s="408"/>
      <c r="AI135" s="178">
        <f>IFERROR(INDEX('M03-S08'!$B$18:$B$199,2*(ROWS(AI$135:AI135)-1)+1),"")</f>
        <v>1</v>
      </c>
      <c r="AJ135" s="325"/>
      <c r="AK135" s="178">
        <f>IFERROR(INDEX('M03-S08'!$C$18:$C$199,2*(ROWS(AK$135:AK135)-1)+1),"")</f>
        <v>0</v>
      </c>
      <c r="AL135" s="325"/>
      <c r="AM135" s="178">
        <f>IFERROR(INDEX('M03-S08'!$W$18:$W$199,2*(ROWS(AM$135:AM135)-1)+1),"")</f>
        <v>0</v>
      </c>
      <c r="AN135" s="405"/>
      <c r="AO135" s="405"/>
      <c r="AP135" s="178" t="str">
        <f>IFERROR(INDEX('M03-S08'!$AU$18:$AU$199,2*(ROWS(AP$135:AP135)-1)+1),"")</f>
        <v/>
      </c>
      <c r="AQ135" s="325"/>
      <c r="AR135" s="178" t="str">
        <f>IFERROR(INDEX(STDMOTORS[Reporting Methodology],MATCH(EXPORT!C135,STDMOTORS[Measure Number],0)),"")</f>
        <v/>
      </c>
      <c r="AS135" s="178" t="str">
        <f>IFERROR(INDEX(STDMOTORS[Primary Key],MATCH(C135,STDMOTORS[Measure Number],0)),"")</f>
        <v/>
      </c>
      <c r="AT135" s="200" t="str">
        <f>IFERROR(INDEX('M03-S08'!$AN$18:$AN$199,2*(ROWS(AT$135:AT135)-1)+1)-MIN(INDEX('M03-S08'!$AT$18:$AT$199,2*(ROWS(AT$135:AT135)-1)+1),(ROUND(INDEX('M03-S08'!$U$18:$U$199,2*(ROWS(AT$135:AT135)-1)+1)*INDEX(STDMOTORS[Previous Incentive],MATCH('M03-S08'!C18,STDMOTORS[Measure Name],0)),3))),"")</f>
        <v/>
      </c>
      <c r="AU135" s="278"/>
      <c r="AV135" s="278"/>
      <c r="AW135" s="278"/>
      <c r="AX135" s="278"/>
      <c r="AY135" s="278"/>
      <c r="AZ135" s="278"/>
      <c r="BA135" s="278"/>
      <c r="BB135" s="278"/>
      <c r="BC135" s="278"/>
      <c r="BD135" s="278"/>
      <c r="BE135" s="279"/>
      <c r="BL135" s="180"/>
      <c r="BP135" s="180"/>
      <c r="BQ135" s="180"/>
      <c r="BR135" s="180"/>
      <c r="CD135" s="180"/>
      <c r="CE135" s="180"/>
      <c r="CF135" s="180"/>
      <c r="CH135" s="180"/>
      <c r="CI135" s="180"/>
      <c r="CJ135" s="180"/>
      <c r="CK135" s="180"/>
      <c r="CL135" s="180"/>
      <c r="CM135" s="180"/>
      <c r="CN135" s="180"/>
      <c r="CQ135" s="180"/>
      <c r="CR135" s="180"/>
      <c r="CS135" s="180"/>
      <c r="DS135" s="180"/>
      <c r="DT135" s="180"/>
      <c r="DU135" s="180"/>
    </row>
    <row r="136" spans="1:125" s="54" customFormat="1" hidden="1">
      <c r="A136" s="135">
        <f t="shared" si="11"/>
        <v>0</v>
      </c>
      <c r="B136" s="178" t="str">
        <f t="shared" ref="B136:B149" si="13">IF(C136="","",CONCATENATE(ROW(),"-",C136))</f>
        <v/>
      </c>
      <c r="C136" s="178" t="str">
        <f>IFERROR(IF(R136&gt;0,INDEX('M03-S08'!$BC$18:$BC$199,2*(ROWS($C$135:C136)-1)+1),""),"")</f>
        <v/>
      </c>
      <c r="D136" s="180" t="s">
        <v>1443</v>
      </c>
      <c r="E136" s="178" t="str">
        <f>IFERROR(INDEX('M03-S08'!$AZ$18:$AZ$199,2*(ROWS($E$135:E136)-1)+1),"")</f>
        <v/>
      </c>
      <c r="F136" s="408"/>
      <c r="G136" s="178">
        <f>IFERROR(INDEX('M03-S08'!$AA$18:$AA$199,2*(ROWS($G$135:G136)-1)+1),"")</f>
        <v>0</v>
      </c>
      <c r="H136" s="200">
        <f>IFERROR(INDEX('M03-S08'!$AE$18:$AE$199,2*(ROWS(H$135:H136)-1)+1),"")</f>
        <v>0</v>
      </c>
      <c r="I136" s="200">
        <f>IFERROR(INDEX('M03-S08'!$AG$18:$AG$199,2*(ROWS(I$135:I136)-1)+1),"")</f>
        <v>0</v>
      </c>
      <c r="J136" s="200" t="str">
        <f>IFERROR(INDEX('M03-S08'!$AT$18:$AT$199,2*(ROWS(J$135:J136)-1)+1),"")</f>
        <v/>
      </c>
      <c r="K136" s="178" t="s">
        <v>84</v>
      </c>
      <c r="L136" s="116">
        <f>IFERROR(ROUND(INDEX('M03-S08'!$U$18:$U$199,2*(ROWS(L$135:L136)-1)+1),3),"")</f>
        <v>0</v>
      </c>
      <c r="M136" s="116">
        <f>IFERROR(ROUND(INDEX('M03-S08'!$U$18:$U$199,2*(ROWS(M$135:M136)-1)+1),3),"")</f>
        <v>0</v>
      </c>
      <c r="N136" s="415" t="str">
        <f>IFERROR(INDEX('M03-S08'!$AV$18:$AV$199,2*(ROWS(N$135:N136)-1)+1),"")</f>
        <v/>
      </c>
      <c r="O136" s="415">
        <f>IFERROR(INDEX('M03-S08'!$BA$18:$BA$199,2*(ROWS(O$135:O136)-1)+1),"")</f>
        <v>0</v>
      </c>
      <c r="P136" s="415" t="str">
        <f>IFERROR(INDEX('M03-S08'!$AW$18:$AW$199,2*(ROWS(P$135:P136)-1)+1),"")</f>
        <v/>
      </c>
      <c r="Q136" s="415">
        <f>IFERROR(INDEX('M03-S08'!$BB$18:$BB$199,2*(ROWS(Q$135:Q136)-1)+1),"")</f>
        <v>0</v>
      </c>
      <c r="R136" s="200" t="str">
        <f>IFERROR(INDEX('M03-S08'!$AN$18:$AN$199,2*(ROWS(R$135:R136)-1)+1),"")</f>
        <v/>
      </c>
      <c r="S136" s="405"/>
      <c r="T136" s="405"/>
      <c r="U136" s="405"/>
      <c r="V136" s="325"/>
      <c r="W136" s="417"/>
      <c r="X136" s="417"/>
      <c r="Y136" s="408"/>
      <c r="Z136" s="408"/>
      <c r="AA136" s="418"/>
      <c r="AB136" s="418"/>
      <c r="AC136" s="325"/>
      <c r="AD136" s="415">
        <f>IFERROR(INDEX('M03-S08'!$AX$18:$AX$199,2*(ROWS(AD$135:AD136)-1)+1),"")</f>
        <v>0</v>
      </c>
      <c r="AE136" s="415">
        <f>IFERROR(INDEX('M03-S08'!$AY$18:$AY$199,2*(ROWS(AE$135:AE136)-1)+1),"")</f>
        <v>0</v>
      </c>
      <c r="AF136" s="408"/>
      <c r="AG136" s="408"/>
      <c r="AH136" s="408"/>
      <c r="AI136" s="178">
        <f>IFERROR(INDEX('M03-S08'!$B$18:$B$199,2*(ROWS(AI$135:AI136)-1)+1),"")</f>
        <v>2</v>
      </c>
      <c r="AJ136" s="325"/>
      <c r="AK136" s="178">
        <f>IFERROR(INDEX('M03-S08'!$C$18:$C$199,2*(ROWS(AK$135:AK136)-1)+1),"")</f>
        <v>0</v>
      </c>
      <c r="AL136" s="325"/>
      <c r="AM136" s="178">
        <f>IFERROR(INDEX('M03-S08'!$W$18:$W$199,2*(ROWS(AM$135:AM136)-1)+1),"")</f>
        <v>0</v>
      </c>
      <c r="AN136" s="405"/>
      <c r="AO136" s="405"/>
      <c r="AP136" s="178" t="str">
        <f>IFERROR(INDEX('M03-S08'!$AU$18:$AU$199,2*(ROWS(AP$135:AP136)-1)+1),"")</f>
        <v/>
      </c>
      <c r="AQ136" s="325"/>
      <c r="AR136" s="178" t="str">
        <f>IFERROR(INDEX(STDMOTORS[Reporting Methodology],MATCH(EXPORT!C136,STDMOTORS[Measure Number],0)),"")</f>
        <v/>
      </c>
      <c r="AS136" s="178" t="str">
        <f>IFERROR(INDEX(STDMOTORS[Primary Key],MATCH(C136,STDMOTORS[Measure Number],0)),"")</f>
        <v/>
      </c>
      <c r="AT136" s="200" t="str">
        <f>IFERROR(INDEX('M03-S08'!$AN$18:$AN$199,2*(ROWS(AT$135:AT136)-1)+1)-MIN(INDEX('M03-S08'!$AT$18:$AT$199,2*(ROWS(AT$135:AT136)-1)+1),(ROUND(INDEX('M03-S08'!$U$18:$U$199,2*(ROWS(AT$135:AT136)-1)+1)*INDEX(STDMOTORS[Previous Incentive],MATCH('M03-S08'!C20,STDMOTORS[Measure Name],0)),3))),"")</f>
        <v/>
      </c>
      <c r="AU136" s="278"/>
      <c r="AV136" s="278"/>
      <c r="AW136" s="278"/>
      <c r="AX136" s="278"/>
      <c r="AY136" s="278"/>
      <c r="AZ136" s="278"/>
      <c r="BA136" s="278"/>
      <c r="BB136" s="278"/>
      <c r="BC136" s="278"/>
      <c r="BD136" s="278"/>
      <c r="BE136" s="279"/>
      <c r="BL136" s="180"/>
      <c r="BP136" s="180"/>
      <c r="BQ136" s="180"/>
      <c r="BR136" s="180"/>
      <c r="CD136" s="180"/>
      <c r="CE136" s="180"/>
      <c r="CF136" s="180"/>
      <c r="CH136" s="180"/>
      <c r="CI136" s="180"/>
      <c r="CJ136" s="180"/>
      <c r="CK136" s="180"/>
      <c r="CL136" s="180"/>
      <c r="CM136" s="180"/>
      <c r="CN136" s="180"/>
      <c r="CQ136" s="180"/>
      <c r="CR136" s="180"/>
      <c r="CS136" s="180"/>
      <c r="DS136" s="180"/>
      <c r="DT136" s="180"/>
      <c r="DU136" s="180"/>
    </row>
    <row r="137" spans="1:125" s="54" customFormat="1" hidden="1">
      <c r="A137" s="135">
        <f t="shared" si="11"/>
        <v>0</v>
      </c>
      <c r="B137" s="178" t="str">
        <f t="shared" si="13"/>
        <v/>
      </c>
      <c r="C137" s="178" t="str">
        <f>IFERROR(IF(R137&gt;0,INDEX('M03-S08'!$BC$18:$BC$199,2*(ROWS($C$135:C137)-1)+1),""),"")</f>
        <v/>
      </c>
      <c r="D137" s="180" t="s">
        <v>1443</v>
      </c>
      <c r="E137" s="178" t="str">
        <f>IFERROR(INDEX('M03-S08'!$AZ$18:$AZ$199,2*(ROWS($E$135:E137)-1)+1),"")</f>
        <v/>
      </c>
      <c r="F137" s="408"/>
      <c r="G137" s="178">
        <f>IFERROR(INDEX('M03-S08'!$AA$18:$AA$199,2*(ROWS($G$135:G137)-1)+1),"")</f>
        <v>0</v>
      </c>
      <c r="H137" s="200">
        <f>IFERROR(INDEX('M03-S08'!$AE$18:$AE$199,2*(ROWS(H$135:H137)-1)+1),"")</f>
        <v>0</v>
      </c>
      <c r="I137" s="200">
        <f>IFERROR(INDEX('M03-S08'!$AG$18:$AG$199,2*(ROWS(I$135:I137)-1)+1),"")</f>
        <v>0</v>
      </c>
      <c r="J137" s="200" t="str">
        <f>IFERROR(INDEX('M03-S08'!$AT$18:$AT$199,2*(ROWS(J$135:J137)-1)+1),"")</f>
        <v/>
      </c>
      <c r="K137" s="178" t="s">
        <v>84</v>
      </c>
      <c r="L137" s="116">
        <f>IFERROR(ROUND(INDEX('M03-S08'!$U$18:$U$199,2*(ROWS(L$135:L137)-1)+1),3),"")</f>
        <v>0</v>
      </c>
      <c r="M137" s="116">
        <f>IFERROR(ROUND(INDEX('M03-S08'!$U$18:$U$199,2*(ROWS(M$135:M137)-1)+1),3),"")</f>
        <v>0</v>
      </c>
      <c r="N137" s="415" t="str">
        <f>IFERROR(INDEX('M03-S08'!$AV$18:$AV$199,2*(ROWS(N$135:N137)-1)+1),"")</f>
        <v/>
      </c>
      <c r="O137" s="415">
        <f>IFERROR(INDEX('M03-S08'!$BA$18:$BA$199,2*(ROWS(O$135:O137)-1)+1),"")</f>
        <v>0</v>
      </c>
      <c r="P137" s="415" t="str">
        <f>IFERROR(INDEX('M03-S08'!$AW$18:$AW$199,2*(ROWS(P$135:P137)-1)+1),"")</f>
        <v/>
      </c>
      <c r="Q137" s="415">
        <f>IFERROR(INDEX('M03-S08'!$BB$18:$BB$199,2*(ROWS(Q$135:Q137)-1)+1),"")</f>
        <v>0</v>
      </c>
      <c r="R137" s="200" t="str">
        <f>IFERROR(INDEX('M03-S08'!$AN$18:$AN$199,2*(ROWS(R$135:R137)-1)+1),"")</f>
        <v/>
      </c>
      <c r="S137" s="405"/>
      <c r="T137" s="405"/>
      <c r="U137" s="405"/>
      <c r="V137" s="325"/>
      <c r="W137" s="417"/>
      <c r="X137" s="417"/>
      <c r="Y137" s="408"/>
      <c r="Z137" s="408"/>
      <c r="AA137" s="418"/>
      <c r="AB137" s="418"/>
      <c r="AC137" s="325"/>
      <c r="AD137" s="415">
        <f>IFERROR(INDEX('M03-S08'!$AX$18:$AX$199,2*(ROWS(AD$135:AD137)-1)+1),"")</f>
        <v>0</v>
      </c>
      <c r="AE137" s="415">
        <f>IFERROR(INDEX('M03-S08'!$AY$18:$AY$199,2*(ROWS(AE$135:AE137)-1)+1),"")</f>
        <v>0</v>
      </c>
      <c r="AF137" s="408"/>
      <c r="AG137" s="408"/>
      <c r="AH137" s="408"/>
      <c r="AI137" s="178">
        <f>IFERROR(INDEX('M03-S08'!$B$18:$B$199,2*(ROWS(AI$135:AI137)-1)+1),"")</f>
        <v>3</v>
      </c>
      <c r="AJ137" s="325"/>
      <c r="AK137" s="178">
        <f>IFERROR(INDEX('M03-S08'!$C$18:$C$199,2*(ROWS(AK$135:AK137)-1)+1),"")</f>
        <v>0</v>
      </c>
      <c r="AL137" s="325"/>
      <c r="AM137" s="178">
        <f>IFERROR(INDEX('M03-S08'!$W$18:$W$199,2*(ROWS(AM$135:AM137)-1)+1),"")</f>
        <v>0</v>
      </c>
      <c r="AN137" s="405"/>
      <c r="AO137" s="405"/>
      <c r="AP137" s="178" t="str">
        <f>IFERROR(INDEX('M03-S08'!$AU$18:$AU$199,2*(ROWS(AP$135:AP137)-1)+1),"")</f>
        <v/>
      </c>
      <c r="AQ137" s="325"/>
      <c r="AR137" s="178" t="str">
        <f>IFERROR(INDEX(STDMOTORS[Reporting Methodology],MATCH(EXPORT!C137,STDMOTORS[Measure Number],0)),"")</f>
        <v/>
      </c>
      <c r="AS137" s="178" t="str">
        <f>IFERROR(INDEX(STDMOTORS[Primary Key],MATCH(C137,STDMOTORS[Measure Number],0)),"")</f>
        <v/>
      </c>
      <c r="AT137" s="200" t="str">
        <f>IFERROR(INDEX('M03-S08'!$AN$18:$AN$199,2*(ROWS(AT$135:AT137)-1)+1)-MIN(INDEX('M03-S08'!$AT$18:$AT$199,2*(ROWS(AT$135:AT137)-1)+1),(ROUND(INDEX('M03-S08'!$U$18:$U$199,2*(ROWS(AT$135:AT137)-1)+1)*INDEX(STDMOTORS[Previous Incentive],MATCH('M03-S08'!C22,STDMOTORS[Measure Name],0)),3))),"")</f>
        <v/>
      </c>
      <c r="AU137" s="278"/>
      <c r="AV137" s="278"/>
      <c r="AW137" s="278"/>
      <c r="AX137" s="278"/>
      <c r="AY137" s="278"/>
      <c r="AZ137" s="278"/>
      <c r="BA137" s="278"/>
      <c r="BB137" s="278"/>
      <c r="BC137" s="278"/>
      <c r="BD137" s="278"/>
      <c r="BE137" s="279"/>
      <c r="BL137" s="180"/>
      <c r="BP137" s="180"/>
      <c r="BQ137" s="180"/>
      <c r="BR137" s="180"/>
      <c r="CD137" s="180"/>
      <c r="CE137" s="180"/>
      <c r="CF137" s="180"/>
      <c r="CH137" s="180"/>
      <c r="CI137" s="180"/>
      <c r="CJ137" s="180"/>
      <c r="CK137" s="180"/>
      <c r="CL137" s="180"/>
      <c r="CM137" s="180"/>
      <c r="CN137" s="180"/>
      <c r="CQ137" s="180"/>
      <c r="CR137" s="180"/>
      <c r="CS137" s="180"/>
      <c r="DS137" s="180"/>
      <c r="DT137" s="180"/>
      <c r="DU137" s="180"/>
    </row>
    <row r="138" spans="1:125" s="54" customFormat="1" hidden="1">
      <c r="A138" s="135">
        <f t="shared" si="11"/>
        <v>0</v>
      </c>
      <c r="B138" s="178" t="str">
        <f t="shared" si="13"/>
        <v/>
      </c>
      <c r="C138" s="178" t="str">
        <f>IFERROR(IF(R138&gt;0,INDEX('M03-S08'!$BC$18:$BC$199,2*(ROWS($C$135:C138)-1)+1),""),"")</f>
        <v/>
      </c>
      <c r="D138" s="180" t="s">
        <v>1443</v>
      </c>
      <c r="E138" s="178" t="str">
        <f>IFERROR(INDEX('M03-S08'!$AZ$18:$AZ$199,2*(ROWS($E$135:E138)-1)+1),"")</f>
        <v/>
      </c>
      <c r="F138" s="408"/>
      <c r="G138" s="178">
        <f>IFERROR(INDEX('M03-S08'!$AA$18:$AA$199,2*(ROWS($G$135:G138)-1)+1),"")</f>
        <v>0</v>
      </c>
      <c r="H138" s="200">
        <f>IFERROR(INDEX('M03-S08'!$AE$18:$AE$199,2*(ROWS(H$135:H138)-1)+1),"")</f>
        <v>0</v>
      </c>
      <c r="I138" s="200">
        <f>IFERROR(INDEX('M03-S08'!$AG$18:$AG$199,2*(ROWS(I$135:I138)-1)+1),"")</f>
        <v>0</v>
      </c>
      <c r="J138" s="200" t="str">
        <f>IFERROR(INDEX('M03-S08'!$AT$18:$AT$199,2*(ROWS(J$135:J138)-1)+1),"")</f>
        <v/>
      </c>
      <c r="K138" s="178" t="s">
        <v>84</v>
      </c>
      <c r="L138" s="116">
        <f>IFERROR(ROUND(INDEX('M03-S08'!$U$18:$U$199,2*(ROWS(L$135:L138)-1)+1),3),"")</f>
        <v>0</v>
      </c>
      <c r="M138" s="116">
        <f>IFERROR(ROUND(INDEX('M03-S08'!$U$18:$U$199,2*(ROWS(M$135:M138)-1)+1),3),"")</f>
        <v>0</v>
      </c>
      <c r="N138" s="415" t="str">
        <f>IFERROR(INDEX('M03-S08'!$AV$18:$AV$199,2*(ROWS(N$135:N138)-1)+1),"")</f>
        <v/>
      </c>
      <c r="O138" s="415">
        <f>IFERROR(INDEX('M03-S08'!$BA$18:$BA$199,2*(ROWS(O$135:O138)-1)+1),"")</f>
        <v>0</v>
      </c>
      <c r="P138" s="415" t="str">
        <f>IFERROR(INDEX('M03-S08'!$AW$18:$AW$199,2*(ROWS(P$135:P138)-1)+1),"")</f>
        <v/>
      </c>
      <c r="Q138" s="415">
        <f>IFERROR(INDEX('M03-S08'!$BB$18:$BB$199,2*(ROWS(Q$135:Q138)-1)+1),"")</f>
        <v>0</v>
      </c>
      <c r="R138" s="200" t="str">
        <f>IFERROR(INDEX('M03-S08'!$AN$18:$AN$199,2*(ROWS(R$135:R138)-1)+1),"")</f>
        <v/>
      </c>
      <c r="S138" s="405"/>
      <c r="T138" s="405"/>
      <c r="U138" s="405"/>
      <c r="V138" s="325"/>
      <c r="W138" s="417"/>
      <c r="X138" s="417"/>
      <c r="Y138" s="408"/>
      <c r="Z138" s="408"/>
      <c r="AA138" s="418"/>
      <c r="AB138" s="418"/>
      <c r="AC138" s="325"/>
      <c r="AD138" s="415">
        <f>IFERROR(INDEX('M03-S08'!$AX$18:$AX$199,2*(ROWS(AD$135:AD138)-1)+1),"")</f>
        <v>0</v>
      </c>
      <c r="AE138" s="415">
        <f>IFERROR(INDEX('M03-S08'!$AY$18:$AY$199,2*(ROWS(AE$135:AE138)-1)+1),"")</f>
        <v>0</v>
      </c>
      <c r="AF138" s="408"/>
      <c r="AG138" s="408"/>
      <c r="AH138" s="408"/>
      <c r="AI138" s="178">
        <f>IFERROR(INDEX('M03-S08'!$B$18:$B$199,2*(ROWS(AI$135:AI138)-1)+1),"")</f>
        <v>4</v>
      </c>
      <c r="AJ138" s="325"/>
      <c r="AK138" s="178">
        <f>IFERROR(INDEX('M03-S08'!$C$18:$C$199,2*(ROWS(AK$135:AK138)-1)+1),"")</f>
        <v>0</v>
      </c>
      <c r="AL138" s="325"/>
      <c r="AM138" s="178">
        <f>IFERROR(INDEX('M03-S08'!$W$18:$W$199,2*(ROWS(AM$135:AM138)-1)+1),"")</f>
        <v>0</v>
      </c>
      <c r="AN138" s="405"/>
      <c r="AO138" s="405"/>
      <c r="AP138" s="178" t="str">
        <f>IFERROR(INDEX('M03-S08'!$AU$18:$AU$199,2*(ROWS(AP$135:AP138)-1)+1),"")</f>
        <v/>
      </c>
      <c r="AQ138" s="325"/>
      <c r="AR138" s="178" t="str">
        <f>IFERROR(INDEX(STDMOTORS[Reporting Methodology],MATCH(EXPORT!C138,STDMOTORS[Measure Number],0)),"")</f>
        <v/>
      </c>
      <c r="AS138" s="178" t="str">
        <f>IFERROR(INDEX(STDMOTORS[Primary Key],MATCH(C138,STDMOTORS[Measure Number],0)),"")</f>
        <v/>
      </c>
      <c r="AT138" s="200" t="str">
        <f>IFERROR(INDEX('M03-S08'!$AN$18:$AN$199,2*(ROWS(AT$135:AT138)-1)+1)-MIN(INDEX('M03-S08'!$AT$18:$AT$199,2*(ROWS(AT$135:AT138)-1)+1),(ROUND(INDEX('M03-S08'!$U$18:$U$199,2*(ROWS(AT$135:AT138)-1)+1)*INDEX(STDMOTORS[Previous Incentive],MATCH('M03-S08'!C24,STDMOTORS[Measure Name],0)),3))),"")</f>
        <v/>
      </c>
      <c r="AU138" s="278"/>
      <c r="AV138" s="278"/>
      <c r="AW138" s="278"/>
      <c r="AX138" s="278"/>
      <c r="AY138" s="278"/>
      <c r="AZ138" s="278"/>
      <c r="BA138" s="278"/>
      <c r="BB138" s="278"/>
      <c r="BC138" s="278"/>
      <c r="BD138" s="278"/>
      <c r="BE138" s="279"/>
      <c r="BL138" s="180"/>
      <c r="BP138" s="180"/>
      <c r="BQ138" s="180"/>
      <c r="BR138" s="180"/>
      <c r="CD138" s="180"/>
      <c r="CE138" s="180"/>
      <c r="CF138" s="180"/>
      <c r="CH138" s="180"/>
      <c r="CI138" s="180"/>
      <c r="CJ138" s="180"/>
      <c r="CK138" s="180"/>
      <c r="CL138" s="180"/>
      <c r="CM138" s="180"/>
      <c r="CN138" s="180"/>
      <c r="CQ138" s="180"/>
      <c r="CR138" s="180"/>
      <c r="CS138" s="180"/>
      <c r="DS138" s="180"/>
      <c r="DT138" s="180"/>
      <c r="DU138" s="180"/>
    </row>
    <row r="139" spans="1:125" s="54" customFormat="1" hidden="1">
      <c r="A139" s="135">
        <f t="shared" si="11"/>
        <v>0</v>
      </c>
      <c r="B139" s="178" t="str">
        <f t="shared" si="13"/>
        <v/>
      </c>
      <c r="C139" s="178" t="str">
        <f>IFERROR(IF(R139&gt;0,INDEX('M03-S08'!$BC$18:$BC$199,2*(ROWS($C$135:C139)-1)+1),""),"")</f>
        <v/>
      </c>
      <c r="D139" s="180" t="s">
        <v>1443</v>
      </c>
      <c r="E139" s="178" t="str">
        <f>IFERROR(INDEX('M03-S08'!$AZ$18:$AZ$199,2*(ROWS($E$135:E139)-1)+1),"")</f>
        <v/>
      </c>
      <c r="F139" s="408"/>
      <c r="G139" s="178">
        <f>IFERROR(INDEX('M03-S08'!$AA$18:$AA$199,2*(ROWS($G$135:G139)-1)+1),"")</f>
        <v>0</v>
      </c>
      <c r="H139" s="200">
        <f>IFERROR(INDEX('M03-S08'!$AE$18:$AE$199,2*(ROWS(H$135:H139)-1)+1),"")</f>
        <v>0</v>
      </c>
      <c r="I139" s="200">
        <f>IFERROR(INDEX('M03-S08'!$AG$18:$AG$199,2*(ROWS(I$135:I139)-1)+1),"")</f>
        <v>0</v>
      </c>
      <c r="J139" s="200" t="str">
        <f>IFERROR(INDEX('M03-S08'!$AT$18:$AT$199,2*(ROWS(J$135:J139)-1)+1),"")</f>
        <v/>
      </c>
      <c r="K139" s="178" t="s">
        <v>84</v>
      </c>
      <c r="L139" s="116">
        <f>IFERROR(ROUND(INDEX('M03-S08'!$U$18:$U$199,2*(ROWS(L$135:L139)-1)+1),3),"")</f>
        <v>0</v>
      </c>
      <c r="M139" s="116">
        <f>IFERROR(ROUND(INDEX('M03-S08'!$U$18:$U$199,2*(ROWS(M$135:M139)-1)+1),3),"")</f>
        <v>0</v>
      </c>
      <c r="N139" s="415" t="str">
        <f>IFERROR(INDEX('M03-S08'!$AV$18:$AV$199,2*(ROWS(N$135:N139)-1)+1),"")</f>
        <v/>
      </c>
      <c r="O139" s="415">
        <f>IFERROR(INDEX('M03-S08'!$BA$18:$BA$199,2*(ROWS(O$135:O139)-1)+1),"")</f>
        <v>0</v>
      </c>
      <c r="P139" s="415" t="str">
        <f>IFERROR(INDEX('M03-S08'!$AW$18:$AW$199,2*(ROWS(P$135:P139)-1)+1),"")</f>
        <v/>
      </c>
      <c r="Q139" s="415">
        <f>IFERROR(INDEX('M03-S08'!$BB$18:$BB$199,2*(ROWS(Q$135:Q139)-1)+1),"")</f>
        <v>0</v>
      </c>
      <c r="R139" s="200" t="str">
        <f>IFERROR(INDEX('M03-S08'!$AN$18:$AN$199,2*(ROWS(R$135:R139)-1)+1),"")</f>
        <v/>
      </c>
      <c r="S139" s="405"/>
      <c r="T139" s="405"/>
      <c r="U139" s="405"/>
      <c r="V139" s="325"/>
      <c r="W139" s="417"/>
      <c r="X139" s="417"/>
      <c r="Y139" s="408"/>
      <c r="Z139" s="408"/>
      <c r="AA139" s="418"/>
      <c r="AB139" s="418"/>
      <c r="AC139" s="325"/>
      <c r="AD139" s="415">
        <f>IFERROR(INDEX('M03-S08'!$AX$18:$AX$199,2*(ROWS(AD$135:AD139)-1)+1),"")</f>
        <v>0</v>
      </c>
      <c r="AE139" s="415">
        <f>IFERROR(INDEX('M03-S08'!$AY$18:$AY$199,2*(ROWS(AE$135:AE139)-1)+1),"")</f>
        <v>0</v>
      </c>
      <c r="AF139" s="408"/>
      <c r="AG139" s="408"/>
      <c r="AH139" s="408"/>
      <c r="AI139" s="178">
        <f>IFERROR(INDEX('M03-S08'!$B$18:$B$199,2*(ROWS(AI$135:AI139)-1)+1),"")</f>
        <v>5</v>
      </c>
      <c r="AJ139" s="325"/>
      <c r="AK139" s="178">
        <f>IFERROR(INDEX('M03-S08'!$C$18:$C$199,2*(ROWS(AK$135:AK139)-1)+1),"")</f>
        <v>0</v>
      </c>
      <c r="AL139" s="325"/>
      <c r="AM139" s="178">
        <f>IFERROR(INDEX('M03-S08'!$W$18:$W$199,2*(ROWS(AM$135:AM139)-1)+1),"")</f>
        <v>0</v>
      </c>
      <c r="AN139" s="405"/>
      <c r="AO139" s="405"/>
      <c r="AP139" s="178" t="str">
        <f>IFERROR(INDEX('M03-S08'!$AU$18:$AU$199,2*(ROWS(AP$135:AP139)-1)+1),"")</f>
        <v/>
      </c>
      <c r="AQ139" s="325"/>
      <c r="AR139" s="178" t="str">
        <f>IFERROR(INDEX(STDMOTORS[Reporting Methodology],MATCH(EXPORT!C139,STDMOTORS[Measure Number],0)),"")</f>
        <v/>
      </c>
      <c r="AS139" s="178" t="str">
        <f>IFERROR(INDEX(STDMOTORS[Primary Key],MATCH(C139,STDMOTORS[Measure Number],0)),"")</f>
        <v/>
      </c>
      <c r="AT139" s="200" t="str">
        <f>IFERROR(INDEX('M03-S08'!$AN$18:$AN$199,2*(ROWS(AT$135:AT139)-1)+1)-MIN(INDEX('M03-S08'!$AT$18:$AT$199,2*(ROWS(AT$135:AT139)-1)+1),(ROUND(INDEX('M03-S08'!$U$18:$U$199,2*(ROWS(AT$135:AT139)-1)+1)*INDEX(STDMOTORS[Previous Incentive],MATCH('M03-S08'!C26,STDMOTORS[Measure Name],0)),3))),"")</f>
        <v/>
      </c>
      <c r="AU139" s="278"/>
      <c r="AV139" s="278"/>
      <c r="AW139" s="278"/>
      <c r="AX139" s="278"/>
      <c r="AY139" s="278"/>
      <c r="AZ139" s="278"/>
      <c r="BA139" s="278"/>
      <c r="BB139" s="278"/>
      <c r="BC139" s="278"/>
      <c r="BD139" s="278"/>
      <c r="BE139" s="279"/>
      <c r="BL139" s="180"/>
      <c r="BP139" s="180"/>
      <c r="BQ139" s="180"/>
      <c r="BR139" s="180"/>
      <c r="CD139" s="180"/>
      <c r="CE139" s="180"/>
      <c r="CF139" s="180"/>
      <c r="CH139" s="180"/>
      <c r="CI139" s="180"/>
      <c r="CJ139" s="180"/>
      <c r="CK139" s="180"/>
      <c r="CL139" s="180"/>
      <c r="CM139" s="180"/>
      <c r="CN139" s="180"/>
      <c r="CQ139" s="180"/>
      <c r="CR139" s="180"/>
      <c r="CS139" s="180"/>
      <c r="DS139" s="180"/>
      <c r="DT139" s="180"/>
      <c r="DU139" s="180"/>
    </row>
    <row r="140" spans="1:125" s="54" customFormat="1" hidden="1">
      <c r="A140" s="135">
        <f t="shared" si="11"/>
        <v>0</v>
      </c>
      <c r="B140" s="178" t="str">
        <f t="shared" si="13"/>
        <v/>
      </c>
      <c r="C140" s="178" t="str">
        <f>IFERROR(IF(R140&gt;0,INDEX('M03-S08'!$BC$18:$BC$199,2*(ROWS($C$135:C140)-1)+1),""),"")</f>
        <v/>
      </c>
      <c r="D140" s="180" t="s">
        <v>1443</v>
      </c>
      <c r="E140" s="178" t="str">
        <f>IFERROR(INDEX('M03-S08'!$AZ$18:$AZ$199,2*(ROWS($E$135:E140)-1)+1),"")</f>
        <v/>
      </c>
      <c r="F140" s="408"/>
      <c r="G140" s="178">
        <f>IFERROR(INDEX('M03-S08'!$AA$18:$AA$199,2*(ROWS($G$135:G140)-1)+1),"")</f>
        <v>0</v>
      </c>
      <c r="H140" s="200">
        <f>IFERROR(INDEX('M03-S08'!$AE$18:$AE$199,2*(ROWS(H$135:H140)-1)+1),"")</f>
        <v>0</v>
      </c>
      <c r="I140" s="200">
        <f>IFERROR(INDEX('M03-S08'!$AG$18:$AG$199,2*(ROWS(I$135:I140)-1)+1),"")</f>
        <v>0</v>
      </c>
      <c r="J140" s="200" t="str">
        <f>IFERROR(INDEX('M03-S08'!$AT$18:$AT$199,2*(ROWS(J$135:J140)-1)+1),"")</f>
        <v/>
      </c>
      <c r="K140" s="178" t="s">
        <v>84</v>
      </c>
      <c r="L140" s="116">
        <f>IFERROR(ROUND(INDEX('M03-S08'!$U$18:$U$199,2*(ROWS(L$135:L140)-1)+1),3),"")</f>
        <v>0</v>
      </c>
      <c r="M140" s="116">
        <f>IFERROR(ROUND(INDEX('M03-S08'!$U$18:$U$199,2*(ROWS(M$135:M140)-1)+1),3),"")</f>
        <v>0</v>
      </c>
      <c r="N140" s="415" t="str">
        <f>IFERROR(INDEX('M03-S08'!$AV$18:$AV$199,2*(ROWS(N$135:N140)-1)+1),"")</f>
        <v/>
      </c>
      <c r="O140" s="415">
        <f>IFERROR(INDEX('M03-S08'!$BA$18:$BA$199,2*(ROWS(O$135:O140)-1)+1),"")</f>
        <v>0</v>
      </c>
      <c r="P140" s="415" t="str">
        <f>IFERROR(INDEX('M03-S08'!$AW$18:$AW$199,2*(ROWS(P$135:P140)-1)+1),"")</f>
        <v/>
      </c>
      <c r="Q140" s="415">
        <f>IFERROR(INDEX('M03-S08'!$BB$18:$BB$199,2*(ROWS(Q$135:Q140)-1)+1),"")</f>
        <v>0</v>
      </c>
      <c r="R140" s="200" t="str">
        <f>IFERROR(INDEX('M03-S08'!$AN$18:$AN$199,2*(ROWS(R$135:R140)-1)+1),"")</f>
        <v/>
      </c>
      <c r="S140" s="405"/>
      <c r="T140" s="405"/>
      <c r="U140" s="405"/>
      <c r="V140" s="325"/>
      <c r="W140" s="417"/>
      <c r="X140" s="417"/>
      <c r="Y140" s="408"/>
      <c r="Z140" s="408"/>
      <c r="AA140" s="418"/>
      <c r="AB140" s="418"/>
      <c r="AC140" s="325"/>
      <c r="AD140" s="415">
        <f>IFERROR(INDEX('M03-S08'!$AX$18:$AX$199,2*(ROWS(AD$135:AD140)-1)+1),"")</f>
        <v>0</v>
      </c>
      <c r="AE140" s="415">
        <f>IFERROR(INDEX('M03-S08'!$AY$18:$AY$199,2*(ROWS(AE$135:AE140)-1)+1),"")</f>
        <v>0</v>
      </c>
      <c r="AF140" s="408"/>
      <c r="AG140" s="408"/>
      <c r="AH140" s="408"/>
      <c r="AI140" s="178">
        <f>IFERROR(INDEX('M03-S08'!$B$18:$B$199,2*(ROWS(AI$135:AI140)-1)+1),"")</f>
        <v>6</v>
      </c>
      <c r="AJ140" s="325"/>
      <c r="AK140" s="178">
        <f>IFERROR(INDEX('M03-S08'!$C$18:$C$199,2*(ROWS(AK$135:AK140)-1)+1),"")</f>
        <v>0</v>
      </c>
      <c r="AL140" s="325"/>
      <c r="AM140" s="178">
        <f>IFERROR(INDEX('M03-S08'!$W$18:$W$199,2*(ROWS(AM$135:AM140)-1)+1),"")</f>
        <v>0</v>
      </c>
      <c r="AN140" s="405"/>
      <c r="AO140" s="405"/>
      <c r="AP140" s="178" t="str">
        <f>IFERROR(INDEX('M03-S08'!$AU$18:$AU$199,2*(ROWS(AP$135:AP140)-1)+1),"")</f>
        <v/>
      </c>
      <c r="AQ140" s="325"/>
      <c r="AR140" s="178" t="str">
        <f>IFERROR(INDEX(STDMOTORS[Reporting Methodology],MATCH(EXPORT!C140,STDMOTORS[Measure Number],0)),"")</f>
        <v/>
      </c>
      <c r="AS140" s="178" t="str">
        <f>IFERROR(INDEX(STDMOTORS[Primary Key],MATCH(C140,STDMOTORS[Measure Number],0)),"")</f>
        <v/>
      </c>
      <c r="AT140" s="200" t="str">
        <f>IFERROR(INDEX('M03-S08'!$AN$18:$AN$199,2*(ROWS(AT$135:AT140)-1)+1)-MIN(INDEX('M03-S08'!$AT$18:$AT$199,2*(ROWS(AT$135:AT140)-1)+1),(ROUND(INDEX('M03-S08'!$U$18:$U$199,2*(ROWS(AT$135:AT140)-1)+1)*INDEX(STDMOTORS[Previous Incentive],MATCH('M03-S08'!C28,STDMOTORS[Measure Name],0)),3))),"")</f>
        <v/>
      </c>
      <c r="AU140" s="278"/>
      <c r="AV140" s="278"/>
      <c r="AW140" s="278"/>
      <c r="AX140" s="278"/>
      <c r="AY140" s="278"/>
      <c r="AZ140" s="278"/>
      <c r="BA140" s="278"/>
      <c r="BB140" s="278"/>
      <c r="BC140" s="278"/>
      <c r="BD140" s="278"/>
      <c r="BE140" s="279"/>
      <c r="BL140" s="180"/>
      <c r="BP140" s="180"/>
      <c r="BQ140" s="180"/>
      <c r="BR140" s="180"/>
      <c r="CD140" s="180"/>
      <c r="CE140" s="180"/>
      <c r="CF140" s="180"/>
      <c r="CH140" s="180"/>
      <c r="CI140" s="180"/>
      <c r="CJ140" s="180"/>
      <c r="CK140" s="180"/>
      <c r="CL140" s="180"/>
      <c r="CM140" s="180"/>
      <c r="CN140" s="180"/>
      <c r="CQ140" s="180"/>
      <c r="CR140" s="180"/>
      <c r="CS140" s="180"/>
      <c r="DS140" s="180"/>
      <c r="DT140" s="180"/>
      <c r="DU140" s="180"/>
    </row>
    <row r="141" spans="1:125" s="54" customFormat="1" hidden="1">
      <c r="A141" s="135">
        <f t="shared" si="11"/>
        <v>0</v>
      </c>
      <c r="B141" s="178" t="str">
        <f t="shared" si="13"/>
        <v/>
      </c>
      <c r="C141" s="178" t="str">
        <f>IFERROR(IF(R141&gt;0,INDEX('M03-S08'!$BC$18:$BC$199,2*(ROWS($C$135:C141)-1)+1),""),"")</f>
        <v/>
      </c>
      <c r="D141" s="180" t="s">
        <v>1443</v>
      </c>
      <c r="E141" s="178" t="str">
        <f>IFERROR(INDEX('M03-S08'!$AZ$18:$AZ$199,2*(ROWS($E$135:E141)-1)+1),"")</f>
        <v/>
      </c>
      <c r="F141" s="408"/>
      <c r="G141" s="178">
        <f>IFERROR(INDEX('M03-S08'!$AA$18:$AA$199,2*(ROWS($G$135:G141)-1)+1),"")</f>
        <v>0</v>
      </c>
      <c r="H141" s="200">
        <f>IFERROR(INDEX('M03-S08'!$AE$18:$AE$199,2*(ROWS(H$135:H141)-1)+1),"")</f>
        <v>0</v>
      </c>
      <c r="I141" s="200">
        <f>IFERROR(INDEX('M03-S08'!$AG$18:$AG$199,2*(ROWS(I$135:I141)-1)+1),"")</f>
        <v>0</v>
      </c>
      <c r="J141" s="200" t="str">
        <f>IFERROR(INDEX('M03-S08'!$AT$18:$AT$199,2*(ROWS(J$135:J141)-1)+1),"")</f>
        <v/>
      </c>
      <c r="K141" s="178" t="s">
        <v>84</v>
      </c>
      <c r="L141" s="116">
        <f>IFERROR(ROUND(INDEX('M03-S08'!$U$18:$U$199,2*(ROWS(L$135:L141)-1)+1),3),"")</f>
        <v>0</v>
      </c>
      <c r="M141" s="116">
        <f>IFERROR(ROUND(INDEX('M03-S08'!$U$18:$U$199,2*(ROWS(M$135:M141)-1)+1),3),"")</f>
        <v>0</v>
      </c>
      <c r="N141" s="415" t="str">
        <f>IFERROR(INDEX('M03-S08'!$AV$18:$AV$199,2*(ROWS(N$135:N141)-1)+1),"")</f>
        <v/>
      </c>
      <c r="O141" s="415">
        <f>IFERROR(INDEX('M03-S08'!$BA$18:$BA$199,2*(ROWS(O$135:O141)-1)+1),"")</f>
        <v>0</v>
      </c>
      <c r="P141" s="415" t="str">
        <f>IFERROR(INDEX('M03-S08'!$AW$18:$AW$199,2*(ROWS(P$135:P141)-1)+1),"")</f>
        <v/>
      </c>
      <c r="Q141" s="415">
        <f>IFERROR(INDEX('M03-S08'!$BB$18:$BB$199,2*(ROWS(Q$135:Q141)-1)+1),"")</f>
        <v>0</v>
      </c>
      <c r="R141" s="200" t="str">
        <f>IFERROR(INDEX('M03-S08'!$AN$18:$AN$199,2*(ROWS(R$135:R141)-1)+1),"")</f>
        <v/>
      </c>
      <c r="S141" s="405"/>
      <c r="T141" s="405"/>
      <c r="U141" s="405"/>
      <c r="V141" s="325"/>
      <c r="W141" s="417"/>
      <c r="X141" s="417"/>
      <c r="Y141" s="408"/>
      <c r="Z141" s="408"/>
      <c r="AA141" s="418"/>
      <c r="AB141" s="418"/>
      <c r="AC141" s="325"/>
      <c r="AD141" s="415">
        <f>IFERROR(INDEX('M03-S08'!$AX$18:$AX$199,2*(ROWS(AD$135:AD141)-1)+1),"")</f>
        <v>0</v>
      </c>
      <c r="AE141" s="415">
        <f>IFERROR(INDEX('M03-S08'!$AY$18:$AY$199,2*(ROWS(AE$135:AE141)-1)+1),"")</f>
        <v>0</v>
      </c>
      <c r="AF141" s="408"/>
      <c r="AG141" s="408"/>
      <c r="AH141" s="408"/>
      <c r="AI141" s="178">
        <f>IFERROR(INDEX('M03-S08'!$B$18:$B$199,2*(ROWS(AI$135:AI141)-1)+1),"")</f>
        <v>7</v>
      </c>
      <c r="AJ141" s="325"/>
      <c r="AK141" s="178">
        <f>IFERROR(INDEX('M03-S08'!$C$18:$C$199,2*(ROWS(AK$135:AK141)-1)+1),"")</f>
        <v>0</v>
      </c>
      <c r="AL141" s="325"/>
      <c r="AM141" s="178">
        <f>IFERROR(INDEX('M03-S08'!$W$18:$W$199,2*(ROWS(AM$135:AM141)-1)+1),"")</f>
        <v>0</v>
      </c>
      <c r="AN141" s="405"/>
      <c r="AO141" s="405"/>
      <c r="AP141" s="178" t="str">
        <f>IFERROR(INDEX('M03-S08'!$AU$18:$AU$199,2*(ROWS(AP$135:AP141)-1)+1),"")</f>
        <v/>
      </c>
      <c r="AQ141" s="325"/>
      <c r="AR141" s="178" t="str">
        <f>IFERROR(INDEX(STDMOTORS[Reporting Methodology],MATCH(EXPORT!C141,STDMOTORS[Measure Number],0)),"")</f>
        <v/>
      </c>
      <c r="AS141" s="178" t="str">
        <f>IFERROR(INDEX(STDMOTORS[Primary Key],MATCH(C141,STDMOTORS[Measure Number],0)),"")</f>
        <v/>
      </c>
      <c r="AT141" s="200" t="str">
        <f>IFERROR(INDEX('M03-S08'!$AN$18:$AN$199,2*(ROWS(AT$135:AT141)-1)+1)-MIN(INDEX('M03-S08'!$AT$18:$AT$199,2*(ROWS(AT$135:AT141)-1)+1),(ROUND(INDEX('M03-S08'!$U$18:$U$199,2*(ROWS(AT$135:AT141)-1)+1)*INDEX(STDMOTORS[Previous Incentive],MATCH('M03-S08'!C30,STDMOTORS[Measure Name],0)),3))),"")</f>
        <v/>
      </c>
      <c r="AU141" s="278"/>
      <c r="AV141" s="278"/>
      <c r="AW141" s="278"/>
      <c r="AX141" s="278"/>
      <c r="AY141" s="278"/>
      <c r="AZ141" s="278"/>
      <c r="BA141" s="278"/>
      <c r="BB141" s="278"/>
      <c r="BC141" s="278"/>
      <c r="BD141" s="278"/>
      <c r="BE141" s="279"/>
      <c r="BL141" s="180"/>
      <c r="BP141" s="180"/>
      <c r="BQ141" s="180"/>
      <c r="BR141" s="180"/>
      <c r="CD141" s="180"/>
      <c r="CE141" s="180"/>
      <c r="CF141" s="180"/>
      <c r="CH141" s="180"/>
      <c r="CI141" s="180"/>
      <c r="CJ141" s="180"/>
      <c r="CK141" s="180"/>
      <c r="CL141" s="180"/>
      <c r="CM141" s="180"/>
      <c r="CN141" s="180"/>
      <c r="CQ141" s="180"/>
      <c r="CR141" s="180"/>
      <c r="CS141" s="180"/>
      <c r="DS141" s="180"/>
      <c r="DT141" s="180"/>
      <c r="DU141" s="180"/>
    </row>
    <row r="142" spans="1:125" s="54" customFormat="1" hidden="1">
      <c r="A142" s="135">
        <f t="shared" si="11"/>
        <v>0</v>
      </c>
      <c r="B142" s="178" t="str">
        <f t="shared" si="13"/>
        <v/>
      </c>
      <c r="C142" s="178" t="str">
        <f>IFERROR(IF(R142&gt;0,INDEX('M03-S08'!$BC$18:$BC$199,2*(ROWS($C$135:C142)-1)+1),""),"")</f>
        <v/>
      </c>
      <c r="D142" s="180" t="s">
        <v>1443</v>
      </c>
      <c r="E142" s="178" t="str">
        <f>IFERROR(INDEX('M03-S08'!$AZ$18:$AZ$199,2*(ROWS($E$135:E142)-1)+1),"")</f>
        <v/>
      </c>
      <c r="F142" s="408"/>
      <c r="G142" s="178">
        <f>IFERROR(INDEX('M03-S08'!$AA$18:$AA$199,2*(ROWS($G$135:G142)-1)+1),"")</f>
        <v>0</v>
      </c>
      <c r="H142" s="200">
        <f>IFERROR(INDEX('M03-S08'!$AE$18:$AE$199,2*(ROWS(H$135:H142)-1)+1),"")</f>
        <v>0</v>
      </c>
      <c r="I142" s="200">
        <f>IFERROR(INDEX('M03-S08'!$AG$18:$AG$199,2*(ROWS(I$135:I142)-1)+1),"")</f>
        <v>0</v>
      </c>
      <c r="J142" s="200" t="str">
        <f>IFERROR(INDEX('M03-S08'!$AT$18:$AT$199,2*(ROWS(J$135:J142)-1)+1),"")</f>
        <v/>
      </c>
      <c r="K142" s="178" t="s">
        <v>84</v>
      </c>
      <c r="L142" s="116">
        <f>IFERROR(ROUND(INDEX('M03-S08'!$U$18:$U$199,2*(ROWS(L$135:L142)-1)+1),3),"")</f>
        <v>0</v>
      </c>
      <c r="M142" s="116">
        <f>IFERROR(ROUND(INDEX('M03-S08'!$U$18:$U$199,2*(ROWS(M$135:M142)-1)+1),3),"")</f>
        <v>0</v>
      </c>
      <c r="N142" s="415" t="str">
        <f>IFERROR(INDEX('M03-S08'!$AV$18:$AV$199,2*(ROWS(N$135:N142)-1)+1),"")</f>
        <v/>
      </c>
      <c r="O142" s="415">
        <f>IFERROR(INDEX('M03-S08'!$BA$18:$BA$199,2*(ROWS(O$135:O142)-1)+1),"")</f>
        <v>0</v>
      </c>
      <c r="P142" s="415" t="str">
        <f>IFERROR(INDEX('M03-S08'!$AW$18:$AW$199,2*(ROWS(P$135:P142)-1)+1),"")</f>
        <v/>
      </c>
      <c r="Q142" s="415">
        <f>IFERROR(INDEX('M03-S08'!$BB$18:$BB$199,2*(ROWS(Q$135:Q142)-1)+1),"")</f>
        <v>0</v>
      </c>
      <c r="R142" s="200" t="str">
        <f>IFERROR(INDEX('M03-S08'!$AN$18:$AN$199,2*(ROWS(R$135:R142)-1)+1),"")</f>
        <v/>
      </c>
      <c r="S142" s="405"/>
      <c r="T142" s="405"/>
      <c r="U142" s="405"/>
      <c r="V142" s="325"/>
      <c r="W142" s="417"/>
      <c r="X142" s="417"/>
      <c r="Y142" s="408"/>
      <c r="Z142" s="408"/>
      <c r="AA142" s="418"/>
      <c r="AB142" s="418"/>
      <c r="AC142" s="325"/>
      <c r="AD142" s="415">
        <f>IFERROR(INDEX('M03-S08'!$AX$18:$AX$199,2*(ROWS(AD$135:AD142)-1)+1),"")</f>
        <v>0</v>
      </c>
      <c r="AE142" s="415">
        <f>IFERROR(INDEX('M03-S08'!$AY$18:$AY$199,2*(ROWS(AE$135:AE142)-1)+1),"")</f>
        <v>0</v>
      </c>
      <c r="AF142" s="408"/>
      <c r="AG142" s="408"/>
      <c r="AH142" s="408"/>
      <c r="AI142" s="178">
        <f>IFERROR(INDEX('M03-S08'!$B$18:$B$199,2*(ROWS(AI$135:AI142)-1)+1),"")</f>
        <v>8</v>
      </c>
      <c r="AJ142" s="325"/>
      <c r="AK142" s="178">
        <f>IFERROR(INDEX('M03-S08'!$C$18:$C$199,2*(ROWS(AK$135:AK142)-1)+1),"")</f>
        <v>0</v>
      </c>
      <c r="AL142" s="325"/>
      <c r="AM142" s="178">
        <f>IFERROR(INDEX('M03-S08'!$W$18:$W$199,2*(ROWS(AM$135:AM142)-1)+1),"")</f>
        <v>0</v>
      </c>
      <c r="AN142" s="405"/>
      <c r="AO142" s="405"/>
      <c r="AP142" s="178" t="str">
        <f>IFERROR(INDEX('M03-S08'!$AU$18:$AU$199,2*(ROWS(AP$135:AP142)-1)+1),"")</f>
        <v/>
      </c>
      <c r="AQ142" s="325"/>
      <c r="AR142" s="178" t="str">
        <f>IFERROR(INDEX(STDMOTORS[Reporting Methodology],MATCH(EXPORT!C142,STDMOTORS[Measure Number],0)),"")</f>
        <v/>
      </c>
      <c r="AS142" s="178" t="str">
        <f>IFERROR(INDEX(STDMOTORS[Primary Key],MATCH(C142,STDMOTORS[Measure Number],0)),"")</f>
        <v/>
      </c>
      <c r="AT142" s="200" t="str">
        <f>IFERROR(INDEX('M03-S08'!$AN$18:$AN$199,2*(ROWS(AT$135:AT142)-1)+1)-MIN(INDEX('M03-S08'!$AT$18:$AT$199,2*(ROWS(AT$135:AT142)-1)+1),(ROUND(INDEX('M03-S08'!$U$18:$U$199,2*(ROWS(AT$135:AT142)-1)+1)*INDEX(STDMOTORS[Previous Incentive],MATCH('M03-S08'!C32,STDMOTORS[Measure Name],0)),3))),"")</f>
        <v/>
      </c>
      <c r="AU142" s="278"/>
      <c r="AV142" s="278"/>
      <c r="AW142" s="278"/>
      <c r="AX142" s="278"/>
      <c r="AY142" s="278"/>
      <c r="AZ142" s="278"/>
      <c r="BA142" s="278"/>
      <c r="BB142" s="278"/>
      <c r="BC142" s="278"/>
      <c r="BD142" s="278"/>
      <c r="BE142" s="279"/>
      <c r="BL142" s="180"/>
      <c r="BP142" s="180"/>
      <c r="BQ142" s="180"/>
      <c r="BR142" s="180"/>
      <c r="CD142" s="180"/>
      <c r="CE142" s="180"/>
      <c r="CF142" s="180"/>
      <c r="CH142" s="180"/>
      <c r="CI142" s="180"/>
      <c r="CJ142" s="180"/>
      <c r="CK142" s="180"/>
      <c r="CL142" s="180"/>
      <c r="CM142" s="180"/>
      <c r="CN142" s="180"/>
      <c r="CQ142" s="180"/>
      <c r="CR142" s="180"/>
      <c r="CS142" s="180"/>
      <c r="DS142" s="180"/>
      <c r="DT142" s="180"/>
      <c r="DU142" s="180"/>
    </row>
    <row r="143" spans="1:125" s="54" customFormat="1" hidden="1">
      <c r="A143" s="135">
        <f t="shared" si="11"/>
        <v>0</v>
      </c>
      <c r="B143" s="178" t="str">
        <f t="shared" si="13"/>
        <v/>
      </c>
      <c r="C143" s="178" t="str">
        <f>IFERROR(IF(R143&gt;0,INDEX('M03-S08'!$BC$18:$BC$199,2*(ROWS($C$135:C143)-1)+1),""),"")</f>
        <v/>
      </c>
      <c r="D143" s="180" t="s">
        <v>1443</v>
      </c>
      <c r="E143" s="178" t="str">
        <f>IFERROR(INDEX('M03-S08'!$AZ$18:$AZ$199,2*(ROWS($E$135:E143)-1)+1),"")</f>
        <v/>
      </c>
      <c r="F143" s="408"/>
      <c r="G143" s="178">
        <f>IFERROR(INDEX('M03-S08'!$AA$18:$AA$199,2*(ROWS($G$135:G143)-1)+1),"")</f>
        <v>0</v>
      </c>
      <c r="H143" s="200">
        <f>IFERROR(INDEX('M03-S08'!$AE$18:$AE$199,2*(ROWS(H$135:H143)-1)+1),"")</f>
        <v>0</v>
      </c>
      <c r="I143" s="200">
        <f>IFERROR(INDEX('M03-S08'!$AG$18:$AG$199,2*(ROWS(I$135:I143)-1)+1),"")</f>
        <v>0</v>
      </c>
      <c r="J143" s="200" t="str">
        <f>IFERROR(INDEX('M03-S08'!$AT$18:$AT$199,2*(ROWS(J$135:J143)-1)+1),"")</f>
        <v/>
      </c>
      <c r="K143" s="178" t="s">
        <v>84</v>
      </c>
      <c r="L143" s="116">
        <f>IFERROR(ROUND(INDEX('M03-S08'!$U$18:$U$199,2*(ROWS(L$135:L143)-1)+1),3),"")</f>
        <v>0</v>
      </c>
      <c r="M143" s="116">
        <f>IFERROR(ROUND(INDEX('M03-S08'!$U$18:$U$199,2*(ROWS(M$135:M143)-1)+1),3),"")</f>
        <v>0</v>
      </c>
      <c r="N143" s="415" t="str">
        <f>IFERROR(INDEX('M03-S08'!$AV$18:$AV$199,2*(ROWS(N$135:N143)-1)+1),"")</f>
        <v/>
      </c>
      <c r="O143" s="415">
        <f>IFERROR(INDEX('M03-S08'!$BA$18:$BA$199,2*(ROWS(O$135:O143)-1)+1),"")</f>
        <v>0</v>
      </c>
      <c r="P143" s="415" t="str">
        <f>IFERROR(INDEX('M03-S08'!$AW$18:$AW$199,2*(ROWS(P$135:P143)-1)+1),"")</f>
        <v/>
      </c>
      <c r="Q143" s="415">
        <f>IFERROR(INDEX('M03-S08'!$BB$18:$BB$199,2*(ROWS(Q$135:Q143)-1)+1),"")</f>
        <v>0</v>
      </c>
      <c r="R143" s="200" t="str">
        <f>IFERROR(INDEX('M03-S08'!$AN$18:$AN$199,2*(ROWS(R$135:R143)-1)+1),"")</f>
        <v/>
      </c>
      <c r="S143" s="405"/>
      <c r="T143" s="405"/>
      <c r="U143" s="405"/>
      <c r="V143" s="325"/>
      <c r="W143" s="417"/>
      <c r="X143" s="417"/>
      <c r="Y143" s="408"/>
      <c r="Z143" s="408"/>
      <c r="AA143" s="418"/>
      <c r="AB143" s="418"/>
      <c r="AC143" s="325"/>
      <c r="AD143" s="415">
        <f>IFERROR(INDEX('M03-S08'!$AX$18:$AX$199,2*(ROWS(AD$135:AD143)-1)+1),"")</f>
        <v>0</v>
      </c>
      <c r="AE143" s="415">
        <f>IFERROR(INDEX('M03-S08'!$AY$18:$AY$199,2*(ROWS(AE$135:AE143)-1)+1),"")</f>
        <v>0</v>
      </c>
      <c r="AF143" s="408"/>
      <c r="AG143" s="408"/>
      <c r="AH143" s="408"/>
      <c r="AI143" s="178">
        <f>IFERROR(INDEX('M03-S08'!$B$18:$B$199,2*(ROWS(AI$135:AI143)-1)+1),"")</f>
        <v>9</v>
      </c>
      <c r="AJ143" s="325"/>
      <c r="AK143" s="178">
        <f>IFERROR(INDEX('M03-S08'!$C$18:$C$199,2*(ROWS(AK$135:AK143)-1)+1),"")</f>
        <v>0</v>
      </c>
      <c r="AL143" s="325"/>
      <c r="AM143" s="178">
        <f>IFERROR(INDEX('M03-S08'!$W$18:$W$199,2*(ROWS(AM$135:AM143)-1)+1),"")</f>
        <v>0</v>
      </c>
      <c r="AN143" s="405"/>
      <c r="AO143" s="405"/>
      <c r="AP143" s="178" t="str">
        <f>IFERROR(INDEX('M03-S08'!$AU$18:$AU$199,2*(ROWS(AP$135:AP143)-1)+1),"")</f>
        <v/>
      </c>
      <c r="AQ143" s="325"/>
      <c r="AR143" s="178" t="str">
        <f>IFERROR(INDEX(STDMOTORS[Reporting Methodology],MATCH(EXPORT!C143,STDMOTORS[Measure Number],0)),"")</f>
        <v/>
      </c>
      <c r="AS143" s="178" t="str">
        <f>IFERROR(INDEX(STDMOTORS[Primary Key],MATCH(C143,STDMOTORS[Measure Number],0)),"")</f>
        <v/>
      </c>
      <c r="AT143" s="200" t="str">
        <f>IFERROR(INDEX('M03-S08'!$AN$18:$AN$199,2*(ROWS(AT$135:AT143)-1)+1)-MIN(INDEX('M03-S08'!$AT$18:$AT$199,2*(ROWS(AT$135:AT143)-1)+1),(ROUND(INDEX('M03-S08'!$U$18:$U$199,2*(ROWS(AT$135:AT143)-1)+1)*INDEX(STDMOTORS[Previous Incentive],MATCH('M03-S08'!C34,STDMOTORS[Measure Name],0)),3))),"")</f>
        <v/>
      </c>
      <c r="AU143" s="278"/>
      <c r="AV143" s="278"/>
      <c r="AW143" s="278"/>
      <c r="AX143" s="278"/>
      <c r="AY143" s="278"/>
      <c r="AZ143" s="278"/>
      <c r="BA143" s="278"/>
      <c r="BB143" s="278"/>
      <c r="BC143" s="278"/>
      <c r="BD143" s="278"/>
      <c r="BE143" s="279"/>
      <c r="BL143" s="180"/>
      <c r="BP143" s="180"/>
      <c r="BQ143" s="180"/>
      <c r="BR143" s="180"/>
      <c r="CD143" s="180"/>
      <c r="CE143" s="180"/>
      <c r="CF143" s="180"/>
      <c r="CH143" s="180"/>
      <c r="CI143" s="180"/>
      <c r="CJ143" s="180"/>
      <c r="CK143" s="180"/>
      <c r="CL143" s="180"/>
      <c r="CM143" s="180"/>
      <c r="CN143" s="180"/>
      <c r="CQ143" s="180"/>
      <c r="CR143" s="180"/>
      <c r="CS143" s="180"/>
      <c r="DS143" s="180"/>
      <c r="DT143" s="180"/>
      <c r="DU143" s="180"/>
    </row>
    <row r="144" spans="1:125" s="54" customFormat="1" hidden="1">
      <c r="A144" s="135">
        <f t="shared" si="11"/>
        <v>0</v>
      </c>
      <c r="B144" s="178" t="str">
        <f t="shared" si="13"/>
        <v/>
      </c>
      <c r="C144" s="178" t="str">
        <f>IFERROR(IF(R144&gt;0,INDEX('M03-S08'!$BC$18:$BC$199,2*(ROWS($C$135:C144)-1)+1),""),"")</f>
        <v/>
      </c>
      <c r="D144" s="180" t="s">
        <v>1443</v>
      </c>
      <c r="E144" s="178" t="str">
        <f>IFERROR(INDEX('M03-S08'!$AZ$18:$AZ$199,2*(ROWS($E$135:E144)-1)+1),"")</f>
        <v/>
      </c>
      <c r="F144" s="408"/>
      <c r="G144" s="178">
        <f>IFERROR(INDEX('M03-S08'!$AA$18:$AA$199,2*(ROWS($G$135:G144)-1)+1),"")</f>
        <v>0</v>
      </c>
      <c r="H144" s="200">
        <f>IFERROR(INDEX('M03-S08'!$AE$18:$AE$199,2*(ROWS(H$135:H144)-1)+1),"")</f>
        <v>0</v>
      </c>
      <c r="I144" s="200">
        <f>IFERROR(INDEX('M03-S08'!$AG$18:$AG$199,2*(ROWS(I$135:I144)-1)+1),"")</f>
        <v>0</v>
      </c>
      <c r="J144" s="200" t="str">
        <f>IFERROR(INDEX('M03-S08'!$AT$18:$AT$199,2*(ROWS(J$135:J144)-1)+1),"")</f>
        <v/>
      </c>
      <c r="K144" s="178" t="s">
        <v>84</v>
      </c>
      <c r="L144" s="116">
        <f>IFERROR(ROUND(INDEX('M03-S08'!$U$18:$U$199,2*(ROWS(L$135:L144)-1)+1),3),"")</f>
        <v>0</v>
      </c>
      <c r="M144" s="116">
        <f>IFERROR(ROUND(INDEX('M03-S08'!$U$18:$U$199,2*(ROWS(M$135:M144)-1)+1),3),"")</f>
        <v>0</v>
      </c>
      <c r="N144" s="415" t="str">
        <f>IFERROR(INDEX('M03-S08'!$AV$18:$AV$199,2*(ROWS(N$135:N144)-1)+1),"")</f>
        <v/>
      </c>
      <c r="O144" s="415">
        <f>IFERROR(INDEX('M03-S08'!$BA$18:$BA$199,2*(ROWS(O$135:O144)-1)+1),"")</f>
        <v>0</v>
      </c>
      <c r="P144" s="415" t="str">
        <f>IFERROR(INDEX('M03-S08'!$AW$18:$AW$199,2*(ROWS(P$135:P144)-1)+1),"")</f>
        <v/>
      </c>
      <c r="Q144" s="415">
        <f>IFERROR(INDEX('M03-S08'!$BB$18:$BB$199,2*(ROWS(Q$135:Q144)-1)+1),"")</f>
        <v>0</v>
      </c>
      <c r="R144" s="200" t="str">
        <f>IFERROR(INDEX('M03-S08'!$AN$18:$AN$199,2*(ROWS(R$135:R144)-1)+1),"")</f>
        <v/>
      </c>
      <c r="S144" s="405"/>
      <c r="T144" s="405"/>
      <c r="U144" s="405"/>
      <c r="V144" s="325"/>
      <c r="W144" s="417"/>
      <c r="X144" s="417"/>
      <c r="Y144" s="408"/>
      <c r="Z144" s="408"/>
      <c r="AA144" s="418"/>
      <c r="AB144" s="418"/>
      <c r="AC144" s="325"/>
      <c r="AD144" s="415">
        <f>IFERROR(INDEX('M03-S08'!$AX$18:$AX$199,2*(ROWS(AD$135:AD144)-1)+1),"")</f>
        <v>0</v>
      </c>
      <c r="AE144" s="415">
        <f>IFERROR(INDEX('M03-S08'!$AY$18:$AY$199,2*(ROWS(AE$135:AE144)-1)+1),"")</f>
        <v>0</v>
      </c>
      <c r="AF144" s="408"/>
      <c r="AG144" s="408"/>
      <c r="AH144" s="408"/>
      <c r="AI144" s="178">
        <f>IFERROR(INDEX('M03-S08'!$B$18:$B$199,2*(ROWS(AI$135:AI144)-1)+1),"")</f>
        <v>10</v>
      </c>
      <c r="AJ144" s="325"/>
      <c r="AK144" s="178">
        <f>IFERROR(INDEX('M03-S08'!$C$18:$C$199,2*(ROWS(AK$135:AK144)-1)+1),"")</f>
        <v>0</v>
      </c>
      <c r="AL144" s="325"/>
      <c r="AM144" s="178">
        <f>IFERROR(INDEX('M03-S08'!$W$18:$W$199,2*(ROWS(AM$135:AM144)-1)+1),"")</f>
        <v>0</v>
      </c>
      <c r="AN144" s="405"/>
      <c r="AO144" s="405"/>
      <c r="AP144" s="178" t="str">
        <f>IFERROR(INDEX('M03-S08'!$AU$18:$AU$199,2*(ROWS(AP$135:AP144)-1)+1),"")</f>
        <v/>
      </c>
      <c r="AQ144" s="325"/>
      <c r="AR144" s="178" t="str">
        <f>IFERROR(INDEX(STDMOTORS[Reporting Methodology],MATCH(EXPORT!C144,STDMOTORS[Measure Number],0)),"")</f>
        <v/>
      </c>
      <c r="AS144" s="178" t="str">
        <f>IFERROR(INDEX(STDMOTORS[Primary Key],MATCH(C144,STDMOTORS[Measure Number],0)),"")</f>
        <v/>
      </c>
      <c r="AT144" s="200" t="str">
        <f>IFERROR(INDEX('M03-S08'!$AN$18:$AN$199,2*(ROWS(AT$135:AT144)-1)+1)-MIN(INDEX('M03-S08'!$AT$18:$AT$199,2*(ROWS(AT$135:AT144)-1)+1),(ROUND(INDEX('M03-S08'!$U$18:$U$199,2*(ROWS(AT$135:AT144)-1)+1)*INDEX(STDMOTORS[Previous Incentive],MATCH('M03-S08'!C36,STDMOTORS[Measure Name],0)),3))),"")</f>
        <v/>
      </c>
      <c r="AU144" s="278"/>
      <c r="AV144" s="278"/>
      <c r="AW144" s="278"/>
      <c r="AX144" s="278"/>
      <c r="AY144" s="278"/>
      <c r="AZ144" s="278"/>
      <c r="BA144" s="278"/>
      <c r="BB144" s="278"/>
      <c r="BC144" s="278"/>
      <c r="BD144" s="278"/>
      <c r="BE144" s="279"/>
      <c r="BL144" s="180"/>
      <c r="BP144" s="180"/>
      <c r="BQ144" s="180"/>
      <c r="BR144" s="180"/>
      <c r="CD144" s="180"/>
      <c r="CE144" s="180"/>
      <c r="CF144" s="180"/>
      <c r="CH144" s="180"/>
      <c r="CI144" s="180"/>
      <c r="CJ144" s="180"/>
      <c r="CK144" s="180"/>
      <c r="CL144" s="180"/>
      <c r="CM144" s="180"/>
      <c r="CN144" s="180"/>
      <c r="CQ144" s="180"/>
      <c r="CR144" s="180"/>
      <c r="CS144" s="180"/>
      <c r="DS144" s="180"/>
      <c r="DT144" s="180"/>
      <c r="DU144" s="180"/>
    </row>
    <row r="145" spans="1:125" s="54" customFormat="1" hidden="1">
      <c r="A145" s="135">
        <f t="shared" si="11"/>
        <v>0</v>
      </c>
      <c r="B145" s="178" t="str">
        <f t="shared" si="13"/>
        <v/>
      </c>
      <c r="C145" s="178" t="str">
        <f>IFERROR(IF(R145&gt;0,INDEX('M03-S08'!$BC$18:$BC$199,2*(ROWS($C$135:C145)-1)+1),""),"")</f>
        <v/>
      </c>
      <c r="D145" s="180" t="s">
        <v>1443</v>
      </c>
      <c r="E145" s="178">
        <f>IFERROR(INDEX('M03-S08'!$AZ$18:$AZ$199,2*(ROWS($E$135:E145)-1)+1),"")</f>
        <v>0</v>
      </c>
      <c r="F145" s="408"/>
      <c r="G145" s="178">
        <f>IFERROR(INDEX('M03-S08'!$AA$18:$AA$199,2*(ROWS($G$135:G145)-1)+1),"")</f>
        <v>0</v>
      </c>
      <c r="H145" s="200">
        <f>IFERROR(INDEX('M03-S08'!$AE$18:$AE$199,2*(ROWS(H$135:H145)-1)+1),"")</f>
        <v>0</v>
      </c>
      <c r="I145" s="200">
        <f>IFERROR(INDEX('M03-S08'!$AG$18:$AG$199,2*(ROWS(I$135:I145)-1)+1),"")</f>
        <v>0</v>
      </c>
      <c r="J145" s="200">
        <f>IFERROR(INDEX('M03-S08'!$AT$18:$AT$199,2*(ROWS(J$135:J145)-1)+1),"")</f>
        <v>0</v>
      </c>
      <c r="K145" s="178" t="s">
        <v>84</v>
      </c>
      <c r="L145" s="116">
        <f>IFERROR(ROUND(INDEX('M03-S08'!$U$18:$U$199,2*(ROWS(L$135:L145)-1)+1),3),"")</f>
        <v>0</v>
      </c>
      <c r="M145" s="116">
        <f>IFERROR(ROUND(INDEX('M03-S08'!$U$18:$U$199,2*(ROWS(M$135:M145)-1)+1),3),"")</f>
        <v>0</v>
      </c>
      <c r="N145" s="415">
        <f>IFERROR(INDEX('M03-S08'!$AV$18:$AV$199,2*(ROWS(N$135:N145)-1)+1),"")</f>
        <v>0</v>
      </c>
      <c r="O145" s="415">
        <f>IFERROR(INDEX('M03-S08'!$BA$18:$BA$199,2*(ROWS(O$135:O145)-1)+1),"")</f>
        <v>0</v>
      </c>
      <c r="P145" s="415">
        <f>IFERROR(INDEX('M03-S08'!$AW$18:$AW$199,2*(ROWS(P$135:P145)-1)+1),"")</f>
        <v>0</v>
      </c>
      <c r="Q145" s="415">
        <f>IFERROR(INDEX('M03-S08'!$BB$18:$BB$199,2*(ROWS(Q$135:Q145)-1)+1),"")</f>
        <v>0</v>
      </c>
      <c r="R145" s="200">
        <f>IFERROR(INDEX('M03-S08'!$AN$18:$AN$199,2*(ROWS(R$135:R145)-1)+1),"")</f>
        <v>0</v>
      </c>
      <c r="S145" s="405"/>
      <c r="T145" s="405"/>
      <c r="U145" s="405"/>
      <c r="V145" s="325"/>
      <c r="W145" s="417"/>
      <c r="X145" s="417"/>
      <c r="Y145" s="408"/>
      <c r="Z145" s="408"/>
      <c r="AA145" s="418"/>
      <c r="AB145" s="418"/>
      <c r="AC145" s="325"/>
      <c r="AD145" s="415">
        <f>IFERROR(INDEX('M03-S08'!$AX$18:$AX$199,2*(ROWS(AD$135:AD145)-1)+1),"")</f>
        <v>0</v>
      </c>
      <c r="AE145" s="415">
        <f>IFERROR(INDEX('M03-S08'!$AY$18:$AY$199,2*(ROWS(AE$135:AE145)-1)+1),"")</f>
        <v>0</v>
      </c>
      <c r="AF145" s="408"/>
      <c r="AG145" s="408"/>
      <c r="AH145" s="408"/>
      <c r="AI145" s="178">
        <f>IFERROR(INDEX('M03-S08'!$B$18:$B$199,2*(ROWS(AI$135:AI145)-1)+1),"")</f>
        <v>0</v>
      </c>
      <c r="AJ145" s="325"/>
      <c r="AK145" s="178">
        <f>IFERROR(INDEX('M03-S08'!$C$18:$C$199,2*(ROWS(AK$135:AK145)-1)+1),"")</f>
        <v>0</v>
      </c>
      <c r="AL145" s="325"/>
      <c r="AM145" s="178">
        <f>IFERROR(INDEX('M03-S08'!$W$18:$W$199,2*(ROWS(AM$135:AM145)-1)+1),"")</f>
        <v>0</v>
      </c>
      <c r="AN145" s="405"/>
      <c r="AO145" s="405"/>
      <c r="AP145" s="178">
        <f>IFERROR(INDEX('M03-S08'!$AU$18:$AU$199,2*(ROWS(AP$135:AP145)-1)+1),"")</f>
        <v>0</v>
      </c>
      <c r="AQ145" s="325"/>
      <c r="AR145" s="178" t="str">
        <f>IFERROR(INDEX(STDMOTORS[Reporting Methodology],MATCH(EXPORT!C145,STDMOTORS[Measure Number],0)),"")</f>
        <v/>
      </c>
      <c r="AS145" s="178" t="str">
        <f>IFERROR(INDEX(STDMOTORS[Primary Key],MATCH(C145,STDMOTORS[Measure Number],0)),"")</f>
        <v/>
      </c>
      <c r="AT145" s="200" t="str">
        <f>IFERROR(INDEX('M03-S08'!$AN$18:$AN$199,2*(ROWS(AT$135:AT145)-1)+1)-MIN(INDEX('M03-S08'!$AT$18:$AT$199,2*(ROWS(AT$135:AT145)-1)+1),(ROUND(INDEX('M03-S08'!$U$18:$U$199,2*(ROWS(AT$135:AT145)-1)+1)*INDEX(STDMOTORS[Previous Incentive],MATCH('M03-S08'!C38,STDMOTORS[Measure Name],0)),3))),"")</f>
        <v/>
      </c>
      <c r="AU145" s="278"/>
      <c r="AV145" s="278"/>
      <c r="AW145" s="278"/>
      <c r="AX145" s="278"/>
      <c r="AY145" s="278"/>
      <c r="AZ145" s="278"/>
      <c r="BA145" s="278"/>
      <c r="BB145" s="278"/>
      <c r="BC145" s="278"/>
      <c r="BD145" s="278"/>
      <c r="BE145" s="279"/>
      <c r="BL145" s="180"/>
      <c r="BP145" s="180"/>
      <c r="BQ145" s="180"/>
      <c r="BR145" s="180"/>
      <c r="CD145" s="180"/>
      <c r="CE145" s="180"/>
      <c r="CF145" s="180"/>
      <c r="CH145" s="180"/>
      <c r="CI145" s="180"/>
      <c r="CJ145" s="180"/>
      <c r="CK145" s="180"/>
      <c r="CL145" s="180"/>
      <c r="CM145" s="180"/>
      <c r="CN145" s="180"/>
      <c r="CQ145" s="180"/>
      <c r="CR145" s="180"/>
      <c r="CS145" s="180"/>
      <c r="DS145" s="180"/>
      <c r="DT145" s="180"/>
      <c r="DU145" s="180"/>
    </row>
    <row r="146" spans="1:125" s="54" customFormat="1" hidden="1">
      <c r="A146" s="135">
        <f t="shared" si="11"/>
        <v>0</v>
      </c>
      <c r="B146" s="178" t="str">
        <f t="shared" si="13"/>
        <v/>
      </c>
      <c r="C146" s="178" t="str">
        <f>IFERROR(IF(R146&gt;0,INDEX('M03-S08'!$BC$18:$BC$199,2*(ROWS($C$135:C146)-1)+1),""),"")</f>
        <v/>
      </c>
      <c r="D146" s="180" t="s">
        <v>1443</v>
      </c>
      <c r="E146" s="178">
        <f>IFERROR(INDEX('M03-S08'!$AZ$18:$AZ$199,2*(ROWS($E$135:E146)-1)+1),"")</f>
        <v>0</v>
      </c>
      <c r="F146" s="408"/>
      <c r="G146" s="178">
        <f>IFERROR(INDEX('M03-S08'!$AA$18:$AA$199,2*(ROWS($G$135:G146)-1)+1),"")</f>
        <v>0</v>
      </c>
      <c r="H146" s="200">
        <f>IFERROR(INDEX('M03-S08'!$AE$18:$AE$199,2*(ROWS(H$135:H146)-1)+1),"")</f>
        <v>0</v>
      </c>
      <c r="I146" s="200">
        <f>IFERROR(INDEX('M03-S08'!$AG$18:$AG$199,2*(ROWS(I$135:I146)-1)+1),"")</f>
        <v>0</v>
      </c>
      <c r="J146" s="200">
        <f>IFERROR(INDEX('M03-S08'!$AT$18:$AT$199,2*(ROWS(J$135:J146)-1)+1),"")</f>
        <v>0</v>
      </c>
      <c r="K146" s="178" t="s">
        <v>84</v>
      </c>
      <c r="L146" s="116">
        <f>IFERROR(ROUND(INDEX('M03-S08'!$U$18:$U$199,2*(ROWS(L$135:L146)-1)+1),3),"")</f>
        <v>0</v>
      </c>
      <c r="M146" s="116">
        <f>IFERROR(ROUND(INDEX('M03-S08'!$U$18:$U$199,2*(ROWS(M$135:M146)-1)+1),3),"")</f>
        <v>0</v>
      </c>
      <c r="N146" s="415">
        <f>IFERROR(INDEX('M03-S08'!$AV$18:$AV$199,2*(ROWS(N$135:N146)-1)+1),"")</f>
        <v>0</v>
      </c>
      <c r="O146" s="415">
        <f>IFERROR(INDEX('M03-S08'!$BA$18:$BA$199,2*(ROWS(O$135:O146)-1)+1),"")</f>
        <v>0</v>
      </c>
      <c r="P146" s="415">
        <f>IFERROR(INDEX('M03-S08'!$AW$18:$AW$199,2*(ROWS(P$135:P146)-1)+1),"")</f>
        <v>0</v>
      </c>
      <c r="Q146" s="415">
        <f>IFERROR(INDEX('M03-S08'!$BB$18:$BB$199,2*(ROWS(Q$135:Q146)-1)+1),"")</f>
        <v>0</v>
      </c>
      <c r="R146" s="200">
        <f>IFERROR(INDEX('M03-S08'!$AN$18:$AN$199,2*(ROWS(R$135:R146)-1)+1),"")</f>
        <v>0</v>
      </c>
      <c r="S146" s="405"/>
      <c r="T146" s="405"/>
      <c r="U146" s="405"/>
      <c r="V146" s="325"/>
      <c r="W146" s="417"/>
      <c r="X146" s="417"/>
      <c r="Y146" s="408"/>
      <c r="Z146" s="408"/>
      <c r="AA146" s="418"/>
      <c r="AB146" s="418"/>
      <c r="AC146" s="325"/>
      <c r="AD146" s="415">
        <f>IFERROR(INDEX('M03-S08'!$AX$18:$AX$199,2*(ROWS(AD$135:AD146)-1)+1),"")</f>
        <v>0</v>
      </c>
      <c r="AE146" s="415">
        <f>IFERROR(INDEX('M03-S08'!$AY$18:$AY$199,2*(ROWS(AE$135:AE146)-1)+1),"")</f>
        <v>0</v>
      </c>
      <c r="AF146" s="408"/>
      <c r="AG146" s="408"/>
      <c r="AH146" s="408"/>
      <c r="AI146" s="178">
        <f>IFERROR(INDEX('M03-S08'!$B$18:$B$199,2*(ROWS(AI$135:AI146)-1)+1),"")</f>
        <v>0</v>
      </c>
      <c r="AJ146" s="325"/>
      <c r="AK146" s="178">
        <f>IFERROR(INDEX('M03-S08'!$C$18:$C$199,2*(ROWS(AK$135:AK146)-1)+1),"")</f>
        <v>0</v>
      </c>
      <c r="AL146" s="325"/>
      <c r="AM146" s="178">
        <f>IFERROR(INDEX('M03-S08'!$W$18:$W$199,2*(ROWS(AM$135:AM146)-1)+1),"")</f>
        <v>0</v>
      </c>
      <c r="AN146" s="405"/>
      <c r="AO146" s="405"/>
      <c r="AP146" s="178">
        <f>IFERROR(INDEX('M03-S08'!$AU$18:$AU$199,2*(ROWS(AP$135:AP146)-1)+1),"")</f>
        <v>0</v>
      </c>
      <c r="AQ146" s="325"/>
      <c r="AR146" s="178" t="str">
        <f>IFERROR(INDEX(STDMOTORS[Reporting Methodology],MATCH(EXPORT!C146,STDMOTORS[Measure Number],0)),"")</f>
        <v/>
      </c>
      <c r="AS146" s="178" t="str">
        <f>IFERROR(INDEX(STDMOTORS[Primary Key],MATCH(C146,STDMOTORS[Measure Number],0)),"")</f>
        <v/>
      </c>
      <c r="AT146" s="200" t="str">
        <f>IFERROR(INDEX('M03-S08'!$AN$18:$AN$199,2*(ROWS(AT$135:AT146)-1)+1)-MIN(INDEX('M03-S08'!$AT$18:$AT$199,2*(ROWS(AT$135:AT146)-1)+1),(ROUND(INDEX('M03-S08'!$U$18:$U$199,2*(ROWS(AT$135:AT146)-1)+1)*INDEX(STDMOTORS[Previous Incentive],MATCH('M03-S08'!C40,STDMOTORS[Measure Name],0)),3))),"")</f>
        <v/>
      </c>
      <c r="AU146" s="278"/>
      <c r="AV146" s="278"/>
      <c r="AW146" s="278"/>
      <c r="AX146" s="278"/>
      <c r="AY146" s="278"/>
      <c r="AZ146" s="278"/>
      <c r="BA146" s="278"/>
      <c r="BB146" s="278"/>
      <c r="BC146" s="278"/>
      <c r="BD146" s="278"/>
      <c r="BE146" s="279"/>
      <c r="BL146" s="180"/>
      <c r="BP146" s="180"/>
      <c r="BQ146" s="180"/>
      <c r="BR146" s="180"/>
      <c r="CD146" s="180"/>
      <c r="CE146" s="180"/>
      <c r="CF146" s="180"/>
      <c r="CH146" s="180"/>
      <c r="CI146" s="180"/>
      <c r="CJ146" s="180"/>
      <c r="CK146" s="180"/>
      <c r="CL146" s="180"/>
      <c r="CM146" s="180"/>
      <c r="CN146" s="180"/>
      <c r="CQ146" s="180"/>
      <c r="CR146" s="180"/>
      <c r="CS146" s="180"/>
      <c r="DS146" s="180"/>
      <c r="DT146" s="180"/>
      <c r="DU146" s="180"/>
    </row>
    <row r="147" spans="1:125" s="54" customFormat="1" hidden="1">
      <c r="A147" s="135">
        <f t="shared" si="11"/>
        <v>0</v>
      </c>
      <c r="B147" s="178" t="str">
        <f t="shared" si="13"/>
        <v/>
      </c>
      <c r="C147" s="178" t="str">
        <f>IFERROR(IF(R147&gt;0,INDEX('M03-S08'!$BC$18:$BC$199,2*(ROWS($C$135:C147)-1)+1),""),"")</f>
        <v/>
      </c>
      <c r="D147" s="180" t="s">
        <v>1443</v>
      </c>
      <c r="E147" s="178">
        <f>IFERROR(INDEX('M03-S08'!$AZ$18:$AZ$199,2*(ROWS($E$135:E147)-1)+1),"")</f>
        <v>0</v>
      </c>
      <c r="F147" s="408"/>
      <c r="G147" s="178">
        <f>IFERROR(INDEX('M03-S08'!$AA$18:$AA$199,2*(ROWS($G$135:G147)-1)+1),"")</f>
        <v>0</v>
      </c>
      <c r="H147" s="200">
        <f>IFERROR(INDEX('M03-S08'!$AE$18:$AE$199,2*(ROWS(H$135:H147)-1)+1),"")</f>
        <v>0</v>
      </c>
      <c r="I147" s="200">
        <f>IFERROR(INDEX('M03-S08'!$AG$18:$AG$199,2*(ROWS(I$135:I147)-1)+1),"")</f>
        <v>0</v>
      </c>
      <c r="J147" s="200">
        <f>IFERROR(INDEX('M03-S08'!$AT$18:$AT$199,2*(ROWS(J$135:J147)-1)+1),"")</f>
        <v>0</v>
      </c>
      <c r="K147" s="178" t="s">
        <v>84</v>
      </c>
      <c r="L147" s="116">
        <f>IFERROR(ROUND(INDEX('M03-S08'!$U$18:$U$199,2*(ROWS(L$135:L147)-1)+1),3),"")</f>
        <v>0</v>
      </c>
      <c r="M147" s="116">
        <f>IFERROR(ROUND(INDEX('M03-S08'!$U$18:$U$199,2*(ROWS(M$135:M147)-1)+1),3),"")</f>
        <v>0</v>
      </c>
      <c r="N147" s="415">
        <f>IFERROR(INDEX('M03-S08'!$AV$18:$AV$199,2*(ROWS(N$135:N147)-1)+1),"")</f>
        <v>0</v>
      </c>
      <c r="O147" s="415">
        <f>IFERROR(INDEX('M03-S08'!$BA$18:$BA$199,2*(ROWS(O$135:O147)-1)+1),"")</f>
        <v>0</v>
      </c>
      <c r="P147" s="415">
        <f>IFERROR(INDEX('M03-S08'!$AW$18:$AW$199,2*(ROWS(P$135:P147)-1)+1),"")</f>
        <v>0</v>
      </c>
      <c r="Q147" s="415">
        <f>IFERROR(INDEX('M03-S08'!$BB$18:$BB$199,2*(ROWS(Q$135:Q147)-1)+1),"")</f>
        <v>0</v>
      </c>
      <c r="R147" s="200">
        <f>IFERROR(INDEX('M03-S08'!$AN$18:$AN$199,2*(ROWS(R$135:R147)-1)+1),"")</f>
        <v>0</v>
      </c>
      <c r="S147" s="405"/>
      <c r="T147" s="405"/>
      <c r="U147" s="405"/>
      <c r="V147" s="325"/>
      <c r="W147" s="417"/>
      <c r="X147" s="417"/>
      <c r="Y147" s="408"/>
      <c r="Z147" s="408"/>
      <c r="AA147" s="418"/>
      <c r="AB147" s="418"/>
      <c r="AC147" s="325"/>
      <c r="AD147" s="415">
        <f>IFERROR(INDEX('M03-S08'!$AX$18:$AX$199,2*(ROWS(AD$135:AD147)-1)+1),"")</f>
        <v>0</v>
      </c>
      <c r="AE147" s="415">
        <f>IFERROR(INDEX('M03-S08'!$AY$18:$AY$199,2*(ROWS(AE$135:AE147)-1)+1),"")</f>
        <v>0</v>
      </c>
      <c r="AF147" s="408"/>
      <c r="AG147" s="408"/>
      <c r="AH147" s="408"/>
      <c r="AI147" s="178">
        <f>IFERROR(INDEX('M03-S08'!$B$18:$B$199,2*(ROWS(AI$135:AI147)-1)+1),"")</f>
        <v>0</v>
      </c>
      <c r="AJ147" s="325"/>
      <c r="AK147" s="178">
        <f>IFERROR(INDEX('M03-S08'!$C$18:$C$199,2*(ROWS(AK$135:AK147)-1)+1),"")</f>
        <v>0</v>
      </c>
      <c r="AL147" s="325"/>
      <c r="AM147" s="178">
        <f>IFERROR(INDEX('M03-S08'!$W$18:$W$199,2*(ROWS(AM$135:AM147)-1)+1),"")</f>
        <v>0</v>
      </c>
      <c r="AN147" s="405"/>
      <c r="AO147" s="405"/>
      <c r="AP147" s="178">
        <f>IFERROR(INDEX('M03-S08'!$AU$18:$AU$199,2*(ROWS(AP$135:AP147)-1)+1),"")</f>
        <v>0</v>
      </c>
      <c r="AQ147" s="325"/>
      <c r="AR147" s="178" t="str">
        <f>IFERROR(INDEX(STDMOTORS[Reporting Methodology],MATCH(EXPORT!C147,STDMOTORS[Measure Number],0)),"")</f>
        <v/>
      </c>
      <c r="AS147" s="178" t="str">
        <f>IFERROR(INDEX(STDMOTORS[Primary Key],MATCH(C147,STDMOTORS[Measure Number],0)),"")</f>
        <v/>
      </c>
      <c r="AT147" s="200" t="str">
        <f>IFERROR(INDEX('M03-S08'!$AN$18:$AN$199,2*(ROWS(AT$135:AT147)-1)+1)-MIN(INDEX('M03-S08'!$AT$18:$AT$199,2*(ROWS(AT$135:AT147)-1)+1),(ROUND(INDEX('M03-S08'!$U$18:$U$199,2*(ROWS(AT$135:AT147)-1)+1)*INDEX(STDMOTORS[Previous Incentive],MATCH('M03-S08'!C42,STDMOTORS[Measure Name],0)),3))),"")</f>
        <v/>
      </c>
      <c r="AU147" s="278"/>
      <c r="AV147" s="278"/>
      <c r="AW147" s="278"/>
      <c r="AX147" s="278"/>
      <c r="AY147" s="278"/>
      <c r="AZ147" s="278"/>
      <c r="BA147" s="278"/>
      <c r="BB147" s="278"/>
      <c r="BC147" s="278"/>
      <c r="BD147" s="278"/>
      <c r="BE147" s="279"/>
      <c r="BL147" s="180"/>
      <c r="BP147" s="180"/>
      <c r="BQ147" s="180"/>
      <c r="BR147" s="180"/>
      <c r="CD147" s="180"/>
      <c r="CE147" s="180"/>
      <c r="CF147" s="180"/>
      <c r="CH147" s="180"/>
      <c r="CI147" s="180"/>
      <c r="CJ147" s="180"/>
      <c r="CK147" s="180"/>
      <c r="CL147" s="180"/>
      <c r="CM147" s="180"/>
      <c r="CN147" s="180"/>
      <c r="CQ147" s="180"/>
      <c r="CR147" s="180"/>
      <c r="CS147" s="180"/>
      <c r="DS147" s="180"/>
      <c r="DT147" s="180"/>
      <c r="DU147" s="180"/>
    </row>
    <row r="148" spans="1:125" s="54" customFormat="1" hidden="1">
      <c r="A148" s="135">
        <f t="shared" si="11"/>
        <v>0</v>
      </c>
      <c r="B148" s="178" t="str">
        <f t="shared" si="13"/>
        <v/>
      </c>
      <c r="C148" s="178" t="str">
        <f>IFERROR(IF(R148&gt;0,INDEX('M03-S08'!$BC$18:$BC$199,2*(ROWS($C$135:C148)-1)+1),""),"")</f>
        <v/>
      </c>
      <c r="D148" s="180" t="s">
        <v>1443</v>
      </c>
      <c r="E148" s="178">
        <f>IFERROR(INDEX('M03-S08'!$AZ$18:$AZ$199,2*(ROWS($E$135:E148)-1)+1),"")</f>
        <v>0</v>
      </c>
      <c r="F148" s="408"/>
      <c r="G148" s="178">
        <f>IFERROR(INDEX('M03-S08'!$AA$18:$AA$199,2*(ROWS($G$135:G148)-1)+1),"")</f>
        <v>0</v>
      </c>
      <c r="H148" s="200">
        <f>IFERROR(INDEX('M03-S08'!$AE$18:$AE$199,2*(ROWS(H$135:H148)-1)+1),"")</f>
        <v>0</v>
      </c>
      <c r="I148" s="200">
        <f>IFERROR(INDEX('M03-S08'!$AG$18:$AG$199,2*(ROWS(I$135:I148)-1)+1),"")</f>
        <v>0</v>
      </c>
      <c r="J148" s="200">
        <f>IFERROR(INDEX('M03-S08'!$AT$18:$AT$199,2*(ROWS(J$135:J148)-1)+1),"")</f>
        <v>0</v>
      </c>
      <c r="K148" s="178" t="s">
        <v>84</v>
      </c>
      <c r="L148" s="116">
        <f>IFERROR(ROUND(INDEX('M03-S08'!$U$18:$U$199,2*(ROWS(L$135:L148)-1)+1),3),"")</f>
        <v>0</v>
      </c>
      <c r="M148" s="116">
        <f>IFERROR(ROUND(INDEX('M03-S08'!$U$18:$U$199,2*(ROWS(M$135:M148)-1)+1),3),"")</f>
        <v>0</v>
      </c>
      <c r="N148" s="415">
        <f>IFERROR(INDEX('M03-S08'!$AV$18:$AV$199,2*(ROWS(N$135:N148)-1)+1),"")</f>
        <v>0</v>
      </c>
      <c r="O148" s="415">
        <f>IFERROR(INDEX('M03-S08'!$BA$18:$BA$199,2*(ROWS(O$135:O148)-1)+1),"")</f>
        <v>0</v>
      </c>
      <c r="P148" s="415">
        <f>IFERROR(INDEX('M03-S08'!$AW$18:$AW$199,2*(ROWS(P$135:P148)-1)+1),"")</f>
        <v>0</v>
      </c>
      <c r="Q148" s="415">
        <f>IFERROR(INDEX('M03-S08'!$BB$18:$BB$199,2*(ROWS(Q$135:Q148)-1)+1),"")</f>
        <v>0</v>
      </c>
      <c r="R148" s="200">
        <f>IFERROR(INDEX('M03-S08'!$AN$18:$AN$199,2*(ROWS(R$135:R148)-1)+1),"")</f>
        <v>0</v>
      </c>
      <c r="S148" s="405"/>
      <c r="T148" s="405"/>
      <c r="U148" s="405"/>
      <c r="V148" s="325"/>
      <c r="W148" s="417"/>
      <c r="X148" s="417"/>
      <c r="Y148" s="408"/>
      <c r="Z148" s="408"/>
      <c r="AA148" s="418"/>
      <c r="AB148" s="418"/>
      <c r="AC148" s="325"/>
      <c r="AD148" s="415">
        <f>IFERROR(INDEX('M03-S08'!$AX$18:$AX$199,2*(ROWS(AD$135:AD148)-1)+1),"")</f>
        <v>0</v>
      </c>
      <c r="AE148" s="415">
        <f>IFERROR(INDEX('M03-S08'!$AY$18:$AY$199,2*(ROWS(AE$135:AE148)-1)+1),"")</f>
        <v>0</v>
      </c>
      <c r="AF148" s="408"/>
      <c r="AG148" s="408"/>
      <c r="AH148" s="408"/>
      <c r="AI148" s="178">
        <f>IFERROR(INDEX('M03-S08'!$B$18:$B$199,2*(ROWS(AI$135:AI148)-1)+1),"")</f>
        <v>0</v>
      </c>
      <c r="AJ148" s="325"/>
      <c r="AK148" s="178">
        <f>IFERROR(INDEX('M03-S08'!$C$18:$C$199,2*(ROWS(AK$135:AK148)-1)+1),"")</f>
        <v>0</v>
      </c>
      <c r="AL148" s="325"/>
      <c r="AM148" s="178">
        <f>IFERROR(INDEX('M03-S08'!$W$18:$W$199,2*(ROWS(AM$135:AM148)-1)+1),"")</f>
        <v>0</v>
      </c>
      <c r="AN148" s="405"/>
      <c r="AO148" s="405"/>
      <c r="AP148" s="178">
        <f>IFERROR(INDEX('M03-S08'!$AU$18:$AU$199,2*(ROWS(AP$135:AP148)-1)+1),"")</f>
        <v>0</v>
      </c>
      <c r="AQ148" s="325"/>
      <c r="AR148" s="178" t="str">
        <f>IFERROR(INDEX(STDMOTORS[Reporting Methodology],MATCH(EXPORT!C148,STDMOTORS[Measure Number],0)),"")</f>
        <v/>
      </c>
      <c r="AS148" s="178" t="str">
        <f>IFERROR(INDEX(STDMOTORS[Primary Key],MATCH(C148,STDMOTORS[Measure Number],0)),"")</f>
        <v/>
      </c>
      <c r="AT148" s="200" t="str">
        <f>IFERROR(INDEX('M03-S08'!$AN$18:$AN$199,2*(ROWS(AT$135:AT148)-1)+1)-MIN(INDEX('M03-S08'!$AT$18:$AT$199,2*(ROWS(AT$135:AT148)-1)+1),(ROUND(INDEX('M03-S08'!$U$18:$U$199,2*(ROWS(AT$135:AT148)-1)+1)*INDEX(STDMOTORS[Previous Incentive],MATCH('M03-S08'!C44,STDMOTORS[Measure Name],0)),3))),"")</f>
        <v/>
      </c>
      <c r="AU148" s="278"/>
      <c r="AV148" s="278"/>
      <c r="AW148" s="278"/>
      <c r="AX148" s="278"/>
      <c r="AY148" s="278"/>
      <c r="AZ148" s="278"/>
      <c r="BA148" s="278"/>
      <c r="BB148" s="278"/>
      <c r="BC148" s="278"/>
      <c r="BD148" s="278"/>
      <c r="BE148" s="279"/>
      <c r="BL148" s="180"/>
      <c r="BP148" s="180"/>
      <c r="BQ148" s="180"/>
      <c r="BR148" s="180"/>
      <c r="CD148" s="180"/>
      <c r="CE148" s="180"/>
      <c r="CF148" s="180"/>
      <c r="CH148" s="180"/>
      <c r="CI148" s="180"/>
      <c r="CJ148" s="180"/>
      <c r="CK148" s="180"/>
      <c r="CL148" s="180"/>
      <c r="CM148" s="180"/>
      <c r="CN148" s="180"/>
      <c r="CQ148" s="180"/>
      <c r="CR148" s="180"/>
      <c r="CS148" s="180"/>
      <c r="DS148" s="180"/>
      <c r="DT148" s="180"/>
      <c r="DU148" s="180"/>
    </row>
    <row r="149" spans="1:125" s="54" customFormat="1" hidden="1">
      <c r="A149" s="135">
        <f t="shared" si="11"/>
        <v>0</v>
      </c>
      <c r="B149" s="178" t="str">
        <f t="shared" si="13"/>
        <v/>
      </c>
      <c r="C149" s="178" t="str">
        <f>IFERROR(IF(R149&gt;0,INDEX('M03-S08'!$BC$18:$BC$199,2*(ROWS($C$135:C149)-1)+1),""),"")</f>
        <v/>
      </c>
      <c r="D149" s="180" t="s">
        <v>1443</v>
      </c>
      <c r="E149" s="178">
        <f>IFERROR(INDEX('M03-S08'!$AZ$18:$AZ$199,2*(ROWS($E$135:E149)-1)+1),"")</f>
        <v>0</v>
      </c>
      <c r="F149" s="408"/>
      <c r="G149" s="178">
        <f>IFERROR(INDEX('M03-S08'!$AA$18:$AA$199,2*(ROWS($G$135:G149)-1)+1),"")</f>
        <v>0</v>
      </c>
      <c r="H149" s="200">
        <f>IFERROR(INDEX('M03-S08'!$AE$18:$AE$199,2*(ROWS(H$135:H149)-1)+1),"")</f>
        <v>0</v>
      </c>
      <c r="I149" s="200">
        <f>IFERROR(INDEX('M03-S08'!$AG$18:$AG$199,2*(ROWS(I$135:I149)-1)+1),"")</f>
        <v>0</v>
      </c>
      <c r="J149" s="200">
        <f>IFERROR(INDEX('M03-S08'!$AT$18:$AT$199,2*(ROWS(J$135:J149)-1)+1),"")</f>
        <v>0</v>
      </c>
      <c r="K149" s="178" t="s">
        <v>84</v>
      </c>
      <c r="L149" s="116">
        <f>IFERROR(ROUND(INDEX('M03-S08'!$U$18:$U$199,2*(ROWS(L$135:L149)-1)+1),3),"")</f>
        <v>0</v>
      </c>
      <c r="M149" s="116">
        <f>IFERROR(ROUND(INDEX('M03-S08'!$U$18:$U$199,2*(ROWS(M$135:M149)-1)+1),3),"")</f>
        <v>0</v>
      </c>
      <c r="N149" s="415">
        <f>IFERROR(INDEX('M03-S08'!$AV$18:$AV$199,2*(ROWS(N$135:N149)-1)+1),"")</f>
        <v>0</v>
      </c>
      <c r="O149" s="415">
        <f>IFERROR(INDEX('M03-S08'!$BA$18:$BA$199,2*(ROWS(O$135:O149)-1)+1),"")</f>
        <v>0</v>
      </c>
      <c r="P149" s="415">
        <f>IFERROR(INDEX('M03-S08'!$AW$18:$AW$199,2*(ROWS(P$135:P149)-1)+1),"")</f>
        <v>0</v>
      </c>
      <c r="Q149" s="415">
        <f>IFERROR(INDEX('M03-S08'!$BB$18:$BB$199,2*(ROWS(Q$135:Q149)-1)+1),"")</f>
        <v>0</v>
      </c>
      <c r="R149" s="200">
        <f>IFERROR(INDEX('M03-S08'!$AN$18:$AN$199,2*(ROWS(R$135:R149)-1)+1),"")</f>
        <v>0</v>
      </c>
      <c r="S149" s="405"/>
      <c r="T149" s="405"/>
      <c r="U149" s="405"/>
      <c r="V149" s="325"/>
      <c r="W149" s="417"/>
      <c r="X149" s="417"/>
      <c r="Y149" s="408"/>
      <c r="Z149" s="408"/>
      <c r="AA149" s="418"/>
      <c r="AB149" s="418"/>
      <c r="AC149" s="325"/>
      <c r="AD149" s="415">
        <f>IFERROR(INDEX('M03-S08'!$AX$18:$AX$199,2*(ROWS(AD$135:AD149)-1)+1),"")</f>
        <v>0</v>
      </c>
      <c r="AE149" s="415">
        <f>IFERROR(INDEX('M03-S08'!$AY$18:$AY$199,2*(ROWS(AE$135:AE149)-1)+1),"")</f>
        <v>0</v>
      </c>
      <c r="AF149" s="408"/>
      <c r="AG149" s="408"/>
      <c r="AH149" s="408"/>
      <c r="AI149" s="178">
        <f>IFERROR(INDEX('M03-S08'!$B$18:$B$199,2*(ROWS(AI$135:AI149)-1)+1),"")</f>
        <v>0</v>
      </c>
      <c r="AJ149" s="325"/>
      <c r="AK149" s="178">
        <f>IFERROR(INDEX('M03-S08'!$C$18:$C$199,2*(ROWS(AK$135:AK149)-1)+1),"")</f>
        <v>0</v>
      </c>
      <c r="AL149" s="325"/>
      <c r="AM149" s="178">
        <f>IFERROR(INDEX('M03-S08'!$W$18:$W$199,2*(ROWS(AM$135:AM149)-1)+1),"")</f>
        <v>0</v>
      </c>
      <c r="AN149" s="405"/>
      <c r="AO149" s="405"/>
      <c r="AP149" s="178">
        <f>IFERROR(INDEX('M03-S08'!$AU$18:$AU$199,2*(ROWS(AP$135:AP149)-1)+1),"")</f>
        <v>0</v>
      </c>
      <c r="AQ149" s="325"/>
      <c r="AR149" s="178" t="str">
        <f>IFERROR(INDEX(STDMOTORS[Reporting Methodology],MATCH(EXPORT!C149,STDMOTORS[Measure Number],0)),"")</f>
        <v/>
      </c>
      <c r="AS149" s="178" t="str">
        <f>IFERROR(INDEX(STDMOTORS[Primary Key],MATCH(C149,STDMOTORS[Measure Number],0)),"")</f>
        <v/>
      </c>
      <c r="AT149" s="200" t="str">
        <f>IFERROR(INDEX('M03-S08'!$AN$18:$AN$199,2*(ROWS(AT$135:AT149)-1)+1)-MIN(INDEX('M03-S08'!$AT$18:$AT$199,2*(ROWS(AT$135:AT149)-1)+1),(ROUND(INDEX('M03-S08'!$U$18:$U$199,2*(ROWS(AT$135:AT149)-1)+1)*INDEX(STDMOTORS[Previous Incentive],MATCH('M03-S08'!C46,STDMOTORS[Measure Name],0)),3))),"")</f>
        <v/>
      </c>
      <c r="AU149" s="278"/>
      <c r="AV149" s="278"/>
      <c r="AW149" s="278"/>
      <c r="AX149" s="278"/>
      <c r="AY149" s="278"/>
      <c r="AZ149" s="278"/>
      <c r="BA149" s="278"/>
      <c r="BB149" s="278"/>
      <c r="BC149" s="278"/>
      <c r="BD149" s="278"/>
      <c r="BE149" s="279"/>
      <c r="BL149" s="180"/>
      <c r="BP149" s="180"/>
      <c r="BQ149" s="180"/>
      <c r="BR149" s="180"/>
      <c r="CD149" s="180"/>
      <c r="CE149" s="180"/>
      <c r="CF149" s="180"/>
      <c r="CH149" s="180"/>
      <c r="CI149" s="180"/>
      <c r="CJ149" s="180"/>
      <c r="CK149" s="180"/>
      <c r="CL149" s="180"/>
      <c r="CM149" s="180"/>
      <c r="CN149" s="180"/>
      <c r="CQ149" s="180"/>
      <c r="CR149" s="180"/>
      <c r="CS149" s="180"/>
      <c r="DS149" s="180"/>
      <c r="DT149" s="180"/>
      <c r="DU149" s="180"/>
    </row>
    <row r="150" spans="1:125" s="180" customFormat="1">
      <c r="A150" s="430" t="str">
        <f>"Custom "&amp;M4S2</f>
        <v>Custom Lighting</v>
      </c>
      <c r="B150" s="63"/>
      <c r="C150" s="63"/>
      <c r="D150" s="63"/>
      <c r="E150" s="63"/>
      <c r="F150" s="409"/>
      <c r="G150" s="63"/>
      <c r="H150" s="404"/>
      <c r="I150" s="404"/>
      <c r="J150" s="404"/>
      <c r="K150" s="63"/>
      <c r="L150" s="412"/>
      <c r="M150" s="412"/>
      <c r="N150" s="416"/>
      <c r="O150" s="416"/>
      <c r="P150" s="416"/>
      <c r="Q150" s="416"/>
      <c r="R150" s="404"/>
      <c r="S150" s="404"/>
      <c r="T150" s="404"/>
      <c r="U150" s="404"/>
      <c r="V150" s="63"/>
      <c r="W150" s="412"/>
      <c r="X150" s="412"/>
      <c r="Y150" s="409"/>
      <c r="Z150" s="409"/>
      <c r="AA150" s="416"/>
      <c r="AB150" s="416"/>
      <c r="AC150" s="63"/>
      <c r="AD150" s="416"/>
      <c r="AE150" s="416"/>
      <c r="AF150" s="409"/>
      <c r="AG150" s="409"/>
      <c r="AH150" s="409"/>
      <c r="AI150" s="63"/>
      <c r="AJ150" s="63"/>
      <c r="AK150" s="177"/>
      <c r="AL150" s="63"/>
      <c r="AM150" s="63"/>
      <c r="AN150" s="404"/>
      <c r="AO150" s="404"/>
      <c r="AP150" s="63"/>
      <c r="AQ150" s="63"/>
      <c r="AR150" s="63"/>
      <c r="AS150" s="63"/>
      <c r="AT150" s="63"/>
      <c r="AU150" s="278"/>
      <c r="AV150" s="278"/>
      <c r="AW150" s="278"/>
      <c r="AX150" s="278"/>
      <c r="AY150" s="278"/>
      <c r="AZ150" s="278"/>
      <c r="BA150" s="278"/>
      <c r="BB150" s="278"/>
      <c r="BC150" s="278"/>
      <c r="BD150" s="278"/>
      <c r="BE150" s="279"/>
      <c r="BP150"/>
      <c r="BQ150"/>
      <c r="BR150"/>
      <c r="CH150"/>
      <c r="CI150"/>
      <c r="CJ150"/>
      <c r="CK150"/>
      <c r="CL150"/>
      <c r="CM150"/>
      <c r="CN150"/>
    </row>
    <row r="151" spans="1:125" s="54" customFormat="1" hidden="1">
      <c r="A151" s="135">
        <f t="shared" ref="A151:A180" si="14">PROJID</f>
        <v>0</v>
      </c>
      <c r="B151" s="178" t="str">
        <f>IF(C151="","",CONCATENATE(ROW(),"-",C151))</f>
        <v/>
      </c>
      <c r="C151" s="178" t="str">
        <f>IFERROR(IF(INDEX('M04-S02'!$BH$18:$BH$199,2*(ROWS($C$151:C151)-1)+1)="","",INDEX('M04-S02'!$BH$18:$BH$199,2*(ROWS($C$151:C151)-1)+1)),"")</f>
        <v/>
      </c>
      <c r="D151" s="180" t="s">
        <v>144</v>
      </c>
      <c r="E151" s="178" t="str">
        <f>IFERROR(INDEX('M04-S02'!$AZ$18:$AZ$199,2*(ROWS(E$151:E151)-1)+1),"")</f>
        <v/>
      </c>
      <c r="F151" s="173">
        <f>IFERROR(INDEX('M04-S02'!$Q$18:$Q$199,2*(ROWS(F$151:F151)-1)+1),"")</f>
        <v>0</v>
      </c>
      <c r="G151" s="178" t="str">
        <f>IFERROR(INDEX('M04-S02'!$E$18:$E$199,2*(ROWS($G$151:G151)-1)+1)&amp;" - "&amp;INDEX('M04-S02'!$C$18:$C$199,2*(ROWS($G$151:G151)-1)+1),"")</f>
        <v xml:space="preserve"> - </v>
      </c>
      <c r="H151" s="200" t="str">
        <f ca="1">IFERROR(IF(AC151&lt;&gt;"","",INDEX('M04-S02'!$AD$18:$AD$199,2*(ROWS(H$151:H151)-1)+1)),"")</f>
        <v/>
      </c>
      <c r="I151" s="200" t="str">
        <f ca="1">IFERROR(IF(AC151&lt;&gt;"","",INDEX('M04-S02'!$AF$18:$AF$199,2*(ROWS(I$151:I151)-1)+1)),"")</f>
        <v/>
      </c>
      <c r="J151" s="200" t="str">
        <f ca="1">IFERROR(IF(AC151&lt;&gt;"","",INDEX('M04-S02'!$AH$18:$AH$199,2*(ROWS(J$151:J151)-1)+1)),"")</f>
        <v/>
      </c>
      <c r="K151" s="178" t="str">
        <f t="shared" ref="K151:K180" ca="1" si="15">IFERROR(IF(AC151&lt;&gt;"","","Total"),"")</f>
        <v/>
      </c>
      <c r="L151" s="116" t="str">
        <f ca="1">IFERROR(IF(AC151&lt;&gt;"","",ROUND(INDEX('M04-S02'!$M$18:$M$199,2*(ROWS(L$151:L151)-1)+1),3)),"")</f>
        <v/>
      </c>
      <c r="M151" s="116" t="str">
        <f ca="1">IFERROR(IF(AC151&lt;&gt;"","",ROUND(INDEX('M04-S02'!$Z$18:$Z$199,2*(ROWS(M$151:M151)-1)+1),3)),"")</f>
        <v/>
      </c>
      <c r="N151" s="418"/>
      <c r="O151" s="415" t="str">
        <f ca="1">IFERROR(IF(AC151&lt;&gt;"","",INDEX('M04-S02'!$AK$18:$AK$199,2*(ROWS(O$151:O151)-1)+1)),"")</f>
        <v/>
      </c>
      <c r="P151" s="408"/>
      <c r="Q151" s="415" t="str">
        <f ca="1">IFERROR(IF(AC151&lt;&gt;"","",INDEX('M04-S02'!$BA$18:$BA$199,2*(ROWS(Q$151:Q151)-1)+1)),"")</f>
        <v/>
      </c>
      <c r="R151" s="200" t="str">
        <f ca="1">IFERROR(IF(AC151&lt;&gt;"","",INDEX('M04-S02'!$AN$18:$AN$199,2*(ROWS(R$151:R151)-1)+1)),"")</f>
        <v/>
      </c>
      <c r="S151" s="200">
        <f ca="1">IFERROR(IF(AC151&lt;&gt;"",INDEX('M04-S02'!$AD$18:$AD$199,2*(ROWS(S$151:S151)-1)+1),""),"")</f>
        <v>0</v>
      </c>
      <c r="T151" s="200">
        <f ca="1">IFERROR(IF(AC151&lt;&gt;"",INDEX('M04-S02'!$AF$18:$AF$199,2*(ROWS(T$151:T151)-1)+1),""),"")</f>
        <v>0</v>
      </c>
      <c r="U151" s="200" t="str">
        <f ca="1">IFERROR(IF(AC151&lt;&gt;"",INDEX('M04-S02'!$AH$18:$AH$199,2*(ROWS(U$151:U151)-1)+1),""),"")</f>
        <v/>
      </c>
      <c r="V151" s="178" t="str">
        <f t="shared" ref="V151:V180" ca="1" si="16">IFERROR(IF(AC151&lt;&gt;"","Total",""),"")</f>
        <v>Total</v>
      </c>
      <c r="W151" s="116">
        <f ca="1">IFERROR(IF(AC151&lt;&gt;"",ROUND(INDEX('M04-S02'!$M$18:$M$199,2*(ROWS(W$151:W151)-1)+1),3),""),"")</f>
        <v>0</v>
      </c>
      <c r="X151" s="116">
        <f ca="1">IFERROR(IF(AC151&lt;&gt;"",ROUND(INDEX('M04-S02'!$Z$18:$Z$199,2*(ROWS(X$151:X151)-1)+1),3),""),"")</f>
        <v>0</v>
      </c>
      <c r="Y151" s="408"/>
      <c r="Z151" s="173" t="str">
        <f ca="1">IFERROR(IF(AC151&lt;&gt;"",INDEX('M04-S02'!$AK$18:$AK$199,2*(ROWS(Z$151:Z151)-1)+1),""),"")</f>
        <v/>
      </c>
      <c r="AA151" s="408"/>
      <c r="AB151" s="415" t="str">
        <f ca="1">IFERROR(IF(AC151&lt;&gt;"",INDEX('M04-S02'!$BA$18:$BA$199,2*(ROWS(AB$151:AB151)-1)+1),""),"")</f>
        <v/>
      </c>
      <c r="AC151" s="178" t="str">
        <f ca="1">IFERROR(INDEX('M04-S02'!$BJ$18:$BJ$199,2*(ROWS(AC$151:AC151)-1)+1),"")</f>
        <v>Submit for Review</v>
      </c>
      <c r="AD151" s="415" t="str">
        <f>IFERROR(INDEX('M04-S02'!$AW$18:$AW$199,2*(ROWS(AD$151:AD151)-1)+1),"")</f>
        <v/>
      </c>
      <c r="AE151" s="415" t="str">
        <f>IFERROR(INDEX('M04-S02'!$AX$18:$AX$199,2*(ROWS(AE$151:AE151)-1)+1),"")</f>
        <v/>
      </c>
      <c r="AF151" s="173" t="str">
        <f>IFERROR(INDEX('M04-S02'!$O$18:$O$199,2*(ROWS(AF$151:AF151)-1)+1),"")</f>
        <v/>
      </c>
      <c r="AG151" s="173">
        <f>IFERROR(INDEX('M04-S02'!$AB$18:$AB$199,2*(ROWS(AG$151:AG151)-1)+1),"")</f>
        <v>0</v>
      </c>
      <c r="AH151" s="408"/>
      <c r="AI151" s="178">
        <f>IFERROR(INDEX('M04-S02'!$B$18:$B$199,2*(ROWS(AI$151:AI151)-1)+1),"")</f>
        <v>1</v>
      </c>
      <c r="AJ151" s="178">
        <f>IFERROR(INDEX('M04-S02'!$G$18:$G$199,2*(ROWS(AJ$151:AJ151)-1)+1),"")</f>
        <v>0</v>
      </c>
      <c r="AK151" s="178">
        <f>IFERROR(INDEX('M04-S02'!$S$18:$S$199,2*(ROWS(AK$151:AK151)-1)+1),"")</f>
        <v>0</v>
      </c>
      <c r="AL151" s="178">
        <f>IFERROR(INDEX('M04-S02'!$K$18:$K$199,2*(ROWS(AL$151:AL151)-1)+1),"")</f>
        <v>0</v>
      </c>
      <c r="AM151" s="178">
        <f>IFERROR(INDEX('M04-S02'!$W$18:$W$199,2*(ROWS(AM$151:AM151)-1)+1),"")</f>
        <v>0</v>
      </c>
      <c r="AN151" s="200" t="str">
        <f>IFERROR(INDEX('M04-S02'!$AT$18:$AT$199,2*(ROWS(AN$151:AN151)-1)+1),"")</f>
        <v/>
      </c>
      <c r="AO151" s="200" t="str">
        <f>IFERROR(INDEX('M04-S02'!$AU$18:$AU$199,2*(ROWS(AO$151:AO151)-1)+1),"")</f>
        <v/>
      </c>
      <c r="AP151" s="178" t="str">
        <f>IFERROR(INDEX('M04-S02'!$AV$18:$AV$199,2*(ROWS(AP$151:AP151)-1)+1),"")</f>
        <v/>
      </c>
      <c r="AQ151" s="178" t="str">
        <f>IFERROR(INDEX('M04-S02'!$AY$18:$AY$199,2*(ROWS(AQ$151:AQ151)-1)+1),"")</f>
        <v/>
      </c>
      <c r="AR151" s="178" t="s">
        <v>1374</v>
      </c>
      <c r="AS151" s="178"/>
      <c r="AT151" s="278"/>
      <c r="AU151" s="278"/>
      <c r="AV151" s="278"/>
      <c r="AW151" s="278"/>
      <c r="AX151" s="278"/>
      <c r="AY151" s="278"/>
      <c r="AZ151" s="278"/>
      <c r="BA151" s="278"/>
      <c r="BB151" s="278"/>
      <c r="BC151" s="278"/>
      <c r="BD151" s="278"/>
      <c r="BE151" s="279"/>
      <c r="BL151" s="180"/>
      <c r="BP151" s="180"/>
      <c r="BQ151" s="180"/>
      <c r="BR151" s="180"/>
      <c r="CD151" s="180"/>
      <c r="CE151" s="180"/>
      <c r="CF151" s="180"/>
      <c r="CH151" s="180"/>
      <c r="CI151" s="180"/>
      <c r="CJ151" s="180"/>
      <c r="CK151" s="180"/>
      <c r="CL151" s="180"/>
      <c r="CM151" s="180"/>
      <c r="CN151" s="180"/>
      <c r="CQ151" s="180"/>
      <c r="CR151" s="180"/>
      <c r="CS151" s="180"/>
      <c r="DS151" s="180"/>
      <c r="DT151" s="180"/>
      <c r="DU151" s="180"/>
    </row>
    <row r="152" spans="1:125" s="54" customFormat="1" hidden="1">
      <c r="A152" s="135">
        <f t="shared" si="14"/>
        <v>0</v>
      </c>
      <c r="B152" s="178" t="str">
        <f t="shared" ref="B152:B180" si="17">IF(C152="","",CONCATENATE(ROW(),"-",C152))</f>
        <v/>
      </c>
      <c r="C152" s="178" t="str">
        <f>IFERROR(IF(INDEX('M04-S02'!$BH$18:$BH$199,2*(ROWS($C$151:C152)-1)+1)="","",INDEX('M04-S02'!$BH$18:$BH$199,2*(ROWS($C$151:C152)-1)+1)),"")</f>
        <v/>
      </c>
      <c r="D152" s="180" t="s">
        <v>144</v>
      </c>
      <c r="E152" s="178" t="str">
        <f>IFERROR(INDEX('M04-S02'!$AZ$18:$AZ$199,2*(ROWS(E$151:E152)-1)+1),"")</f>
        <v/>
      </c>
      <c r="F152" s="173">
        <f>IFERROR(INDEX('M04-S02'!$Q$18:$Q$199,2*(ROWS(F$151:F152)-1)+1),"")</f>
        <v>0</v>
      </c>
      <c r="G152" s="178" t="str">
        <f>IFERROR(INDEX('M04-S02'!$E$18:$E$199,2*(ROWS($G$151:G152)-1)+1)&amp;" - "&amp;INDEX('M04-S02'!$C$18:$C$199,2*(ROWS($G$151:G152)-1)+1),"")</f>
        <v xml:space="preserve"> - </v>
      </c>
      <c r="H152" s="200" t="str">
        <f ca="1">IFERROR(IF(AC152&lt;&gt;"","",INDEX('M04-S02'!$AD$18:$AD$199,2*(ROWS(H$151:H152)-1)+1)),"")</f>
        <v/>
      </c>
      <c r="I152" s="200" t="str">
        <f ca="1">IFERROR(IF(AC152&lt;&gt;"","",INDEX('M04-S02'!$AF$18:$AF$199,2*(ROWS(I$151:I152)-1)+1)),"")</f>
        <v/>
      </c>
      <c r="J152" s="200" t="str">
        <f ca="1">IFERROR(IF(AC152&lt;&gt;"","",INDEX('M04-S02'!$AH$18:$AH$199,2*(ROWS(J$151:J152)-1)+1)),"")</f>
        <v/>
      </c>
      <c r="K152" s="178" t="str">
        <f t="shared" ca="1" si="15"/>
        <v/>
      </c>
      <c r="L152" s="116" t="str">
        <f ca="1">IFERROR(IF(AC152&lt;&gt;"","",ROUND(INDEX('M04-S02'!$M$18:$M$199,2*(ROWS(L$151:L152)-1)+1),3)),"")</f>
        <v/>
      </c>
      <c r="M152" s="116" t="str">
        <f ca="1">IFERROR(IF(AC152&lt;&gt;"","",ROUND(INDEX('M04-S02'!$Z$18:$Z$199,2*(ROWS(M$151:M152)-1)+1),3)),"")</f>
        <v/>
      </c>
      <c r="N152" s="418"/>
      <c r="O152" s="415" t="str">
        <f ca="1">IFERROR(IF(AC152&lt;&gt;"","",INDEX('M04-S02'!$AK$18:$AK$199,2*(ROWS(O$151:O152)-1)+1)),"")</f>
        <v/>
      </c>
      <c r="P152" s="408"/>
      <c r="Q152" s="415" t="str">
        <f ca="1">IFERROR(IF(AC152&lt;&gt;"","",INDEX('M04-S02'!$BA$18:$BA$199,2*(ROWS(Q$151:Q152)-1)+1)),"")</f>
        <v/>
      </c>
      <c r="R152" s="200" t="str">
        <f ca="1">IFERROR(IF(AC152&lt;&gt;"","",INDEX('M04-S02'!$AN$18:$AN$199,2*(ROWS(R$151:R152)-1)+1)),"")</f>
        <v/>
      </c>
      <c r="S152" s="200">
        <f ca="1">IFERROR(IF(AC152&lt;&gt;"",INDEX('M04-S02'!$AD$18:$AD$199,2*(ROWS(S$151:S152)-1)+1),""),"")</f>
        <v>0</v>
      </c>
      <c r="T152" s="200">
        <f ca="1">IFERROR(IF(AC152&lt;&gt;"",INDEX('M04-S02'!$AF$18:$AF$199,2*(ROWS(T$151:T152)-1)+1),""),"")</f>
        <v>0</v>
      </c>
      <c r="U152" s="200" t="str">
        <f ca="1">IFERROR(IF(AC152&lt;&gt;"",INDEX('M04-S02'!$AH$18:$AH$199,2*(ROWS(U$151:U152)-1)+1),""),"")</f>
        <v/>
      </c>
      <c r="V152" s="178" t="str">
        <f t="shared" ca="1" si="16"/>
        <v>Total</v>
      </c>
      <c r="W152" s="116">
        <f ca="1">IFERROR(IF(AC152&lt;&gt;"",ROUND(INDEX('M04-S02'!$M$18:$M$199,2*(ROWS(W$151:W152)-1)+1),3),""),"")</f>
        <v>0</v>
      </c>
      <c r="X152" s="116">
        <f ca="1">IFERROR(IF(AC152&lt;&gt;"",ROUND(INDEX('M04-S02'!$Z$18:$Z$199,2*(ROWS(X$151:X152)-1)+1),3),""),"")</f>
        <v>0</v>
      </c>
      <c r="Y152" s="408"/>
      <c r="Z152" s="173" t="str">
        <f ca="1">IFERROR(IF(AC152&lt;&gt;"",INDEX('M04-S02'!$AK$18:$AK$199,2*(ROWS(Z$151:Z152)-1)+1),""),"")</f>
        <v/>
      </c>
      <c r="AA152" s="408"/>
      <c r="AB152" s="415" t="str">
        <f ca="1">IFERROR(IF(AC152&lt;&gt;"",INDEX('M04-S02'!$BA$18:$BA$199,2*(ROWS(AB$151:AB152)-1)+1),""),"")</f>
        <v/>
      </c>
      <c r="AC152" s="178" t="str">
        <f ca="1">IFERROR(INDEX('M04-S02'!$BJ$18:$BJ$199,2*(ROWS(AC$151:AC152)-1)+1),"")</f>
        <v>Submit for Review</v>
      </c>
      <c r="AD152" s="415" t="str">
        <f>IFERROR(INDEX('M04-S02'!$AW$18:$AW$199,2*(ROWS(AD$151:AD152)-1)+1),"")</f>
        <v/>
      </c>
      <c r="AE152" s="415" t="str">
        <f>IFERROR(INDEX('M04-S02'!$AX$18:$AX$199,2*(ROWS(AE$151:AE152)-1)+1),"")</f>
        <v/>
      </c>
      <c r="AF152" s="173" t="str">
        <f>IFERROR(INDEX('M04-S02'!$O$18:$O$199,2*(ROWS(AF$151:AF152)-1)+1),"")</f>
        <v/>
      </c>
      <c r="AG152" s="173">
        <f>IFERROR(INDEX('M04-S02'!$AB$18:$AB$199,2*(ROWS(AG$151:AG152)-1)+1),"")</f>
        <v>0</v>
      </c>
      <c r="AH152" s="408"/>
      <c r="AI152" s="178">
        <f>IFERROR(INDEX('M04-S02'!$B$18:$B$199,2*(ROWS(AI$151:AI152)-1)+1),"")</f>
        <v>2</v>
      </c>
      <c r="AJ152" s="178">
        <f>IFERROR(INDEX('M04-S02'!$G$18:$G$199,2*(ROWS(AJ$151:AJ152)-1)+1),"")</f>
        <v>0</v>
      </c>
      <c r="AK152" s="178">
        <f>IFERROR(INDEX('M04-S02'!$S$18:$S$199,2*(ROWS(AK$151:AK152)-1)+1),"")</f>
        <v>0</v>
      </c>
      <c r="AL152" s="178">
        <f>IFERROR(INDEX('M04-S02'!$K$18:$K$199,2*(ROWS(AL$151:AL152)-1)+1),"")</f>
        <v>0</v>
      </c>
      <c r="AM152" s="178">
        <f>IFERROR(INDEX('M04-S02'!$W$18:$W$199,2*(ROWS(AM$151:AM152)-1)+1),"")</f>
        <v>0</v>
      </c>
      <c r="AN152" s="200" t="str">
        <f>IFERROR(INDEX('M04-S02'!$AT$18:$AT$199,2*(ROWS(AN$151:AN152)-1)+1),"")</f>
        <v/>
      </c>
      <c r="AO152" s="200" t="str">
        <f>IFERROR(INDEX('M04-S02'!$AU$18:$AU$199,2*(ROWS(AO$151:AO152)-1)+1),"")</f>
        <v/>
      </c>
      <c r="AP152" s="178" t="str">
        <f>IFERROR(INDEX('M04-S02'!$AV$18:$AV$199,2*(ROWS(AP$151:AP152)-1)+1),"")</f>
        <v/>
      </c>
      <c r="AQ152" s="178" t="str">
        <f>IFERROR(INDEX('M04-S02'!$AY$18:$AY$199,2*(ROWS(AQ$151:AQ152)-1)+1),"")</f>
        <v/>
      </c>
      <c r="AR152" s="178" t="s">
        <v>1374</v>
      </c>
      <c r="AS152" s="178"/>
      <c r="AT152" s="278"/>
      <c r="AU152" s="278"/>
      <c r="AV152" s="278"/>
      <c r="AW152" s="278"/>
      <c r="AX152" s="278"/>
      <c r="AY152" s="278"/>
      <c r="AZ152" s="278"/>
      <c r="BA152" s="278"/>
      <c r="BB152" s="278"/>
      <c r="BC152" s="278"/>
      <c r="BD152" s="278"/>
      <c r="BE152" s="279"/>
    </row>
    <row r="153" spans="1:125" s="54" customFormat="1" hidden="1">
      <c r="A153" s="135">
        <f t="shared" si="14"/>
        <v>0</v>
      </c>
      <c r="B153" s="178" t="str">
        <f t="shared" si="17"/>
        <v/>
      </c>
      <c r="C153" s="178" t="str">
        <f>IFERROR(IF(INDEX('M04-S02'!$BH$18:$BH$199,2*(ROWS($C$151:C153)-1)+1)="","",INDEX('M04-S02'!$BH$18:$BH$199,2*(ROWS($C$151:C153)-1)+1)),"")</f>
        <v/>
      </c>
      <c r="D153" s="180" t="s">
        <v>144</v>
      </c>
      <c r="E153" s="178" t="str">
        <f>IFERROR(INDEX('M04-S02'!$AZ$18:$AZ$199,2*(ROWS(E$151:E153)-1)+1),"")</f>
        <v/>
      </c>
      <c r="F153" s="173">
        <f>IFERROR(INDEX('M04-S02'!$Q$18:$Q$199,2*(ROWS(F$151:F153)-1)+1),"")</f>
        <v>0</v>
      </c>
      <c r="G153" s="178" t="str">
        <f>IFERROR(INDEX('M04-S02'!$E$18:$E$199,2*(ROWS($G$151:G153)-1)+1)&amp;" - "&amp;INDEX('M04-S02'!$C$18:$C$199,2*(ROWS($G$151:G153)-1)+1),"")</f>
        <v xml:space="preserve"> - </v>
      </c>
      <c r="H153" s="200" t="str">
        <f ca="1">IFERROR(IF(AC153&lt;&gt;"","",INDEX('M04-S02'!$AD$18:$AD$199,2*(ROWS(H$151:H153)-1)+1)),"")</f>
        <v/>
      </c>
      <c r="I153" s="200" t="str">
        <f ca="1">IFERROR(IF(AC153&lt;&gt;"","",INDEX('M04-S02'!$AF$18:$AF$199,2*(ROWS(I$151:I153)-1)+1)),"")</f>
        <v/>
      </c>
      <c r="J153" s="200" t="str">
        <f ca="1">IFERROR(IF(AC153&lt;&gt;"","",INDEX('M04-S02'!$AH$18:$AH$199,2*(ROWS(J$151:J153)-1)+1)),"")</f>
        <v/>
      </c>
      <c r="K153" s="178" t="str">
        <f t="shared" ca="1" si="15"/>
        <v/>
      </c>
      <c r="L153" s="116" t="str">
        <f ca="1">IFERROR(IF(AC153&lt;&gt;"","",ROUND(INDEX('M04-S02'!$M$18:$M$199,2*(ROWS(L$151:L153)-1)+1),3)),"")</f>
        <v/>
      </c>
      <c r="M153" s="116" t="str">
        <f ca="1">IFERROR(IF(AC153&lt;&gt;"","",ROUND(INDEX('M04-S02'!$Z$18:$Z$199,2*(ROWS(M$151:M153)-1)+1),3)),"")</f>
        <v/>
      </c>
      <c r="N153" s="418"/>
      <c r="O153" s="415" t="str">
        <f ca="1">IFERROR(IF(AC153&lt;&gt;"","",INDEX('M04-S02'!$AK$18:$AK$199,2*(ROWS(O$151:O153)-1)+1)),"")</f>
        <v/>
      </c>
      <c r="P153" s="408"/>
      <c r="Q153" s="415" t="str">
        <f ca="1">IFERROR(IF(AC153&lt;&gt;"","",INDEX('M04-S02'!$BA$18:$BA$199,2*(ROWS(Q$151:Q153)-1)+1)),"")</f>
        <v/>
      </c>
      <c r="R153" s="200" t="str">
        <f ca="1">IFERROR(IF(AC153&lt;&gt;"","",INDEX('M04-S02'!$AN$18:$AN$199,2*(ROWS(R$151:R153)-1)+1)),"")</f>
        <v/>
      </c>
      <c r="S153" s="200">
        <f ca="1">IFERROR(IF(AC153&lt;&gt;"",INDEX('M04-S02'!$AD$18:$AD$199,2*(ROWS(S$151:S153)-1)+1),""),"")</f>
        <v>0</v>
      </c>
      <c r="T153" s="200">
        <f ca="1">IFERROR(IF(AC153&lt;&gt;"",INDEX('M04-S02'!$AF$18:$AF$199,2*(ROWS(T$151:T153)-1)+1),""),"")</f>
        <v>0</v>
      </c>
      <c r="U153" s="200" t="str">
        <f ca="1">IFERROR(IF(AC153&lt;&gt;"",INDEX('M04-S02'!$AH$18:$AH$199,2*(ROWS(U$151:U153)-1)+1),""),"")</f>
        <v/>
      </c>
      <c r="V153" s="178" t="str">
        <f t="shared" ca="1" si="16"/>
        <v>Total</v>
      </c>
      <c r="W153" s="116">
        <f ca="1">IFERROR(IF(AC153&lt;&gt;"",ROUND(INDEX('M04-S02'!$M$18:$M$199,2*(ROWS(W$151:W153)-1)+1),3),""),"")</f>
        <v>0</v>
      </c>
      <c r="X153" s="116">
        <f ca="1">IFERROR(IF(AC153&lt;&gt;"",ROUND(INDEX('M04-S02'!$Z$18:$Z$199,2*(ROWS(X$151:X153)-1)+1),3),""),"")</f>
        <v>0</v>
      </c>
      <c r="Y153" s="408"/>
      <c r="Z153" s="173" t="str">
        <f ca="1">IFERROR(IF(AC153&lt;&gt;"",INDEX('M04-S02'!$AK$18:$AK$199,2*(ROWS(Z$151:Z153)-1)+1),""),"")</f>
        <v/>
      </c>
      <c r="AA153" s="408"/>
      <c r="AB153" s="415" t="str">
        <f ca="1">IFERROR(IF(AC153&lt;&gt;"",INDEX('M04-S02'!$BA$18:$BA$199,2*(ROWS(AB$151:AB153)-1)+1),""),"")</f>
        <v/>
      </c>
      <c r="AC153" s="178" t="str">
        <f ca="1">IFERROR(INDEX('M04-S02'!$BJ$18:$BJ$199,2*(ROWS(AC$151:AC153)-1)+1),"")</f>
        <v>Submit for Review</v>
      </c>
      <c r="AD153" s="415" t="str">
        <f>IFERROR(INDEX('M04-S02'!$AW$18:$AW$199,2*(ROWS(AD$151:AD153)-1)+1),"")</f>
        <v/>
      </c>
      <c r="AE153" s="415" t="str">
        <f>IFERROR(INDEX('M04-S02'!$AX$18:$AX$199,2*(ROWS(AE$151:AE153)-1)+1),"")</f>
        <v/>
      </c>
      <c r="AF153" s="173" t="str">
        <f>IFERROR(INDEX('M04-S02'!$O$18:$O$199,2*(ROWS(AF$151:AF153)-1)+1),"")</f>
        <v/>
      </c>
      <c r="AG153" s="173">
        <f>IFERROR(INDEX('M04-S02'!$AB$18:$AB$199,2*(ROWS(AG$151:AG153)-1)+1),"")</f>
        <v>0</v>
      </c>
      <c r="AH153" s="408"/>
      <c r="AI153" s="178">
        <f>IFERROR(INDEX('M04-S02'!$B$18:$B$199,2*(ROWS(AI$151:AI153)-1)+1),"")</f>
        <v>3</v>
      </c>
      <c r="AJ153" s="178">
        <f>IFERROR(INDEX('M04-S02'!$G$18:$G$199,2*(ROWS(AJ$151:AJ153)-1)+1),"")</f>
        <v>0</v>
      </c>
      <c r="AK153" s="178">
        <f>IFERROR(INDEX('M04-S02'!$S$18:$S$199,2*(ROWS(AK$151:AK153)-1)+1),"")</f>
        <v>0</v>
      </c>
      <c r="AL153" s="178">
        <f>IFERROR(INDEX('M04-S02'!$K$18:$K$199,2*(ROWS(AL$151:AL153)-1)+1),"")</f>
        <v>0</v>
      </c>
      <c r="AM153" s="178">
        <f>IFERROR(INDEX('M04-S02'!$W$18:$W$199,2*(ROWS(AM$151:AM153)-1)+1),"")</f>
        <v>0</v>
      </c>
      <c r="AN153" s="200" t="str">
        <f>IFERROR(INDEX('M04-S02'!$AT$18:$AT$199,2*(ROWS(AN$151:AN153)-1)+1),"")</f>
        <v/>
      </c>
      <c r="AO153" s="200" t="str">
        <f>IFERROR(INDEX('M04-S02'!$AU$18:$AU$199,2*(ROWS(AO$151:AO153)-1)+1),"")</f>
        <v/>
      </c>
      <c r="AP153" s="178" t="str">
        <f>IFERROR(INDEX('M04-S02'!$AV$18:$AV$199,2*(ROWS(AP$151:AP153)-1)+1),"")</f>
        <v/>
      </c>
      <c r="AQ153" s="178" t="str">
        <f>IFERROR(INDEX('M04-S02'!$AY$18:$AY$199,2*(ROWS(AQ$151:AQ153)-1)+1),"")</f>
        <v/>
      </c>
      <c r="AR153" s="178" t="s">
        <v>1374</v>
      </c>
      <c r="AS153" s="178"/>
      <c r="AT153" s="278"/>
      <c r="AU153" s="278"/>
      <c r="AV153" s="278"/>
      <c r="AW153" s="278"/>
      <c r="AX153" s="278"/>
      <c r="AY153" s="278"/>
      <c r="AZ153" s="278"/>
      <c r="BA153" s="278"/>
      <c r="BB153" s="278"/>
      <c r="BC153" s="278"/>
      <c r="BD153" s="278"/>
      <c r="BE153" s="279"/>
    </row>
    <row r="154" spans="1:125" s="54" customFormat="1" hidden="1">
      <c r="A154" s="135">
        <f t="shared" si="14"/>
        <v>0</v>
      </c>
      <c r="B154" s="178" t="str">
        <f t="shared" si="17"/>
        <v/>
      </c>
      <c r="C154" s="178" t="str">
        <f>IFERROR(IF(INDEX('M04-S02'!$BH$18:$BH$199,2*(ROWS($C$151:C154)-1)+1)="","",INDEX('M04-S02'!$BH$18:$BH$199,2*(ROWS($C$151:C154)-1)+1)),"")</f>
        <v/>
      </c>
      <c r="D154" s="180" t="s">
        <v>144</v>
      </c>
      <c r="E154" s="178" t="str">
        <f>IFERROR(INDEX('M04-S02'!$AZ$18:$AZ$199,2*(ROWS(E$151:E154)-1)+1),"")</f>
        <v/>
      </c>
      <c r="F154" s="173">
        <f>IFERROR(INDEX('M04-S02'!$Q$18:$Q$199,2*(ROWS(F$151:F154)-1)+1),"")</f>
        <v>0</v>
      </c>
      <c r="G154" s="178" t="str">
        <f>IFERROR(INDEX('M04-S02'!$E$18:$E$199,2*(ROWS($G$151:G154)-1)+1)&amp;" - "&amp;INDEX('M04-S02'!$C$18:$C$199,2*(ROWS($G$151:G154)-1)+1),"")</f>
        <v xml:space="preserve"> - </v>
      </c>
      <c r="H154" s="200" t="str">
        <f ca="1">IFERROR(IF(AC154&lt;&gt;"","",INDEX('M04-S02'!$AD$18:$AD$199,2*(ROWS(H$151:H154)-1)+1)),"")</f>
        <v/>
      </c>
      <c r="I154" s="200" t="str">
        <f ca="1">IFERROR(IF(AC154&lt;&gt;"","",INDEX('M04-S02'!$AF$18:$AF$199,2*(ROWS(I$151:I154)-1)+1)),"")</f>
        <v/>
      </c>
      <c r="J154" s="200" t="str">
        <f ca="1">IFERROR(IF(AC154&lt;&gt;"","",INDEX('M04-S02'!$AH$18:$AH$199,2*(ROWS(J$151:J154)-1)+1)),"")</f>
        <v/>
      </c>
      <c r="K154" s="178" t="str">
        <f t="shared" ca="1" si="15"/>
        <v/>
      </c>
      <c r="L154" s="116" t="str">
        <f ca="1">IFERROR(IF(AC154&lt;&gt;"","",ROUND(INDEX('M04-S02'!$M$18:$M$199,2*(ROWS(L$151:L154)-1)+1),3)),"")</f>
        <v/>
      </c>
      <c r="M154" s="116" t="str">
        <f ca="1">IFERROR(IF(AC154&lt;&gt;"","",ROUND(INDEX('M04-S02'!$Z$18:$Z$199,2*(ROWS(M$151:M154)-1)+1),3)),"")</f>
        <v/>
      </c>
      <c r="N154" s="418"/>
      <c r="O154" s="415" t="str">
        <f ca="1">IFERROR(IF(AC154&lt;&gt;"","",INDEX('M04-S02'!$AK$18:$AK$199,2*(ROWS(O$151:O154)-1)+1)),"")</f>
        <v/>
      </c>
      <c r="P154" s="408"/>
      <c r="Q154" s="415" t="str">
        <f ca="1">IFERROR(IF(AC154&lt;&gt;"","",INDEX('M04-S02'!$BA$18:$BA$199,2*(ROWS(Q$151:Q154)-1)+1)),"")</f>
        <v/>
      </c>
      <c r="R154" s="200" t="str">
        <f ca="1">IFERROR(IF(AC154&lt;&gt;"","",INDEX('M04-S02'!$AN$18:$AN$199,2*(ROWS(R$151:R154)-1)+1)),"")</f>
        <v/>
      </c>
      <c r="S154" s="200">
        <f ca="1">IFERROR(IF(AC154&lt;&gt;"",INDEX('M04-S02'!$AD$18:$AD$199,2*(ROWS(S$151:S154)-1)+1),""),"")</f>
        <v>0</v>
      </c>
      <c r="T154" s="200">
        <f ca="1">IFERROR(IF(AC154&lt;&gt;"",INDEX('M04-S02'!$AF$18:$AF$199,2*(ROWS(T$151:T154)-1)+1),""),"")</f>
        <v>0</v>
      </c>
      <c r="U154" s="200" t="str">
        <f ca="1">IFERROR(IF(AC154&lt;&gt;"",INDEX('M04-S02'!$AH$18:$AH$199,2*(ROWS(U$151:U154)-1)+1),""),"")</f>
        <v/>
      </c>
      <c r="V154" s="178" t="str">
        <f t="shared" ca="1" si="16"/>
        <v>Total</v>
      </c>
      <c r="W154" s="116">
        <f ca="1">IFERROR(IF(AC154&lt;&gt;"",ROUND(INDEX('M04-S02'!$M$18:$M$199,2*(ROWS(W$151:W154)-1)+1),3),""),"")</f>
        <v>0</v>
      </c>
      <c r="X154" s="116">
        <f ca="1">IFERROR(IF(AC154&lt;&gt;"",ROUND(INDEX('M04-S02'!$Z$18:$Z$199,2*(ROWS(X$151:X154)-1)+1),3),""),"")</f>
        <v>0</v>
      </c>
      <c r="Y154" s="408"/>
      <c r="Z154" s="173" t="str">
        <f ca="1">IFERROR(IF(AC154&lt;&gt;"",INDEX('M04-S02'!$AK$18:$AK$199,2*(ROWS(Z$151:Z154)-1)+1),""),"")</f>
        <v/>
      </c>
      <c r="AA154" s="408"/>
      <c r="AB154" s="415" t="str">
        <f ca="1">IFERROR(IF(AC154&lt;&gt;"",INDEX('M04-S02'!$BA$18:$BA$199,2*(ROWS(AB$151:AB154)-1)+1),""),"")</f>
        <v/>
      </c>
      <c r="AC154" s="178" t="str">
        <f ca="1">IFERROR(INDEX('M04-S02'!$BJ$18:$BJ$199,2*(ROWS(AC$151:AC154)-1)+1),"")</f>
        <v>Submit for Review</v>
      </c>
      <c r="AD154" s="415" t="str">
        <f>IFERROR(INDEX('M04-S02'!$AW$18:$AW$199,2*(ROWS(AD$151:AD154)-1)+1),"")</f>
        <v/>
      </c>
      <c r="AE154" s="415" t="str">
        <f>IFERROR(INDEX('M04-S02'!$AX$18:$AX$199,2*(ROWS(AE$151:AE154)-1)+1),"")</f>
        <v/>
      </c>
      <c r="AF154" s="173" t="str">
        <f>IFERROR(INDEX('M04-S02'!$O$18:$O$199,2*(ROWS(AF$151:AF154)-1)+1),"")</f>
        <v/>
      </c>
      <c r="AG154" s="173">
        <f>IFERROR(INDEX('M04-S02'!$AB$18:$AB$199,2*(ROWS(AG$151:AG154)-1)+1),"")</f>
        <v>0</v>
      </c>
      <c r="AH154" s="408"/>
      <c r="AI154" s="178">
        <f>IFERROR(INDEX('M04-S02'!$B$18:$B$199,2*(ROWS(AI$151:AI154)-1)+1),"")</f>
        <v>4</v>
      </c>
      <c r="AJ154" s="178">
        <f>IFERROR(INDEX('M04-S02'!$G$18:$G$199,2*(ROWS(AJ$151:AJ154)-1)+1),"")</f>
        <v>0</v>
      </c>
      <c r="AK154" s="178">
        <f>IFERROR(INDEX('M04-S02'!$S$18:$S$199,2*(ROWS(AK$151:AK154)-1)+1),"")</f>
        <v>0</v>
      </c>
      <c r="AL154" s="178">
        <f>IFERROR(INDEX('M04-S02'!$K$18:$K$199,2*(ROWS(AL$151:AL154)-1)+1),"")</f>
        <v>0</v>
      </c>
      <c r="AM154" s="178">
        <f>IFERROR(INDEX('M04-S02'!$W$18:$W$199,2*(ROWS(AM$151:AM154)-1)+1),"")</f>
        <v>0</v>
      </c>
      <c r="AN154" s="200" t="str">
        <f>IFERROR(INDEX('M04-S02'!$AT$18:$AT$199,2*(ROWS(AN$151:AN154)-1)+1),"")</f>
        <v/>
      </c>
      <c r="AO154" s="200" t="str">
        <f>IFERROR(INDEX('M04-S02'!$AU$18:$AU$199,2*(ROWS(AO$151:AO154)-1)+1),"")</f>
        <v/>
      </c>
      <c r="AP154" s="178" t="str">
        <f>IFERROR(INDEX('M04-S02'!$AV$18:$AV$199,2*(ROWS(AP$151:AP154)-1)+1),"")</f>
        <v/>
      </c>
      <c r="AQ154" s="178" t="str">
        <f>IFERROR(INDEX('M04-S02'!$AY$18:$AY$199,2*(ROWS(AQ$151:AQ154)-1)+1),"")</f>
        <v/>
      </c>
      <c r="AR154" s="178" t="s">
        <v>1374</v>
      </c>
      <c r="AS154" s="178"/>
      <c r="AT154" s="278"/>
      <c r="AU154" s="278"/>
      <c r="AV154" s="278"/>
      <c r="AW154" s="278"/>
      <c r="AX154" s="278"/>
      <c r="AY154" s="278"/>
      <c r="AZ154" s="278"/>
      <c r="BA154" s="278"/>
      <c r="BB154" s="278"/>
      <c r="BC154" s="278"/>
      <c r="BD154" s="278"/>
      <c r="BE154" s="279"/>
    </row>
    <row r="155" spans="1:125" s="54" customFormat="1" hidden="1">
      <c r="A155" s="135">
        <f t="shared" si="14"/>
        <v>0</v>
      </c>
      <c r="B155" s="178" t="str">
        <f t="shared" si="17"/>
        <v/>
      </c>
      <c r="C155" s="178" t="str">
        <f>IFERROR(IF(INDEX('M04-S02'!$BH$18:$BH$199,2*(ROWS($C$151:C155)-1)+1)="","",INDEX('M04-S02'!$BH$18:$BH$199,2*(ROWS($C$151:C155)-1)+1)),"")</f>
        <v/>
      </c>
      <c r="D155" s="180" t="s">
        <v>144</v>
      </c>
      <c r="E155" s="178" t="str">
        <f>IFERROR(INDEX('M04-S02'!$AZ$18:$AZ$199,2*(ROWS(E$151:E155)-1)+1),"")</f>
        <v/>
      </c>
      <c r="F155" s="173">
        <f>IFERROR(INDEX('M04-S02'!$Q$18:$Q$199,2*(ROWS(F$151:F155)-1)+1),"")</f>
        <v>0</v>
      </c>
      <c r="G155" s="178" t="str">
        <f>IFERROR(INDEX('M04-S02'!$E$18:$E$199,2*(ROWS($G$151:G155)-1)+1)&amp;" - "&amp;INDEX('M04-S02'!$C$18:$C$199,2*(ROWS($G$151:G155)-1)+1),"")</f>
        <v xml:space="preserve"> - </v>
      </c>
      <c r="H155" s="200" t="str">
        <f ca="1">IFERROR(IF(AC155&lt;&gt;"","",INDEX('M04-S02'!$AD$18:$AD$199,2*(ROWS(H$151:H155)-1)+1)),"")</f>
        <v/>
      </c>
      <c r="I155" s="200" t="str">
        <f ca="1">IFERROR(IF(AC155&lt;&gt;"","",INDEX('M04-S02'!$AF$18:$AF$199,2*(ROWS(I$151:I155)-1)+1)),"")</f>
        <v/>
      </c>
      <c r="J155" s="200" t="str">
        <f ca="1">IFERROR(IF(AC155&lt;&gt;"","",INDEX('M04-S02'!$AH$18:$AH$199,2*(ROWS(J$151:J155)-1)+1)),"")</f>
        <v/>
      </c>
      <c r="K155" s="178" t="str">
        <f t="shared" ca="1" si="15"/>
        <v/>
      </c>
      <c r="L155" s="116" t="str">
        <f ca="1">IFERROR(IF(AC155&lt;&gt;"","",ROUND(INDEX('M04-S02'!$M$18:$M$199,2*(ROWS(L$151:L155)-1)+1),3)),"")</f>
        <v/>
      </c>
      <c r="M155" s="116" t="str">
        <f ca="1">IFERROR(IF(AC155&lt;&gt;"","",ROUND(INDEX('M04-S02'!$Z$18:$Z$199,2*(ROWS(M$151:M155)-1)+1),3)),"")</f>
        <v/>
      </c>
      <c r="N155" s="418"/>
      <c r="O155" s="415" t="str">
        <f ca="1">IFERROR(IF(AC155&lt;&gt;"","",INDEX('M04-S02'!$AK$18:$AK$199,2*(ROWS(O$151:O155)-1)+1)),"")</f>
        <v/>
      </c>
      <c r="P155" s="408"/>
      <c r="Q155" s="415" t="str">
        <f ca="1">IFERROR(IF(AC155&lt;&gt;"","",INDEX('M04-S02'!$BA$18:$BA$199,2*(ROWS(Q$151:Q155)-1)+1)),"")</f>
        <v/>
      </c>
      <c r="R155" s="200" t="str">
        <f ca="1">IFERROR(IF(AC155&lt;&gt;"","",INDEX('M04-S02'!$AN$18:$AN$199,2*(ROWS(R$151:R155)-1)+1)),"")</f>
        <v/>
      </c>
      <c r="S155" s="200">
        <f ca="1">IFERROR(IF(AC155&lt;&gt;"",INDEX('M04-S02'!$AD$18:$AD$199,2*(ROWS(S$151:S155)-1)+1),""),"")</f>
        <v>0</v>
      </c>
      <c r="T155" s="200">
        <f ca="1">IFERROR(IF(AC155&lt;&gt;"",INDEX('M04-S02'!$AF$18:$AF$199,2*(ROWS(T$151:T155)-1)+1),""),"")</f>
        <v>0</v>
      </c>
      <c r="U155" s="200" t="str">
        <f ca="1">IFERROR(IF(AC155&lt;&gt;"",INDEX('M04-S02'!$AH$18:$AH$199,2*(ROWS(U$151:U155)-1)+1),""),"")</f>
        <v/>
      </c>
      <c r="V155" s="178" t="str">
        <f t="shared" ca="1" si="16"/>
        <v>Total</v>
      </c>
      <c r="W155" s="116">
        <f ca="1">IFERROR(IF(AC155&lt;&gt;"",ROUND(INDEX('M04-S02'!$M$18:$M$199,2*(ROWS(W$151:W155)-1)+1),3),""),"")</f>
        <v>0</v>
      </c>
      <c r="X155" s="116">
        <f ca="1">IFERROR(IF(AC155&lt;&gt;"",ROUND(INDEX('M04-S02'!$Z$18:$Z$199,2*(ROWS(X$151:X155)-1)+1),3),""),"")</f>
        <v>0</v>
      </c>
      <c r="Y155" s="408"/>
      <c r="Z155" s="173" t="str">
        <f ca="1">IFERROR(IF(AC155&lt;&gt;"",INDEX('M04-S02'!$AK$18:$AK$199,2*(ROWS(Z$151:Z155)-1)+1),""),"")</f>
        <v/>
      </c>
      <c r="AA155" s="408"/>
      <c r="AB155" s="415" t="str">
        <f ca="1">IFERROR(IF(AC155&lt;&gt;"",INDEX('M04-S02'!$BA$18:$BA$199,2*(ROWS(AB$151:AB155)-1)+1),""),"")</f>
        <v/>
      </c>
      <c r="AC155" s="178" t="str">
        <f ca="1">IFERROR(INDEX('M04-S02'!$BJ$18:$BJ$199,2*(ROWS(AC$151:AC155)-1)+1),"")</f>
        <v>Submit for Review</v>
      </c>
      <c r="AD155" s="415" t="str">
        <f>IFERROR(INDEX('M04-S02'!$AW$18:$AW$199,2*(ROWS(AD$151:AD155)-1)+1),"")</f>
        <v/>
      </c>
      <c r="AE155" s="415" t="str">
        <f>IFERROR(INDEX('M04-S02'!$AX$18:$AX$199,2*(ROWS(AE$151:AE155)-1)+1),"")</f>
        <v/>
      </c>
      <c r="AF155" s="173" t="str">
        <f>IFERROR(INDEX('M04-S02'!$O$18:$O$199,2*(ROWS(AF$151:AF155)-1)+1),"")</f>
        <v/>
      </c>
      <c r="AG155" s="173">
        <f>IFERROR(INDEX('M04-S02'!$AB$18:$AB$199,2*(ROWS(AG$151:AG155)-1)+1),"")</f>
        <v>0</v>
      </c>
      <c r="AH155" s="408"/>
      <c r="AI155" s="178">
        <f>IFERROR(INDEX('M04-S02'!$B$18:$B$199,2*(ROWS(AI$151:AI155)-1)+1),"")</f>
        <v>5</v>
      </c>
      <c r="AJ155" s="178">
        <f>IFERROR(INDEX('M04-S02'!$G$18:$G$199,2*(ROWS(AJ$151:AJ155)-1)+1),"")</f>
        <v>0</v>
      </c>
      <c r="AK155" s="178">
        <f>IFERROR(INDEX('M04-S02'!$S$18:$S$199,2*(ROWS(AK$151:AK155)-1)+1),"")</f>
        <v>0</v>
      </c>
      <c r="AL155" s="178">
        <f>IFERROR(INDEX('M04-S02'!$K$18:$K$199,2*(ROWS(AL$151:AL155)-1)+1),"")</f>
        <v>0</v>
      </c>
      <c r="AM155" s="178">
        <f>IFERROR(INDEX('M04-S02'!$W$18:$W$199,2*(ROWS(AM$151:AM155)-1)+1),"")</f>
        <v>0</v>
      </c>
      <c r="AN155" s="200" t="str">
        <f>IFERROR(INDEX('M04-S02'!$AT$18:$AT$199,2*(ROWS(AN$151:AN155)-1)+1),"")</f>
        <v/>
      </c>
      <c r="AO155" s="200" t="str">
        <f>IFERROR(INDEX('M04-S02'!$AU$18:$AU$199,2*(ROWS(AO$151:AO155)-1)+1),"")</f>
        <v/>
      </c>
      <c r="AP155" s="178" t="str">
        <f>IFERROR(INDEX('M04-S02'!$AV$18:$AV$199,2*(ROWS(AP$151:AP155)-1)+1),"")</f>
        <v/>
      </c>
      <c r="AQ155" s="178" t="str">
        <f>IFERROR(INDEX('M04-S02'!$AY$18:$AY$199,2*(ROWS(AQ$151:AQ155)-1)+1),"")</f>
        <v/>
      </c>
      <c r="AR155" s="178" t="s">
        <v>1374</v>
      </c>
      <c r="AS155" s="178"/>
      <c r="AT155" s="278"/>
      <c r="AU155" s="278"/>
      <c r="AV155" s="278"/>
      <c r="AW155" s="278"/>
      <c r="AX155" s="278"/>
      <c r="AY155" s="278"/>
      <c r="AZ155" s="278"/>
      <c r="BA155" s="278"/>
      <c r="BB155" s="278"/>
      <c r="BC155" s="278"/>
      <c r="BD155" s="278"/>
      <c r="BE155" s="279"/>
    </row>
    <row r="156" spans="1:125" s="54" customFormat="1" hidden="1">
      <c r="A156" s="135">
        <f t="shared" si="14"/>
        <v>0</v>
      </c>
      <c r="B156" s="178" t="str">
        <f t="shared" si="17"/>
        <v/>
      </c>
      <c r="C156" s="178" t="str">
        <f>IFERROR(IF(INDEX('M04-S02'!$BH$18:$BH$199,2*(ROWS($C$151:C156)-1)+1)="","",INDEX('M04-S02'!$BH$18:$BH$199,2*(ROWS($C$151:C156)-1)+1)),"")</f>
        <v/>
      </c>
      <c r="D156" s="180" t="s">
        <v>144</v>
      </c>
      <c r="E156" s="178" t="str">
        <f>IFERROR(INDEX('M04-S02'!$AZ$18:$AZ$199,2*(ROWS(E$151:E156)-1)+1),"")</f>
        <v/>
      </c>
      <c r="F156" s="173">
        <f>IFERROR(INDEX('M04-S02'!$Q$18:$Q$199,2*(ROWS(F$151:F156)-1)+1),"")</f>
        <v>0</v>
      </c>
      <c r="G156" s="178" t="str">
        <f>IFERROR(INDEX('M04-S02'!$E$18:$E$199,2*(ROWS($G$151:G156)-1)+1)&amp;" - "&amp;INDEX('M04-S02'!$C$18:$C$199,2*(ROWS($G$151:G156)-1)+1),"")</f>
        <v xml:space="preserve"> - </v>
      </c>
      <c r="H156" s="200" t="str">
        <f ca="1">IFERROR(IF(AC156&lt;&gt;"","",INDEX('M04-S02'!$AD$18:$AD$199,2*(ROWS(H$151:H156)-1)+1)),"")</f>
        <v/>
      </c>
      <c r="I156" s="200" t="str">
        <f ca="1">IFERROR(IF(AC156&lt;&gt;"","",INDEX('M04-S02'!$AF$18:$AF$199,2*(ROWS(I$151:I156)-1)+1)),"")</f>
        <v/>
      </c>
      <c r="J156" s="200" t="str">
        <f ca="1">IFERROR(IF(AC156&lt;&gt;"","",INDEX('M04-S02'!$AH$18:$AH$199,2*(ROWS(J$151:J156)-1)+1)),"")</f>
        <v/>
      </c>
      <c r="K156" s="178" t="str">
        <f t="shared" ca="1" si="15"/>
        <v/>
      </c>
      <c r="L156" s="116" t="str">
        <f ca="1">IFERROR(IF(AC156&lt;&gt;"","",ROUND(INDEX('M04-S02'!$M$18:$M$199,2*(ROWS(L$151:L156)-1)+1),3)),"")</f>
        <v/>
      </c>
      <c r="M156" s="116" t="str">
        <f ca="1">IFERROR(IF(AC156&lt;&gt;"","",ROUND(INDEX('M04-S02'!$Z$18:$Z$199,2*(ROWS(M$151:M156)-1)+1),3)),"")</f>
        <v/>
      </c>
      <c r="N156" s="418"/>
      <c r="O156" s="415" t="str">
        <f ca="1">IFERROR(IF(AC156&lt;&gt;"","",INDEX('M04-S02'!$AK$18:$AK$199,2*(ROWS(O$151:O156)-1)+1)),"")</f>
        <v/>
      </c>
      <c r="P156" s="408"/>
      <c r="Q156" s="415" t="str">
        <f ca="1">IFERROR(IF(AC156&lt;&gt;"","",INDEX('M04-S02'!$BA$18:$BA$199,2*(ROWS(Q$151:Q156)-1)+1)),"")</f>
        <v/>
      </c>
      <c r="R156" s="200" t="str">
        <f ca="1">IFERROR(IF(AC156&lt;&gt;"","",INDEX('M04-S02'!$AN$18:$AN$199,2*(ROWS(R$151:R156)-1)+1)),"")</f>
        <v/>
      </c>
      <c r="S156" s="200">
        <f ca="1">IFERROR(IF(AC156&lt;&gt;"",INDEX('M04-S02'!$AD$18:$AD$199,2*(ROWS(S$151:S156)-1)+1),""),"")</f>
        <v>0</v>
      </c>
      <c r="T156" s="200">
        <f ca="1">IFERROR(IF(AC156&lt;&gt;"",INDEX('M04-S02'!$AF$18:$AF$199,2*(ROWS(T$151:T156)-1)+1),""),"")</f>
        <v>0</v>
      </c>
      <c r="U156" s="200" t="str">
        <f ca="1">IFERROR(IF(AC156&lt;&gt;"",INDEX('M04-S02'!$AH$18:$AH$199,2*(ROWS(U$151:U156)-1)+1),""),"")</f>
        <v/>
      </c>
      <c r="V156" s="178" t="str">
        <f t="shared" ca="1" si="16"/>
        <v>Total</v>
      </c>
      <c r="W156" s="116">
        <f ca="1">IFERROR(IF(AC156&lt;&gt;"",ROUND(INDEX('M04-S02'!$M$18:$M$199,2*(ROWS(W$151:W156)-1)+1),3),""),"")</f>
        <v>0</v>
      </c>
      <c r="X156" s="116">
        <f ca="1">IFERROR(IF(AC156&lt;&gt;"",ROUND(INDEX('M04-S02'!$Z$18:$Z$199,2*(ROWS(X$151:X156)-1)+1),3),""),"")</f>
        <v>0</v>
      </c>
      <c r="Y156" s="408"/>
      <c r="Z156" s="173" t="str">
        <f ca="1">IFERROR(IF(AC156&lt;&gt;"",INDEX('M04-S02'!$AK$18:$AK$199,2*(ROWS(Z$151:Z156)-1)+1),""),"")</f>
        <v/>
      </c>
      <c r="AA156" s="408"/>
      <c r="AB156" s="415" t="str">
        <f ca="1">IFERROR(IF(AC156&lt;&gt;"",INDEX('M04-S02'!$BA$18:$BA$199,2*(ROWS(AB$151:AB156)-1)+1),""),"")</f>
        <v/>
      </c>
      <c r="AC156" s="178" t="str">
        <f ca="1">IFERROR(INDEX('M04-S02'!$BJ$18:$BJ$199,2*(ROWS(AC$151:AC156)-1)+1),"")</f>
        <v>Submit for Review</v>
      </c>
      <c r="AD156" s="415" t="str">
        <f>IFERROR(INDEX('M04-S02'!$AW$18:$AW$199,2*(ROWS(AD$151:AD156)-1)+1),"")</f>
        <v/>
      </c>
      <c r="AE156" s="415" t="str">
        <f>IFERROR(INDEX('M04-S02'!$AX$18:$AX$199,2*(ROWS(AE$151:AE156)-1)+1),"")</f>
        <v/>
      </c>
      <c r="AF156" s="173" t="str">
        <f>IFERROR(INDEX('M04-S02'!$O$18:$O$199,2*(ROWS(AF$151:AF156)-1)+1),"")</f>
        <v/>
      </c>
      <c r="AG156" s="173">
        <f>IFERROR(INDEX('M04-S02'!$AB$18:$AB$199,2*(ROWS(AG$151:AG156)-1)+1),"")</f>
        <v>0</v>
      </c>
      <c r="AH156" s="408"/>
      <c r="AI156" s="178">
        <f>IFERROR(INDEX('M04-S02'!$B$18:$B$199,2*(ROWS(AI$151:AI156)-1)+1),"")</f>
        <v>6</v>
      </c>
      <c r="AJ156" s="178">
        <f>IFERROR(INDEX('M04-S02'!$G$18:$G$199,2*(ROWS(AJ$151:AJ156)-1)+1),"")</f>
        <v>0</v>
      </c>
      <c r="AK156" s="178">
        <f>IFERROR(INDEX('M04-S02'!$S$18:$S$199,2*(ROWS(AK$151:AK156)-1)+1),"")</f>
        <v>0</v>
      </c>
      <c r="AL156" s="178">
        <f>IFERROR(INDEX('M04-S02'!$K$18:$K$199,2*(ROWS(AL$151:AL156)-1)+1),"")</f>
        <v>0</v>
      </c>
      <c r="AM156" s="178">
        <f>IFERROR(INDEX('M04-S02'!$W$18:$W$199,2*(ROWS(AM$151:AM156)-1)+1),"")</f>
        <v>0</v>
      </c>
      <c r="AN156" s="200" t="str">
        <f>IFERROR(INDEX('M04-S02'!$AT$18:$AT$199,2*(ROWS(AN$151:AN156)-1)+1),"")</f>
        <v/>
      </c>
      <c r="AO156" s="200" t="str">
        <f>IFERROR(INDEX('M04-S02'!$AU$18:$AU$199,2*(ROWS(AO$151:AO156)-1)+1),"")</f>
        <v/>
      </c>
      <c r="AP156" s="178" t="str">
        <f>IFERROR(INDEX('M04-S02'!$AV$18:$AV$199,2*(ROWS(AP$151:AP156)-1)+1),"")</f>
        <v/>
      </c>
      <c r="AQ156" s="178" t="str">
        <f>IFERROR(INDEX('M04-S02'!$AY$18:$AY$199,2*(ROWS(AQ$151:AQ156)-1)+1),"")</f>
        <v/>
      </c>
      <c r="AR156" s="178" t="s">
        <v>1374</v>
      </c>
      <c r="AS156" s="178"/>
      <c r="AT156" s="278"/>
      <c r="AU156" s="278"/>
      <c r="AV156" s="278"/>
      <c r="AW156" s="278"/>
      <c r="AX156" s="278"/>
      <c r="AY156" s="278"/>
      <c r="AZ156" s="278"/>
      <c r="BA156" s="278"/>
      <c r="BB156" s="278"/>
      <c r="BC156" s="278"/>
      <c r="BD156" s="278"/>
      <c r="BE156" s="279"/>
    </row>
    <row r="157" spans="1:125" s="54" customFormat="1" hidden="1">
      <c r="A157" s="135">
        <f t="shared" si="14"/>
        <v>0</v>
      </c>
      <c r="B157" s="178" t="str">
        <f t="shared" si="17"/>
        <v/>
      </c>
      <c r="C157" s="178" t="str">
        <f>IFERROR(IF(INDEX('M04-S02'!$BH$18:$BH$199,2*(ROWS($C$151:C157)-1)+1)="","",INDEX('M04-S02'!$BH$18:$BH$199,2*(ROWS($C$151:C157)-1)+1)),"")</f>
        <v/>
      </c>
      <c r="D157" s="180" t="s">
        <v>144</v>
      </c>
      <c r="E157" s="178" t="str">
        <f>IFERROR(INDEX('M04-S02'!$AZ$18:$AZ$199,2*(ROWS(E$151:E157)-1)+1),"")</f>
        <v/>
      </c>
      <c r="F157" s="173">
        <f>IFERROR(INDEX('M04-S02'!$Q$18:$Q$199,2*(ROWS(F$151:F157)-1)+1),"")</f>
        <v>0</v>
      </c>
      <c r="G157" s="178" t="str">
        <f>IFERROR(INDEX('M04-S02'!$E$18:$E$199,2*(ROWS($G$151:G157)-1)+1)&amp;" - "&amp;INDEX('M04-S02'!$C$18:$C$199,2*(ROWS($G$151:G157)-1)+1),"")</f>
        <v xml:space="preserve"> - </v>
      </c>
      <c r="H157" s="200" t="str">
        <f ca="1">IFERROR(IF(AC157&lt;&gt;"","",INDEX('M04-S02'!$AD$18:$AD$199,2*(ROWS(H$151:H157)-1)+1)),"")</f>
        <v/>
      </c>
      <c r="I157" s="200" t="str">
        <f ca="1">IFERROR(IF(AC157&lt;&gt;"","",INDEX('M04-S02'!$AF$18:$AF$199,2*(ROWS(I$151:I157)-1)+1)),"")</f>
        <v/>
      </c>
      <c r="J157" s="200" t="str">
        <f ca="1">IFERROR(IF(AC157&lt;&gt;"","",INDEX('M04-S02'!$AH$18:$AH$199,2*(ROWS(J$151:J157)-1)+1)),"")</f>
        <v/>
      </c>
      <c r="K157" s="178" t="str">
        <f t="shared" ca="1" si="15"/>
        <v/>
      </c>
      <c r="L157" s="116" t="str">
        <f ca="1">IFERROR(IF(AC157&lt;&gt;"","",ROUND(INDEX('M04-S02'!$M$18:$M$199,2*(ROWS(L$151:L157)-1)+1),3)),"")</f>
        <v/>
      </c>
      <c r="M157" s="116" t="str">
        <f ca="1">IFERROR(IF(AC157&lt;&gt;"","",ROUND(INDEX('M04-S02'!$Z$18:$Z$199,2*(ROWS(M$151:M157)-1)+1),3)),"")</f>
        <v/>
      </c>
      <c r="N157" s="418"/>
      <c r="O157" s="415" t="str">
        <f ca="1">IFERROR(IF(AC157&lt;&gt;"","",INDEX('M04-S02'!$AK$18:$AK$199,2*(ROWS(O$151:O157)-1)+1)),"")</f>
        <v/>
      </c>
      <c r="P157" s="408"/>
      <c r="Q157" s="415" t="str">
        <f ca="1">IFERROR(IF(AC157&lt;&gt;"","",INDEX('M04-S02'!$BA$18:$BA$199,2*(ROWS(Q$151:Q157)-1)+1)),"")</f>
        <v/>
      </c>
      <c r="R157" s="200" t="str">
        <f ca="1">IFERROR(IF(AC157&lt;&gt;"","",INDEX('M04-S02'!$AN$18:$AN$199,2*(ROWS(R$151:R157)-1)+1)),"")</f>
        <v/>
      </c>
      <c r="S157" s="200">
        <f ca="1">IFERROR(IF(AC157&lt;&gt;"",INDEX('M04-S02'!$AD$18:$AD$199,2*(ROWS(S$151:S157)-1)+1),""),"")</f>
        <v>0</v>
      </c>
      <c r="T157" s="200">
        <f ca="1">IFERROR(IF(AC157&lt;&gt;"",INDEX('M04-S02'!$AF$18:$AF$199,2*(ROWS(T$151:T157)-1)+1),""),"")</f>
        <v>0</v>
      </c>
      <c r="U157" s="200" t="str">
        <f ca="1">IFERROR(IF(AC157&lt;&gt;"",INDEX('M04-S02'!$AH$18:$AH$199,2*(ROWS(U$151:U157)-1)+1),""),"")</f>
        <v/>
      </c>
      <c r="V157" s="178" t="str">
        <f t="shared" ca="1" si="16"/>
        <v>Total</v>
      </c>
      <c r="W157" s="116">
        <f ca="1">IFERROR(IF(AC157&lt;&gt;"",ROUND(INDEX('M04-S02'!$M$18:$M$199,2*(ROWS(W$151:W157)-1)+1),3),""),"")</f>
        <v>0</v>
      </c>
      <c r="X157" s="116">
        <f ca="1">IFERROR(IF(AC157&lt;&gt;"",ROUND(INDEX('M04-S02'!$Z$18:$Z$199,2*(ROWS(X$151:X157)-1)+1),3),""),"")</f>
        <v>0</v>
      </c>
      <c r="Y157" s="408"/>
      <c r="Z157" s="173" t="str">
        <f ca="1">IFERROR(IF(AC157&lt;&gt;"",INDEX('M04-S02'!$AK$18:$AK$199,2*(ROWS(Z$151:Z157)-1)+1),""),"")</f>
        <v/>
      </c>
      <c r="AA157" s="408"/>
      <c r="AB157" s="415" t="str">
        <f ca="1">IFERROR(IF(AC157&lt;&gt;"",INDEX('M04-S02'!$BA$18:$BA$199,2*(ROWS(AB$151:AB157)-1)+1),""),"")</f>
        <v/>
      </c>
      <c r="AC157" s="178" t="str">
        <f ca="1">IFERROR(INDEX('M04-S02'!$BJ$18:$BJ$199,2*(ROWS(AC$151:AC157)-1)+1),"")</f>
        <v>Submit for Review</v>
      </c>
      <c r="AD157" s="415" t="str">
        <f>IFERROR(INDEX('M04-S02'!$AW$18:$AW$199,2*(ROWS(AD$151:AD157)-1)+1),"")</f>
        <v/>
      </c>
      <c r="AE157" s="415" t="str">
        <f>IFERROR(INDEX('M04-S02'!$AX$18:$AX$199,2*(ROWS(AE$151:AE157)-1)+1),"")</f>
        <v/>
      </c>
      <c r="AF157" s="173" t="str">
        <f>IFERROR(INDEX('M04-S02'!$O$18:$O$199,2*(ROWS(AF$151:AF157)-1)+1),"")</f>
        <v/>
      </c>
      <c r="AG157" s="173">
        <f>IFERROR(INDEX('M04-S02'!$AB$18:$AB$199,2*(ROWS(AG$151:AG157)-1)+1),"")</f>
        <v>0</v>
      </c>
      <c r="AH157" s="408"/>
      <c r="AI157" s="178">
        <f>IFERROR(INDEX('M04-S02'!$B$18:$B$199,2*(ROWS(AI$151:AI157)-1)+1),"")</f>
        <v>7</v>
      </c>
      <c r="AJ157" s="178">
        <f>IFERROR(INDEX('M04-S02'!$G$18:$G$199,2*(ROWS(AJ$151:AJ157)-1)+1),"")</f>
        <v>0</v>
      </c>
      <c r="AK157" s="178">
        <f>IFERROR(INDEX('M04-S02'!$S$18:$S$199,2*(ROWS(AK$151:AK157)-1)+1),"")</f>
        <v>0</v>
      </c>
      <c r="AL157" s="178">
        <f>IFERROR(INDEX('M04-S02'!$K$18:$K$199,2*(ROWS(AL$151:AL157)-1)+1),"")</f>
        <v>0</v>
      </c>
      <c r="AM157" s="178">
        <f>IFERROR(INDEX('M04-S02'!$W$18:$W$199,2*(ROWS(AM$151:AM157)-1)+1),"")</f>
        <v>0</v>
      </c>
      <c r="AN157" s="200" t="str">
        <f>IFERROR(INDEX('M04-S02'!$AT$18:$AT$199,2*(ROWS(AN$151:AN157)-1)+1),"")</f>
        <v/>
      </c>
      <c r="AO157" s="200" t="str">
        <f>IFERROR(INDEX('M04-S02'!$AU$18:$AU$199,2*(ROWS(AO$151:AO157)-1)+1),"")</f>
        <v/>
      </c>
      <c r="AP157" s="178" t="str">
        <f>IFERROR(INDEX('M04-S02'!$AV$18:$AV$199,2*(ROWS(AP$151:AP157)-1)+1),"")</f>
        <v/>
      </c>
      <c r="AQ157" s="178" t="str">
        <f>IFERROR(INDEX('M04-S02'!$AY$18:$AY$199,2*(ROWS(AQ$151:AQ157)-1)+1),"")</f>
        <v/>
      </c>
      <c r="AR157" s="178" t="s">
        <v>1374</v>
      </c>
      <c r="AS157" s="178"/>
      <c r="AT157" s="278"/>
      <c r="AU157" s="278"/>
      <c r="AV157" s="278"/>
      <c r="AW157" s="278"/>
      <c r="AX157" s="278"/>
      <c r="AY157" s="278"/>
      <c r="AZ157" s="278"/>
      <c r="BA157" s="278"/>
      <c r="BB157" s="278"/>
      <c r="BC157" s="278"/>
      <c r="BD157" s="278"/>
      <c r="BE157" s="279"/>
    </row>
    <row r="158" spans="1:125" s="54" customFormat="1" hidden="1">
      <c r="A158" s="135">
        <f t="shared" si="14"/>
        <v>0</v>
      </c>
      <c r="B158" s="178" t="str">
        <f t="shared" si="17"/>
        <v/>
      </c>
      <c r="C158" s="178" t="str">
        <f>IFERROR(IF(INDEX('M04-S02'!$BH$18:$BH$199,2*(ROWS($C$151:C158)-1)+1)="","",INDEX('M04-S02'!$BH$18:$BH$199,2*(ROWS($C$151:C158)-1)+1)),"")</f>
        <v/>
      </c>
      <c r="D158" s="180" t="s">
        <v>144</v>
      </c>
      <c r="E158" s="178" t="str">
        <f>IFERROR(INDEX('M04-S02'!$AZ$18:$AZ$199,2*(ROWS(E$151:E158)-1)+1),"")</f>
        <v/>
      </c>
      <c r="F158" s="173">
        <f>IFERROR(INDEX('M04-S02'!$Q$18:$Q$199,2*(ROWS(F$151:F158)-1)+1),"")</f>
        <v>0</v>
      </c>
      <c r="G158" s="178" t="str">
        <f>IFERROR(INDEX('M04-S02'!$E$18:$E$199,2*(ROWS($G$151:G158)-1)+1)&amp;" - "&amp;INDEX('M04-S02'!$C$18:$C$199,2*(ROWS($G$151:G158)-1)+1),"")</f>
        <v xml:space="preserve"> - </v>
      </c>
      <c r="H158" s="200" t="str">
        <f ca="1">IFERROR(IF(AC158&lt;&gt;"","",INDEX('M04-S02'!$AD$18:$AD$199,2*(ROWS(H$151:H158)-1)+1)),"")</f>
        <v/>
      </c>
      <c r="I158" s="200" t="str">
        <f ca="1">IFERROR(IF(AC158&lt;&gt;"","",INDEX('M04-S02'!$AF$18:$AF$199,2*(ROWS(I$151:I158)-1)+1)),"")</f>
        <v/>
      </c>
      <c r="J158" s="200" t="str">
        <f ca="1">IFERROR(IF(AC158&lt;&gt;"","",INDEX('M04-S02'!$AH$18:$AH$199,2*(ROWS(J$151:J158)-1)+1)),"")</f>
        <v/>
      </c>
      <c r="K158" s="178" t="str">
        <f t="shared" ca="1" si="15"/>
        <v/>
      </c>
      <c r="L158" s="116" t="str">
        <f ca="1">IFERROR(IF(AC158&lt;&gt;"","",ROUND(INDEX('M04-S02'!$M$18:$M$199,2*(ROWS(L$151:L158)-1)+1),3)),"")</f>
        <v/>
      </c>
      <c r="M158" s="116" t="str">
        <f ca="1">IFERROR(IF(AC158&lt;&gt;"","",ROUND(INDEX('M04-S02'!$Z$18:$Z$199,2*(ROWS(M$151:M158)-1)+1),3)),"")</f>
        <v/>
      </c>
      <c r="N158" s="418"/>
      <c r="O158" s="415" t="str">
        <f ca="1">IFERROR(IF(AC158&lt;&gt;"","",INDEX('M04-S02'!$AK$18:$AK$199,2*(ROWS(O$151:O158)-1)+1)),"")</f>
        <v/>
      </c>
      <c r="P158" s="408"/>
      <c r="Q158" s="415" t="str">
        <f ca="1">IFERROR(IF(AC158&lt;&gt;"","",INDEX('M04-S02'!$BA$18:$BA$199,2*(ROWS(Q$151:Q158)-1)+1)),"")</f>
        <v/>
      </c>
      <c r="R158" s="200" t="str">
        <f ca="1">IFERROR(IF(AC158&lt;&gt;"","",INDEX('M04-S02'!$AN$18:$AN$199,2*(ROWS(R$151:R158)-1)+1)),"")</f>
        <v/>
      </c>
      <c r="S158" s="200">
        <f ca="1">IFERROR(IF(AC158&lt;&gt;"",INDEX('M04-S02'!$AD$18:$AD$199,2*(ROWS(S$151:S158)-1)+1),""),"")</f>
        <v>0</v>
      </c>
      <c r="T158" s="200">
        <f ca="1">IFERROR(IF(AC158&lt;&gt;"",INDEX('M04-S02'!$AF$18:$AF$199,2*(ROWS(T$151:T158)-1)+1),""),"")</f>
        <v>0</v>
      </c>
      <c r="U158" s="200" t="str">
        <f ca="1">IFERROR(IF(AC158&lt;&gt;"",INDEX('M04-S02'!$AH$18:$AH$199,2*(ROWS(U$151:U158)-1)+1),""),"")</f>
        <v/>
      </c>
      <c r="V158" s="178" t="str">
        <f t="shared" ca="1" si="16"/>
        <v>Total</v>
      </c>
      <c r="W158" s="116">
        <f ca="1">IFERROR(IF(AC158&lt;&gt;"",ROUND(INDEX('M04-S02'!$M$18:$M$199,2*(ROWS(W$151:W158)-1)+1),3),""),"")</f>
        <v>0</v>
      </c>
      <c r="X158" s="116">
        <f ca="1">IFERROR(IF(AC158&lt;&gt;"",ROUND(INDEX('M04-S02'!$Z$18:$Z$199,2*(ROWS(X$151:X158)-1)+1),3),""),"")</f>
        <v>0</v>
      </c>
      <c r="Y158" s="408"/>
      <c r="Z158" s="173" t="str">
        <f ca="1">IFERROR(IF(AC158&lt;&gt;"",INDEX('M04-S02'!$AK$18:$AK$199,2*(ROWS(Z$151:Z158)-1)+1),""),"")</f>
        <v/>
      </c>
      <c r="AA158" s="408"/>
      <c r="AB158" s="415" t="str">
        <f ca="1">IFERROR(IF(AC158&lt;&gt;"",INDEX('M04-S02'!$BA$18:$BA$199,2*(ROWS(AB$151:AB158)-1)+1),""),"")</f>
        <v/>
      </c>
      <c r="AC158" s="178" t="str">
        <f ca="1">IFERROR(INDEX('M04-S02'!$BJ$18:$BJ$199,2*(ROWS(AC$151:AC158)-1)+1),"")</f>
        <v>Submit for Review</v>
      </c>
      <c r="AD158" s="415" t="str">
        <f>IFERROR(INDEX('M04-S02'!$AW$18:$AW$199,2*(ROWS(AD$151:AD158)-1)+1),"")</f>
        <v/>
      </c>
      <c r="AE158" s="415" t="str">
        <f>IFERROR(INDEX('M04-S02'!$AX$18:$AX$199,2*(ROWS(AE$151:AE158)-1)+1),"")</f>
        <v/>
      </c>
      <c r="AF158" s="173" t="str">
        <f>IFERROR(INDEX('M04-S02'!$O$18:$O$199,2*(ROWS(AF$151:AF158)-1)+1),"")</f>
        <v/>
      </c>
      <c r="AG158" s="173">
        <f>IFERROR(INDEX('M04-S02'!$AB$18:$AB$199,2*(ROWS(AG$151:AG158)-1)+1),"")</f>
        <v>0</v>
      </c>
      <c r="AH158" s="408"/>
      <c r="AI158" s="178">
        <f>IFERROR(INDEX('M04-S02'!$B$18:$B$199,2*(ROWS(AI$151:AI158)-1)+1),"")</f>
        <v>8</v>
      </c>
      <c r="AJ158" s="178">
        <f>IFERROR(INDEX('M04-S02'!$G$18:$G$199,2*(ROWS(AJ$151:AJ158)-1)+1),"")</f>
        <v>0</v>
      </c>
      <c r="AK158" s="178">
        <f>IFERROR(INDEX('M04-S02'!$S$18:$S$199,2*(ROWS(AK$151:AK158)-1)+1),"")</f>
        <v>0</v>
      </c>
      <c r="AL158" s="178">
        <f>IFERROR(INDEX('M04-S02'!$K$18:$K$199,2*(ROWS(AL$151:AL158)-1)+1),"")</f>
        <v>0</v>
      </c>
      <c r="AM158" s="178">
        <f>IFERROR(INDEX('M04-S02'!$W$18:$W$199,2*(ROWS(AM$151:AM158)-1)+1),"")</f>
        <v>0</v>
      </c>
      <c r="AN158" s="200" t="str">
        <f>IFERROR(INDEX('M04-S02'!$AT$18:$AT$199,2*(ROWS(AN$151:AN158)-1)+1),"")</f>
        <v/>
      </c>
      <c r="AO158" s="200" t="str">
        <f>IFERROR(INDEX('M04-S02'!$AU$18:$AU$199,2*(ROWS(AO$151:AO158)-1)+1),"")</f>
        <v/>
      </c>
      <c r="AP158" s="178" t="str">
        <f>IFERROR(INDEX('M04-S02'!$AV$18:$AV$199,2*(ROWS(AP$151:AP158)-1)+1),"")</f>
        <v/>
      </c>
      <c r="AQ158" s="178" t="str">
        <f>IFERROR(INDEX('M04-S02'!$AY$18:$AY$199,2*(ROWS(AQ$151:AQ158)-1)+1),"")</f>
        <v/>
      </c>
      <c r="AR158" s="178" t="s">
        <v>1374</v>
      </c>
      <c r="AS158" s="178"/>
      <c r="AT158" s="278"/>
      <c r="AU158" s="278"/>
      <c r="AV158" s="278"/>
      <c r="AW158" s="278"/>
      <c r="AX158" s="278"/>
      <c r="AY158" s="278"/>
      <c r="AZ158" s="278"/>
      <c r="BA158" s="278"/>
      <c r="BB158" s="278"/>
      <c r="BC158" s="278"/>
      <c r="BD158" s="278"/>
      <c r="BE158" s="279"/>
    </row>
    <row r="159" spans="1:125" s="54" customFormat="1" hidden="1">
      <c r="A159" s="135">
        <f t="shared" si="14"/>
        <v>0</v>
      </c>
      <c r="B159" s="178" t="str">
        <f t="shared" si="17"/>
        <v/>
      </c>
      <c r="C159" s="178" t="str">
        <f>IFERROR(IF(INDEX('M04-S02'!$BH$18:$BH$199,2*(ROWS($C$151:C159)-1)+1)="","",INDEX('M04-S02'!$BH$18:$BH$199,2*(ROWS($C$151:C159)-1)+1)),"")</f>
        <v/>
      </c>
      <c r="D159" s="180" t="s">
        <v>144</v>
      </c>
      <c r="E159" s="178" t="str">
        <f>IFERROR(INDEX('M04-S02'!$AZ$18:$AZ$199,2*(ROWS(E$151:E159)-1)+1),"")</f>
        <v/>
      </c>
      <c r="F159" s="173">
        <f>IFERROR(INDEX('M04-S02'!$Q$18:$Q$199,2*(ROWS(F$151:F159)-1)+1),"")</f>
        <v>0</v>
      </c>
      <c r="G159" s="178" t="str">
        <f>IFERROR(INDEX('M04-S02'!$E$18:$E$199,2*(ROWS($G$151:G159)-1)+1)&amp;" - "&amp;INDEX('M04-S02'!$C$18:$C$199,2*(ROWS($G$151:G159)-1)+1),"")</f>
        <v xml:space="preserve"> - </v>
      </c>
      <c r="H159" s="200" t="str">
        <f ca="1">IFERROR(IF(AC159&lt;&gt;"","",INDEX('M04-S02'!$AD$18:$AD$199,2*(ROWS(H$151:H159)-1)+1)),"")</f>
        <v/>
      </c>
      <c r="I159" s="200" t="str">
        <f ca="1">IFERROR(IF(AC159&lt;&gt;"","",INDEX('M04-S02'!$AF$18:$AF$199,2*(ROWS(I$151:I159)-1)+1)),"")</f>
        <v/>
      </c>
      <c r="J159" s="200" t="str">
        <f ca="1">IFERROR(IF(AC159&lt;&gt;"","",INDEX('M04-S02'!$AH$18:$AH$199,2*(ROWS(J$151:J159)-1)+1)),"")</f>
        <v/>
      </c>
      <c r="K159" s="178" t="str">
        <f t="shared" ca="1" si="15"/>
        <v/>
      </c>
      <c r="L159" s="116" t="str">
        <f ca="1">IFERROR(IF(AC159&lt;&gt;"","",ROUND(INDEX('M04-S02'!$M$18:$M$199,2*(ROWS(L$151:L159)-1)+1),3)),"")</f>
        <v/>
      </c>
      <c r="M159" s="116" t="str">
        <f ca="1">IFERROR(IF(AC159&lt;&gt;"","",ROUND(INDEX('M04-S02'!$Z$18:$Z$199,2*(ROWS(M$151:M159)-1)+1),3)),"")</f>
        <v/>
      </c>
      <c r="N159" s="418"/>
      <c r="O159" s="415" t="str">
        <f ca="1">IFERROR(IF(AC159&lt;&gt;"","",INDEX('M04-S02'!$AK$18:$AK$199,2*(ROWS(O$151:O159)-1)+1)),"")</f>
        <v/>
      </c>
      <c r="P159" s="408"/>
      <c r="Q159" s="415" t="str">
        <f ca="1">IFERROR(IF(AC159&lt;&gt;"","",INDEX('M04-S02'!$BA$18:$BA$199,2*(ROWS(Q$151:Q159)-1)+1)),"")</f>
        <v/>
      </c>
      <c r="R159" s="200" t="str">
        <f ca="1">IFERROR(IF(AC159&lt;&gt;"","",INDEX('M04-S02'!$AN$18:$AN$199,2*(ROWS(R$151:R159)-1)+1)),"")</f>
        <v/>
      </c>
      <c r="S159" s="200">
        <f ca="1">IFERROR(IF(AC159&lt;&gt;"",INDEX('M04-S02'!$AD$18:$AD$199,2*(ROWS(S$151:S159)-1)+1),""),"")</f>
        <v>0</v>
      </c>
      <c r="T159" s="200">
        <f ca="1">IFERROR(IF(AC159&lt;&gt;"",INDEX('M04-S02'!$AF$18:$AF$199,2*(ROWS(T$151:T159)-1)+1),""),"")</f>
        <v>0</v>
      </c>
      <c r="U159" s="200" t="str">
        <f ca="1">IFERROR(IF(AC159&lt;&gt;"",INDEX('M04-S02'!$AH$18:$AH$199,2*(ROWS(U$151:U159)-1)+1),""),"")</f>
        <v/>
      </c>
      <c r="V159" s="178" t="str">
        <f t="shared" ca="1" si="16"/>
        <v>Total</v>
      </c>
      <c r="W159" s="116">
        <f ca="1">IFERROR(IF(AC159&lt;&gt;"",ROUND(INDEX('M04-S02'!$M$18:$M$199,2*(ROWS(W$151:W159)-1)+1),3),""),"")</f>
        <v>0</v>
      </c>
      <c r="X159" s="116">
        <f ca="1">IFERROR(IF(AC159&lt;&gt;"",ROUND(INDEX('M04-S02'!$Z$18:$Z$199,2*(ROWS(X$151:X159)-1)+1),3),""),"")</f>
        <v>0</v>
      </c>
      <c r="Y159" s="408"/>
      <c r="Z159" s="173" t="str">
        <f ca="1">IFERROR(IF(AC159&lt;&gt;"",INDEX('M04-S02'!$AK$18:$AK$199,2*(ROWS(Z$151:Z159)-1)+1),""),"")</f>
        <v/>
      </c>
      <c r="AA159" s="408"/>
      <c r="AB159" s="415" t="str">
        <f ca="1">IFERROR(IF(AC159&lt;&gt;"",INDEX('M04-S02'!$BA$18:$BA$199,2*(ROWS(AB$151:AB159)-1)+1),""),"")</f>
        <v/>
      </c>
      <c r="AC159" s="178" t="str">
        <f ca="1">IFERROR(INDEX('M04-S02'!$BJ$18:$BJ$199,2*(ROWS(AC$151:AC159)-1)+1),"")</f>
        <v>Submit for Review</v>
      </c>
      <c r="AD159" s="415" t="str">
        <f>IFERROR(INDEX('M04-S02'!$AW$18:$AW$199,2*(ROWS(AD$151:AD159)-1)+1),"")</f>
        <v/>
      </c>
      <c r="AE159" s="415" t="str">
        <f>IFERROR(INDEX('M04-S02'!$AX$18:$AX$199,2*(ROWS(AE$151:AE159)-1)+1),"")</f>
        <v/>
      </c>
      <c r="AF159" s="173" t="str">
        <f>IFERROR(INDEX('M04-S02'!$O$18:$O$199,2*(ROWS(AF$151:AF159)-1)+1),"")</f>
        <v/>
      </c>
      <c r="AG159" s="173">
        <f>IFERROR(INDEX('M04-S02'!$AB$18:$AB$199,2*(ROWS(AG$151:AG159)-1)+1),"")</f>
        <v>0</v>
      </c>
      <c r="AH159" s="408"/>
      <c r="AI159" s="178">
        <f>IFERROR(INDEX('M04-S02'!$B$18:$B$199,2*(ROWS(AI$151:AI159)-1)+1),"")</f>
        <v>9</v>
      </c>
      <c r="AJ159" s="178">
        <f>IFERROR(INDEX('M04-S02'!$G$18:$G$199,2*(ROWS(AJ$151:AJ159)-1)+1),"")</f>
        <v>0</v>
      </c>
      <c r="AK159" s="178">
        <f>IFERROR(INDEX('M04-S02'!$S$18:$S$199,2*(ROWS(AK$151:AK159)-1)+1),"")</f>
        <v>0</v>
      </c>
      <c r="AL159" s="178">
        <f>IFERROR(INDEX('M04-S02'!$K$18:$K$199,2*(ROWS(AL$151:AL159)-1)+1),"")</f>
        <v>0</v>
      </c>
      <c r="AM159" s="178">
        <f>IFERROR(INDEX('M04-S02'!$W$18:$W$199,2*(ROWS(AM$151:AM159)-1)+1),"")</f>
        <v>0</v>
      </c>
      <c r="AN159" s="200" t="str">
        <f>IFERROR(INDEX('M04-S02'!$AT$18:$AT$199,2*(ROWS(AN$151:AN159)-1)+1),"")</f>
        <v/>
      </c>
      <c r="AO159" s="200" t="str">
        <f>IFERROR(INDEX('M04-S02'!$AU$18:$AU$199,2*(ROWS(AO$151:AO159)-1)+1),"")</f>
        <v/>
      </c>
      <c r="AP159" s="178" t="str">
        <f>IFERROR(INDEX('M04-S02'!$AV$18:$AV$199,2*(ROWS(AP$151:AP159)-1)+1),"")</f>
        <v/>
      </c>
      <c r="AQ159" s="178" t="str">
        <f>IFERROR(INDEX('M04-S02'!$AY$18:$AY$199,2*(ROWS(AQ$151:AQ159)-1)+1),"")</f>
        <v/>
      </c>
      <c r="AR159" s="178" t="s">
        <v>1374</v>
      </c>
      <c r="AS159" s="178"/>
      <c r="AT159" s="278"/>
      <c r="AU159" s="278"/>
      <c r="AV159" s="278"/>
      <c r="AW159" s="278"/>
      <c r="AX159" s="278"/>
      <c r="AY159" s="278"/>
      <c r="AZ159" s="278"/>
      <c r="BA159" s="278"/>
      <c r="BB159" s="278"/>
      <c r="BC159" s="278"/>
      <c r="BD159" s="278"/>
      <c r="BE159" s="279"/>
    </row>
    <row r="160" spans="1:125" s="54" customFormat="1" hidden="1">
      <c r="A160" s="135">
        <f t="shared" si="14"/>
        <v>0</v>
      </c>
      <c r="B160" s="178" t="str">
        <f t="shared" si="17"/>
        <v/>
      </c>
      <c r="C160" s="178" t="str">
        <f>IFERROR(IF(INDEX('M04-S02'!$BH$18:$BH$199,2*(ROWS($C$151:C160)-1)+1)="","",INDEX('M04-S02'!$BH$18:$BH$199,2*(ROWS($C$151:C160)-1)+1)),"")</f>
        <v/>
      </c>
      <c r="D160" s="180" t="s">
        <v>144</v>
      </c>
      <c r="E160" s="178" t="str">
        <f>IFERROR(INDEX('M04-S02'!$AZ$18:$AZ$199,2*(ROWS(E$151:E160)-1)+1),"")</f>
        <v/>
      </c>
      <c r="F160" s="173">
        <f>IFERROR(INDEX('M04-S02'!$Q$18:$Q$199,2*(ROWS(F$151:F160)-1)+1),"")</f>
        <v>0</v>
      </c>
      <c r="G160" s="178" t="str">
        <f>IFERROR(INDEX('M04-S02'!$E$18:$E$199,2*(ROWS($G$151:G160)-1)+1)&amp;" - "&amp;INDEX('M04-S02'!$C$18:$C$199,2*(ROWS($G$151:G160)-1)+1),"")</f>
        <v xml:space="preserve"> - </v>
      </c>
      <c r="H160" s="200" t="str">
        <f ca="1">IFERROR(IF(AC160&lt;&gt;"","",INDEX('M04-S02'!$AD$18:$AD$199,2*(ROWS(H$151:H160)-1)+1)),"")</f>
        <v/>
      </c>
      <c r="I160" s="200" t="str">
        <f ca="1">IFERROR(IF(AC160&lt;&gt;"","",INDEX('M04-S02'!$AF$18:$AF$199,2*(ROWS(I$151:I160)-1)+1)),"")</f>
        <v/>
      </c>
      <c r="J160" s="200" t="str">
        <f ca="1">IFERROR(IF(AC160&lt;&gt;"","",INDEX('M04-S02'!$AH$18:$AH$199,2*(ROWS(J$151:J160)-1)+1)),"")</f>
        <v/>
      </c>
      <c r="K160" s="178" t="str">
        <f t="shared" ca="1" si="15"/>
        <v/>
      </c>
      <c r="L160" s="116" t="str">
        <f ca="1">IFERROR(IF(AC160&lt;&gt;"","",ROUND(INDEX('M04-S02'!$M$18:$M$199,2*(ROWS(L$151:L160)-1)+1),3)),"")</f>
        <v/>
      </c>
      <c r="M160" s="116" t="str">
        <f ca="1">IFERROR(IF(AC160&lt;&gt;"","",ROUND(INDEX('M04-S02'!$Z$18:$Z$199,2*(ROWS(M$151:M160)-1)+1),3)),"")</f>
        <v/>
      </c>
      <c r="N160" s="418"/>
      <c r="O160" s="415" t="str">
        <f ca="1">IFERROR(IF(AC160&lt;&gt;"","",INDEX('M04-S02'!$AK$18:$AK$199,2*(ROWS(O$151:O160)-1)+1)),"")</f>
        <v/>
      </c>
      <c r="P160" s="408"/>
      <c r="Q160" s="415" t="str">
        <f ca="1">IFERROR(IF(AC160&lt;&gt;"","",INDEX('M04-S02'!$BA$18:$BA$199,2*(ROWS(Q$151:Q160)-1)+1)),"")</f>
        <v/>
      </c>
      <c r="R160" s="200" t="str">
        <f ca="1">IFERROR(IF(AC160&lt;&gt;"","",INDEX('M04-S02'!$AN$18:$AN$199,2*(ROWS(R$151:R160)-1)+1)),"")</f>
        <v/>
      </c>
      <c r="S160" s="200">
        <f ca="1">IFERROR(IF(AC160&lt;&gt;"",INDEX('M04-S02'!$AD$18:$AD$199,2*(ROWS(S$151:S160)-1)+1),""),"")</f>
        <v>0</v>
      </c>
      <c r="T160" s="200">
        <f ca="1">IFERROR(IF(AC160&lt;&gt;"",INDEX('M04-S02'!$AF$18:$AF$199,2*(ROWS(T$151:T160)-1)+1),""),"")</f>
        <v>0</v>
      </c>
      <c r="U160" s="200" t="str">
        <f ca="1">IFERROR(IF(AC160&lt;&gt;"",INDEX('M04-S02'!$AH$18:$AH$199,2*(ROWS(U$151:U160)-1)+1),""),"")</f>
        <v/>
      </c>
      <c r="V160" s="178" t="str">
        <f t="shared" ca="1" si="16"/>
        <v>Total</v>
      </c>
      <c r="W160" s="116">
        <f ca="1">IFERROR(IF(AC160&lt;&gt;"",ROUND(INDEX('M04-S02'!$M$18:$M$199,2*(ROWS(W$151:W160)-1)+1),3),""),"")</f>
        <v>0</v>
      </c>
      <c r="X160" s="116">
        <f ca="1">IFERROR(IF(AC160&lt;&gt;"",ROUND(INDEX('M04-S02'!$Z$18:$Z$199,2*(ROWS(X$151:X160)-1)+1),3),""),"")</f>
        <v>0</v>
      </c>
      <c r="Y160" s="408"/>
      <c r="Z160" s="173" t="str">
        <f ca="1">IFERROR(IF(AC160&lt;&gt;"",INDEX('M04-S02'!$AK$18:$AK$199,2*(ROWS(Z$151:Z160)-1)+1),""),"")</f>
        <v/>
      </c>
      <c r="AA160" s="408"/>
      <c r="AB160" s="415" t="str">
        <f ca="1">IFERROR(IF(AC160&lt;&gt;"",INDEX('M04-S02'!$BA$18:$BA$199,2*(ROWS(AB$151:AB160)-1)+1),""),"")</f>
        <v/>
      </c>
      <c r="AC160" s="178" t="str">
        <f ca="1">IFERROR(INDEX('M04-S02'!$BJ$18:$BJ$199,2*(ROWS(AC$151:AC160)-1)+1),"")</f>
        <v>Submit for Review</v>
      </c>
      <c r="AD160" s="415" t="str">
        <f>IFERROR(INDEX('M04-S02'!$AW$18:$AW$199,2*(ROWS(AD$151:AD160)-1)+1),"")</f>
        <v/>
      </c>
      <c r="AE160" s="415" t="str">
        <f>IFERROR(INDEX('M04-S02'!$AX$18:$AX$199,2*(ROWS(AE$151:AE160)-1)+1),"")</f>
        <v/>
      </c>
      <c r="AF160" s="173" t="str">
        <f>IFERROR(INDEX('M04-S02'!$O$18:$O$199,2*(ROWS(AF$151:AF160)-1)+1),"")</f>
        <v/>
      </c>
      <c r="AG160" s="173">
        <f>IFERROR(INDEX('M04-S02'!$AB$18:$AB$199,2*(ROWS(AG$151:AG160)-1)+1),"")</f>
        <v>0</v>
      </c>
      <c r="AH160" s="408"/>
      <c r="AI160" s="178">
        <f>IFERROR(INDEX('M04-S02'!$B$18:$B$199,2*(ROWS(AI$151:AI160)-1)+1),"")</f>
        <v>10</v>
      </c>
      <c r="AJ160" s="178">
        <f>IFERROR(INDEX('M04-S02'!$G$18:$G$199,2*(ROWS(AJ$151:AJ160)-1)+1),"")</f>
        <v>0</v>
      </c>
      <c r="AK160" s="178">
        <f>IFERROR(INDEX('M04-S02'!$S$18:$S$199,2*(ROWS(AK$151:AK160)-1)+1),"")</f>
        <v>0</v>
      </c>
      <c r="AL160" s="178">
        <f>IFERROR(INDEX('M04-S02'!$K$18:$K$199,2*(ROWS(AL$151:AL160)-1)+1),"")</f>
        <v>0</v>
      </c>
      <c r="AM160" s="178">
        <f>IFERROR(INDEX('M04-S02'!$W$18:$W$199,2*(ROWS(AM$151:AM160)-1)+1),"")</f>
        <v>0</v>
      </c>
      <c r="AN160" s="200" t="str">
        <f>IFERROR(INDEX('M04-S02'!$AT$18:$AT$199,2*(ROWS(AN$151:AN160)-1)+1),"")</f>
        <v/>
      </c>
      <c r="AO160" s="200" t="str">
        <f>IFERROR(INDEX('M04-S02'!$AU$18:$AU$199,2*(ROWS(AO$151:AO160)-1)+1),"")</f>
        <v/>
      </c>
      <c r="AP160" s="178" t="str">
        <f>IFERROR(INDEX('M04-S02'!$AV$18:$AV$199,2*(ROWS(AP$151:AP160)-1)+1),"")</f>
        <v/>
      </c>
      <c r="AQ160" s="178" t="str">
        <f>IFERROR(INDEX('M04-S02'!$AY$18:$AY$199,2*(ROWS(AQ$151:AQ160)-1)+1),"")</f>
        <v/>
      </c>
      <c r="AR160" s="178" t="s">
        <v>1374</v>
      </c>
      <c r="AS160" s="178"/>
      <c r="AT160" s="278"/>
      <c r="AU160" s="278"/>
      <c r="AV160" s="278"/>
      <c r="AW160" s="278"/>
      <c r="AX160" s="278"/>
      <c r="AY160" s="278"/>
      <c r="AZ160" s="278"/>
      <c r="BA160" s="278"/>
      <c r="BB160" s="278"/>
      <c r="BC160" s="278"/>
      <c r="BD160" s="278"/>
      <c r="BE160" s="279"/>
    </row>
    <row r="161" spans="1:57" s="54" customFormat="1" hidden="1">
      <c r="A161" s="135">
        <f t="shared" si="14"/>
        <v>0</v>
      </c>
      <c r="B161" s="178" t="str">
        <f t="shared" si="17"/>
        <v/>
      </c>
      <c r="C161" s="178" t="str">
        <f>IFERROR(IF(INDEX('M04-S02'!$BH$18:$BH$199,2*(ROWS($C$151:C161)-1)+1)="","",INDEX('M04-S02'!$BH$18:$BH$199,2*(ROWS($C$151:C161)-1)+1)),"")</f>
        <v/>
      </c>
      <c r="D161" s="180" t="s">
        <v>144</v>
      </c>
      <c r="E161" s="178" t="str">
        <f>IFERROR(INDEX('M04-S02'!$AZ$18:$AZ$199,2*(ROWS(E$151:E161)-1)+1),"")</f>
        <v/>
      </c>
      <c r="F161" s="173">
        <f>IFERROR(INDEX('M04-S02'!$Q$18:$Q$199,2*(ROWS(F$151:F161)-1)+1),"")</f>
        <v>0</v>
      </c>
      <c r="G161" s="178" t="str">
        <f>IFERROR(INDEX('M04-S02'!$E$18:$E$199,2*(ROWS($G$151:G161)-1)+1)&amp;" - "&amp;INDEX('M04-S02'!$C$18:$C$199,2*(ROWS($G$151:G161)-1)+1),"")</f>
        <v xml:space="preserve"> - </v>
      </c>
      <c r="H161" s="200" t="str">
        <f ca="1">IFERROR(IF(AC161&lt;&gt;"","",INDEX('M04-S02'!$AD$18:$AD$199,2*(ROWS(H$151:H161)-1)+1)),"")</f>
        <v/>
      </c>
      <c r="I161" s="200" t="str">
        <f ca="1">IFERROR(IF(AC161&lt;&gt;"","",INDEX('M04-S02'!$AF$18:$AF$199,2*(ROWS(I$151:I161)-1)+1)),"")</f>
        <v/>
      </c>
      <c r="J161" s="200" t="str">
        <f ca="1">IFERROR(IF(AC161&lt;&gt;"","",INDEX('M04-S02'!$AH$18:$AH$199,2*(ROWS(J$151:J161)-1)+1)),"")</f>
        <v/>
      </c>
      <c r="K161" s="178" t="str">
        <f t="shared" ca="1" si="15"/>
        <v/>
      </c>
      <c r="L161" s="116" t="str">
        <f ca="1">IFERROR(IF(AC161&lt;&gt;"","",ROUND(INDEX('M04-S02'!$M$18:$M$199,2*(ROWS(L$151:L161)-1)+1),3)),"")</f>
        <v/>
      </c>
      <c r="M161" s="116" t="str">
        <f ca="1">IFERROR(IF(AC161&lt;&gt;"","",ROUND(INDEX('M04-S02'!$Z$18:$Z$199,2*(ROWS(M$151:M161)-1)+1),3)),"")</f>
        <v/>
      </c>
      <c r="N161" s="418"/>
      <c r="O161" s="415" t="str">
        <f ca="1">IFERROR(IF(AC161&lt;&gt;"","",INDEX('M04-S02'!$AK$18:$AK$199,2*(ROWS(O$151:O161)-1)+1)),"")</f>
        <v/>
      </c>
      <c r="P161" s="408"/>
      <c r="Q161" s="415" t="str">
        <f ca="1">IFERROR(IF(AC161&lt;&gt;"","",INDEX('M04-S02'!$BA$18:$BA$199,2*(ROWS(Q$151:Q161)-1)+1)),"")</f>
        <v/>
      </c>
      <c r="R161" s="200" t="str">
        <f ca="1">IFERROR(IF(AC161&lt;&gt;"","",INDEX('M04-S02'!$AN$18:$AN$199,2*(ROWS(R$151:R161)-1)+1)),"")</f>
        <v/>
      </c>
      <c r="S161" s="200">
        <f ca="1">IFERROR(IF(AC161&lt;&gt;"",INDEX('M04-S02'!$AD$18:$AD$199,2*(ROWS(S$151:S161)-1)+1),""),"")</f>
        <v>0</v>
      </c>
      <c r="T161" s="200">
        <f ca="1">IFERROR(IF(AC161&lt;&gt;"",INDEX('M04-S02'!$AF$18:$AF$199,2*(ROWS(T$151:T161)-1)+1),""),"")</f>
        <v>0</v>
      </c>
      <c r="U161" s="200" t="str">
        <f ca="1">IFERROR(IF(AC161&lt;&gt;"",INDEX('M04-S02'!$AH$18:$AH$199,2*(ROWS(U$151:U161)-1)+1),""),"")</f>
        <v/>
      </c>
      <c r="V161" s="178" t="str">
        <f t="shared" ca="1" si="16"/>
        <v>Total</v>
      </c>
      <c r="W161" s="116">
        <f ca="1">IFERROR(IF(AC161&lt;&gt;"",ROUND(INDEX('M04-S02'!$M$18:$M$199,2*(ROWS(W$151:W161)-1)+1),3),""),"")</f>
        <v>0</v>
      </c>
      <c r="X161" s="116">
        <f ca="1">IFERROR(IF(AC161&lt;&gt;"",ROUND(INDEX('M04-S02'!$Z$18:$Z$199,2*(ROWS(X$151:X161)-1)+1),3),""),"")</f>
        <v>0</v>
      </c>
      <c r="Y161" s="408"/>
      <c r="Z161" s="173" t="str">
        <f ca="1">IFERROR(IF(AC161&lt;&gt;"",INDEX('M04-S02'!$AK$18:$AK$199,2*(ROWS(Z$151:Z161)-1)+1),""),"")</f>
        <v/>
      </c>
      <c r="AA161" s="408"/>
      <c r="AB161" s="415" t="str">
        <f ca="1">IFERROR(IF(AC161&lt;&gt;"",INDEX('M04-S02'!$BA$18:$BA$199,2*(ROWS(AB$151:AB161)-1)+1),""),"")</f>
        <v/>
      </c>
      <c r="AC161" s="178" t="str">
        <f ca="1">IFERROR(INDEX('M04-S02'!$BJ$18:$BJ$199,2*(ROWS(AC$151:AC161)-1)+1),"")</f>
        <v>Submit for Review</v>
      </c>
      <c r="AD161" s="415" t="str">
        <f>IFERROR(INDEX('M04-S02'!$AW$18:$AW$199,2*(ROWS(AD$151:AD161)-1)+1),"")</f>
        <v/>
      </c>
      <c r="AE161" s="415" t="str">
        <f>IFERROR(INDEX('M04-S02'!$AX$18:$AX$199,2*(ROWS(AE$151:AE161)-1)+1),"")</f>
        <v/>
      </c>
      <c r="AF161" s="173" t="str">
        <f>IFERROR(INDEX('M04-S02'!$O$18:$O$199,2*(ROWS(AF$151:AF161)-1)+1),"")</f>
        <v/>
      </c>
      <c r="AG161" s="173">
        <f>IFERROR(INDEX('M04-S02'!$AB$18:$AB$199,2*(ROWS(AG$151:AG161)-1)+1),"")</f>
        <v>0</v>
      </c>
      <c r="AH161" s="408"/>
      <c r="AI161" s="178">
        <f>IFERROR(INDEX('M04-S02'!$B$18:$B$199,2*(ROWS(AI$151:AI161)-1)+1),"")</f>
        <v>11</v>
      </c>
      <c r="AJ161" s="178">
        <f>IFERROR(INDEX('M04-S02'!$G$18:$G$199,2*(ROWS(AJ$151:AJ161)-1)+1),"")</f>
        <v>0</v>
      </c>
      <c r="AK161" s="178">
        <f>IFERROR(INDEX('M04-S02'!$S$18:$S$199,2*(ROWS(AK$151:AK161)-1)+1),"")</f>
        <v>0</v>
      </c>
      <c r="AL161" s="178">
        <f>IFERROR(INDEX('M04-S02'!$K$18:$K$199,2*(ROWS(AL$151:AL161)-1)+1),"")</f>
        <v>0</v>
      </c>
      <c r="AM161" s="178">
        <f>IFERROR(INDEX('M04-S02'!$W$18:$W$199,2*(ROWS(AM$151:AM161)-1)+1),"")</f>
        <v>0</v>
      </c>
      <c r="AN161" s="200" t="str">
        <f>IFERROR(INDEX('M04-S02'!$AT$18:$AT$199,2*(ROWS(AN$151:AN161)-1)+1),"")</f>
        <v/>
      </c>
      <c r="AO161" s="200" t="str">
        <f>IFERROR(INDEX('M04-S02'!$AU$18:$AU$199,2*(ROWS(AO$151:AO161)-1)+1),"")</f>
        <v/>
      </c>
      <c r="AP161" s="178" t="str">
        <f>IFERROR(INDEX('M04-S02'!$AV$18:$AV$199,2*(ROWS(AP$151:AP161)-1)+1),"")</f>
        <v/>
      </c>
      <c r="AQ161" s="178" t="str">
        <f>IFERROR(INDEX('M04-S02'!$AY$18:$AY$199,2*(ROWS(AQ$151:AQ161)-1)+1),"")</f>
        <v/>
      </c>
      <c r="AR161" s="178" t="s">
        <v>1374</v>
      </c>
      <c r="AS161" s="178"/>
      <c r="AT161" s="278"/>
      <c r="AU161" s="278"/>
      <c r="AV161" s="278"/>
      <c r="AW161" s="278"/>
      <c r="AX161" s="278"/>
      <c r="AY161" s="278"/>
      <c r="AZ161" s="278"/>
      <c r="BA161" s="278"/>
      <c r="BB161" s="278"/>
      <c r="BC161" s="278"/>
      <c r="BD161" s="278"/>
      <c r="BE161" s="279"/>
    </row>
    <row r="162" spans="1:57" s="54" customFormat="1" hidden="1">
      <c r="A162" s="135">
        <f t="shared" si="14"/>
        <v>0</v>
      </c>
      <c r="B162" s="178" t="str">
        <f t="shared" si="17"/>
        <v/>
      </c>
      <c r="C162" s="178" t="str">
        <f>IFERROR(IF(INDEX('M04-S02'!$BH$18:$BH$199,2*(ROWS($C$151:C162)-1)+1)="","",INDEX('M04-S02'!$BH$18:$BH$199,2*(ROWS($C$151:C162)-1)+1)),"")</f>
        <v/>
      </c>
      <c r="D162" s="180" t="s">
        <v>144</v>
      </c>
      <c r="E162" s="178" t="str">
        <f>IFERROR(INDEX('M04-S02'!$AZ$18:$AZ$199,2*(ROWS(E$151:E162)-1)+1),"")</f>
        <v/>
      </c>
      <c r="F162" s="173">
        <f>IFERROR(INDEX('M04-S02'!$Q$18:$Q$199,2*(ROWS(F$151:F162)-1)+1),"")</f>
        <v>0</v>
      </c>
      <c r="G162" s="178" t="str">
        <f>IFERROR(INDEX('M04-S02'!$E$18:$E$199,2*(ROWS($G$151:G162)-1)+1)&amp;" - "&amp;INDEX('M04-S02'!$C$18:$C$199,2*(ROWS($G$151:G162)-1)+1),"")</f>
        <v xml:space="preserve"> - </v>
      </c>
      <c r="H162" s="200" t="str">
        <f ca="1">IFERROR(IF(AC162&lt;&gt;"","",INDEX('M04-S02'!$AD$18:$AD$199,2*(ROWS(H$151:H162)-1)+1)),"")</f>
        <v/>
      </c>
      <c r="I162" s="200" t="str">
        <f ca="1">IFERROR(IF(AC162&lt;&gt;"","",INDEX('M04-S02'!$AF$18:$AF$199,2*(ROWS(I$151:I162)-1)+1)),"")</f>
        <v/>
      </c>
      <c r="J162" s="200" t="str">
        <f ca="1">IFERROR(IF(AC162&lt;&gt;"","",INDEX('M04-S02'!$AH$18:$AH$199,2*(ROWS(J$151:J162)-1)+1)),"")</f>
        <v/>
      </c>
      <c r="K162" s="178" t="str">
        <f t="shared" ca="1" si="15"/>
        <v/>
      </c>
      <c r="L162" s="116" t="str">
        <f ca="1">IFERROR(IF(AC162&lt;&gt;"","",ROUND(INDEX('M04-S02'!$M$18:$M$199,2*(ROWS(L$151:L162)-1)+1),3)),"")</f>
        <v/>
      </c>
      <c r="M162" s="116" t="str">
        <f ca="1">IFERROR(IF(AC162&lt;&gt;"","",ROUND(INDEX('M04-S02'!$Z$18:$Z$199,2*(ROWS(M$151:M162)-1)+1),3)),"")</f>
        <v/>
      </c>
      <c r="N162" s="418"/>
      <c r="O162" s="415" t="str">
        <f ca="1">IFERROR(IF(AC162&lt;&gt;"","",INDEX('M04-S02'!$AK$18:$AK$199,2*(ROWS(O$151:O162)-1)+1)),"")</f>
        <v/>
      </c>
      <c r="P162" s="408"/>
      <c r="Q162" s="415" t="str">
        <f ca="1">IFERROR(IF(AC162&lt;&gt;"","",INDEX('M04-S02'!$BA$18:$BA$199,2*(ROWS(Q$151:Q162)-1)+1)),"")</f>
        <v/>
      </c>
      <c r="R162" s="200" t="str">
        <f ca="1">IFERROR(IF(AC162&lt;&gt;"","",INDEX('M04-S02'!$AN$18:$AN$199,2*(ROWS(R$151:R162)-1)+1)),"")</f>
        <v/>
      </c>
      <c r="S162" s="200">
        <f ca="1">IFERROR(IF(AC162&lt;&gt;"",INDEX('M04-S02'!$AD$18:$AD$199,2*(ROWS(S$151:S162)-1)+1),""),"")</f>
        <v>0</v>
      </c>
      <c r="T162" s="200">
        <f ca="1">IFERROR(IF(AC162&lt;&gt;"",INDEX('M04-S02'!$AF$18:$AF$199,2*(ROWS(T$151:T162)-1)+1),""),"")</f>
        <v>0</v>
      </c>
      <c r="U162" s="200" t="str">
        <f ca="1">IFERROR(IF(AC162&lt;&gt;"",INDEX('M04-S02'!$AH$18:$AH$199,2*(ROWS(U$151:U162)-1)+1),""),"")</f>
        <v/>
      </c>
      <c r="V162" s="178" t="str">
        <f t="shared" ca="1" si="16"/>
        <v>Total</v>
      </c>
      <c r="W162" s="116">
        <f ca="1">IFERROR(IF(AC162&lt;&gt;"",ROUND(INDEX('M04-S02'!$M$18:$M$199,2*(ROWS(W$151:W162)-1)+1),3),""),"")</f>
        <v>0</v>
      </c>
      <c r="X162" s="116">
        <f ca="1">IFERROR(IF(AC162&lt;&gt;"",ROUND(INDEX('M04-S02'!$Z$18:$Z$199,2*(ROWS(X$151:X162)-1)+1),3),""),"")</f>
        <v>0</v>
      </c>
      <c r="Y162" s="408"/>
      <c r="Z162" s="173" t="str">
        <f ca="1">IFERROR(IF(AC162&lt;&gt;"",INDEX('M04-S02'!$AK$18:$AK$199,2*(ROWS(Z$151:Z162)-1)+1),""),"")</f>
        <v/>
      </c>
      <c r="AA162" s="408"/>
      <c r="AB162" s="415" t="str">
        <f ca="1">IFERROR(IF(AC162&lt;&gt;"",INDEX('M04-S02'!$BA$18:$BA$199,2*(ROWS(AB$151:AB162)-1)+1),""),"")</f>
        <v/>
      </c>
      <c r="AC162" s="178" t="str">
        <f ca="1">IFERROR(INDEX('M04-S02'!$BJ$18:$BJ$199,2*(ROWS(AC$151:AC162)-1)+1),"")</f>
        <v>Submit for Review</v>
      </c>
      <c r="AD162" s="415" t="str">
        <f>IFERROR(INDEX('M04-S02'!$AW$18:$AW$199,2*(ROWS(AD$151:AD162)-1)+1),"")</f>
        <v/>
      </c>
      <c r="AE162" s="415" t="str">
        <f>IFERROR(INDEX('M04-S02'!$AX$18:$AX$199,2*(ROWS(AE$151:AE162)-1)+1),"")</f>
        <v/>
      </c>
      <c r="AF162" s="173" t="str">
        <f>IFERROR(INDEX('M04-S02'!$O$18:$O$199,2*(ROWS(AF$151:AF162)-1)+1),"")</f>
        <v/>
      </c>
      <c r="AG162" s="173">
        <f>IFERROR(INDEX('M04-S02'!$AB$18:$AB$199,2*(ROWS(AG$151:AG162)-1)+1),"")</f>
        <v>0</v>
      </c>
      <c r="AH162" s="408"/>
      <c r="AI162" s="178">
        <f>IFERROR(INDEX('M04-S02'!$B$18:$B$199,2*(ROWS(AI$151:AI162)-1)+1),"")</f>
        <v>12</v>
      </c>
      <c r="AJ162" s="178">
        <f>IFERROR(INDEX('M04-S02'!$G$18:$G$199,2*(ROWS(AJ$151:AJ162)-1)+1),"")</f>
        <v>0</v>
      </c>
      <c r="AK162" s="178">
        <f>IFERROR(INDEX('M04-S02'!$S$18:$S$199,2*(ROWS(AK$151:AK162)-1)+1),"")</f>
        <v>0</v>
      </c>
      <c r="AL162" s="178">
        <f>IFERROR(INDEX('M04-S02'!$K$18:$K$199,2*(ROWS(AL$151:AL162)-1)+1),"")</f>
        <v>0</v>
      </c>
      <c r="AM162" s="178">
        <f>IFERROR(INDEX('M04-S02'!$W$18:$W$199,2*(ROWS(AM$151:AM162)-1)+1),"")</f>
        <v>0</v>
      </c>
      <c r="AN162" s="200" t="str">
        <f>IFERROR(INDEX('M04-S02'!$AT$18:$AT$199,2*(ROWS(AN$151:AN162)-1)+1),"")</f>
        <v/>
      </c>
      <c r="AO162" s="200" t="str">
        <f>IFERROR(INDEX('M04-S02'!$AU$18:$AU$199,2*(ROWS(AO$151:AO162)-1)+1),"")</f>
        <v/>
      </c>
      <c r="AP162" s="178" t="str">
        <f>IFERROR(INDEX('M04-S02'!$AV$18:$AV$199,2*(ROWS(AP$151:AP162)-1)+1),"")</f>
        <v/>
      </c>
      <c r="AQ162" s="178" t="str">
        <f>IFERROR(INDEX('M04-S02'!$AY$18:$AY$199,2*(ROWS(AQ$151:AQ162)-1)+1),"")</f>
        <v/>
      </c>
      <c r="AR162" s="178" t="s">
        <v>1374</v>
      </c>
      <c r="AS162" s="178"/>
      <c r="AT162" s="278"/>
      <c r="AU162" s="278"/>
      <c r="AV162" s="278"/>
      <c r="AW162" s="278"/>
      <c r="AX162" s="278"/>
      <c r="AY162" s="278"/>
      <c r="AZ162" s="278"/>
      <c r="BA162" s="278"/>
      <c r="BB162" s="278"/>
      <c r="BC162" s="278"/>
      <c r="BD162" s="278"/>
      <c r="BE162" s="279"/>
    </row>
    <row r="163" spans="1:57" s="54" customFormat="1" hidden="1">
      <c r="A163" s="135">
        <f t="shared" si="14"/>
        <v>0</v>
      </c>
      <c r="B163" s="178" t="str">
        <f t="shared" si="17"/>
        <v/>
      </c>
      <c r="C163" s="178" t="str">
        <f>IFERROR(IF(INDEX('M04-S02'!$BH$18:$BH$199,2*(ROWS($C$151:C163)-1)+1)="","",INDEX('M04-S02'!$BH$18:$BH$199,2*(ROWS($C$151:C163)-1)+1)),"")</f>
        <v/>
      </c>
      <c r="D163" s="180" t="s">
        <v>144</v>
      </c>
      <c r="E163" s="178" t="str">
        <f>IFERROR(INDEX('M04-S02'!$AZ$18:$AZ$199,2*(ROWS(E$151:E163)-1)+1),"")</f>
        <v/>
      </c>
      <c r="F163" s="173">
        <f>IFERROR(INDEX('M04-S02'!$Q$18:$Q$199,2*(ROWS(F$151:F163)-1)+1),"")</f>
        <v>0</v>
      </c>
      <c r="G163" s="178" t="str">
        <f>IFERROR(INDEX('M04-S02'!$E$18:$E$199,2*(ROWS($G$151:G163)-1)+1)&amp;" - "&amp;INDEX('M04-S02'!$C$18:$C$199,2*(ROWS($G$151:G163)-1)+1),"")</f>
        <v xml:space="preserve"> - </v>
      </c>
      <c r="H163" s="200" t="str">
        <f ca="1">IFERROR(IF(AC163&lt;&gt;"","",INDEX('M04-S02'!$AD$18:$AD$199,2*(ROWS(H$151:H163)-1)+1)),"")</f>
        <v/>
      </c>
      <c r="I163" s="200" t="str">
        <f ca="1">IFERROR(IF(AC163&lt;&gt;"","",INDEX('M04-S02'!$AF$18:$AF$199,2*(ROWS(I$151:I163)-1)+1)),"")</f>
        <v/>
      </c>
      <c r="J163" s="200" t="str">
        <f ca="1">IFERROR(IF(AC163&lt;&gt;"","",INDEX('M04-S02'!$AH$18:$AH$199,2*(ROWS(J$151:J163)-1)+1)),"")</f>
        <v/>
      </c>
      <c r="K163" s="178" t="str">
        <f t="shared" ca="1" si="15"/>
        <v/>
      </c>
      <c r="L163" s="116" t="str">
        <f ca="1">IFERROR(IF(AC163&lt;&gt;"","",ROUND(INDEX('M04-S02'!$M$18:$M$199,2*(ROWS(L$151:L163)-1)+1),3)),"")</f>
        <v/>
      </c>
      <c r="M163" s="116" t="str">
        <f ca="1">IFERROR(IF(AC163&lt;&gt;"","",ROUND(INDEX('M04-S02'!$Z$18:$Z$199,2*(ROWS(M$151:M163)-1)+1),3)),"")</f>
        <v/>
      </c>
      <c r="N163" s="418"/>
      <c r="O163" s="415" t="str">
        <f ca="1">IFERROR(IF(AC163&lt;&gt;"","",INDEX('M04-S02'!$AK$18:$AK$199,2*(ROWS(O$151:O163)-1)+1)),"")</f>
        <v/>
      </c>
      <c r="P163" s="408"/>
      <c r="Q163" s="415" t="str">
        <f ca="1">IFERROR(IF(AC163&lt;&gt;"","",INDEX('M04-S02'!$BA$18:$BA$199,2*(ROWS(Q$151:Q163)-1)+1)),"")</f>
        <v/>
      </c>
      <c r="R163" s="200" t="str">
        <f ca="1">IFERROR(IF(AC163&lt;&gt;"","",INDEX('M04-S02'!$AN$18:$AN$199,2*(ROWS(R$151:R163)-1)+1)),"")</f>
        <v/>
      </c>
      <c r="S163" s="200">
        <f ca="1">IFERROR(IF(AC163&lt;&gt;"",INDEX('M04-S02'!$AD$18:$AD$199,2*(ROWS(S$151:S163)-1)+1),""),"")</f>
        <v>0</v>
      </c>
      <c r="T163" s="200">
        <f ca="1">IFERROR(IF(AC163&lt;&gt;"",INDEX('M04-S02'!$AF$18:$AF$199,2*(ROWS(T$151:T163)-1)+1),""),"")</f>
        <v>0</v>
      </c>
      <c r="U163" s="200" t="str">
        <f ca="1">IFERROR(IF(AC163&lt;&gt;"",INDEX('M04-S02'!$AH$18:$AH$199,2*(ROWS(U$151:U163)-1)+1),""),"")</f>
        <v/>
      </c>
      <c r="V163" s="178" t="str">
        <f t="shared" ca="1" si="16"/>
        <v>Total</v>
      </c>
      <c r="W163" s="116">
        <f ca="1">IFERROR(IF(AC163&lt;&gt;"",ROUND(INDEX('M04-S02'!$M$18:$M$199,2*(ROWS(W$151:W163)-1)+1),3),""),"")</f>
        <v>0</v>
      </c>
      <c r="X163" s="116">
        <f ca="1">IFERROR(IF(AC163&lt;&gt;"",ROUND(INDEX('M04-S02'!$Z$18:$Z$199,2*(ROWS(X$151:X163)-1)+1),3),""),"")</f>
        <v>0</v>
      </c>
      <c r="Y163" s="408"/>
      <c r="Z163" s="173" t="str">
        <f ca="1">IFERROR(IF(AC163&lt;&gt;"",INDEX('M04-S02'!$AK$18:$AK$199,2*(ROWS(Z$151:Z163)-1)+1),""),"")</f>
        <v/>
      </c>
      <c r="AA163" s="408"/>
      <c r="AB163" s="415" t="str">
        <f ca="1">IFERROR(IF(AC163&lt;&gt;"",INDEX('M04-S02'!$BA$18:$BA$199,2*(ROWS(AB$151:AB163)-1)+1),""),"")</f>
        <v/>
      </c>
      <c r="AC163" s="178" t="str">
        <f ca="1">IFERROR(INDEX('M04-S02'!$BJ$18:$BJ$199,2*(ROWS(AC$151:AC163)-1)+1),"")</f>
        <v>Submit for Review</v>
      </c>
      <c r="AD163" s="415" t="str">
        <f>IFERROR(INDEX('M04-S02'!$AW$18:$AW$199,2*(ROWS(AD$151:AD163)-1)+1),"")</f>
        <v/>
      </c>
      <c r="AE163" s="415" t="str">
        <f>IFERROR(INDEX('M04-S02'!$AX$18:$AX$199,2*(ROWS(AE$151:AE163)-1)+1),"")</f>
        <v/>
      </c>
      <c r="AF163" s="173" t="str">
        <f>IFERROR(INDEX('M04-S02'!$O$18:$O$199,2*(ROWS(AF$151:AF163)-1)+1),"")</f>
        <v/>
      </c>
      <c r="AG163" s="173">
        <f>IFERROR(INDEX('M04-S02'!$AB$18:$AB$199,2*(ROWS(AG$151:AG163)-1)+1),"")</f>
        <v>0</v>
      </c>
      <c r="AH163" s="408"/>
      <c r="AI163" s="178">
        <f>IFERROR(INDEX('M04-S02'!$B$18:$B$199,2*(ROWS(AI$151:AI163)-1)+1),"")</f>
        <v>13</v>
      </c>
      <c r="AJ163" s="178">
        <f>IFERROR(INDEX('M04-S02'!$G$18:$G$199,2*(ROWS(AJ$151:AJ163)-1)+1),"")</f>
        <v>0</v>
      </c>
      <c r="AK163" s="178">
        <f>IFERROR(INDEX('M04-S02'!$S$18:$S$199,2*(ROWS(AK$151:AK163)-1)+1),"")</f>
        <v>0</v>
      </c>
      <c r="AL163" s="178">
        <f>IFERROR(INDEX('M04-S02'!$K$18:$K$199,2*(ROWS(AL$151:AL163)-1)+1),"")</f>
        <v>0</v>
      </c>
      <c r="AM163" s="178">
        <f>IFERROR(INDEX('M04-S02'!$W$18:$W$199,2*(ROWS(AM$151:AM163)-1)+1),"")</f>
        <v>0</v>
      </c>
      <c r="AN163" s="200" t="str">
        <f>IFERROR(INDEX('M04-S02'!$AT$18:$AT$199,2*(ROWS(AN$151:AN163)-1)+1),"")</f>
        <v/>
      </c>
      <c r="AO163" s="200" t="str">
        <f>IFERROR(INDEX('M04-S02'!$AU$18:$AU$199,2*(ROWS(AO$151:AO163)-1)+1),"")</f>
        <v/>
      </c>
      <c r="AP163" s="178" t="str">
        <f>IFERROR(INDEX('M04-S02'!$AV$18:$AV$199,2*(ROWS(AP$151:AP163)-1)+1),"")</f>
        <v/>
      </c>
      <c r="AQ163" s="178" t="str">
        <f>IFERROR(INDEX('M04-S02'!$AY$18:$AY$199,2*(ROWS(AQ$151:AQ163)-1)+1),"")</f>
        <v/>
      </c>
      <c r="AR163" s="178" t="s">
        <v>1374</v>
      </c>
      <c r="AS163" s="178"/>
      <c r="AT163" s="278"/>
      <c r="AU163" s="278"/>
      <c r="AV163" s="278"/>
      <c r="AW163" s="278"/>
      <c r="AX163" s="278"/>
      <c r="AY163" s="278"/>
      <c r="AZ163" s="278"/>
      <c r="BA163" s="278"/>
      <c r="BB163" s="278"/>
      <c r="BC163" s="278"/>
      <c r="BD163" s="278"/>
      <c r="BE163" s="279"/>
    </row>
    <row r="164" spans="1:57" s="54" customFormat="1" hidden="1">
      <c r="A164" s="135">
        <f t="shared" si="14"/>
        <v>0</v>
      </c>
      <c r="B164" s="178" t="str">
        <f t="shared" si="17"/>
        <v/>
      </c>
      <c r="C164" s="178" t="str">
        <f>IFERROR(IF(INDEX('M04-S02'!$BH$18:$BH$199,2*(ROWS($C$151:C164)-1)+1)="","",INDEX('M04-S02'!$BH$18:$BH$199,2*(ROWS($C$151:C164)-1)+1)),"")</f>
        <v/>
      </c>
      <c r="D164" s="180" t="s">
        <v>144</v>
      </c>
      <c r="E164" s="178" t="str">
        <f>IFERROR(INDEX('M04-S02'!$AZ$18:$AZ$199,2*(ROWS(E$151:E164)-1)+1),"")</f>
        <v/>
      </c>
      <c r="F164" s="173">
        <f>IFERROR(INDEX('M04-S02'!$Q$18:$Q$199,2*(ROWS(F$151:F164)-1)+1),"")</f>
        <v>0</v>
      </c>
      <c r="G164" s="178" t="str">
        <f>IFERROR(INDEX('M04-S02'!$E$18:$E$199,2*(ROWS($G$151:G164)-1)+1)&amp;" - "&amp;INDEX('M04-S02'!$C$18:$C$199,2*(ROWS($G$151:G164)-1)+1),"")</f>
        <v xml:space="preserve"> - </v>
      </c>
      <c r="H164" s="200" t="str">
        <f ca="1">IFERROR(IF(AC164&lt;&gt;"","",INDEX('M04-S02'!$AD$18:$AD$199,2*(ROWS(H$151:H164)-1)+1)),"")</f>
        <v/>
      </c>
      <c r="I164" s="200" t="str">
        <f ca="1">IFERROR(IF(AC164&lt;&gt;"","",INDEX('M04-S02'!$AF$18:$AF$199,2*(ROWS(I$151:I164)-1)+1)),"")</f>
        <v/>
      </c>
      <c r="J164" s="200" t="str">
        <f ca="1">IFERROR(IF(AC164&lt;&gt;"","",INDEX('M04-S02'!$AH$18:$AH$199,2*(ROWS(J$151:J164)-1)+1)),"")</f>
        <v/>
      </c>
      <c r="K164" s="178" t="str">
        <f t="shared" ca="1" si="15"/>
        <v/>
      </c>
      <c r="L164" s="116" t="str">
        <f ca="1">IFERROR(IF(AC164&lt;&gt;"","",ROUND(INDEX('M04-S02'!$M$18:$M$199,2*(ROWS(L$151:L164)-1)+1),3)),"")</f>
        <v/>
      </c>
      <c r="M164" s="116" t="str">
        <f ca="1">IFERROR(IF(AC164&lt;&gt;"","",ROUND(INDEX('M04-S02'!$Z$18:$Z$199,2*(ROWS(M$151:M164)-1)+1),3)),"")</f>
        <v/>
      </c>
      <c r="N164" s="418"/>
      <c r="O164" s="415" t="str">
        <f ca="1">IFERROR(IF(AC164&lt;&gt;"","",INDEX('M04-S02'!$AK$18:$AK$199,2*(ROWS(O$151:O164)-1)+1)),"")</f>
        <v/>
      </c>
      <c r="P164" s="408"/>
      <c r="Q164" s="415" t="str">
        <f ca="1">IFERROR(IF(AC164&lt;&gt;"","",INDEX('M04-S02'!$BA$18:$BA$199,2*(ROWS(Q$151:Q164)-1)+1)),"")</f>
        <v/>
      </c>
      <c r="R164" s="200" t="str">
        <f ca="1">IFERROR(IF(AC164&lt;&gt;"","",INDEX('M04-S02'!$AN$18:$AN$199,2*(ROWS(R$151:R164)-1)+1)),"")</f>
        <v/>
      </c>
      <c r="S164" s="200">
        <f ca="1">IFERROR(IF(AC164&lt;&gt;"",INDEX('M04-S02'!$AD$18:$AD$199,2*(ROWS(S$151:S164)-1)+1),""),"")</f>
        <v>0</v>
      </c>
      <c r="T164" s="200">
        <f ca="1">IFERROR(IF(AC164&lt;&gt;"",INDEX('M04-S02'!$AF$18:$AF$199,2*(ROWS(T$151:T164)-1)+1),""),"")</f>
        <v>0</v>
      </c>
      <c r="U164" s="200" t="str">
        <f ca="1">IFERROR(IF(AC164&lt;&gt;"",INDEX('M04-S02'!$AH$18:$AH$199,2*(ROWS(U$151:U164)-1)+1),""),"")</f>
        <v/>
      </c>
      <c r="V164" s="178" t="str">
        <f t="shared" ca="1" si="16"/>
        <v>Total</v>
      </c>
      <c r="W164" s="116">
        <f ca="1">IFERROR(IF(AC164&lt;&gt;"",ROUND(INDEX('M04-S02'!$M$18:$M$199,2*(ROWS(W$151:W164)-1)+1),3),""),"")</f>
        <v>0</v>
      </c>
      <c r="X164" s="116">
        <f ca="1">IFERROR(IF(AC164&lt;&gt;"",ROUND(INDEX('M04-S02'!$Z$18:$Z$199,2*(ROWS(X$151:X164)-1)+1),3),""),"")</f>
        <v>0</v>
      </c>
      <c r="Y164" s="408"/>
      <c r="Z164" s="173" t="str">
        <f ca="1">IFERROR(IF(AC164&lt;&gt;"",INDEX('M04-S02'!$AK$18:$AK$199,2*(ROWS(Z$151:Z164)-1)+1),""),"")</f>
        <v/>
      </c>
      <c r="AA164" s="408"/>
      <c r="AB164" s="415" t="str">
        <f ca="1">IFERROR(IF(AC164&lt;&gt;"",INDEX('M04-S02'!$BA$18:$BA$199,2*(ROWS(AB$151:AB164)-1)+1),""),"")</f>
        <v/>
      </c>
      <c r="AC164" s="178" t="str">
        <f ca="1">IFERROR(INDEX('M04-S02'!$BJ$18:$BJ$199,2*(ROWS(AC$151:AC164)-1)+1),"")</f>
        <v>Submit for Review</v>
      </c>
      <c r="AD164" s="415" t="str">
        <f>IFERROR(INDEX('M04-S02'!$AW$18:$AW$199,2*(ROWS(AD$151:AD164)-1)+1),"")</f>
        <v/>
      </c>
      <c r="AE164" s="415" t="str">
        <f>IFERROR(INDEX('M04-S02'!$AX$18:$AX$199,2*(ROWS(AE$151:AE164)-1)+1),"")</f>
        <v/>
      </c>
      <c r="AF164" s="173" t="str">
        <f>IFERROR(INDEX('M04-S02'!$O$18:$O$199,2*(ROWS(AF$151:AF164)-1)+1),"")</f>
        <v/>
      </c>
      <c r="AG164" s="173">
        <f>IFERROR(INDEX('M04-S02'!$AB$18:$AB$199,2*(ROWS(AG$151:AG164)-1)+1),"")</f>
        <v>0</v>
      </c>
      <c r="AH164" s="408"/>
      <c r="AI164" s="178">
        <f>IFERROR(INDEX('M04-S02'!$B$18:$B$199,2*(ROWS(AI$151:AI164)-1)+1),"")</f>
        <v>14</v>
      </c>
      <c r="AJ164" s="178">
        <f>IFERROR(INDEX('M04-S02'!$G$18:$G$199,2*(ROWS(AJ$151:AJ164)-1)+1),"")</f>
        <v>0</v>
      </c>
      <c r="AK164" s="178">
        <f>IFERROR(INDEX('M04-S02'!$S$18:$S$199,2*(ROWS(AK$151:AK164)-1)+1),"")</f>
        <v>0</v>
      </c>
      <c r="AL164" s="178">
        <f>IFERROR(INDEX('M04-S02'!$K$18:$K$199,2*(ROWS(AL$151:AL164)-1)+1),"")</f>
        <v>0</v>
      </c>
      <c r="AM164" s="178">
        <f>IFERROR(INDEX('M04-S02'!$W$18:$W$199,2*(ROWS(AM$151:AM164)-1)+1),"")</f>
        <v>0</v>
      </c>
      <c r="AN164" s="200" t="str">
        <f>IFERROR(INDEX('M04-S02'!$AT$18:$AT$199,2*(ROWS(AN$151:AN164)-1)+1),"")</f>
        <v/>
      </c>
      <c r="AO164" s="200" t="str">
        <f>IFERROR(INDEX('M04-S02'!$AU$18:$AU$199,2*(ROWS(AO$151:AO164)-1)+1),"")</f>
        <v/>
      </c>
      <c r="AP164" s="178" t="str">
        <f>IFERROR(INDEX('M04-S02'!$AV$18:$AV$199,2*(ROWS(AP$151:AP164)-1)+1),"")</f>
        <v/>
      </c>
      <c r="AQ164" s="178" t="str">
        <f>IFERROR(INDEX('M04-S02'!$AY$18:$AY$199,2*(ROWS(AQ$151:AQ164)-1)+1),"")</f>
        <v/>
      </c>
      <c r="AR164" s="178" t="s">
        <v>1374</v>
      </c>
      <c r="AS164" s="178"/>
      <c r="AT164" s="278"/>
      <c r="AU164" s="278"/>
      <c r="AV164" s="278"/>
      <c r="AW164" s="278"/>
      <c r="AX164" s="278"/>
      <c r="AY164" s="278"/>
      <c r="AZ164" s="278"/>
      <c r="BA164" s="278"/>
      <c r="BB164" s="278"/>
      <c r="BC164" s="278"/>
      <c r="BD164" s="278"/>
      <c r="BE164" s="279"/>
    </row>
    <row r="165" spans="1:57" s="54" customFormat="1" hidden="1">
      <c r="A165" s="135">
        <f t="shared" si="14"/>
        <v>0</v>
      </c>
      <c r="B165" s="178" t="str">
        <f t="shared" si="17"/>
        <v/>
      </c>
      <c r="C165" s="178" t="str">
        <f>IFERROR(IF(INDEX('M04-S02'!$BH$18:$BH$199,2*(ROWS($C$151:C165)-1)+1)="","",INDEX('M04-S02'!$BH$18:$BH$199,2*(ROWS($C$151:C165)-1)+1)),"")</f>
        <v/>
      </c>
      <c r="D165" s="180" t="s">
        <v>144</v>
      </c>
      <c r="E165" s="178" t="str">
        <f>IFERROR(INDEX('M04-S02'!$AZ$18:$AZ$199,2*(ROWS(E$151:E165)-1)+1),"")</f>
        <v/>
      </c>
      <c r="F165" s="173">
        <f>IFERROR(INDEX('M04-S02'!$Q$18:$Q$199,2*(ROWS(F$151:F165)-1)+1),"")</f>
        <v>0</v>
      </c>
      <c r="G165" s="178" t="str">
        <f>IFERROR(INDEX('M04-S02'!$E$18:$E$199,2*(ROWS($G$151:G165)-1)+1)&amp;" - "&amp;INDEX('M04-S02'!$C$18:$C$199,2*(ROWS($G$151:G165)-1)+1),"")</f>
        <v xml:space="preserve"> - </v>
      </c>
      <c r="H165" s="200" t="str">
        <f ca="1">IFERROR(IF(AC165&lt;&gt;"","",INDEX('M04-S02'!$AD$18:$AD$199,2*(ROWS(H$151:H165)-1)+1)),"")</f>
        <v/>
      </c>
      <c r="I165" s="200" t="str">
        <f ca="1">IFERROR(IF(AC165&lt;&gt;"","",INDEX('M04-S02'!$AF$18:$AF$199,2*(ROWS(I$151:I165)-1)+1)),"")</f>
        <v/>
      </c>
      <c r="J165" s="200" t="str">
        <f ca="1">IFERROR(IF(AC165&lt;&gt;"","",INDEX('M04-S02'!$AH$18:$AH$199,2*(ROWS(J$151:J165)-1)+1)),"")</f>
        <v/>
      </c>
      <c r="K165" s="178" t="str">
        <f t="shared" ca="1" si="15"/>
        <v/>
      </c>
      <c r="L165" s="116" t="str">
        <f ca="1">IFERROR(IF(AC165&lt;&gt;"","",ROUND(INDEX('M04-S02'!$M$18:$M$199,2*(ROWS(L$151:L165)-1)+1),3)),"")</f>
        <v/>
      </c>
      <c r="M165" s="116" t="str">
        <f ca="1">IFERROR(IF(AC165&lt;&gt;"","",ROUND(INDEX('M04-S02'!$Z$18:$Z$199,2*(ROWS(M$151:M165)-1)+1),3)),"")</f>
        <v/>
      </c>
      <c r="N165" s="418"/>
      <c r="O165" s="415" t="str">
        <f ca="1">IFERROR(IF(AC165&lt;&gt;"","",INDEX('M04-S02'!$AK$18:$AK$199,2*(ROWS(O$151:O165)-1)+1)),"")</f>
        <v/>
      </c>
      <c r="P165" s="408"/>
      <c r="Q165" s="415" t="str">
        <f ca="1">IFERROR(IF(AC165&lt;&gt;"","",INDEX('M04-S02'!$BA$18:$BA$199,2*(ROWS(Q$151:Q165)-1)+1)),"")</f>
        <v/>
      </c>
      <c r="R165" s="200" t="str">
        <f ca="1">IFERROR(IF(AC165&lt;&gt;"","",INDEX('M04-S02'!$AN$18:$AN$199,2*(ROWS(R$151:R165)-1)+1)),"")</f>
        <v/>
      </c>
      <c r="S165" s="200">
        <f ca="1">IFERROR(IF(AC165&lt;&gt;"",INDEX('M04-S02'!$AD$18:$AD$199,2*(ROWS(S$151:S165)-1)+1),""),"")</f>
        <v>0</v>
      </c>
      <c r="T165" s="200">
        <f ca="1">IFERROR(IF(AC165&lt;&gt;"",INDEX('M04-S02'!$AF$18:$AF$199,2*(ROWS(T$151:T165)-1)+1),""),"")</f>
        <v>0</v>
      </c>
      <c r="U165" s="200" t="str">
        <f ca="1">IFERROR(IF(AC165&lt;&gt;"",INDEX('M04-S02'!$AH$18:$AH$199,2*(ROWS(U$151:U165)-1)+1),""),"")</f>
        <v/>
      </c>
      <c r="V165" s="178" t="str">
        <f t="shared" ca="1" si="16"/>
        <v>Total</v>
      </c>
      <c r="W165" s="116">
        <f ca="1">IFERROR(IF(AC165&lt;&gt;"",ROUND(INDEX('M04-S02'!$M$18:$M$199,2*(ROWS(W$151:W165)-1)+1),3),""),"")</f>
        <v>0</v>
      </c>
      <c r="X165" s="116">
        <f ca="1">IFERROR(IF(AC165&lt;&gt;"",ROUND(INDEX('M04-S02'!$Z$18:$Z$199,2*(ROWS(X$151:X165)-1)+1),3),""),"")</f>
        <v>0</v>
      </c>
      <c r="Y165" s="408"/>
      <c r="Z165" s="173" t="str">
        <f ca="1">IFERROR(IF(AC165&lt;&gt;"",INDEX('M04-S02'!$AK$18:$AK$199,2*(ROWS(Z$151:Z165)-1)+1),""),"")</f>
        <v/>
      </c>
      <c r="AA165" s="408"/>
      <c r="AB165" s="415" t="str">
        <f ca="1">IFERROR(IF(AC165&lt;&gt;"",INDEX('M04-S02'!$BA$18:$BA$199,2*(ROWS(AB$151:AB165)-1)+1),""),"")</f>
        <v/>
      </c>
      <c r="AC165" s="178" t="str">
        <f ca="1">IFERROR(INDEX('M04-S02'!$BJ$18:$BJ$199,2*(ROWS(AC$151:AC165)-1)+1),"")</f>
        <v>Submit for Review</v>
      </c>
      <c r="AD165" s="415" t="str">
        <f>IFERROR(INDEX('M04-S02'!$AW$18:$AW$199,2*(ROWS(AD$151:AD165)-1)+1),"")</f>
        <v/>
      </c>
      <c r="AE165" s="415" t="str">
        <f>IFERROR(INDEX('M04-S02'!$AX$18:$AX$199,2*(ROWS(AE$151:AE165)-1)+1),"")</f>
        <v/>
      </c>
      <c r="AF165" s="173" t="str">
        <f>IFERROR(INDEX('M04-S02'!$O$18:$O$199,2*(ROWS(AF$151:AF165)-1)+1),"")</f>
        <v/>
      </c>
      <c r="AG165" s="173">
        <f>IFERROR(INDEX('M04-S02'!$AB$18:$AB$199,2*(ROWS(AG$151:AG165)-1)+1),"")</f>
        <v>0</v>
      </c>
      <c r="AH165" s="408"/>
      <c r="AI165" s="178">
        <f>IFERROR(INDEX('M04-S02'!$B$18:$B$199,2*(ROWS(AI$151:AI165)-1)+1),"")</f>
        <v>15</v>
      </c>
      <c r="AJ165" s="178">
        <f>IFERROR(INDEX('M04-S02'!$G$18:$G$199,2*(ROWS(AJ$151:AJ165)-1)+1),"")</f>
        <v>0</v>
      </c>
      <c r="AK165" s="178">
        <f>IFERROR(INDEX('M04-S02'!$S$18:$S$199,2*(ROWS(AK$151:AK165)-1)+1),"")</f>
        <v>0</v>
      </c>
      <c r="AL165" s="178">
        <f>IFERROR(INDEX('M04-S02'!$K$18:$K$199,2*(ROWS(AL$151:AL165)-1)+1),"")</f>
        <v>0</v>
      </c>
      <c r="AM165" s="178">
        <f>IFERROR(INDEX('M04-S02'!$W$18:$W$199,2*(ROWS(AM$151:AM165)-1)+1),"")</f>
        <v>0</v>
      </c>
      <c r="AN165" s="200" t="str">
        <f>IFERROR(INDEX('M04-S02'!$AT$18:$AT$199,2*(ROWS(AN$151:AN165)-1)+1),"")</f>
        <v/>
      </c>
      <c r="AO165" s="200" t="str">
        <f>IFERROR(INDEX('M04-S02'!$AU$18:$AU$199,2*(ROWS(AO$151:AO165)-1)+1),"")</f>
        <v/>
      </c>
      <c r="AP165" s="178" t="str">
        <f>IFERROR(INDEX('M04-S02'!$AV$18:$AV$199,2*(ROWS(AP$151:AP165)-1)+1),"")</f>
        <v/>
      </c>
      <c r="AQ165" s="178" t="str">
        <f>IFERROR(INDEX('M04-S02'!$AY$18:$AY$199,2*(ROWS(AQ$151:AQ165)-1)+1),"")</f>
        <v/>
      </c>
      <c r="AR165" s="178" t="s">
        <v>1374</v>
      </c>
      <c r="AS165" s="178"/>
      <c r="AT165" s="278"/>
      <c r="AU165" s="278"/>
      <c r="AV165" s="278"/>
      <c r="AW165" s="278"/>
      <c r="AX165" s="278"/>
      <c r="AY165" s="278"/>
      <c r="AZ165" s="278"/>
      <c r="BA165" s="278"/>
      <c r="BB165" s="278"/>
      <c r="BC165" s="278"/>
      <c r="BD165" s="278"/>
      <c r="BE165" s="279"/>
    </row>
    <row r="166" spans="1:57" s="54" customFormat="1" hidden="1">
      <c r="A166" s="135">
        <f t="shared" si="14"/>
        <v>0</v>
      </c>
      <c r="B166" s="178" t="str">
        <f t="shared" si="17"/>
        <v/>
      </c>
      <c r="C166" s="178" t="str">
        <f>IFERROR(IF(INDEX('M04-S02'!$BH$18:$BH$199,2*(ROWS($C$151:C166)-1)+1)="","",INDEX('M04-S02'!$BH$18:$BH$199,2*(ROWS($C$151:C166)-1)+1)),"")</f>
        <v/>
      </c>
      <c r="D166" s="180" t="s">
        <v>144</v>
      </c>
      <c r="E166" s="178" t="str">
        <f>IFERROR(INDEX('M04-S02'!$AZ$18:$AZ$199,2*(ROWS(E$151:E166)-1)+1),"")</f>
        <v/>
      </c>
      <c r="F166" s="173">
        <f>IFERROR(INDEX('M04-S02'!$Q$18:$Q$199,2*(ROWS(F$151:F166)-1)+1),"")</f>
        <v>0</v>
      </c>
      <c r="G166" s="178" t="str">
        <f>IFERROR(INDEX('M04-S02'!$E$18:$E$199,2*(ROWS($G$151:G166)-1)+1)&amp;" - "&amp;INDEX('M04-S02'!$C$18:$C$199,2*(ROWS($G$151:G166)-1)+1),"")</f>
        <v xml:space="preserve"> - </v>
      </c>
      <c r="H166" s="200" t="str">
        <f ca="1">IFERROR(IF(AC166&lt;&gt;"","",INDEX('M04-S02'!$AD$18:$AD$199,2*(ROWS(H$151:H166)-1)+1)),"")</f>
        <v/>
      </c>
      <c r="I166" s="200" t="str">
        <f ca="1">IFERROR(IF(AC166&lt;&gt;"","",INDEX('M04-S02'!$AF$18:$AF$199,2*(ROWS(I$151:I166)-1)+1)),"")</f>
        <v/>
      </c>
      <c r="J166" s="200" t="str">
        <f ca="1">IFERROR(IF(AC166&lt;&gt;"","",INDEX('M04-S02'!$AH$18:$AH$199,2*(ROWS(J$151:J166)-1)+1)),"")</f>
        <v/>
      </c>
      <c r="K166" s="178" t="str">
        <f t="shared" ca="1" si="15"/>
        <v/>
      </c>
      <c r="L166" s="116" t="str">
        <f ca="1">IFERROR(IF(AC166&lt;&gt;"","",ROUND(INDEX('M04-S02'!$M$18:$M$199,2*(ROWS(L$151:L166)-1)+1),3)),"")</f>
        <v/>
      </c>
      <c r="M166" s="116" t="str">
        <f ca="1">IFERROR(IF(AC166&lt;&gt;"","",ROUND(INDEX('M04-S02'!$Z$18:$Z$199,2*(ROWS(M$151:M166)-1)+1),3)),"")</f>
        <v/>
      </c>
      <c r="N166" s="418"/>
      <c r="O166" s="415" t="str">
        <f ca="1">IFERROR(IF(AC166&lt;&gt;"","",INDEX('M04-S02'!$AK$18:$AK$199,2*(ROWS(O$151:O166)-1)+1)),"")</f>
        <v/>
      </c>
      <c r="P166" s="408"/>
      <c r="Q166" s="415" t="str">
        <f ca="1">IFERROR(IF(AC166&lt;&gt;"","",INDEX('M04-S02'!$BA$18:$BA$199,2*(ROWS(Q$151:Q166)-1)+1)),"")</f>
        <v/>
      </c>
      <c r="R166" s="200" t="str">
        <f ca="1">IFERROR(IF(AC166&lt;&gt;"","",INDEX('M04-S02'!$AN$18:$AN$199,2*(ROWS(R$151:R166)-1)+1)),"")</f>
        <v/>
      </c>
      <c r="S166" s="200">
        <f ca="1">IFERROR(IF(AC166&lt;&gt;"",INDEX('M04-S02'!$AD$18:$AD$199,2*(ROWS(S$151:S166)-1)+1),""),"")</f>
        <v>0</v>
      </c>
      <c r="T166" s="200">
        <f ca="1">IFERROR(IF(AC166&lt;&gt;"",INDEX('M04-S02'!$AF$18:$AF$199,2*(ROWS(T$151:T166)-1)+1),""),"")</f>
        <v>0</v>
      </c>
      <c r="U166" s="200" t="str">
        <f ca="1">IFERROR(IF(AC166&lt;&gt;"",INDEX('M04-S02'!$AH$18:$AH$199,2*(ROWS(U$151:U166)-1)+1),""),"")</f>
        <v/>
      </c>
      <c r="V166" s="178" t="str">
        <f t="shared" ca="1" si="16"/>
        <v>Total</v>
      </c>
      <c r="W166" s="116">
        <f ca="1">IFERROR(IF(AC166&lt;&gt;"",ROUND(INDEX('M04-S02'!$M$18:$M$199,2*(ROWS(W$151:W166)-1)+1),3),""),"")</f>
        <v>0</v>
      </c>
      <c r="X166" s="116">
        <f ca="1">IFERROR(IF(AC166&lt;&gt;"",ROUND(INDEX('M04-S02'!$Z$18:$Z$199,2*(ROWS(X$151:X166)-1)+1),3),""),"")</f>
        <v>0</v>
      </c>
      <c r="Y166" s="408"/>
      <c r="Z166" s="173" t="str">
        <f ca="1">IFERROR(IF(AC166&lt;&gt;"",INDEX('M04-S02'!$AK$18:$AK$199,2*(ROWS(Z$151:Z166)-1)+1),""),"")</f>
        <v/>
      </c>
      <c r="AA166" s="408"/>
      <c r="AB166" s="415" t="str">
        <f ca="1">IFERROR(IF(AC166&lt;&gt;"",INDEX('M04-S02'!$BA$18:$BA$199,2*(ROWS(AB$151:AB166)-1)+1),""),"")</f>
        <v/>
      </c>
      <c r="AC166" s="178" t="str">
        <f ca="1">IFERROR(INDEX('M04-S02'!$BJ$18:$BJ$199,2*(ROWS(AC$151:AC166)-1)+1),"")</f>
        <v>Submit for Review</v>
      </c>
      <c r="AD166" s="415" t="str">
        <f>IFERROR(INDEX('M04-S02'!$AW$18:$AW$199,2*(ROWS(AD$151:AD166)-1)+1),"")</f>
        <v/>
      </c>
      <c r="AE166" s="415" t="str">
        <f>IFERROR(INDEX('M04-S02'!$AX$18:$AX$199,2*(ROWS(AE$151:AE166)-1)+1),"")</f>
        <v/>
      </c>
      <c r="AF166" s="173" t="str">
        <f>IFERROR(INDEX('M04-S02'!$O$18:$O$199,2*(ROWS(AF$151:AF166)-1)+1),"")</f>
        <v/>
      </c>
      <c r="AG166" s="173">
        <f>IFERROR(INDEX('M04-S02'!$AB$18:$AB$199,2*(ROWS(AG$151:AG166)-1)+1),"")</f>
        <v>0</v>
      </c>
      <c r="AH166" s="408"/>
      <c r="AI166" s="178">
        <f>IFERROR(INDEX('M04-S02'!$B$18:$B$199,2*(ROWS(AI$151:AI166)-1)+1),"")</f>
        <v>16</v>
      </c>
      <c r="AJ166" s="178">
        <f>IFERROR(INDEX('M04-S02'!$G$18:$G$199,2*(ROWS(AJ$151:AJ166)-1)+1),"")</f>
        <v>0</v>
      </c>
      <c r="AK166" s="178">
        <f>IFERROR(INDEX('M04-S02'!$S$18:$S$199,2*(ROWS(AK$151:AK166)-1)+1),"")</f>
        <v>0</v>
      </c>
      <c r="AL166" s="178">
        <f>IFERROR(INDEX('M04-S02'!$K$18:$K$199,2*(ROWS(AL$151:AL166)-1)+1),"")</f>
        <v>0</v>
      </c>
      <c r="AM166" s="178">
        <f>IFERROR(INDEX('M04-S02'!$W$18:$W$199,2*(ROWS(AM$151:AM166)-1)+1),"")</f>
        <v>0</v>
      </c>
      <c r="AN166" s="200" t="str">
        <f>IFERROR(INDEX('M04-S02'!$AT$18:$AT$199,2*(ROWS(AN$151:AN166)-1)+1),"")</f>
        <v/>
      </c>
      <c r="AO166" s="200" t="str">
        <f>IFERROR(INDEX('M04-S02'!$AU$18:$AU$199,2*(ROWS(AO$151:AO166)-1)+1),"")</f>
        <v/>
      </c>
      <c r="AP166" s="178" t="str">
        <f>IFERROR(INDEX('M04-S02'!$AV$18:$AV$199,2*(ROWS(AP$151:AP166)-1)+1),"")</f>
        <v/>
      </c>
      <c r="AQ166" s="178" t="str">
        <f>IFERROR(INDEX('M04-S02'!$AY$18:$AY$199,2*(ROWS(AQ$151:AQ166)-1)+1),"")</f>
        <v/>
      </c>
      <c r="AR166" s="178" t="s">
        <v>1374</v>
      </c>
      <c r="AS166" s="178"/>
      <c r="AT166" s="278"/>
      <c r="AU166" s="278"/>
      <c r="AV166" s="278"/>
      <c r="AW166" s="278"/>
      <c r="AX166" s="278"/>
      <c r="AY166" s="278"/>
      <c r="AZ166" s="278"/>
      <c r="BA166" s="278"/>
      <c r="BB166" s="278"/>
      <c r="BC166" s="278"/>
      <c r="BD166" s="278"/>
      <c r="BE166" s="279"/>
    </row>
    <row r="167" spans="1:57" s="54" customFormat="1" hidden="1">
      <c r="A167" s="135">
        <f t="shared" si="14"/>
        <v>0</v>
      </c>
      <c r="B167" s="178" t="str">
        <f t="shared" si="17"/>
        <v/>
      </c>
      <c r="C167" s="178" t="str">
        <f>IFERROR(IF(INDEX('M04-S02'!$BH$18:$BH$199,2*(ROWS($C$151:C167)-1)+1)="","",INDEX('M04-S02'!$BH$18:$BH$199,2*(ROWS($C$151:C167)-1)+1)),"")</f>
        <v/>
      </c>
      <c r="D167" s="180" t="s">
        <v>144</v>
      </c>
      <c r="E167" s="178" t="str">
        <f>IFERROR(INDEX('M04-S02'!$AZ$18:$AZ$199,2*(ROWS(E$151:E167)-1)+1),"")</f>
        <v/>
      </c>
      <c r="F167" s="173">
        <f>IFERROR(INDEX('M04-S02'!$Q$18:$Q$199,2*(ROWS(F$151:F167)-1)+1),"")</f>
        <v>0</v>
      </c>
      <c r="G167" s="178" t="str">
        <f>IFERROR(INDEX('M04-S02'!$E$18:$E$199,2*(ROWS($G$151:G167)-1)+1)&amp;" - "&amp;INDEX('M04-S02'!$C$18:$C$199,2*(ROWS($G$151:G167)-1)+1),"")</f>
        <v xml:space="preserve"> - </v>
      </c>
      <c r="H167" s="200" t="str">
        <f ca="1">IFERROR(IF(AC167&lt;&gt;"","",INDEX('M04-S02'!$AD$18:$AD$199,2*(ROWS(H$151:H167)-1)+1)),"")</f>
        <v/>
      </c>
      <c r="I167" s="200" t="str">
        <f ca="1">IFERROR(IF(AC167&lt;&gt;"","",INDEX('M04-S02'!$AF$18:$AF$199,2*(ROWS(I$151:I167)-1)+1)),"")</f>
        <v/>
      </c>
      <c r="J167" s="200" t="str">
        <f ca="1">IFERROR(IF(AC167&lt;&gt;"","",INDEX('M04-S02'!$AH$18:$AH$199,2*(ROWS(J$151:J167)-1)+1)),"")</f>
        <v/>
      </c>
      <c r="K167" s="178" t="str">
        <f t="shared" ca="1" si="15"/>
        <v/>
      </c>
      <c r="L167" s="116" t="str">
        <f ca="1">IFERROR(IF(AC167&lt;&gt;"","",ROUND(INDEX('M04-S02'!$M$18:$M$199,2*(ROWS(L$151:L167)-1)+1),3)),"")</f>
        <v/>
      </c>
      <c r="M167" s="116" t="str">
        <f ca="1">IFERROR(IF(AC167&lt;&gt;"","",ROUND(INDEX('M04-S02'!$Z$18:$Z$199,2*(ROWS(M$151:M167)-1)+1),3)),"")</f>
        <v/>
      </c>
      <c r="N167" s="418"/>
      <c r="O167" s="415" t="str">
        <f ca="1">IFERROR(IF(AC167&lt;&gt;"","",INDEX('M04-S02'!$AK$18:$AK$199,2*(ROWS(O$151:O167)-1)+1)),"")</f>
        <v/>
      </c>
      <c r="P167" s="408"/>
      <c r="Q167" s="415" t="str">
        <f ca="1">IFERROR(IF(AC167&lt;&gt;"","",INDEX('M04-S02'!$BA$18:$BA$199,2*(ROWS(Q$151:Q167)-1)+1)),"")</f>
        <v/>
      </c>
      <c r="R167" s="200" t="str">
        <f ca="1">IFERROR(IF(AC167&lt;&gt;"","",INDEX('M04-S02'!$AN$18:$AN$199,2*(ROWS(R$151:R167)-1)+1)),"")</f>
        <v/>
      </c>
      <c r="S167" s="200">
        <f ca="1">IFERROR(IF(AC167&lt;&gt;"",INDEX('M04-S02'!$AD$18:$AD$199,2*(ROWS(S$151:S167)-1)+1),""),"")</f>
        <v>0</v>
      </c>
      <c r="T167" s="200">
        <f ca="1">IFERROR(IF(AC167&lt;&gt;"",INDEX('M04-S02'!$AF$18:$AF$199,2*(ROWS(T$151:T167)-1)+1),""),"")</f>
        <v>0</v>
      </c>
      <c r="U167" s="200" t="str">
        <f ca="1">IFERROR(IF(AC167&lt;&gt;"",INDEX('M04-S02'!$AH$18:$AH$199,2*(ROWS(U$151:U167)-1)+1),""),"")</f>
        <v/>
      </c>
      <c r="V167" s="178" t="str">
        <f t="shared" ca="1" si="16"/>
        <v>Total</v>
      </c>
      <c r="W167" s="116">
        <f ca="1">IFERROR(IF(AC167&lt;&gt;"",ROUND(INDEX('M04-S02'!$M$18:$M$199,2*(ROWS(W$151:W167)-1)+1),3),""),"")</f>
        <v>0</v>
      </c>
      <c r="X167" s="116">
        <f ca="1">IFERROR(IF(AC167&lt;&gt;"",ROUND(INDEX('M04-S02'!$Z$18:$Z$199,2*(ROWS(X$151:X167)-1)+1),3),""),"")</f>
        <v>0</v>
      </c>
      <c r="Y167" s="408"/>
      <c r="Z167" s="173" t="str">
        <f ca="1">IFERROR(IF(AC167&lt;&gt;"",INDEX('M04-S02'!$AK$18:$AK$199,2*(ROWS(Z$151:Z167)-1)+1),""),"")</f>
        <v/>
      </c>
      <c r="AA167" s="408"/>
      <c r="AB167" s="415" t="str">
        <f ca="1">IFERROR(IF(AC167&lt;&gt;"",INDEX('M04-S02'!$BA$18:$BA$199,2*(ROWS(AB$151:AB167)-1)+1),""),"")</f>
        <v/>
      </c>
      <c r="AC167" s="178" t="str">
        <f ca="1">IFERROR(INDEX('M04-S02'!$BJ$18:$BJ$199,2*(ROWS(AC$151:AC167)-1)+1),"")</f>
        <v>Submit for Review</v>
      </c>
      <c r="AD167" s="415" t="str">
        <f>IFERROR(INDEX('M04-S02'!$AW$18:$AW$199,2*(ROWS(AD$151:AD167)-1)+1),"")</f>
        <v/>
      </c>
      <c r="AE167" s="415" t="str">
        <f>IFERROR(INDEX('M04-S02'!$AX$18:$AX$199,2*(ROWS(AE$151:AE167)-1)+1),"")</f>
        <v/>
      </c>
      <c r="AF167" s="173" t="str">
        <f>IFERROR(INDEX('M04-S02'!$O$18:$O$199,2*(ROWS(AF$151:AF167)-1)+1),"")</f>
        <v/>
      </c>
      <c r="AG167" s="173">
        <f>IFERROR(INDEX('M04-S02'!$AB$18:$AB$199,2*(ROWS(AG$151:AG167)-1)+1),"")</f>
        <v>0</v>
      </c>
      <c r="AH167" s="408"/>
      <c r="AI167" s="178">
        <f>IFERROR(INDEX('M04-S02'!$B$18:$B$199,2*(ROWS(AI$151:AI167)-1)+1),"")</f>
        <v>17</v>
      </c>
      <c r="AJ167" s="178">
        <f>IFERROR(INDEX('M04-S02'!$G$18:$G$199,2*(ROWS(AJ$151:AJ167)-1)+1),"")</f>
        <v>0</v>
      </c>
      <c r="AK167" s="178">
        <f>IFERROR(INDEX('M04-S02'!$S$18:$S$199,2*(ROWS(AK$151:AK167)-1)+1),"")</f>
        <v>0</v>
      </c>
      <c r="AL167" s="178">
        <f>IFERROR(INDEX('M04-S02'!$K$18:$K$199,2*(ROWS(AL$151:AL167)-1)+1),"")</f>
        <v>0</v>
      </c>
      <c r="AM167" s="178">
        <f>IFERROR(INDEX('M04-S02'!$W$18:$W$199,2*(ROWS(AM$151:AM167)-1)+1),"")</f>
        <v>0</v>
      </c>
      <c r="AN167" s="200" t="str">
        <f>IFERROR(INDEX('M04-S02'!$AT$18:$AT$199,2*(ROWS(AN$151:AN167)-1)+1),"")</f>
        <v/>
      </c>
      <c r="AO167" s="200" t="str">
        <f>IFERROR(INDEX('M04-S02'!$AU$18:$AU$199,2*(ROWS(AO$151:AO167)-1)+1),"")</f>
        <v/>
      </c>
      <c r="AP167" s="178" t="str">
        <f>IFERROR(INDEX('M04-S02'!$AV$18:$AV$199,2*(ROWS(AP$151:AP167)-1)+1),"")</f>
        <v/>
      </c>
      <c r="AQ167" s="178" t="str">
        <f>IFERROR(INDEX('M04-S02'!$AY$18:$AY$199,2*(ROWS(AQ$151:AQ167)-1)+1),"")</f>
        <v/>
      </c>
      <c r="AR167" s="178" t="s">
        <v>1374</v>
      </c>
      <c r="AS167" s="178"/>
      <c r="AT167" s="278"/>
      <c r="AU167" s="278"/>
      <c r="AV167" s="278"/>
      <c r="AW167" s="278"/>
      <c r="AX167" s="278"/>
      <c r="AY167" s="278"/>
      <c r="AZ167" s="278"/>
      <c r="BA167" s="278"/>
      <c r="BB167" s="278"/>
      <c r="BC167" s="278"/>
      <c r="BD167" s="278"/>
      <c r="BE167" s="279"/>
    </row>
    <row r="168" spans="1:57" s="54" customFormat="1" hidden="1">
      <c r="A168" s="135">
        <f t="shared" si="14"/>
        <v>0</v>
      </c>
      <c r="B168" s="178" t="str">
        <f t="shared" si="17"/>
        <v/>
      </c>
      <c r="C168" s="178" t="str">
        <f>IFERROR(IF(INDEX('M04-S02'!$BH$18:$BH$199,2*(ROWS($C$151:C168)-1)+1)="","",INDEX('M04-S02'!$BH$18:$BH$199,2*(ROWS($C$151:C168)-1)+1)),"")</f>
        <v/>
      </c>
      <c r="D168" s="180" t="s">
        <v>144</v>
      </c>
      <c r="E168" s="178" t="str">
        <f>IFERROR(INDEX('M04-S02'!$AZ$18:$AZ$199,2*(ROWS(E$151:E168)-1)+1),"")</f>
        <v/>
      </c>
      <c r="F168" s="173">
        <f>IFERROR(INDEX('M04-S02'!$Q$18:$Q$199,2*(ROWS(F$151:F168)-1)+1),"")</f>
        <v>0</v>
      </c>
      <c r="G168" s="178" t="str">
        <f>IFERROR(INDEX('M04-S02'!$E$18:$E$199,2*(ROWS($G$151:G168)-1)+1)&amp;" - "&amp;INDEX('M04-S02'!$C$18:$C$199,2*(ROWS($G$151:G168)-1)+1),"")</f>
        <v xml:space="preserve"> - </v>
      </c>
      <c r="H168" s="200" t="str">
        <f ca="1">IFERROR(IF(AC168&lt;&gt;"","",INDEX('M04-S02'!$AD$18:$AD$199,2*(ROWS(H$151:H168)-1)+1)),"")</f>
        <v/>
      </c>
      <c r="I168" s="200" t="str">
        <f ca="1">IFERROR(IF(AC168&lt;&gt;"","",INDEX('M04-S02'!$AF$18:$AF$199,2*(ROWS(I$151:I168)-1)+1)),"")</f>
        <v/>
      </c>
      <c r="J168" s="200" t="str">
        <f ca="1">IFERROR(IF(AC168&lt;&gt;"","",INDEX('M04-S02'!$AH$18:$AH$199,2*(ROWS(J$151:J168)-1)+1)),"")</f>
        <v/>
      </c>
      <c r="K168" s="178" t="str">
        <f t="shared" ca="1" si="15"/>
        <v/>
      </c>
      <c r="L168" s="116" t="str">
        <f ca="1">IFERROR(IF(AC168&lt;&gt;"","",ROUND(INDEX('M04-S02'!$M$18:$M$199,2*(ROWS(L$151:L168)-1)+1),3)),"")</f>
        <v/>
      </c>
      <c r="M168" s="116" t="str">
        <f ca="1">IFERROR(IF(AC168&lt;&gt;"","",ROUND(INDEX('M04-S02'!$Z$18:$Z$199,2*(ROWS(M$151:M168)-1)+1),3)),"")</f>
        <v/>
      </c>
      <c r="N168" s="418"/>
      <c r="O168" s="415" t="str">
        <f ca="1">IFERROR(IF(AC168&lt;&gt;"","",INDEX('M04-S02'!$AK$18:$AK$199,2*(ROWS(O$151:O168)-1)+1)),"")</f>
        <v/>
      </c>
      <c r="P168" s="408"/>
      <c r="Q168" s="415" t="str">
        <f ca="1">IFERROR(IF(AC168&lt;&gt;"","",INDEX('M04-S02'!$BA$18:$BA$199,2*(ROWS(Q$151:Q168)-1)+1)),"")</f>
        <v/>
      </c>
      <c r="R168" s="200" t="str">
        <f ca="1">IFERROR(IF(AC168&lt;&gt;"","",INDEX('M04-S02'!$AN$18:$AN$199,2*(ROWS(R$151:R168)-1)+1)),"")</f>
        <v/>
      </c>
      <c r="S168" s="200">
        <f ca="1">IFERROR(IF(AC168&lt;&gt;"",INDEX('M04-S02'!$AD$18:$AD$199,2*(ROWS(S$151:S168)-1)+1),""),"")</f>
        <v>0</v>
      </c>
      <c r="T168" s="200">
        <f ca="1">IFERROR(IF(AC168&lt;&gt;"",INDEX('M04-S02'!$AF$18:$AF$199,2*(ROWS(T$151:T168)-1)+1),""),"")</f>
        <v>0</v>
      </c>
      <c r="U168" s="200" t="str">
        <f ca="1">IFERROR(IF(AC168&lt;&gt;"",INDEX('M04-S02'!$AH$18:$AH$199,2*(ROWS(U$151:U168)-1)+1),""),"")</f>
        <v/>
      </c>
      <c r="V168" s="178" t="str">
        <f t="shared" ca="1" si="16"/>
        <v>Total</v>
      </c>
      <c r="W168" s="116">
        <f ca="1">IFERROR(IF(AC168&lt;&gt;"",ROUND(INDEX('M04-S02'!$M$18:$M$199,2*(ROWS(W$151:W168)-1)+1),3),""),"")</f>
        <v>0</v>
      </c>
      <c r="X168" s="116">
        <f ca="1">IFERROR(IF(AC168&lt;&gt;"",ROUND(INDEX('M04-S02'!$Z$18:$Z$199,2*(ROWS(X$151:X168)-1)+1),3),""),"")</f>
        <v>0</v>
      </c>
      <c r="Y168" s="408"/>
      <c r="Z168" s="173" t="str">
        <f ca="1">IFERROR(IF(AC168&lt;&gt;"",INDEX('M04-S02'!$AK$18:$AK$199,2*(ROWS(Z$151:Z168)-1)+1),""),"")</f>
        <v/>
      </c>
      <c r="AA168" s="408"/>
      <c r="AB168" s="415" t="str">
        <f ca="1">IFERROR(IF(AC168&lt;&gt;"",INDEX('M04-S02'!$BA$18:$BA$199,2*(ROWS(AB$151:AB168)-1)+1),""),"")</f>
        <v/>
      </c>
      <c r="AC168" s="178" t="str">
        <f ca="1">IFERROR(INDEX('M04-S02'!$BJ$18:$BJ$199,2*(ROWS(AC$151:AC168)-1)+1),"")</f>
        <v>Submit for Review</v>
      </c>
      <c r="AD168" s="415" t="str">
        <f>IFERROR(INDEX('M04-S02'!$AW$18:$AW$199,2*(ROWS(AD$151:AD168)-1)+1),"")</f>
        <v/>
      </c>
      <c r="AE168" s="415" t="str">
        <f>IFERROR(INDEX('M04-S02'!$AX$18:$AX$199,2*(ROWS(AE$151:AE168)-1)+1),"")</f>
        <v/>
      </c>
      <c r="AF168" s="173" t="str">
        <f>IFERROR(INDEX('M04-S02'!$O$18:$O$199,2*(ROWS(AF$151:AF168)-1)+1),"")</f>
        <v/>
      </c>
      <c r="AG168" s="173">
        <f>IFERROR(INDEX('M04-S02'!$AB$18:$AB$199,2*(ROWS(AG$151:AG168)-1)+1),"")</f>
        <v>0</v>
      </c>
      <c r="AH168" s="408"/>
      <c r="AI168" s="178">
        <f>IFERROR(INDEX('M04-S02'!$B$18:$B$199,2*(ROWS(AI$151:AI168)-1)+1),"")</f>
        <v>18</v>
      </c>
      <c r="AJ168" s="178">
        <f>IFERROR(INDEX('M04-S02'!$G$18:$G$199,2*(ROWS(AJ$151:AJ168)-1)+1),"")</f>
        <v>0</v>
      </c>
      <c r="AK168" s="178">
        <f>IFERROR(INDEX('M04-S02'!$S$18:$S$199,2*(ROWS(AK$151:AK168)-1)+1),"")</f>
        <v>0</v>
      </c>
      <c r="AL168" s="178">
        <f>IFERROR(INDEX('M04-S02'!$K$18:$K$199,2*(ROWS(AL$151:AL168)-1)+1),"")</f>
        <v>0</v>
      </c>
      <c r="AM168" s="178">
        <f>IFERROR(INDEX('M04-S02'!$W$18:$W$199,2*(ROWS(AM$151:AM168)-1)+1),"")</f>
        <v>0</v>
      </c>
      <c r="AN168" s="200" t="str">
        <f>IFERROR(INDEX('M04-S02'!$AT$18:$AT$199,2*(ROWS(AN$151:AN168)-1)+1),"")</f>
        <v/>
      </c>
      <c r="AO168" s="200" t="str">
        <f>IFERROR(INDEX('M04-S02'!$AU$18:$AU$199,2*(ROWS(AO$151:AO168)-1)+1),"")</f>
        <v/>
      </c>
      <c r="AP168" s="178" t="str">
        <f>IFERROR(INDEX('M04-S02'!$AV$18:$AV$199,2*(ROWS(AP$151:AP168)-1)+1),"")</f>
        <v/>
      </c>
      <c r="AQ168" s="178" t="str">
        <f>IFERROR(INDEX('M04-S02'!$AY$18:$AY$199,2*(ROWS(AQ$151:AQ168)-1)+1),"")</f>
        <v/>
      </c>
      <c r="AR168" s="178" t="s">
        <v>1374</v>
      </c>
      <c r="AS168" s="178"/>
      <c r="AT168" s="278"/>
      <c r="AU168" s="278"/>
      <c r="AV168" s="278"/>
      <c r="AW168" s="278"/>
      <c r="AX168" s="278"/>
      <c r="AY168" s="278"/>
      <c r="AZ168" s="278"/>
      <c r="BA168" s="278"/>
      <c r="BB168" s="278"/>
      <c r="BC168" s="278"/>
      <c r="BD168" s="278"/>
      <c r="BE168" s="279"/>
    </row>
    <row r="169" spans="1:57" s="54" customFormat="1" hidden="1">
      <c r="A169" s="135">
        <f t="shared" si="14"/>
        <v>0</v>
      </c>
      <c r="B169" s="178" t="str">
        <f t="shared" si="17"/>
        <v/>
      </c>
      <c r="C169" s="178" t="str">
        <f>IFERROR(IF(INDEX('M04-S02'!$BH$18:$BH$199,2*(ROWS($C$151:C169)-1)+1)="","",INDEX('M04-S02'!$BH$18:$BH$199,2*(ROWS($C$151:C169)-1)+1)),"")</f>
        <v/>
      </c>
      <c r="D169" s="180" t="s">
        <v>144</v>
      </c>
      <c r="E169" s="178" t="str">
        <f>IFERROR(INDEX('M04-S02'!$AZ$18:$AZ$199,2*(ROWS(E$151:E169)-1)+1),"")</f>
        <v/>
      </c>
      <c r="F169" s="173">
        <f>IFERROR(INDEX('M04-S02'!$Q$18:$Q$199,2*(ROWS(F$151:F169)-1)+1),"")</f>
        <v>0</v>
      </c>
      <c r="G169" s="178" t="str">
        <f>IFERROR(INDEX('M04-S02'!$E$18:$E$199,2*(ROWS($G$151:G169)-1)+1)&amp;" - "&amp;INDEX('M04-S02'!$C$18:$C$199,2*(ROWS($G$151:G169)-1)+1),"")</f>
        <v xml:space="preserve"> - </v>
      </c>
      <c r="H169" s="200" t="str">
        <f ca="1">IFERROR(IF(AC169&lt;&gt;"","",INDEX('M04-S02'!$AD$18:$AD$199,2*(ROWS(H$151:H169)-1)+1)),"")</f>
        <v/>
      </c>
      <c r="I169" s="200" t="str">
        <f ca="1">IFERROR(IF(AC169&lt;&gt;"","",INDEX('M04-S02'!$AF$18:$AF$199,2*(ROWS(I$151:I169)-1)+1)),"")</f>
        <v/>
      </c>
      <c r="J169" s="200" t="str">
        <f ca="1">IFERROR(IF(AC169&lt;&gt;"","",INDEX('M04-S02'!$AH$18:$AH$199,2*(ROWS(J$151:J169)-1)+1)),"")</f>
        <v/>
      </c>
      <c r="K169" s="178" t="str">
        <f t="shared" ca="1" si="15"/>
        <v/>
      </c>
      <c r="L169" s="116" t="str">
        <f ca="1">IFERROR(IF(AC169&lt;&gt;"","",ROUND(INDEX('M04-S02'!$M$18:$M$199,2*(ROWS(L$151:L169)-1)+1),3)),"")</f>
        <v/>
      </c>
      <c r="M169" s="116" t="str">
        <f ca="1">IFERROR(IF(AC169&lt;&gt;"","",ROUND(INDEX('M04-S02'!$Z$18:$Z$199,2*(ROWS(M$151:M169)-1)+1),3)),"")</f>
        <v/>
      </c>
      <c r="N169" s="418"/>
      <c r="O169" s="415" t="str">
        <f ca="1">IFERROR(IF(AC169&lt;&gt;"","",INDEX('M04-S02'!$AK$18:$AK$199,2*(ROWS(O$151:O169)-1)+1)),"")</f>
        <v/>
      </c>
      <c r="P169" s="408"/>
      <c r="Q169" s="415" t="str">
        <f ca="1">IFERROR(IF(AC169&lt;&gt;"","",INDEX('M04-S02'!$BA$18:$BA$199,2*(ROWS(Q$151:Q169)-1)+1)),"")</f>
        <v/>
      </c>
      <c r="R169" s="200" t="str">
        <f ca="1">IFERROR(IF(AC169&lt;&gt;"","",INDEX('M04-S02'!$AN$18:$AN$199,2*(ROWS(R$151:R169)-1)+1)),"")</f>
        <v/>
      </c>
      <c r="S169" s="200">
        <f ca="1">IFERROR(IF(AC169&lt;&gt;"",INDEX('M04-S02'!$AD$18:$AD$199,2*(ROWS(S$151:S169)-1)+1),""),"")</f>
        <v>0</v>
      </c>
      <c r="T169" s="200">
        <f ca="1">IFERROR(IF(AC169&lt;&gt;"",INDEX('M04-S02'!$AF$18:$AF$199,2*(ROWS(T$151:T169)-1)+1),""),"")</f>
        <v>0</v>
      </c>
      <c r="U169" s="200" t="str">
        <f ca="1">IFERROR(IF(AC169&lt;&gt;"",INDEX('M04-S02'!$AH$18:$AH$199,2*(ROWS(U$151:U169)-1)+1),""),"")</f>
        <v/>
      </c>
      <c r="V169" s="178" t="str">
        <f t="shared" ca="1" si="16"/>
        <v>Total</v>
      </c>
      <c r="W169" s="116">
        <f ca="1">IFERROR(IF(AC169&lt;&gt;"",ROUND(INDEX('M04-S02'!$M$18:$M$199,2*(ROWS(W$151:W169)-1)+1),3),""),"")</f>
        <v>0</v>
      </c>
      <c r="X169" s="116">
        <f ca="1">IFERROR(IF(AC169&lt;&gt;"",ROUND(INDEX('M04-S02'!$Z$18:$Z$199,2*(ROWS(X$151:X169)-1)+1),3),""),"")</f>
        <v>0</v>
      </c>
      <c r="Y169" s="408"/>
      <c r="Z169" s="173" t="str">
        <f ca="1">IFERROR(IF(AC169&lt;&gt;"",INDEX('M04-S02'!$AK$18:$AK$199,2*(ROWS(Z$151:Z169)-1)+1),""),"")</f>
        <v/>
      </c>
      <c r="AA169" s="408"/>
      <c r="AB169" s="415" t="str">
        <f ca="1">IFERROR(IF(AC169&lt;&gt;"",INDEX('M04-S02'!$BA$18:$BA$199,2*(ROWS(AB$151:AB169)-1)+1),""),"")</f>
        <v/>
      </c>
      <c r="AC169" s="178" t="str">
        <f ca="1">IFERROR(INDEX('M04-S02'!$BJ$18:$BJ$199,2*(ROWS(AC$151:AC169)-1)+1),"")</f>
        <v>Submit for Review</v>
      </c>
      <c r="AD169" s="415" t="str">
        <f>IFERROR(INDEX('M04-S02'!$AW$18:$AW$199,2*(ROWS(AD$151:AD169)-1)+1),"")</f>
        <v/>
      </c>
      <c r="AE169" s="415" t="str">
        <f>IFERROR(INDEX('M04-S02'!$AX$18:$AX$199,2*(ROWS(AE$151:AE169)-1)+1),"")</f>
        <v/>
      </c>
      <c r="AF169" s="173" t="str">
        <f>IFERROR(INDEX('M04-S02'!$O$18:$O$199,2*(ROWS(AF$151:AF169)-1)+1),"")</f>
        <v/>
      </c>
      <c r="AG169" s="173">
        <f>IFERROR(INDEX('M04-S02'!$AB$18:$AB$199,2*(ROWS(AG$151:AG169)-1)+1),"")</f>
        <v>0</v>
      </c>
      <c r="AH169" s="408"/>
      <c r="AI169" s="178">
        <f>IFERROR(INDEX('M04-S02'!$B$18:$B$199,2*(ROWS(AI$151:AI169)-1)+1),"")</f>
        <v>19</v>
      </c>
      <c r="AJ169" s="178">
        <f>IFERROR(INDEX('M04-S02'!$G$18:$G$199,2*(ROWS(AJ$151:AJ169)-1)+1),"")</f>
        <v>0</v>
      </c>
      <c r="AK169" s="178">
        <f>IFERROR(INDEX('M04-S02'!$S$18:$S$199,2*(ROWS(AK$151:AK169)-1)+1),"")</f>
        <v>0</v>
      </c>
      <c r="AL169" s="178">
        <f>IFERROR(INDEX('M04-S02'!$K$18:$K$199,2*(ROWS(AL$151:AL169)-1)+1),"")</f>
        <v>0</v>
      </c>
      <c r="AM169" s="178">
        <f>IFERROR(INDEX('M04-S02'!$W$18:$W$199,2*(ROWS(AM$151:AM169)-1)+1),"")</f>
        <v>0</v>
      </c>
      <c r="AN169" s="200" t="str">
        <f>IFERROR(INDEX('M04-S02'!$AT$18:$AT$199,2*(ROWS(AN$151:AN169)-1)+1),"")</f>
        <v/>
      </c>
      <c r="AO169" s="200" t="str">
        <f>IFERROR(INDEX('M04-S02'!$AU$18:$AU$199,2*(ROWS(AO$151:AO169)-1)+1),"")</f>
        <v/>
      </c>
      <c r="AP169" s="178" t="str">
        <f>IFERROR(INDEX('M04-S02'!$AV$18:$AV$199,2*(ROWS(AP$151:AP169)-1)+1),"")</f>
        <v/>
      </c>
      <c r="AQ169" s="178" t="str">
        <f>IFERROR(INDEX('M04-S02'!$AY$18:$AY$199,2*(ROWS(AQ$151:AQ169)-1)+1),"")</f>
        <v/>
      </c>
      <c r="AR169" s="178" t="s">
        <v>1374</v>
      </c>
      <c r="AS169" s="178"/>
      <c r="AT169" s="278"/>
      <c r="AU169" s="278"/>
      <c r="AV169" s="278"/>
      <c r="AW169" s="278"/>
      <c r="AX169" s="278"/>
      <c r="AY169" s="278"/>
      <c r="AZ169" s="278"/>
      <c r="BA169" s="278"/>
      <c r="BB169" s="278"/>
      <c r="BC169" s="278"/>
      <c r="BD169" s="278"/>
      <c r="BE169" s="279"/>
    </row>
    <row r="170" spans="1:57" s="54" customFormat="1" hidden="1">
      <c r="A170" s="135">
        <f t="shared" si="14"/>
        <v>0</v>
      </c>
      <c r="B170" s="178" t="str">
        <f t="shared" si="17"/>
        <v/>
      </c>
      <c r="C170" s="178" t="str">
        <f>IFERROR(IF(INDEX('M04-S02'!$BH$18:$BH$199,2*(ROWS($C$151:C170)-1)+1)="","",INDEX('M04-S02'!$BH$18:$BH$199,2*(ROWS($C$151:C170)-1)+1)),"")</f>
        <v/>
      </c>
      <c r="D170" s="180" t="s">
        <v>144</v>
      </c>
      <c r="E170" s="178" t="str">
        <f>IFERROR(INDEX('M04-S02'!$AZ$18:$AZ$199,2*(ROWS(E$151:E170)-1)+1),"")</f>
        <v/>
      </c>
      <c r="F170" s="173">
        <f>IFERROR(INDEX('M04-S02'!$Q$18:$Q$199,2*(ROWS(F$151:F170)-1)+1),"")</f>
        <v>0</v>
      </c>
      <c r="G170" s="178" t="str">
        <f>IFERROR(INDEX('M04-S02'!$E$18:$E$199,2*(ROWS($G$151:G170)-1)+1)&amp;" - "&amp;INDEX('M04-S02'!$C$18:$C$199,2*(ROWS($G$151:G170)-1)+1),"")</f>
        <v xml:space="preserve"> - </v>
      </c>
      <c r="H170" s="200" t="str">
        <f ca="1">IFERROR(IF(AC170&lt;&gt;"","",INDEX('M04-S02'!$AD$18:$AD$199,2*(ROWS(H$151:H170)-1)+1)),"")</f>
        <v/>
      </c>
      <c r="I170" s="200" t="str">
        <f ca="1">IFERROR(IF(AC170&lt;&gt;"","",INDEX('M04-S02'!$AF$18:$AF$199,2*(ROWS(I$151:I170)-1)+1)),"")</f>
        <v/>
      </c>
      <c r="J170" s="200" t="str">
        <f ca="1">IFERROR(IF(AC170&lt;&gt;"","",INDEX('M04-S02'!$AH$18:$AH$199,2*(ROWS(J$151:J170)-1)+1)),"")</f>
        <v/>
      </c>
      <c r="K170" s="178" t="str">
        <f t="shared" ca="1" si="15"/>
        <v/>
      </c>
      <c r="L170" s="116" t="str">
        <f ca="1">IFERROR(IF(AC170&lt;&gt;"","",ROUND(INDEX('M04-S02'!$M$18:$M$199,2*(ROWS(L$151:L170)-1)+1),3)),"")</f>
        <v/>
      </c>
      <c r="M170" s="116" t="str">
        <f ca="1">IFERROR(IF(AC170&lt;&gt;"","",ROUND(INDEX('M04-S02'!$Z$18:$Z$199,2*(ROWS(M$151:M170)-1)+1),3)),"")</f>
        <v/>
      </c>
      <c r="N170" s="418"/>
      <c r="O170" s="415" t="str">
        <f ca="1">IFERROR(IF(AC170&lt;&gt;"","",INDEX('M04-S02'!$AK$18:$AK$199,2*(ROWS(O$151:O170)-1)+1)),"")</f>
        <v/>
      </c>
      <c r="P170" s="408"/>
      <c r="Q170" s="415" t="str">
        <f ca="1">IFERROR(IF(AC170&lt;&gt;"","",INDEX('M04-S02'!$BA$18:$BA$199,2*(ROWS(Q$151:Q170)-1)+1)),"")</f>
        <v/>
      </c>
      <c r="R170" s="200" t="str">
        <f ca="1">IFERROR(IF(AC170&lt;&gt;"","",INDEX('M04-S02'!$AN$18:$AN$199,2*(ROWS(R$151:R170)-1)+1)),"")</f>
        <v/>
      </c>
      <c r="S170" s="200">
        <f ca="1">IFERROR(IF(AC170&lt;&gt;"",INDEX('M04-S02'!$AD$18:$AD$199,2*(ROWS(S$151:S170)-1)+1),""),"")</f>
        <v>0</v>
      </c>
      <c r="T170" s="200">
        <f ca="1">IFERROR(IF(AC170&lt;&gt;"",INDEX('M04-S02'!$AF$18:$AF$199,2*(ROWS(T$151:T170)-1)+1),""),"")</f>
        <v>0</v>
      </c>
      <c r="U170" s="200" t="str">
        <f ca="1">IFERROR(IF(AC170&lt;&gt;"",INDEX('M04-S02'!$AH$18:$AH$199,2*(ROWS(U$151:U170)-1)+1),""),"")</f>
        <v/>
      </c>
      <c r="V170" s="178" t="str">
        <f t="shared" ca="1" si="16"/>
        <v>Total</v>
      </c>
      <c r="W170" s="116">
        <f ca="1">IFERROR(IF(AC170&lt;&gt;"",ROUND(INDEX('M04-S02'!$M$18:$M$199,2*(ROWS(W$151:W170)-1)+1),3),""),"")</f>
        <v>0</v>
      </c>
      <c r="X170" s="116">
        <f ca="1">IFERROR(IF(AC170&lt;&gt;"",ROUND(INDEX('M04-S02'!$Z$18:$Z$199,2*(ROWS(X$151:X170)-1)+1),3),""),"")</f>
        <v>0</v>
      </c>
      <c r="Y170" s="408"/>
      <c r="Z170" s="173" t="str">
        <f ca="1">IFERROR(IF(AC170&lt;&gt;"",INDEX('M04-S02'!$AK$18:$AK$199,2*(ROWS(Z$151:Z170)-1)+1),""),"")</f>
        <v/>
      </c>
      <c r="AA170" s="408"/>
      <c r="AB170" s="415" t="str">
        <f ca="1">IFERROR(IF(AC170&lt;&gt;"",INDEX('M04-S02'!$BA$18:$BA$199,2*(ROWS(AB$151:AB170)-1)+1),""),"")</f>
        <v/>
      </c>
      <c r="AC170" s="178" t="str">
        <f ca="1">IFERROR(INDEX('M04-S02'!$BJ$18:$BJ$199,2*(ROWS(AC$151:AC170)-1)+1),"")</f>
        <v>Submit for Review</v>
      </c>
      <c r="AD170" s="415" t="str">
        <f>IFERROR(INDEX('M04-S02'!$AW$18:$AW$199,2*(ROWS(AD$151:AD170)-1)+1),"")</f>
        <v/>
      </c>
      <c r="AE170" s="415" t="str">
        <f>IFERROR(INDEX('M04-S02'!$AX$18:$AX$199,2*(ROWS(AE$151:AE170)-1)+1),"")</f>
        <v/>
      </c>
      <c r="AF170" s="173" t="str">
        <f>IFERROR(INDEX('M04-S02'!$O$18:$O$199,2*(ROWS(AF$151:AF170)-1)+1),"")</f>
        <v/>
      </c>
      <c r="AG170" s="173">
        <f>IFERROR(INDEX('M04-S02'!$AB$18:$AB$199,2*(ROWS(AG$151:AG170)-1)+1),"")</f>
        <v>0</v>
      </c>
      <c r="AH170" s="408"/>
      <c r="AI170" s="178">
        <f>IFERROR(INDEX('M04-S02'!$B$18:$B$199,2*(ROWS(AI$151:AI170)-1)+1),"")</f>
        <v>20</v>
      </c>
      <c r="AJ170" s="178">
        <f>IFERROR(INDEX('M04-S02'!$G$18:$G$199,2*(ROWS(AJ$151:AJ170)-1)+1),"")</f>
        <v>0</v>
      </c>
      <c r="AK170" s="178">
        <f>IFERROR(INDEX('M04-S02'!$S$18:$S$199,2*(ROWS(AK$151:AK170)-1)+1),"")</f>
        <v>0</v>
      </c>
      <c r="AL170" s="178">
        <f>IFERROR(INDEX('M04-S02'!$K$18:$K$199,2*(ROWS(AL$151:AL170)-1)+1),"")</f>
        <v>0</v>
      </c>
      <c r="AM170" s="178">
        <f>IFERROR(INDEX('M04-S02'!$W$18:$W$199,2*(ROWS(AM$151:AM170)-1)+1),"")</f>
        <v>0</v>
      </c>
      <c r="AN170" s="200" t="str">
        <f>IFERROR(INDEX('M04-S02'!$AT$18:$AT$199,2*(ROWS(AN$151:AN170)-1)+1),"")</f>
        <v/>
      </c>
      <c r="AO170" s="200" t="str">
        <f>IFERROR(INDEX('M04-S02'!$AU$18:$AU$199,2*(ROWS(AO$151:AO170)-1)+1),"")</f>
        <v/>
      </c>
      <c r="AP170" s="178" t="str">
        <f>IFERROR(INDEX('M04-S02'!$AV$18:$AV$199,2*(ROWS(AP$151:AP170)-1)+1),"")</f>
        <v/>
      </c>
      <c r="AQ170" s="178" t="str">
        <f>IFERROR(INDEX('M04-S02'!$AY$18:$AY$199,2*(ROWS(AQ$151:AQ170)-1)+1),"")</f>
        <v/>
      </c>
      <c r="AR170" s="178" t="s">
        <v>1374</v>
      </c>
      <c r="AS170" s="178"/>
      <c r="AT170" s="278"/>
      <c r="AU170" s="278"/>
      <c r="AV170" s="278"/>
      <c r="AW170" s="278"/>
      <c r="AX170" s="278"/>
      <c r="AY170" s="278"/>
      <c r="AZ170" s="278"/>
      <c r="BA170" s="278"/>
      <c r="BB170" s="278"/>
      <c r="BC170" s="278"/>
      <c r="BD170" s="278"/>
      <c r="BE170" s="279"/>
    </row>
    <row r="171" spans="1:57" s="54" customFormat="1" hidden="1">
      <c r="A171" s="135">
        <f t="shared" si="14"/>
        <v>0</v>
      </c>
      <c r="B171" s="178" t="str">
        <f t="shared" si="17"/>
        <v/>
      </c>
      <c r="C171" s="178" t="str">
        <f>IFERROR(IF(INDEX('M04-S02'!$BH$18:$BH$199,2*(ROWS($C$151:C171)-1)+1)="","",INDEX('M04-S02'!$BH$18:$BH$199,2*(ROWS($C$151:C171)-1)+1)),"")</f>
        <v/>
      </c>
      <c r="D171" s="180" t="s">
        <v>144</v>
      </c>
      <c r="E171" s="178" t="str">
        <f>IFERROR(INDEX('M04-S02'!$AZ$18:$AZ$199,2*(ROWS(E$151:E171)-1)+1),"")</f>
        <v/>
      </c>
      <c r="F171" s="173">
        <f>IFERROR(INDEX('M04-S02'!$Q$18:$Q$199,2*(ROWS(F$151:F171)-1)+1),"")</f>
        <v>0</v>
      </c>
      <c r="G171" s="178" t="str">
        <f>IFERROR(INDEX('M04-S02'!$E$18:$E$199,2*(ROWS($G$151:G171)-1)+1)&amp;" - "&amp;INDEX('M04-S02'!$C$18:$C$199,2*(ROWS($G$151:G171)-1)+1),"")</f>
        <v xml:space="preserve"> - </v>
      </c>
      <c r="H171" s="200" t="str">
        <f ca="1">IFERROR(IF(AC171&lt;&gt;"","",INDEX('M04-S02'!$AD$18:$AD$199,2*(ROWS(H$151:H171)-1)+1)),"")</f>
        <v/>
      </c>
      <c r="I171" s="200" t="str">
        <f ca="1">IFERROR(IF(AC171&lt;&gt;"","",INDEX('M04-S02'!$AF$18:$AF$199,2*(ROWS(I$151:I171)-1)+1)),"")</f>
        <v/>
      </c>
      <c r="J171" s="200" t="str">
        <f ca="1">IFERROR(IF(AC171&lt;&gt;"","",INDEX('M04-S02'!$AH$18:$AH$199,2*(ROWS(J$151:J171)-1)+1)),"")</f>
        <v/>
      </c>
      <c r="K171" s="178" t="str">
        <f t="shared" ca="1" si="15"/>
        <v/>
      </c>
      <c r="L171" s="116" t="str">
        <f ca="1">IFERROR(IF(AC171&lt;&gt;"","",ROUND(INDEX('M04-S02'!$M$18:$M$199,2*(ROWS(L$151:L171)-1)+1),3)),"")</f>
        <v/>
      </c>
      <c r="M171" s="116" t="str">
        <f ca="1">IFERROR(IF(AC171&lt;&gt;"","",ROUND(INDEX('M04-S02'!$Z$18:$Z$199,2*(ROWS(M$151:M171)-1)+1),3)),"")</f>
        <v/>
      </c>
      <c r="N171" s="418"/>
      <c r="O171" s="415" t="str">
        <f ca="1">IFERROR(IF(AC171&lt;&gt;"","",INDEX('M04-S02'!$AK$18:$AK$199,2*(ROWS(O$151:O171)-1)+1)),"")</f>
        <v/>
      </c>
      <c r="P171" s="408"/>
      <c r="Q171" s="415" t="str">
        <f ca="1">IFERROR(IF(AC171&lt;&gt;"","",INDEX('M04-S02'!$BA$18:$BA$199,2*(ROWS(Q$151:Q171)-1)+1)),"")</f>
        <v/>
      </c>
      <c r="R171" s="200" t="str">
        <f ca="1">IFERROR(IF(AC171&lt;&gt;"","",INDEX('M04-S02'!$AN$18:$AN$199,2*(ROWS(R$151:R171)-1)+1)),"")</f>
        <v/>
      </c>
      <c r="S171" s="200">
        <f ca="1">IFERROR(IF(AC171&lt;&gt;"",INDEX('M04-S02'!$AD$18:$AD$199,2*(ROWS(S$151:S171)-1)+1),""),"")</f>
        <v>0</v>
      </c>
      <c r="T171" s="200">
        <f ca="1">IFERROR(IF(AC171&lt;&gt;"",INDEX('M04-S02'!$AF$18:$AF$199,2*(ROWS(T$151:T171)-1)+1),""),"")</f>
        <v>0</v>
      </c>
      <c r="U171" s="200" t="str">
        <f ca="1">IFERROR(IF(AC171&lt;&gt;"",INDEX('M04-S02'!$AH$18:$AH$199,2*(ROWS(U$151:U171)-1)+1),""),"")</f>
        <v/>
      </c>
      <c r="V171" s="178" t="str">
        <f t="shared" ca="1" si="16"/>
        <v>Total</v>
      </c>
      <c r="W171" s="116">
        <f ca="1">IFERROR(IF(AC171&lt;&gt;"",ROUND(INDEX('M04-S02'!$M$18:$M$199,2*(ROWS(W$151:W171)-1)+1),3),""),"")</f>
        <v>0</v>
      </c>
      <c r="X171" s="116">
        <f ca="1">IFERROR(IF(AC171&lt;&gt;"",ROUND(INDEX('M04-S02'!$Z$18:$Z$199,2*(ROWS(X$151:X171)-1)+1),3),""),"")</f>
        <v>0</v>
      </c>
      <c r="Y171" s="408"/>
      <c r="Z171" s="173" t="str">
        <f ca="1">IFERROR(IF(AC171&lt;&gt;"",INDEX('M04-S02'!$AK$18:$AK$199,2*(ROWS(Z$151:Z171)-1)+1),""),"")</f>
        <v/>
      </c>
      <c r="AA171" s="408"/>
      <c r="AB171" s="415" t="str">
        <f ca="1">IFERROR(IF(AC171&lt;&gt;"",INDEX('M04-S02'!$BA$18:$BA$199,2*(ROWS(AB$151:AB171)-1)+1),""),"")</f>
        <v/>
      </c>
      <c r="AC171" s="178" t="str">
        <f ca="1">IFERROR(INDEX('M04-S02'!$BJ$18:$BJ$199,2*(ROWS(AC$151:AC171)-1)+1),"")</f>
        <v>Submit for Review</v>
      </c>
      <c r="AD171" s="415" t="str">
        <f>IFERROR(INDEX('M04-S02'!$AW$18:$AW$199,2*(ROWS(AD$151:AD171)-1)+1),"")</f>
        <v/>
      </c>
      <c r="AE171" s="415" t="str">
        <f>IFERROR(INDEX('M04-S02'!$AX$18:$AX$199,2*(ROWS(AE$151:AE171)-1)+1),"")</f>
        <v/>
      </c>
      <c r="AF171" s="173" t="str">
        <f>IFERROR(INDEX('M04-S02'!$O$18:$O$199,2*(ROWS(AF$151:AF171)-1)+1),"")</f>
        <v/>
      </c>
      <c r="AG171" s="173">
        <f>IFERROR(INDEX('M04-S02'!$AB$18:$AB$199,2*(ROWS(AG$151:AG171)-1)+1),"")</f>
        <v>0</v>
      </c>
      <c r="AH171" s="408"/>
      <c r="AI171" s="178">
        <f>IFERROR(INDEX('M04-S02'!$B$18:$B$199,2*(ROWS(AI$151:AI171)-1)+1),"")</f>
        <v>21</v>
      </c>
      <c r="AJ171" s="178">
        <f>IFERROR(INDEX('M04-S02'!$G$18:$G$199,2*(ROWS(AJ$151:AJ171)-1)+1),"")</f>
        <v>0</v>
      </c>
      <c r="AK171" s="178">
        <f>IFERROR(INDEX('M04-S02'!$S$18:$S$199,2*(ROWS(AK$151:AK171)-1)+1),"")</f>
        <v>0</v>
      </c>
      <c r="AL171" s="178">
        <f>IFERROR(INDEX('M04-S02'!$K$18:$K$199,2*(ROWS(AL$151:AL171)-1)+1),"")</f>
        <v>0</v>
      </c>
      <c r="AM171" s="178">
        <f>IFERROR(INDEX('M04-S02'!$W$18:$W$199,2*(ROWS(AM$151:AM171)-1)+1),"")</f>
        <v>0</v>
      </c>
      <c r="AN171" s="200" t="str">
        <f>IFERROR(INDEX('M04-S02'!$AT$18:$AT$199,2*(ROWS(AN$151:AN171)-1)+1),"")</f>
        <v/>
      </c>
      <c r="AO171" s="200" t="str">
        <f>IFERROR(INDEX('M04-S02'!$AU$18:$AU$199,2*(ROWS(AO$151:AO171)-1)+1),"")</f>
        <v/>
      </c>
      <c r="AP171" s="178" t="str">
        <f>IFERROR(INDEX('M04-S02'!$AV$18:$AV$199,2*(ROWS(AP$151:AP171)-1)+1),"")</f>
        <v/>
      </c>
      <c r="AQ171" s="178" t="str">
        <f>IFERROR(INDEX('M04-S02'!$AY$18:$AY$199,2*(ROWS(AQ$151:AQ171)-1)+1),"")</f>
        <v/>
      </c>
      <c r="AR171" s="178" t="s">
        <v>1374</v>
      </c>
      <c r="AS171" s="178"/>
      <c r="AT171" s="278"/>
      <c r="AU171" s="278"/>
      <c r="AV171" s="278"/>
      <c r="AW171" s="278"/>
      <c r="AX171" s="278"/>
      <c r="AY171" s="278"/>
      <c r="AZ171" s="278"/>
      <c r="BA171" s="278"/>
      <c r="BB171" s="278"/>
      <c r="BC171" s="278"/>
      <c r="BD171" s="278"/>
      <c r="BE171" s="279"/>
    </row>
    <row r="172" spans="1:57" s="54" customFormat="1" hidden="1">
      <c r="A172" s="135">
        <f t="shared" si="14"/>
        <v>0</v>
      </c>
      <c r="B172" s="178" t="str">
        <f t="shared" si="17"/>
        <v/>
      </c>
      <c r="C172" s="178" t="str">
        <f>IFERROR(IF(INDEX('M04-S02'!$BH$18:$BH$199,2*(ROWS($C$151:C172)-1)+1)="","",INDEX('M04-S02'!$BH$18:$BH$199,2*(ROWS($C$151:C172)-1)+1)),"")</f>
        <v/>
      </c>
      <c r="D172" s="180" t="s">
        <v>144</v>
      </c>
      <c r="E172" s="178" t="str">
        <f>IFERROR(INDEX('M04-S02'!$AZ$18:$AZ$199,2*(ROWS(E$151:E172)-1)+1),"")</f>
        <v/>
      </c>
      <c r="F172" s="173">
        <f>IFERROR(INDEX('M04-S02'!$Q$18:$Q$199,2*(ROWS(F$151:F172)-1)+1),"")</f>
        <v>0</v>
      </c>
      <c r="G172" s="178" t="str">
        <f>IFERROR(INDEX('M04-S02'!$E$18:$E$199,2*(ROWS($G$151:G172)-1)+1)&amp;" - "&amp;INDEX('M04-S02'!$C$18:$C$199,2*(ROWS($G$151:G172)-1)+1),"")</f>
        <v xml:space="preserve"> - </v>
      </c>
      <c r="H172" s="200" t="str">
        <f ca="1">IFERROR(IF(AC172&lt;&gt;"","",INDEX('M04-S02'!$AD$18:$AD$199,2*(ROWS(H$151:H172)-1)+1)),"")</f>
        <v/>
      </c>
      <c r="I172" s="200" t="str">
        <f ca="1">IFERROR(IF(AC172&lt;&gt;"","",INDEX('M04-S02'!$AF$18:$AF$199,2*(ROWS(I$151:I172)-1)+1)),"")</f>
        <v/>
      </c>
      <c r="J172" s="200" t="str">
        <f ca="1">IFERROR(IF(AC172&lt;&gt;"","",INDEX('M04-S02'!$AH$18:$AH$199,2*(ROWS(J$151:J172)-1)+1)),"")</f>
        <v/>
      </c>
      <c r="K172" s="178" t="str">
        <f t="shared" ca="1" si="15"/>
        <v/>
      </c>
      <c r="L172" s="116" t="str">
        <f ca="1">IFERROR(IF(AC172&lt;&gt;"","",ROUND(INDEX('M04-S02'!$M$18:$M$199,2*(ROWS(L$151:L172)-1)+1),3)),"")</f>
        <v/>
      </c>
      <c r="M172" s="116" t="str">
        <f ca="1">IFERROR(IF(AC172&lt;&gt;"","",ROUND(INDEX('M04-S02'!$Z$18:$Z$199,2*(ROWS(M$151:M172)-1)+1),3)),"")</f>
        <v/>
      </c>
      <c r="N172" s="418"/>
      <c r="O172" s="415" t="str">
        <f ca="1">IFERROR(IF(AC172&lt;&gt;"","",INDEX('M04-S02'!$AK$18:$AK$199,2*(ROWS(O$151:O172)-1)+1)),"")</f>
        <v/>
      </c>
      <c r="P172" s="408"/>
      <c r="Q172" s="415" t="str">
        <f ca="1">IFERROR(IF(AC172&lt;&gt;"","",INDEX('M04-S02'!$BA$18:$BA$199,2*(ROWS(Q$151:Q172)-1)+1)),"")</f>
        <v/>
      </c>
      <c r="R172" s="200" t="str">
        <f ca="1">IFERROR(IF(AC172&lt;&gt;"","",INDEX('M04-S02'!$AN$18:$AN$199,2*(ROWS(R$151:R172)-1)+1)),"")</f>
        <v/>
      </c>
      <c r="S172" s="200">
        <f ca="1">IFERROR(IF(AC172&lt;&gt;"",INDEX('M04-S02'!$AD$18:$AD$199,2*(ROWS(S$151:S172)-1)+1),""),"")</f>
        <v>0</v>
      </c>
      <c r="T172" s="200">
        <f ca="1">IFERROR(IF(AC172&lt;&gt;"",INDEX('M04-S02'!$AF$18:$AF$199,2*(ROWS(T$151:T172)-1)+1),""),"")</f>
        <v>0</v>
      </c>
      <c r="U172" s="200" t="str">
        <f ca="1">IFERROR(IF(AC172&lt;&gt;"",INDEX('M04-S02'!$AH$18:$AH$199,2*(ROWS(U$151:U172)-1)+1),""),"")</f>
        <v/>
      </c>
      <c r="V172" s="178" t="str">
        <f t="shared" ca="1" si="16"/>
        <v>Total</v>
      </c>
      <c r="W172" s="116">
        <f ca="1">IFERROR(IF(AC172&lt;&gt;"",ROUND(INDEX('M04-S02'!$M$18:$M$199,2*(ROWS(W$151:W172)-1)+1),3),""),"")</f>
        <v>0</v>
      </c>
      <c r="X172" s="116">
        <f ca="1">IFERROR(IF(AC172&lt;&gt;"",ROUND(INDEX('M04-S02'!$Z$18:$Z$199,2*(ROWS(X$151:X172)-1)+1),3),""),"")</f>
        <v>0</v>
      </c>
      <c r="Y172" s="408"/>
      <c r="Z172" s="173" t="str">
        <f ca="1">IFERROR(IF(AC172&lt;&gt;"",INDEX('M04-S02'!$AK$18:$AK$199,2*(ROWS(Z$151:Z172)-1)+1),""),"")</f>
        <v/>
      </c>
      <c r="AA172" s="408"/>
      <c r="AB172" s="415" t="str">
        <f ca="1">IFERROR(IF(AC172&lt;&gt;"",INDEX('M04-S02'!$BA$18:$BA$199,2*(ROWS(AB$151:AB172)-1)+1),""),"")</f>
        <v/>
      </c>
      <c r="AC172" s="178" t="str">
        <f ca="1">IFERROR(INDEX('M04-S02'!$BJ$18:$BJ$199,2*(ROWS(AC$151:AC172)-1)+1),"")</f>
        <v>Submit for Review</v>
      </c>
      <c r="AD172" s="415" t="str">
        <f>IFERROR(INDEX('M04-S02'!$AW$18:$AW$199,2*(ROWS(AD$151:AD172)-1)+1),"")</f>
        <v/>
      </c>
      <c r="AE172" s="415" t="str">
        <f>IFERROR(INDEX('M04-S02'!$AX$18:$AX$199,2*(ROWS(AE$151:AE172)-1)+1),"")</f>
        <v/>
      </c>
      <c r="AF172" s="173" t="str">
        <f>IFERROR(INDEX('M04-S02'!$O$18:$O$199,2*(ROWS(AF$151:AF172)-1)+1),"")</f>
        <v/>
      </c>
      <c r="AG172" s="173">
        <f>IFERROR(INDEX('M04-S02'!$AB$18:$AB$199,2*(ROWS(AG$151:AG172)-1)+1),"")</f>
        <v>0</v>
      </c>
      <c r="AH172" s="408"/>
      <c r="AI172" s="178">
        <f>IFERROR(INDEX('M04-S02'!$B$18:$B$199,2*(ROWS(AI$151:AI172)-1)+1),"")</f>
        <v>22</v>
      </c>
      <c r="AJ172" s="178">
        <f>IFERROR(INDEX('M04-S02'!$G$18:$G$199,2*(ROWS(AJ$151:AJ172)-1)+1),"")</f>
        <v>0</v>
      </c>
      <c r="AK172" s="178">
        <f>IFERROR(INDEX('M04-S02'!$S$18:$S$199,2*(ROWS(AK$151:AK172)-1)+1),"")</f>
        <v>0</v>
      </c>
      <c r="AL172" s="178">
        <f>IFERROR(INDEX('M04-S02'!$K$18:$K$199,2*(ROWS(AL$151:AL172)-1)+1),"")</f>
        <v>0</v>
      </c>
      <c r="AM172" s="178">
        <f>IFERROR(INDEX('M04-S02'!$W$18:$W$199,2*(ROWS(AM$151:AM172)-1)+1),"")</f>
        <v>0</v>
      </c>
      <c r="AN172" s="200" t="str">
        <f>IFERROR(INDEX('M04-S02'!$AT$18:$AT$199,2*(ROWS(AN$151:AN172)-1)+1),"")</f>
        <v/>
      </c>
      <c r="AO172" s="200" t="str">
        <f>IFERROR(INDEX('M04-S02'!$AU$18:$AU$199,2*(ROWS(AO$151:AO172)-1)+1),"")</f>
        <v/>
      </c>
      <c r="AP172" s="178" t="str">
        <f>IFERROR(INDEX('M04-S02'!$AV$18:$AV$199,2*(ROWS(AP$151:AP172)-1)+1),"")</f>
        <v/>
      </c>
      <c r="AQ172" s="178" t="str">
        <f>IFERROR(INDEX('M04-S02'!$AY$18:$AY$199,2*(ROWS(AQ$151:AQ172)-1)+1),"")</f>
        <v/>
      </c>
      <c r="AR172" s="178" t="s">
        <v>1374</v>
      </c>
      <c r="AS172" s="178"/>
      <c r="AT172" s="278"/>
      <c r="AU172" s="278"/>
      <c r="AV172" s="278"/>
      <c r="AW172" s="278"/>
      <c r="AX172" s="278"/>
      <c r="AY172" s="278"/>
      <c r="AZ172" s="278"/>
      <c r="BA172" s="278"/>
      <c r="BB172" s="278"/>
      <c r="BC172" s="278"/>
      <c r="BD172" s="278"/>
      <c r="BE172" s="279"/>
    </row>
    <row r="173" spans="1:57" s="54" customFormat="1" hidden="1">
      <c r="A173" s="135">
        <f t="shared" si="14"/>
        <v>0</v>
      </c>
      <c r="B173" s="178" t="str">
        <f t="shared" si="17"/>
        <v/>
      </c>
      <c r="C173" s="178" t="str">
        <f>IFERROR(IF(INDEX('M04-S02'!$BH$18:$BH$199,2*(ROWS($C$151:C173)-1)+1)="","",INDEX('M04-S02'!$BH$18:$BH$199,2*(ROWS($C$151:C173)-1)+1)),"")</f>
        <v/>
      </c>
      <c r="D173" s="180" t="s">
        <v>144</v>
      </c>
      <c r="E173" s="178" t="str">
        <f>IFERROR(INDEX('M04-S02'!$AZ$18:$AZ$199,2*(ROWS(E$151:E173)-1)+1),"")</f>
        <v/>
      </c>
      <c r="F173" s="173">
        <f>IFERROR(INDEX('M04-S02'!$Q$18:$Q$199,2*(ROWS(F$151:F173)-1)+1),"")</f>
        <v>0</v>
      </c>
      <c r="G173" s="178" t="str">
        <f>IFERROR(INDEX('M04-S02'!$E$18:$E$199,2*(ROWS($G$151:G173)-1)+1)&amp;" - "&amp;INDEX('M04-S02'!$C$18:$C$199,2*(ROWS($G$151:G173)-1)+1),"")</f>
        <v xml:space="preserve"> - </v>
      </c>
      <c r="H173" s="200" t="str">
        <f ca="1">IFERROR(IF(AC173&lt;&gt;"","",INDEX('M04-S02'!$AD$18:$AD$199,2*(ROWS(H$151:H173)-1)+1)),"")</f>
        <v/>
      </c>
      <c r="I173" s="200" t="str">
        <f ca="1">IFERROR(IF(AC173&lt;&gt;"","",INDEX('M04-S02'!$AF$18:$AF$199,2*(ROWS(I$151:I173)-1)+1)),"")</f>
        <v/>
      </c>
      <c r="J173" s="200" t="str">
        <f ca="1">IFERROR(IF(AC173&lt;&gt;"","",INDEX('M04-S02'!$AH$18:$AH$199,2*(ROWS(J$151:J173)-1)+1)),"")</f>
        <v/>
      </c>
      <c r="K173" s="178" t="str">
        <f t="shared" ca="1" si="15"/>
        <v/>
      </c>
      <c r="L173" s="116" t="str">
        <f ca="1">IFERROR(IF(AC173&lt;&gt;"","",ROUND(INDEX('M04-S02'!$M$18:$M$199,2*(ROWS(L$151:L173)-1)+1),3)),"")</f>
        <v/>
      </c>
      <c r="M173" s="116" t="str">
        <f ca="1">IFERROR(IF(AC173&lt;&gt;"","",ROUND(INDEX('M04-S02'!$Z$18:$Z$199,2*(ROWS(M$151:M173)-1)+1),3)),"")</f>
        <v/>
      </c>
      <c r="N173" s="418"/>
      <c r="O173" s="415" t="str">
        <f ca="1">IFERROR(IF(AC173&lt;&gt;"","",INDEX('M04-S02'!$AK$18:$AK$199,2*(ROWS(O$151:O173)-1)+1)),"")</f>
        <v/>
      </c>
      <c r="P173" s="408"/>
      <c r="Q173" s="415" t="str">
        <f ca="1">IFERROR(IF(AC173&lt;&gt;"","",INDEX('M04-S02'!$BA$18:$BA$199,2*(ROWS(Q$151:Q173)-1)+1)),"")</f>
        <v/>
      </c>
      <c r="R173" s="200" t="str">
        <f ca="1">IFERROR(IF(AC173&lt;&gt;"","",INDEX('M04-S02'!$AN$18:$AN$199,2*(ROWS(R$151:R173)-1)+1)),"")</f>
        <v/>
      </c>
      <c r="S173" s="200">
        <f ca="1">IFERROR(IF(AC173&lt;&gt;"",INDEX('M04-S02'!$AD$18:$AD$199,2*(ROWS(S$151:S173)-1)+1),""),"")</f>
        <v>0</v>
      </c>
      <c r="T173" s="200">
        <f ca="1">IFERROR(IF(AC173&lt;&gt;"",INDEX('M04-S02'!$AF$18:$AF$199,2*(ROWS(T$151:T173)-1)+1),""),"")</f>
        <v>0</v>
      </c>
      <c r="U173" s="200" t="str">
        <f ca="1">IFERROR(IF(AC173&lt;&gt;"",INDEX('M04-S02'!$AH$18:$AH$199,2*(ROWS(U$151:U173)-1)+1),""),"")</f>
        <v/>
      </c>
      <c r="V173" s="178" t="str">
        <f t="shared" ca="1" si="16"/>
        <v>Total</v>
      </c>
      <c r="W173" s="116">
        <f ca="1">IFERROR(IF(AC173&lt;&gt;"",ROUND(INDEX('M04-S02'!$M$18:$M$199,2*(ROWS(W$151:W173)-1)+1),3),""),"")</f>
        <v>0</v>
      </c>
      <c r="X173" s="116">
        <f ca="1">IFERROR(IF(AC173&lt;&gt;"",ROUND(INDEX('M04-S02'!$Z$18:$Z$199,2*(ROWS(X$151:X173)-1)+1),3),""),"")</f>
        <v>0</v>
      </c>
      <c r="Y173" s="408"/>
      <c r="Z173" s="173" t="str">
        <f ca="1">IFERROR(IF(AC173&lt;&gt;"",INDEX('M04-S02'!$AK$18:$AK$199,2*(ROWS(Z$151:Z173)-1)+1),""),"")</f>
        <v/>
      </c>
      <c r="AA173" s="408"/>
      <c r="AB173" s="415" t="str">
        <f ca="1">IFERROR(IF(AC173&lt;&gt;"",INDEX('M04-S02'!$BA$18:$BA$199,2*(ROWS(AB$151:AB173)-1)+1),""),"")</f>
        <v/>
      </c>
      <c r="AC173" s="178" t="str">
        <f ca="1">IFERROR(INDEX('M04-S02'!$BJ$18:$BJ$199,2*(ROWS(AC$151:AC173)-1)+1),"")</f>
        <v>Submit for Review</v>
      </c>
      <c r="AD173" s="415" t="str">
        <f>IFERROR(INDEX('M04-S02'!$AW$18:$AW$199,2*(ROWS(AD$151:AD173)-1)+1),"")</f>
        <v/>
      </c>
      <c r="AE173" s="415" t="str">
        <f>IFERROR(INDEX('M04-S02'!$AX$18:$AX$199,2*(ROWS(AE$151:AE173)-1)+1),"")</f>
        <v/>
      </c>
      <c r="AF173" s="173" t="str">
        <f>IFERROR(INDEX('M04-S02'!$O$18:$O$199,2*(ROWS(AF$151:AF173)-1)+1),"")</f>
        <v/>
      </c>
      <c r="AG173" s="173">
        <f>IFERROR(INDEX('M04-S02'!$AB$18:$AB$199,2*(ROWS(AG$151:AG173)-1)+1),"")</f>
        <v>0</v>
      </c>
      <c r="AH173" s="408"/>
      <c r="AI173" s="178">
        <f>IFERROR(INDEX('M04-S02'!$B$18:$B$199,2*(ROWS(AI$151:AI173)-1)+1),"")</f>
        <v>23</v>
      </c>
      <c r="AJ173" s="178">
        <f>IFERROR(INDEX('M04-S02'!$G$18:$G$199,2*(ROWS(AJ$151:AJ173)-1)+1),"")</f>
        <v>0</v>
      </c>
      <c r="AK173" s="178">
        <f>IFERROR(INDEX('M04-S02'!$S$18:$S$199,2*(ROWS(AK$151:AK173)-1)+1),"")</f>
        <v>0</v>
      </c>
      <c r="AL173" s="178">
        <f>IFERROR(INDEX('M04-S02'!$K$18:$K$199,2*(ROWS(AL$151:AL173)-1)+1),"")</f>
        <v>0</v>
      </c>
      <c r="AM173" s="178">
        <f>IFERROR(INDEX('M04-S02'!$W$18:$W$199,2*(ROWS(AM$151:AM173)-1)+1),"")</f>
        <v>0</v>
      </c>
      <c r="AN173" s="200" t="str">
        <f>IFERROR(INDEX('M04-S02'!$AT$18:$AT$199,2*(ROWS(AN$151:AN173)-1)+1),"")</f>
        <v/>
      </c>
      <c r="AO173" s="200" t="str">
        <f>IFERROR(INDEX('M04-S02'!$AU$18:$AU$199,2*(ROWS(AO$151:AO173)-1)+1),"")</f>
        <v/>
      </c>
      <c r="AP173" s="178" t="str">
        <f>IFERROR(INDEX('M04-S02'!$AV$18:$AV$199,2*(ROWS(AP$151:AP173)-1)+1),"")</f>
        <v/>
      </c>
      <c r="AQ173" s="178" t="str">
        <f>IFERROR(INDEX('M04-S02'!$AY$18:$AY$199,2*(ROWS(AQ$151:AQ173)-1)+1),"")</f>
        <v/>
      </c>
      <c r="AR173" s="178" t="s">
        <v>1374</v>
      </c>
      <c r="AS173" s="178"/>
      <c r="AT173" s="278"/>
      <c r="AU173" s="278"/>
      <c r="AV173" s="278"/>
      <c r="AW173" s="278"/>
      <c r="AX173" s="278"/>
      <c r="AY173" s="278"/>
      <c r="AZ173" s="278"/>
      <c r="BA173" s="278"/>
      <c r="BB173" s="278"/>
      <c r="BC173" s="278"/>
      <c r="BD173" s="278"/>
      <c r="BE173" s="279"/>
    </row>
    <row r="174" spans="1:57" s="54" customFormat="1" hidden="1">
      <c r="A174" s="135">
        <f t="shared" si="14"/>
        <v>0</v>
      </c>
      <c r="B174" s="178" t="str">
        <f t="shared" si="17"/>
        <v/>
      </c>
      <c r="C174" s="178" t="str">
        <f>IFERROR(IF(INDEX('M04-S02'!$BH$18:$BH$199,2*(ROWS($C$151:C174)-1)+1)="","",INDEX('M04-S02'!$BH$18:$BH$199,2*(ROWS($C$151:C174)-1)+1)),"")</f>
        <v/>
      </c>
      <c r="D174" s="180" t="s">
        <v>144</v>
      </c>
      <c r="E174" s="178" t="str">
        <f>IFERROR(INDEX('M04-S02'!$AZ$18:$AZ$199,2*(ROWS(E$151:E174)-1)+1),"")</f>
        <v/>
      </c>
      <c r="F174" s="173">
        <f>IFERROR(INDEX('M04-S02'!$Q$18:$Q$199,2*(ROWS(F$151:F174)-1)+1),"")</f>
        <v>0</v>
      </c>
      <c r="G174" s="178" t="str">
        <f>IFERROR(INDEX('M04-S02'!$E$18:$E$199,2*(ROWS($G$151:G174)-1)+1)&amp;" - "&amp;INDEX('M04-S02'!$C$18:$C$199,2*(ROWS($G$151:G174)-1)+1),"")</f>
        <v xml:space="preserve"> - </v>
      </c>
      <c r="H174" s="200" t="str">
        <f ca="1">IFERROR(IF(AC174&lt;&gt;"","",INDEX('M04-S02'!$AD$18:$AD$199,2*(ROWS(H$151:H174)-1)+1)),"")</f>
        <v/>
      </c>
      <c r="I174" s="200" t="str">
        <f ca="1">IFERROR(IF(AC174&lt;&gt;"","",INDEX('M04-S02'!$AF$18:$AF$199,2*(ROWS(I$151:I174)-1)+1)),"")</f>
        <v/>
      </c>
      <c r="J174" s="200" t="str">
        <f ca="1">IFERROR(IF(AC174&lt;&gt;"","",INDEX('M04-S02'!$AH$18:$AH$199,2*(ROWS(J$151:J174)-1)+1)),"")</f>
        <v/>
      </c>
      <c r="K174" s="178" t="str">
        <f t="shared" ca="1" si="15"/>
        <v/>
      </c>
      <c r="L174" s="116" t="str">
        <f ca="1">IFERROR(IF(AC174&lt;&gt;"","",ROUND(INDEX('M04-S02'!$M$18:$M$199,2*(ROWS(L$151:L174)-1)+1),3)),"")</f>
        <v/>
      </c>
      <c r="M174" s="116" t="str">
        <f ca="1">IFERROR(IF(AC174&lt;&gt;"","",ROUND(INDEX('M04-S02'!$Z$18:$Z$199,2*(ROWS(M$151:M174)-1)+1),3)),"")</f>
        <v/>
      </c>
      <c r="N174" s="418"/>
      <c r="O174" s="415" t="str">
        <f ca="1">IFERROR(IF(AC174&lt;&gt;"","",INDEX('M04-S02'!$AK$18:$AK$199,2*(ROWS(O$151:O174)-1)+1)),"")</f>
        <v/>
      </c>
      <c r="P174" s="408"/>
      <c r="Q174" s="415" t="str">
        <f ca="1">IFERROR(IF(AC174&lt;&gt;"","",INDEX('M04-S02'!$BA$18:$BA$199,2*(ROWS(Q$151:Q174)-1)+1)),"")</f>
        <v/>
      </c>
      <c r="R174" s="200" t="str">
        <f ca="1">IFERROR(IF(AC174&lt;&gt;"","",INDEX('M04-S02'!$AN$18:$AN$199,2*(ROWS(R$151:R174)-1)+1)),"")</f>
        <v/>
      </c>
      <c r="S174" s="200">
        <f ca="1">IFERROR(IF(AC174&lt;&gt;"",INDEX('M04-S02'!$AD$18:$AD$199,2*(ROWS(S$151:S174)-1)+1),""),"")</f>
        <v>0</v>
      </c>
      <c r="T174" s="200">
        <f ca="1">IFERROR(IF(AC174&lt;&gt;"",INDEX('M04-S02'!$AF$18:$AF$199,2*(ROWS(T$151:T174)-1)+1),""),"")</f>
        <v>0</v>
      </c>
      <c r="U174" s="200" t="str">
        <f ca="1">IFERROR(IF(AC174&lt;&gt;"",INDEX('M04-S02'!$AH$18:$AH$199,2*(ROWS(U$151:U174)-1)+1),""),"")</f>
        <v/>
      </c>
      <c r="V174" s="178" t="str">
        <f t="shared" ca="1" si="16"/>
        <v>Total</v>
      </c>
      <c r="W174" s="116">
        <f ca="1">IFERROR(IF(AC174&lt;&gt;"",ROUND(INDEX('M04-S02'!$M$18:$M$199,2*(ROWS(W$151:W174)-1)+1),3),""),"")</f>
        <v>0</v>
      </c>
      <c r="X174" s="116">
        <f ca="1">IFERROR(IF(AC174&lt;&gt;"",ROUND(INDEX('M04-S02'!$Z$18:$Z$199,2*(ROWS(X$151:X174)-1)+1),3),""),"")</f>
        <v>0</v>
      </c>
      <c r="Y174" s="408"/>
      <c r="Z174" s="173" t="str">
        <f ca="1">IFERROR(IF(AC174&lt;&gt;"",INDEX('M04-S02'!$AK$18:$AK$199,2*(ROWS(Z$151:Z174)-1)+1),""),"")</f>
        <v/>
      </c>
      <c r="AA174" s="408"/>
      <c r="AB174" s="415" t="str">
        <f ca="1">IFERROR(IF(AC174&lt;&gt;"",INDEX('M04-S02'!$BA$18:$BA$199,2*(ROWS(AB$151:AB174)-1)+1),""),"")</f>
        <v/>
      </c>
      <c r="AC174" s="178" t="str">
        <f ca="1">IFERROR(INDEX('M04-S02'!$BJ$18:$BJ$199,2*(ROWS(AC$151:AC174)-1)+1),"")</f>
        <v>Submit for Review</v>
      </c>
      <c r="AD174" s="415" t="str">
        <f>IFERROR(INDEX('M04-S02'!$AW$18:$AW$199,2*(ROWS(AD$151:AD174)-1)+1),"")</f>
        <v/>
      </c>
      <c r="AE174" s="415" t="str">
        <f>IFERROR(INDEX('M04-S02'!$AX$18:$AX$199,2*(ROWS(AE$151:AE174)-1)+1),"")</f>
        <v/>
      </c>
      <c r="AF174" s="173" t="str">
        <f>IFERROR(INDEX('M04-S02'!$O$18:$O$199,2*(ROWS(AF$151:AF174)-1)+1),"")</f>
        <v/>
      </c>
      <c r="AG174" s="173">
        <f>IFERROR(INDEX('M04-S02'!$AB$18:$AB$199,2*(ROWS(AG$151:AG174)-1)+1),"")</f>
        <v>0</v>
      </c>
      <c r="AH174" s="408"/>
      <c r="AI174" s="178">
        <f>IFERROR(INDEX('M04-S02'!$B$18:$B$199,2*(ROWS(AI$151:AI174)-1)+1),"")</f>
        <v>24</v>
      </c>
      <c r="AJ174" s="178">
        <f>IFERROR(INDEX('M04-S02'!$G$18:$G$199,2*(ROWS(AJ$151:AJ174)-1)+1),"")</f>
        <v>0</v>
      </c>
      <c r="AK174" s="178">
        <f>IFERROR(INDEX('M04-S02'!$S$18:$S$199,2*(ROWS(AK$151:AK174)-1)+1),"")</f>
        <v>0</v>
      </c>
      <c r="AL174" s="178">
        <f>IFERROR(INDEX('M04-S02'!$K$18:$K$199,2*(ROWS(AL$151:AL174)-1)+1),"")</f>
        <v>0</v>
      </c>
      <c r="AM174" s="178">
        <f>IFERROR(INDEX('M04-S02'!$W$18:$W$199,2*(ROWS(AM$151:AM174)-1)+1),"")</f>
        <v>0</v>
      </c>
      <c r="AN174" s="200" t="str">
        <f>IFERROR(INDEX('M04-S02'!$AT$18:$AT$199,2*(ROWS(AN$151:AN174)-1)+1),"")</f>
        <v/>
      </c>
      <c r="AO174" s="200" t="str">
        <f>IFERROR(INDEX('M04-S02'!$AU$18:$AU$199,2*(ROWS(AO$151:AO174)-1)+1),"")</f>
        <v/>
      </c>
      <c r="AP174" s="178" t="str">
        <f>IFERROR(INDEX('M04-S02'!$AV$18:$AV$199,2*(ROWS(AP$151:AP174)-1)+1),"")</f>
        <v/>
      </c>
      <c r="AQ174" s="178" t="str">
        <f>IFERROR(INDEX('M04-S02'!$AY$18:$AY$199,2*(ROWS(AQ$151:AQ174)-1)+1),"")</f>
        <v/>
      </c>
      <c r="AR174" s="178" t="s">
        <v>1374</v>
      </c>
      <c r="AS174" s="178"/>
      <c r="AT174" s="278"/>
      <c r="AU174" s="278"/>
      <c r="AV174" s="278"/>
      <c r="AW174" s="278"/>
      <c r="AX174" s="278"/>
      <c r="AY174" s="278"/>
      <c r="AZ174" s="278"/>
      <c r="BA174" s="278"/>
      <c r="BB174" s="278"/>
      <c r="BC174" s="278"/>
      <c r="BD174" s="278"/>
      <c r="BE174" s="279"/>
    </row>
    <row r="175" spans="1:57" s="54" customFormat="1" hidden="1">
      <c r="A175" s="135">
        <f t="shared" si="14"/>
        <v>0</v>
      </c>
      <c r="B175" s="178" t="str">
        <f t="shared" si="17"/>
        <v/>
      </c>
      <c r="C175" s="178" t="str">
        <f>IFERROR(IF(INDEX('M04-S02'!$BH$18:$BH$199,2*(ROWS($C$151:C175)-1)+1)="","",INDEX('M04-S02'!$BH$18:$BH$199,2*(ROWS($C$151:C175)-1)+1)),"")</f>
        <v/>
      </c>
      <c r="D175" s="180" t="s">
        <v>144</v>
      </c>
      <c r="E175" s="178" t="str">
        <f>IFERROR(INDEX('M04-S02'!$AZ$18:$AZ$199,2*(ROWS(E$151:E175)-1)+1),"")</f>
        <v/>
      </c>
      <c r="F175" s="173">
        <f>IFERROR(INDEX('M04-S02'!$Q$18:$Q$199,2*(ROWS(F$151:F175)-1)+1),"")</f>
        <v>0</v>
      </c>
      <c r="G175" s="178" t="str">
        <f>IFERROR(INDEX('M04-S02'!$E$18:$E$199,2*(ROWS($G$151:G175)-1)+1)&amp;" - "&amp;INDEX('M04-S02'!$C$18:$C$199,2*(ROWS($G$151:G175)-1)+1),"")</f>
        <v xml:space="preserve"> - </v>
      </c>
      <c r="H175" s="200" t="str">
        <f ca="1">IFERROR(IF(AC175&lt;&gt;"","",INDEX('M04-S02'!$AD$18:$AD$199,2*(ROWS(H$151:H175)-1)+1)),"")</f>
        <v/>
      </c>
      <c r="I175" s="200" t="str">
        <f ca="1">IFERROR(IF(AC175&lt;&gt;"","",INDEX('M04-S02'!$AF$18:$AF$199,2*(ROWS(I$151:I175)-1)+1)),"")</f>
        <v/>
      </c>
      <c r="J175" s="200" t="str">
        <f ca="1">IFERROR(IF(AC175&lt;&gt;"","",INDEX('M04-S02'!$AH$18:$AH$199,2*(ROWS(J$151:J175)-1)+1)),"")</f>
        <v/>
      </c>
      <c r="K175" s="178" t="str">
        <f t="shared" ca="1" si="15"/>
        <v/>
      </c>
      <c r="L175" s="116" t="str">
        <f ca="1">IFERROR(IF(AC175&lt;&gt;"","",ROUND(INDEX('M04-S02'!$M$18:$M$199,2*(ROWS(L$151:L175)-1)+1),3)),"")</f>
        <v/>
      </c>
      <c r="M175" s="116" t="str">
        <f ca="1">IFERROR(IF(AC175&lt;&gt;"","",ROUND(INDEX('M04-S02'!$Z$18:$Z$199,2*(ROWS(M$151:M175)-1)+1),3)),"")</f>
        <v/>
      </c>
      <c r="N175" s="418"/>
      <c r="O175" s="415" t="str">
        <f ca="1">IFERROR(IF(AC175&lt;&gt;"","",INDEX('M04-S02'!$AK$18:$AK$199,2*(ROWS(O$151:O175)-1)+1)),"")</f>
        <v/>
      </c>
      <c r="P175" s="408"/>
      <c r="Q175" s="415" t="str">
        <f ca="1">IFERROR(IF(AC175&lt;&gt;"","",INDEX('M04-S02'!$BA$18:$BA$199,2*(ROWS(Q$151:Q175)-1)+1)),"")</f>
        <v/>
      </c>
      <c r="R175" s="200" t="str">
        <f ca="1">IFERROR(IF(AC175&lt;&gt;"","",INDEX('M04-S02'!$AN$18:$AN$199,2*(ROWS(R$151:R175)-1)+1)),"")</f>
        <v/>
      </c>
      <c r="S175" s="200">
        <f ca="1">IFERROR(IF(AC175&lt;&gt;"",INDEX('M04-S02'!$AD$18:$AD$199,2*(ROWS(S$151:S175)-1)+1),""),"")</f>
        <v>0</v>
      </c>
      <c r="T175" s="200">
        <f ca="1">IFERROR(IF(AC175&lt;&gt;"",INDEX('M04-S02'!$AF$18:$AF$199,2*(ROWS(T$151:T175)-1)+1),""),"")</f>
        <v>0</v>
      </c>
      <c r="U175" s="200" t="str">
        <f ca="1">IFERROR(IF(AC175&lt;&gt;"",INDEX('M04-S02'!$AH$18:$AH$199,2*(ROWS(U$151:U175)-1)+1),""),"")</f>
        <v/>
      </c>
      <c r="V175" s="178" t="str">
        <f t="shared" ca="1" si="16"/>
        <v>Total</v>
      </c>
      <c r="W175" s="116">
        <f ca="1">IFERROR(IF(AC175&lt;&gt;"",ROUND(INDEX('M04-S02'!$M$18:$M$199,2*(ROWS(W$151:W175)-1)+1),3),""),"")</f>
        <v>0</v>
      </c>
      <c r="X175" s="116">
        <f ca="1">IFERROR(IF(AC175&lt;&gt;"",ROUND(INDEX('M04-S02'!$Z$18:$Z$199,2*(ROWS(X$151:X175)-1)+1),3),""),"")</f>
        <v>0</v>
      </c>
      <c r="Y175" s="408"/>
      <c r="Z175" s="173" t="str">
        <f ca="1">IFERROR(IF(AC175&lt;&gt;"",INDEX('M04-S02'!$AK$18:$AK$199,2*(ROWS(Z$151:Z175)-1)+1),""),"")</f>
        <v/>
      </c>
      <c r="AA175" s="408"/>
      <c r="AB175" s="415" t="str">
        <f ca="1">IFERROR(IF(AC175&lt;&gt;"",INDEX('M04-S02'!$BA$18:$BA$199,2*(ROWS(AB$151:AB175)-1)+1),""),"")</f>
        <v/>
      </c>
      <c r="AC175" s="178" t="str">
        <f ca="1">IFERROR(INDEX('M04-S02'!$BJ$18:$BJ$199,2*(ROWS(AC$151:AC175)-1)+1),"")</f>
        <v>Submit for Review</v>
      </c>
      <c r="AD175" s="415" t="str">
        <f>IFERROR(INDEX('M04-S02'!$AW$18:$AW$199,2*(ROWS(AD$151:AD175)-1)+1),"")</f>
        <v/>
      </c>
      <c r="AE175" s="415" t="str">
        <f>IFERROR(INDEX('M04-S02'!$AX$18:$AX$199,2*(ROWS(AE$151:AE175)-1)+1),"")</f>
        <v/>
      </c>
      <c r="AF175" s="173" t="str">
        <f>IFERROR(INDEX('M04-S02'!$O$18:$O$199,2*(ROWS(AF$151:AF175)-1)+1),"")</f>
        <v/>
      </c>
      <c r="AG175" s="173">
        <f>IFERROR(INDEX('M04-S02'!$AB$18:$AB$199,2*(ROWS(AG$151:AG175)-1)+1),"")</f>
        <v>0</v>
      </c>
      <c r="AH175" s="408"/>
      <c r="AI175" s="178">
        <f>IFERROR(INDEX('M04-S02'!$B$18:$B$199,2*(ROWS(AI$151:AI175)-1)+1),"")</f>
        <v>25</v>
      </c>
      <c r="AJ175" s="178">
        <f>IFERROR(INDEX('M04-S02'!$G$18:$G$199,2*(ROWS(AJ$151:AJ175)-1)+1),"")</f>
        <v>0</v>
      </c>
      <c r="AK175" s="178">
        <f>IFERROR(INDEX('M04-S02'!$S$18:$S$199,2*(ROWS(AK$151:AK175)-1)+1),"")</f>
        <v>0</v>
      </c>
      <c r="AL175" s="178">
        <f>IFERROR(INDEX('M04-S02'!$K$18:$K$199,2*(ROWS(AL$151:AL175)-1)+1),"")</f>
        <v>0</v>
      </c>
      <c r="AM175" s="178">
        <f>IFERROR(INDEX('M04-S02'!$W$18:$W$199,2*(ROWS(AM$151:AM175)-1)+1),"")</f>
        <v>0</v>
      </c>
      <c r="AN175" s="200" t="str">
        <f>IFERROR(INDEX('M04-S02'!$AT$18:$AT$199,2*(ROWS(AN$151:AN175)-1)+1),"")</f>
        <v/>
      </c>
      <c r="AO175" s="200" t="str">
        <f>IFERROR(INDEX('M04-S02'!$AU$18:$AU$199,2*(ROWS(AO$151:AO175)-1)+1),"")</f>
        <v/>
      </c>
      <c r="AP175" s="178" t="str">
        <f>IFERROR(INDEX('M04-S02'!$AV$18:$AV$199,2*(ROWS(AP$151:AP175)-1)+1),"")</f>
        <v/>
      </c>
      <c r="AQ175" s="178" t="str">
        <f>IFERROR(INDEX('M04-S02'!$AY$18:$AY$199,2*(ROWS(AQ$151:AQ175)-1)+1),"")</f>
        <v/>
      </c>
      <c r="AR175" s="178" t="s">
        <v>1374</v>
      </c>
      <c r="AS175" s="178"/>
      <c r="AT175" s="278"/>
      <c r="AU175" s="278"/>
      <c r="AV175" s="278"/>
      <c r="AW175" s="278"/>
      <c r="AX175" s="278"/>
      <c r="AY175" s="278"/>
      <c r="AZ175" s="278"/>
      <c r="BA175" s="278"/>
      <c r="BB175" s="278"/>
      <c r="BC175" s="278"/>
      <c r="BD175" s="278"/>
      <c r="BE175" s="279"/>
    </row>
    <row r="176" spans="1:57" s="54" customFormat="1" hidden="1">
      <c r="A176" s="135">
        <f t="shared" si="14"/>
        <v>0</v>
      </c>
      <c r="B176" s="178" t="str">
        <f t="shared" si="17"/>
        <v/>
      </c>
      <c r="C176" s="178" t="str">
        <f>IFERROR(IF(INDEX('M04-S02'!$BH$18:$BH$199,2*(ROWS($C$151:C176)-1)+1)="","",INDEX('M04-S02'!$BH$18:$BH$199,2*(ROWS($C$151:C176)-1)+1)),"")</f>
        <v/>
      </c>
      <c r="D176" s="180" t="s">
        <v>144</v>
      </c>
      <c r="E176" s="178" t="str">
        <f>IFERROR(INDEX('M04-S02'!$AZ$18:$AZ$199,2*(ROWS(E$151:E176)-1)+1),"")</f>
        <v/>
      </c>
      <c r="F176" s="173">
        <f>IFERROR(INDEX('M04-S02'!$Q$18:$Q$199,2*(ROWS(F$151:F176)-1)+1),"")</f>
        <v>0</v>
      </c>
      <c r="G176" s="178" t="str">
        <f>IFERROR(INDEX('M04-S02'!$E$18:$E$199,2*(ROWS($G$151:G176)-1)+1)&amp;" - "&amp;INDEX('M04-S02'!$C$18:$C$199,2*(ROWS($G$151:G176)-1)+1),"")</f>
        <v xml:space="preserve"> - </v>
      </c>
      <c r="H176" s="200" t="str">
        <f ca="1">IFERROR(IF(AC176&lt;&gt;"","",INDEX('M04-S02'!$AD$18:$AD$199,2*(ROWS(H$151:H176)-1)+1)),"")</f>
        <v/>
      </c>
      <c r="I176" s="200" t="str">
        <f ca="1">IFERROR(IF(AC176&lt;&gt;"","",INDEX('M04-S02'!$AF$18:$AF$199,2*(ROWS(I$151:I176)-1)+1)),"")</f>
        <v/>
      </c>
      <c r="J176" s="200" t="str">
        <f ca="1">IFERROR(IF(AC176&lt;&gt;"","",INDEX('M04-S02'!$AH$18:$AH$199,2*(ROWS(J$151:J176)-1)+1)),"")</f>
        <v/>
      </c>
      <c r="K176" s="178" t="str">
        <f t="shared" ca="1" si="15"/>
        <v/>
      </c>
      <c r="L176" s="116" t="str">
        <f ca="1">IFERROR(IF(AC176&lt;&gt;"","",ROUND(INDEX('M04-S02'!$M$18:$M$199,2*(ROWS(L$151:L176)-1)+1),3)),"")</f>
        <v/>
      </c>
      <c r="M176" s="116" t="str">
        <f ca="1">IFERROR(IF(AC176&lt;&gt;"","",ROUND(INDEX('M04-S02'!$Z$18:$Z$199,2*(ROWS(M$151:M176)-1)+1),3)),"")</f>
        <v/>
      </c>
      <c r="N176" s="418"/>
      <c r="O176" s="415" t="str">
        <f ca="1">IFERROR(IF(AC176&lt;&gt;"","",INDEX('M04-S02'!$AK$18:$AK$199,2*(ROWS(O$151:O176)-1)+1)),"")</f>
        <v/>
      </c>
      <c r="P176" s="408"/>
      <c r="Q176" s="415" t="str">
        <f ca="1">IFERROR(IF(AC176&lt;&gt;"","",INDEX('M04-S02'!$BA$18:$BA$199,2*(ROWS(Q$151:Q176)-1)+1)),"")</f>
        <v/>
      </c>
      <c r="R176" s="200" t="str">
        <f ca="1">IFERROR(IF(AC176&lt;&gt;"","",INDEX('M04-S02'!$AN$18:$AN$199,2*(ROWS(R$151:R176)-1)+1)),"")</f>
        <v/>
      </c>
      <c r="S176" s="200">
        <f ca="1">IFERROR(IF(AC176&lt;&gt;"",INDEX('M04-S02'!$AD$18:$AD$199,2*(ROWS(S$151:S176)-1)+1),""),"")</f>
        <v>0</v>
      </c>
      <c r="T176" s="200">
        <f ca="1">IFERROR(IF(AC176&lt;&gt;"",INDEX('M04-S02'!$AF$18:$AF$199,2*(ROWS(T$151:T176)-1)+1),""),"")</f>
        <v>0</v>
      </c>
      <c r="U176" s="200" t="str">
        <f ca="1">IFERROR(IF(AC176&lt;&gt;"",INDEX('M04-S02'!$AH$18:$AH$199,2*(ROWS(U$151:U176)-1)+1),""),"")</f>
        <v/>
      </c>
      <c r="V176" s="178" t="str">
        <f t="shared" ca="1" si="16"/>
        <v>Total</v>
      </c>
      <c r="W176" s="116">
        <f ca="1">IFERROR(IF(AC176&lt;&gt;"",ROUND(INDEX('M04-S02'!$M$18:$M$199,2*(ROWS(W$151:W176)-1)+1),3),""),"")</f>
        <v>0</v>
      </c>
      <c r="X176" s="116">
        <f ca="1">IFERROR(IF(AC176&lt;&gt;"",ROUND(INDEX('M04-S02'!$Z$18:$Z$199,2*(ROWS(X$151:X176)-1)+1),3),""),"")</f>
        <v>0</v>
      </c>
      <c r="Y176" s="408"/>
      <c r="Z176" s="173" t="str">
        <f ca="1">IFERROR(IF(AC176&lt;&gt;"",INDEX('M04-S02'!$AK$18:$AK$199,2*(ROWS(Z$151:Z176)-1)+1),""),"")</f>
        <v/>
      </c>
      <c r="AA176" s="408"/>
      <c r="AB176" s="415" t="str">
        <f ca="1">IFERROR(IF(AC176&lt;&gt;"",INDEX('M04-S02'!$BA$18:$BA$199,2*(ROWS(AB$151:AB176)-1)+1),""),"")</f>
        <v/>
      </c>
      <c r="AC176" s="178" t="str">
        <f ca="1">IFERROR(INDEX('M04-S02'!$BJ$18:$BJ$199,2*(ROWS(AC$151:AC176)-1)+1),"")</f>
        <v>Submit for Review</v>
      </c>
      <c r="AD176" s="415" t="str">
        <f>IFERROR(INDEX('M04-S02'!$AW$18:$AW$199,2*(ROWS(AD$151:AD176)-1)+1),"")</f>
        <v/>
      </c>
      <c r="AE176" s="415" t="str">
        <f>IFERROR(INDEX('M04-S02'!$AX$18:$AX$199,2*(ROWS(AE$151:AE176)-1)+1),"")</f>
        <v/>
      </c>
      <c r="AF176" s="173" t="str">
        <f>IFERROR(INDEX('M04-S02'!$O$18:$O$199,2*(ROWS(AF$151:AF176)-1)+1),"")</f>
        <v/>
      </c>
      <c r="AG176" s="173">
        <f>IFERROR(INDEX('M04-S02'!$AB$18:$AB$199,2*(ROWS(AG$151:AG176)-1)+1),"")</f>
        <v>0</v>
      </c>
      <c r="AH176" s="408"/>
      <c r="AI176" s="178">
        <f>IFERROR(INDEX('M04-S02'!$B$18:$B$199,2*(ROWS(AI$151:AI176)-1)+1),"")</f>
        <v>26</v>
      </c>
      <c r="AJ176" s="178">
        <f>IFERROR(INDEX('M04-S02'!$G$18:$G$199,2*(ROWS(AJ$151:AJ176)-1)+1),"")</f>
        <v>0</v>
      </c>
      <c r="AK176" s="178">
        <f>IFERROR(INDEX('M04-S02'!$S$18:$S$199,2*(ROWS(AK$151:AK176)-1)+1),"")</f>
        <v>0</v>
      </c>
      <c r="AL176" s="178">
        <f>IFERROR(INDEX('M04-S02'!$K$18:$K$199,2*(ROWS(AL$151:AL176)-1)+1),"")</f>
        <v>0</v>
      </c>
      <c r="AM176" s="178">
        <f>IFERROR(INDEX('M04-S02'!$W$18:$W$199,2*(ROWS(AM$151:AM176)-1)+1),"")</f>
        <v>0</v>
      </c>
      <c r="AN176" s="200" t="str">
        <f>IFERROR(INDEX('M04-S02'!$AT$18:$AT$199,2*(ROWS(AN$151:AN176)-1)+1),"")</f>
        <v/>
      </c>
      <c r="AO176" s="200" t="str">
        <f>IFERROR(INDEX('M04-S02'!$AU$18:$AU$199,2*(ROWS(AO$151:AO176)-1)+1),"")</f>
        <v/>
      </c>
      <c r="AP176" s="178" t="str">
        <f>IFERROR(INDEX('M04-S02'!$AV$18:$AV$199,2*(ROWS(AP$151:AP176)-1)+1),"")</f>
        <v/>
      </c>
      <c r="AQ176" s="178" t="str">
        <f>IFERROR(INDEX('M04-S02'!$AY$18:$AY$199,2*(ROWS(AQ$151:AQ176)-1)+1),"")</f>
        <v/>
      </c>
      <c r="AR176" s="178" t="s">
        <v>1374</v>
      </c>
      <c r="AS176" s="178"/>
      <c r="AT176" s="278"/>
      <c r="AU176" s="278"/>
      <c r="AV176" s="278"/>
      <c r="AW176" s="278"/>
      <c r="AX176" s="278"/>
      <c r="AY176" s="278"/>
      <c r="AZ176" s="278"/>
      <c r="BA176" s="278"/>
      <c r="BB176" s="278"/>
      <c r="BC176" s="278"/>
      <c r="BD176" s="278"/>
      <c r="BE176" s="279"/>
    </row>
    <row r="177" spans="1:125" s="54" customFormat="1" hidden="1">
      <c r="A177" s="135">
        <f t="shared" si="14"/>
        <v>0</v>
      </c>
      <c r="B177" s="178" t="str">
        <f t="shared" si="17"/>
        <v/>
      </c>
      <c r="C177" s="178" t="str">
        <f>IFERROR(IF(INDEX('M04-S02'!$BH$18:$BH$199,2*(ROWS($C$151:C177)-1)+1)="","",INDEX('M04-S02'!$BH$18:$BH$199,2*(ROWS($C$151:C177)-1)+1)),"")</f>
        <v/>
      </c>
      <c r="D177" s="180" t="s">
        <v>144</v>
      </c>
      <c r="E177" s="178" t="str">
        <f>IFERROR(INDEX('M04-S02'!$AZ$18:$AZ$199,2*(ROWS(E$151:E177)-1)+1),"")</f>
        <v/>
      </c>
      <c r="F177" s="173">
        <f>IFERROR(INDEX('M04-S02'!$Q$18:$Q$199,2*(ROWS(F$151:F177)-1)+1),"")</f>
        <v>0</v>
      </c>
      <c r="G177" s="178" t="str">
        <f>IFERROR(INDEX('M04-S02'!$E$18:$E$199,2*(ROWS($G$151:G177)-1)+1)&amp;" - "&amp;INDEX('M04-S02'!$C$18:$C$199,2*(ROWS($G$151:G177)-1)+1),"")</f>
        <v xml:space="preserve"> - </v>
      </c>
      <c r="H177" s="200" t="str">
        <f ca="1">IFERROR(IF(AC177&lt;&gt;"","",INDEX('M04-S02'!$AD$18:$AD$199,2*(ROWS(H$151:H177)-1)+1)),"")</f>
        <v/>
      </c>
      <c r="I177" s="200" t="str">
        <f ca="1">IFERROR(IF(AC177&lt;&gt;"","",INDEX('M04-S02'!$AF$18:$AF$199,2*(ROWS(I$151:I177)-1)+1)),"")</f>
        <v/>
      </c>
      <c r="J177" s="200" t="str">
        <f ca="1">IFERROR(IF(AC177&lt;&gt;"","",INDEX('M04-S02'!$AH$18:$AH$199,2*(ROWS(J$151:J177)-1)+1)),"")</f>
        <v/>
      </c>
      <c r="K177" s="178" t="str">
        <f t="shared" ca="1" si="15"/>
        <v/>
      </c>
      <c r="L177" s="116" t="str">
        <f ca="1">IFERROR(IF(AC177&lt;&gt;"","",ROUND(INDEX('M04-S02'!$M$18:$M$199,2*(ROWS(L$151:L177)-1)+1),3)),"")</f>
        <v/>
      </c>
      <c r="M177" s="116" t="str">
        <f ca="1">IFERROR(IF(AC177&lt;&gt;"","",ROUND(INDEX('M04-S02'!$Z$18:$Z$199,2*(ROWS(M$151:M177)-1)+1),3)),"")</f>
        <v/>
      </c>
      <c r="N177" s="418"/>
      <c r="O177" s="415" t="str">
        <f ca="1">IFERROR(IF(AC177&lt;&gt;"","",INDEX('M04-S02'!$AK$18:$AK$199,2*(ROWS(O$151:O177)-1)+1)),"")</f>
        <v/>
      </c>
      <c r="P177" s="408"/>
      <c r="Q177" s="415" t="str">
        <f ca="1">IFERROR(IF(AC177&lt;&gt;"","",INDEX('M04-S02'!$BA$18:$BA$199,2*(ROWS(Q$151:Q177)-1)+1)),"")</f>
        <v/>
      </c>
      <c r="R177" s="200" t="str">
        <f ca="1">IFERROR(IF(AC177&lt;&gt;"","",INDEX('M04-S02'!$AN$18:$AN$199,2*(ROWS(R$151:R177)-1)+1)),"")</f>
        <v/>
      </c>
      <c r="S177" s="200">
        <f ca="1">IFERROR(IF(AC177&lt;&gt;"",INDEX('M04-S02'!$AD$18:$AD$199,2*(ROWS(S$151:S177)-1)+1),""),"")</f>
        <v>0</v>
      </c>
      <c r="T177" s="200">
        <f ca="1">IFERROR(IF(AC177&lt;&gt;"",INDEX('M04-S02'!$AF$18:$AF$199,2*(ROWS(T$151:T177)-1)+1),""),"")</f>
        <v>0</v>
      </c>
      <c r="U177" s="200" t="str">
        <f ca="1">IFERROR(IF(AC177&lt;&gt;"",INDEX('M04-S02'!$AH$18:$AH$199,2*(ROWS(U$151:U177)-1)+1),""),"")</f>
        <v/>
      </c>
      <c r="V177" s="178" t="str">
        <f t="shared" ca="1" si="16"/>
        <v>Total</v>
      </c>
      <c r="W177" s="116">
        <f ca="1">IFERROR(IF(AC177&lt;&gt;"",ROUND(INDEX('M04-S02'!$M$18:$M$199,2*(ROWS(W$151:W177)-1)+1),3),""),"")</f>
        <v>0</v>
      </c>
      <c r="X177" s="116">
        <f ca="1">IFERROR(IF(AC177&lt;&gt;"",ROUND(INDEX('M04-S02'!$Z$18:$Z$199,2*(ROWS(X$151:X177)-1)+1),3),""),"")</f>
        <v>0</v>
      </c>
      <c r="Y177" s="408"/>
      <c r="Z177" s="173" t="str">
        <f ca="1">IFERROR(IF(AC177&lt;&gt;"",INDEX('M04-S02'!$AK$18:$AK$199,2*(ROWS(Z$151:Z177)-1)+1),""),"")</f>
        <v/>
      </c>
      <c r="AA177" s="408"/>
      <c r="AB177" s="415" t="str">
        <f ca="1">IFERROR(IF(AC177&lt;&gt;"",INDEX('M04-S02'!$BA$18:$BA$199,2*(ROWS(AB$151:AB177)-1)+1),""),"")</f>
        <v/>
      </c>
      <c r="AC177" s="178" t="str">
        <f ca="1">IFERROR(INDEX('M04-S02'!$BJ$18:$BJ$199,2*(ROWS(AC$151:AC177)-1)+1),"")</f>
        <v>Submit for Review</v>
      </c>
      <c r="AD177" s="415" t="str">
        <f>IFERROR(INDEX('M04-S02'!$AW$18:$AW$199,2*(ROWS(AD$151:AD177)-1)+1),"")</f>
        <v/>
      </c>
      <c r="AE177" s="415" t="str">
        <f>IFERROR(INDEX('M04-S02'!$AX$18:$AX$199,2*(ROWS(AE$151:AE177)-1)+1),"")</f>
        <v/>
      </c>
      <c r="AF177" s="173" t="str">
        <f>IFERROR(INDEX('M04-S02'!$O$18:$O$199,2*(ROWS(AF$151:AF177)-1)+1),"")</f>
        <v/>
      </c>
      <c r="AG177" s="173">
        <f>IFERROR(INDEX('M04-S02'!$AB$18:$AB$199,2*(ROWS(AG$151:AG177)-1)+1),"")</f>
        <v>0</v>
      </c>
      <c r="AH177" s="408"/>
      <c r="AI177" s="178">
        <f>IFERROR(INDEX('M04-S02'!$B$18:$B$199,2*(ROWS(AI$151:AI177)-1)+1),"")</f>
        <v>27</v>
      </c>
      <c r="AJ177" s="178">
        <f>IFERROR(INDEX('M04-S02'!$G$18:$G$199,2*(ROWS(AJ$151:AJ177)-1)+1),"")</f>
        <v>0</v>
      </c>
      <c r="AK177" s="178">
        <f>IFERROR(INDEX('M04-S02'!$S$18:$S$199,2*(ROWS(AK$151:AK177)-1)+1),"")</f>
        <v>0</v>
      </c>
      <c r="AL177" s="178">
        <f>IFERROR(INDEX('M04-S02'!$K$18:$K$199,2*(ROWS(AL$151:AL177)-1)+1),"")</f>
        <v>0</v>
      </c>
      <c r="AM177" s="178">
        <f>IFERROR(INDEX('M04-S02'!$W$18:$W$199,2*(ROWS(AM$151:AM177)-1)+1),"")</f>
        <v>0</v>
      </c>
      <c r="AN177" s="200" t="str">
        <f>IFERROR(INDEX('M04-S02'!$AT$18:$AT$199,2*(ROWS(AN$151:AN177)-1)+1),"")</f>
        <v/>
      </c>
      <c r="AO177" s="200" t="str">
        <f>IFERROR(INDEX('M04-S02'!$AU$18:$AU$199,2*(ROWS(AO$151:AO177)-1)+1),"")</f>
        <v/>
      </c>
      <c r="AP177" s="178" t="str">
        <f>IFERROR(INDEX('M04-S02'!$AV$18:$AV$199,2*(ROWS(AP$151:AP177)-1)+1),"")</f>
        <v/>
      </c>
      <c r="AQ177" s="178" t="str">
        <f>IFERROR(INDEX('M04-S02'!$AY$18:$AY$199,2*(ROWS(AQ$151:AQ177)-1)+1),"")</f>
        <v/>
      </c>
      <c r="AR177" s="178" t="s">
        <v>1374</v>
      </c>
      <c r="AS177" s="178"/>
      <c r="AT177" s="278"/>
      <c r="AU177" s="278"/>
      <c r="AV177" s="278"/>
      <c r="AW177" s="278"/>
      <c r="AX177" s="278"/>
      <c r="AY177" s="278"/>
      <c r="AZ177" s="278"/>
      <c r="BA177" s="278"/>
      <c r="BB177" s="278"/>
      <c r="BC177" s="278"/>
      <c r="BD177" s="278"/>
      <c r="BE177" s="279"/>
    </row>
    <row r="178" spans="1:125" s="54" customFormat="1" hidden="1">
      <c r="A178" s="135">
        <f t="shared" si="14"/>
        <v>0</v>
      </c>
      <c r="B178" s="178" t="str">
        <f t="shared" si="17"/>
        <v/>
      </c>
      <c r="C178" s="178" t="str">
        <f>IFERROR(IF(INDEX('M04-S02'!$BH$18:$BH$199,2*(ROWS($C$151:C178)-1)+1)="","",INDEX('M04-S02'!$BH$18:$BH$199,2*(ROWS($C$151:C178)-1)+1)),"")</f>
        <v/>
      </c>
      <c r="D178" s="180" t="s">
        <v>144</v>
      </c>
      <c r="E178" s="178" t="str">
        <f>IFERROR(INDEX('M04-S02'!$AZ$18:$AZ$199,2*(ROWS(E$151:E178)-1)+1),"")</f>
        <v/>
      </c>
      <c r="F178" s="173">
        <f>IFERROR(INDEX('M04-S02'!$Q$18:$Q$199,2*(ROWS(F$151:F178)-1)+1),"")</f>
        <v>0</v>
      </c>
      <c r="G178" s="178" t="str">
        <f>IFERROR(INDEX('M04-S02'!$E$18:$E$199,2*(ROWS($G$151:G178)-1)+1)&amp;" - "&amp;INDEX('M04-S02'!$C$18:$C$199,2*(ROWS($G$151:G178)-1)+1),"")</f>
        <v xml:space="preserve"> - </v>
      </c>
      <c r="H178" s="200" t="str">
        <f ca="1">IFERROR(IF(AC178&lt;&gt;"","",INDEX('M04-S02'!$AD$18:$AD$199,2*(ROWS(H$151:H178)-1)+1)),"")</f>
        <v/>
      </c>
      <c r="I178" s="200" t="str">
        <f ca="1">IFERROR(IF(AC178&lt;&gt;"","",INDEX('M04-S02'!$AF$18:$AF$199,2*(ROWS(I$151:I178)-1)+1)),"")</f>
        <v/>
      </c>
      <c r="J178" s="200" t="str">
        <f ca="1">IFERROR(IF(AC178&lt;&gt;"","",INDEX('M04-S02'!$AH$18:$AH$199,2*(ROWS(J$151:J178)-1)+1)),"")</f>
        <v/>
      </c>
      <c r="K178" s="178" t="str">
        <f t="shared" ca="1" si="15"/>
        <v/>
      </c>
      <c r="L178" s="116" t="str">
        <f ca="1">IFERROR(IF(AC178&lt;&gt;"","",ROUND(INDEX('M04-S02'!$M$18:$M$199,2*(ROWS(L$151:L178)-1)+1),3)),"")</f>
        <v/>
      </c>
      <c r="M178" s="116" t="str">
        <f ca="1">IFERROR(IF(AC178&lt;&gt;"","",ROUND(INDEX('M04-S02'!$Z$18:$Z$199,2*(ROWS(M$151:M178)-1)+1),3)),"")</f>
        <v/>
      </c>
      <c r="N178" s="418"/>
      <c r="O178" s="415" t="str">
        <f ca="1">IFERROR(IF(AC178&lt;&gt;"","",INDEX('M04-S02'!$AK$18:$AK$199,2*(ROWS(O$151:O178)-1)+1)),"")</f>
        <v/>
      </c>
      <c r="P178" s="408"/>
      <c r="Q178" s="415" t="str">
        <f ca="1">IFERROR(IF(AC178&lt;&gt;"","",INDEX('M04-S02'!$BA$18:$BA$199,2*(ROWS(Q$151:Q178)-1)+1)),"")</f>
        <v/>
      </c>
      <c r="R178" s="200" t="str">
        <f ca="1">IFERROR(IF(AC178&lt;&gt;"","",INDEX('M04-S02'!$AN$18:$AN$199,2*(ROWS(R$151:R178)-1)+1)),"")</f>
        <v/>
      </c>
      <c r="S178" s="200">
        <f ca="1">IFERROR(IF(AC178&lt;&gt;"",INDEX('M04-S02'!$AD$18:$AD$199,2*(ROWS(S$151:S178)-1)+1),""),"")</f>
        <v>0</v>
      </c>
      <c r="T178" s="200">
        <f ca="1">IFERROR(IF(AC178&lt;&gt;"",INDEX('M04-S02'!$AF$18:$AF$199,2*(ROWS(T$151:T178)-1)+1),""),"")</f>
        <v>0</v>
      </c>
      <c r="U178" s="200" t="str">
        <f ca="1">IFERROR(IF(AC178&lt;&gt;"",INDEX('M04-S02'!$AH$18:$AH$199,2*(ROWS(U$151:U178)-1)+1),""),"")</f>
        <v/>
      </c>
      <c r="V178" s="178" t="str">
        <f t="shared" ca="1" si="16"/>
        <v>Total</v>
      </c>
      <c r="W178" s="116">
        <f ca="1">IFERROR(IF(AC178&lt;&gt;"",ROUND(INDEX('M04-S02'!$M$18:$M$199,2*(ROWS(W$151:W178)-1)+1),3),""),"")</f>
        <v>0</v>
      </c>
      <c r="X178" s="116">
        <f ca="1">IFERROR(IF(AC178&lt;&gt;"",ROUND(INDEX('M04-S02'!$Z$18:$Z$199,2*(ROWS(X$151:X178)-1)+1),3),""),"")</f>
        <v>0</v>
      </c>
      <c r="Y178" s="408"/>
      <c r="Z178" s="173" t="str">
        <f ca="1">IFERROR(IF(AC178&lt;&gt;"",INDEX('M04-S02'!$AK$18:$AK$199,2*(ROWS(Z$151:Z178)-1)+1),""),"")</f>
        <v/>
      </c>
      <c r="AA178" s="408"/>
      <c r="AB178" s="415" t="str">
        <f ca="1">IFERROR(IF(AC178&lt;&gt;"",INDEX('M04-S02'!$BA$18:$BA$199,2*(ROWS(AB$151:AB178)-1)+1),""),"")</f>
        <v/>
      </c>
      <c r="AC178" s="178" t="str">
        <f ca="1">IFERROR(INDEX('M04-S02'!$BJ$18:$BJ$199,2*(ROWS(AC$151:AC178)-1)+1),"")</f>
        <v>Submit for Review</v>
      </c>
      <c r="AD178" s="415" t="str">
        <f>IFERROR(INDEX('M04-S02'!$AW$18:$AW$199,2*(ROWS(AD$151:AD178)-1)+1),"")</f>
        <v/>
      </c>
      <c r="AE178" s="415" t="str">
        <f>IFERROR(INDEX('M04-S02'!$AX$18:$AX$199,2*(ROWS(AE$151:AE178)-1)+1),"")</f>
        <v/>
      </c>
      <c r="AF178" s="173" t="str">
        <f>IFERROR(INDEX('M04-S02'!$O$18:$O$199,2*(ROWS(AF$151:AF178)-1)+1),"")</f>
        <v/>
      </c>
      <c r="AG178" s="173">
        <f>IFERROR(INDEX('M04-S02'!$AB$18:$AB$199,2*(ROWS(AG$151:AG178)-1)+1),"")</f>
        <v>0</v>
      </c>
      <c r="AH178" s="408"/>
      <c r="AI178" s="178">
        <f>IFERROR(INDEX('M04-S02'!$B$18:$B$199,2*(ROWS(AI$151:AI178)-1)+1),"")</f>
        <v>28</v>
      </c>
      <c r="AJ178" s="178">
        <f>IFERROR(INDEX('M04-S02'!$G$18:$G$199,2*(ROWS(AJ$151:AJ178)-1)+1),"")</f>
        <v>0</v>
      </c>
      <c r="AK178" s="178">
        <f>IFERROR(INDEX('M04-S02'!$S$18:$S$199,2*(ROWS(AK$151:AK178)-1)+1),"")</f>
        <v>0</v>
      </c>
      <c r="AL178" s="178">
        <f>IFERROR(INDEX('M04-S02'!$K$18:$K$199,2*(ROWS(AL$151:AL178)-1)+1),"")</f>
        <v>0</v>
      </c>
      <c r="AM178" s="178">
        <f>IFERROR(INDEX('M04-S02'!$W$18:$W$199,2*(ROWS(AM$151:AM178)-1)+1),"")</f>
        <v>0</v>
      </c>
      <c r="AN178" s="200" t="str">
        <f>IFERROR(INDEX('M04-S02'!$AT$18:$AT$199,2*(ROWS(AN$151:AN178)-1)+1),"")</f>
        <v/>
      </c>
      <c r="AO178" s="200" t="str">
        <f>IFERROR(INDEX('M04-S02'!$AU$18:$AU$199,2*(ROWS(AO$151:AO178)-1)+1),"")</f>
        <v/>
      </c>
      <c r="AP178" s="178" t="str">
        <f>IFERROR(INDEX('M04-S02'!$AV$18:$AV$199,2*(ROWS(AP$151:AP178)-1)+1),"")</f>
        <v/>
      </c>
      <c r="AQ178" s="178" t="str">
        <f>IFERROR(INDEX('M04-S02'!$AY$18:$AY$199,2*(ROWS(AQ$151:AQ178)-1)+1),"")</f>
        <v/>
      </c>
      <c r="AR178" s="178" t="s">
        <v>1374</v>
      </c>
      <c r="AS178" s="178"/>
      <c r="AT178" s="278"/>
      <c r="AU178" s="278"/>
      <c r="AV178" s="278"/>
      <c r="AW178" s="278"/>
      <c r="AX178" s="278"/>
      <c r="AY178" s="278"/>
      <c r="AZ178" s="278"/>
      <c r="BA178" s="278"/>
      <c r="BB178" s="278"/>
      <c r="BC178" s="278"/>
      <c r="BD178" s="278"/>
      <c r="BE178" s="279"/>
    </row>
    <row r="179" spans="1:125" s="54" customFormat="1" hidden="1">
      <c r="A179" s="135">
        <f t="shared" si="14"/>
        <v>0</v>
      </c>
      <c r="B179" s="178" t="str">
        <f t="shared" si="17"/>
        <v/>
      </c>
      <c r="C179" s="178" t="str">
        <f>IFERROR(IF(INDEX('M04-S02'!$BH$18:$BH$199,2*(ROWS($C$151:C179)-1)+1)="","",INDEX('M04-S02'!$BH$18:$BH$199,2*(ROWS($C$151:C179)-1)+1)),"")</f>
        <v/>
      </c>
      <c r="D179" s="180" t="s">
        <v>144</v>
      </c>
      <c r="E179" s="178" t="str">
        <f>IFERROR(INDEX('M04-S02'!$AZ$18:$AZ$199,2*(ROWS(E$151:E179)-1)+1),"")</f>
        <v/>
      </c>
      <c r="F179" s="173">
        <f>IFERROR(INDEX('M04-S02'!$Q$18:$Q$199,2*(ROWS(F$151:F179)-1)+1),"")</f>
        <v>0</v>
      </c>
      <c r="G179" s="178" t="str">
        <f>IFERROR(INDEX('M04-S02'!$E$18:$E$199,2*(ROWS($G$151:G179)-1)+1)&amp;" - "&amp;INDEX('M04-S02'!$C$18:$C$199,2*(ROWS($G$151:G179)-1)+1),"")</f>
        <v xml:space="preserve"> - </v>
      </c>
      <c r="H179" s="200" t="str">
        <f ca="1">IFERROR(IF(AC179&lt;&gt;"","",INDEX('M04-S02'!$AD$18:$AD$199,2*(ROWS(H$151:H179)-1)+1)),"")</f>
        <v/>
      </c>
      <c r="I179" s="200" t="str">
        <f ca="1">IFERROR(IF(AC179&lt;&gt;"","",INDEX('M04-S02'!$AF$18:$AF$199,2*(ROWS(I$151:I179)-1)+1)),"")</f>
        <v/>
      </c>
      <c r="J179" s="200" t="str">
        <f ca="1">IFERROR(IF(AC179&lt;&gt;"","",INDEX('M04-S02'!$AH$18:$AH$199,2*(ROWS(J$151:J179)-1)+1)),"")</f>
        <v/>
      </c>
      <c r="K179" s="178" t="str">
        <f t="shared" ca="1" si="15"/>
        <v/>
      </c>
      <c r="L179" s="116" t="str">
        <f ca="1">IFERROR(IF(AC179&lt;&gt;"","",ROUND(INDEX('M04-S02'!$M$18:$M$199,2*(ROWS(L$151:L179)-1)+1),3)),"")</f>
        <v/>
      </c>
      <c r="M179" s="116" t="str">
        <f ca="1">IFERROR(IF(AC179&lt;&gt;"","",ROUND(INDEX('M04-S02'!$Z$18:$Z$199,2*(ROWS(M$151:M179)-1)+1),3)),"")</f>
        <v/>
      </c>
      <c r="N179" s="418"/>
      <c r="O179" s="415" t="str">
        <f ca="1">IFERROR(IF(AC179&lt;&gt;"","",INDEX('M04-S02'!$AK$18:$AK$199,2*(ROWS(O$151:O179)-1)+1)),"")</f>
        <v/>
      </c>
      <c r="P179" s="408"/>
      <c r="Q179" s="415" t="str">
        <f ca="1">IFERROR(IF(AC179&lt;&gt;"","",INDEX('M04-S02'!$BA$18:$BA$199,2*(ROWS(Q$151:Q179)-1)+1)),"")</f>
        <v/>
      </c>
      <c r="R179" s="200" t="str">
        <f ca="1">IFERROR(IF(AC179&lt;&gt;"","",INDEX('M04-S02'!$AN$18:$AN$199,2*(ROWS(R$151:R179)-1)+1)),"")</f>
        <v/>
      </c>
      <c r="S179" s="200">
        <f ca="1">IFERROR(IF(AC179&lt;&gt;"",INDEX('M04-S02'!$AD$18:$AD$199,2*(ROWS(S$151:S179)-1)+1),""),"")</f>
        <v>0</v>
      </c>
      <c r="T179" s="200">
        <f ca="1">IFERROR(IF(AC179&lt;&gt;"",INDEX('M04-S02'!$AF$18:$AF$199,2*(ROWS(T$151:T179)-1)+1),""),"")</f>
        <v>0</v>
      </c>
      <c r="U179" s="200" t="str">
        <f ca="1">IFERROR(IF(AC179&lt;&gt;"",INDEX('M04-S02'!$AH$18:$AH$199,2*(ROWS(U$151:U179)-1)+1),""),"")</f>
        <v/>
      </c>
      <c r="V179" s="178" t="str">
        <f t="shared" ca="1" si="16"/>
        <v>Total</v>
      </c>
      <c r="W179" s="116">
        <f ca="1">IFERROR(IF(AC179&lt;&gt;"",ROUND(INDEX('M04-S02'!$M$18:$M$199,2*(ROWS(W$151:W179)-1)+1),3),""),"")</f>
        <v>0</v>
      </c>
      <c r="X179" s="116">
        <f ca="1">IFERROR(IF(AC179&lt;&gt;"",ROUND(INDEX('M04-S02'!$Z$18:$Z$199,2*(ROWS(X$151:X179)-1)+1),3),""),"")</f>
        <v>0</v>
      </c>
      <c r="Y179" s="408"/>
      <c r="Z179" s="173" t="str">
        <f ca="1">IFERROR(IF(AC179&lt;&gt;"",INDEX('M04-S02'!$AK$18:$AK$199,2*(ROWS(Z$151:Z179)-1)+1),""),"")</f>
        <v/>
      </c>
      <c r="AA179" s="408"/>
      <c r="AB179" s="415" t="str">
        <f ca="1">IFERROR(IF(AC179&lt;&gt;"",INDEX('M04-S02'!$BA$18:$BA$199,2*(ROWS(AB$151:AB179)-1)+1),""),"")</f>
        <v/>
      </c>
      <c r="AC179" s="178" t="str">
        <f ca="1">IFERROR(INDEX('M04-S02'!$BJ$18:$BJ$199,2*(ROWS(AC$151:AC179)-1)+1),"")</f>
        <v>Submit for Review</v>
      </c>
      <c r="AD179" s="415" t="str">
        <f>IFERROR(INDEX('M04-S02'!$AW$18:$AW$199,2*(ROWS(AD$151:AD179)-1)+1),"")</f>
        <v/>
      </c>
      <c r="AE179" s="415" t="str">
        <f>IFERROR(INDEX('M04-S02'!$AX$18:$AX$199,2*(ROWS(AE$151:AE179)-1)+1),"")</f>
        <v/>
      </c>
      <c r="AF179" s="173" t="str">
        <f>IFERROR(INDEX('M04-S02'!$O$18:$O$199,2*(ROWS(AF$151:AF179)-1)+1),"")</f>
        <v/>
      </c>
      <c r="AG179" s="173">
        <f>IFERROR(INDEX('M04-S02'!$AB$18:$AB$199,2*(ROWS(AG$151:AG179)-1)+1),"")</f>
        <v>0</v>
      </c>
      <c r="AH179" s="408"/>
      <c r="AI179" s="178">
        <f>IFERROR(INDEX('M04-S02'!$B$18:$B$199,2*(ROWS(AI$151:AI179)-1)+1),"")</f>
        <v>29</v>
      </c>
      <c r="AJ179" s="178">
        <f>IFERROR(INDEX('M04-S02'!$G$18:$G$199,2*(ROWS(AJ$151:AJ179)-1)+1),"")</f>
        <v>0</v>
      </c>
      <c r="AK179" s="178">
        <f>IFERROR(INDEX('M04-S02'!$S$18:$S$199,2*(ROWS(AK$151:AK179)-1)+1),"")</f>
        <v>0</v>
      </c>
      <c r="AL179" s="178">
        <f>IFERROR(INDEX('M04-S02'!$K$18:$K$199,2*(ROWS(AL$151:AL179)-1)+1),"")</f>
        <v>0</v>
      </c>
      <c r="AM179" s="178">
        <f>IFERROR(INDEX('M04-S02'!$W$18:$W$199,2*(ROWS(AM$151:AM179)-1)+1),"")</f>
        <v>0</v>
      </c>
      <c r="AN179" s="200" t="str">
        <f>IFERROR(INDEX('M04-S02'!$AT$18:$AT$199,2*(ROWS(AN$151:AN179)-1)+1),"")</f>
        <v/>
      </c>
      <c r="AO179" s="200" t="str">
        <f>IFERROR(INDEX('M04-S02'!$AU$18:$AU$199,2*(ROWS(AO$151:AO179)-1)+1),"")</f>
        <v/>
      </c>
      <c r="AP179" s="178" t="str">
        <f>IFERROR(INDEX('M04-S02'!$AV$18:$AV$199,2*(ROWS(AP$151:AP179)-1)+1),"")</f>
        <v/>
      </c>
      <c r="AQ179" s="178" t="str">
        <f>IFERROR(INDEX('M04-S02'!$AY$18:$AY$199,2*(ROWS(AQ$151:AQ179)-1)+1),"")</f>
        <v/>
      </c>
      <c r="AR179" s="178" t="s">
        <v>1374</v>
      </c>
      <c r="AS179" s="178"/>
      <c r="AT179" s="278"/>
      <c r="AU179" s="278"/>
      <c r="AV179" s="278"/>
      <c r="AW179" s="278"/>
      <c r="AX179" s="278"/>
      <c r="AY179" s="278"/>
      <c r="AZ179" s="278"/>
      <c r="BA179" s="278"/>
      <c r="BB179" s="278"/>
      <c r="BC179" s="278"/>
      <c r="BD179" s="278"/>
      <c r="BE179" s="279"/>
    </row>
    <row r="180" spans="1:125" s="54" customFormat="1" hidden="1">
      <c r="A180" s="135">
        <f t="shared" si="14"/>
        <v>0</v>
      </c>
      <c r="B180" s="178" t="str">
        <f t="shared" si="17"/>
        <v/>
      </c>
      <c r="C180" s="178" t="str">
        <f>IFERROR(IF(INDEX('M04-S02'!$BH$18:$BH$199,2*(ROWS($C$151:C180)-1)+1)="","",INDEX('M04-S02'!$BH$18:$BH$199,2*(ROWS($C$151:C180)-1)+1)),"")</f>
        <v/>
      </c>
      <c r="D180" s="180" t="s">
        <v>144</v>
      </c>
      <c r="E180" s="178" t="str">
        <f>IFERROR(INDEX('M04-S02'!$AZ$18:$AZ$199,2*(ROWS(E$151:E180)-1)+1),"")</f>
        <v/>
      </c>
      <c r="F180" s="173">
        <f>IFERROR(INDEX('M04-S02'!$Q$18:$Q$199,2*(ROWS(F$151:F180)-1)+1),"")</f>
        <v>0</v>
      </c>
      <c r="G180" s="178" t="str">
        <f>IFERROR(INDEX('M04-S02'!$E$18:$E$199,2*(ROWS($G$151:G180)-1)+1)&amp;" - "&amp;INDEX('M04-S02'!$C$18:$C$199,2*(ROWS($G$151:G180)-1)+1),"")</f>
        <v xml:space="preserve"> - </v>
      </c>
      <c r="H180" s="200" t="str">
        <f ca="1">IFERROR(IF(AC180&lt;&gt;"","",INDEX('M04-S02'!$AD$18:$AD$199,2*(ROWS(H$151:H180)-1)+1)),"")</f>
        <v/>
      </c>
      <c r="I180" s="200" t="str">
        <f ca="1">IFERROR(IF(AC180&lt;&gt;"","",INDEX('M04-S02'!$AF$18:$AF$199,2*(ROWS(I$151:I180)-1)+1)),"")</f>
        <v/>
      </c>
      <c r="J180" s="200" t="str">
        <f ca="1">IFERROR(IF(AC180&lt;&gt;"","",INDEX('M04-S02'!$AH$18:$AH$199,2*(ROWS(J$151:J180)-1)+1)),"")</f>
        <v/>
      </c>
      <c r="K180" s="178" t="str">
        <f t="shared" ca="1" si="15"/>
        <v/>
      </c>
      <c r="L180" s="116" t="str">
        <f ca="1">IFERROR(IF(AC180&lt;&gt;"","",ROUND(INDEX('M04-S02'!$M$18:$M$199,2*(ROWS(L$151:L180)-1)+1),3)),"")</f>
        <v/>
      </c>
      <c r="M180" s="116" t="str">
        <f ca="1">IFERROR(IF(AC180&lt;&gt;"","",ROUND(INDEX('M04-S02'!$Z$18:$Z$199,2*(ROWS(M$151:M180)-1)+1),3)),"")</f>
        <v/>
      </c>
      <c r="N180" s="418"/>
      <c r="O180" s="415" t="str">
        <f ca="1">IFERROR(IF(AC180&lt;&gt;"","",INDEX('M04-S02'!$AK$18:$AK$199,2*(ROWS(O$151:O180)-1)+1)),"")</f>
        <v/>
      </c>
      <c r="P180" s="408"/>
      <c r="Q180" s="415" t="str">
        <f ca="1">IFERROR(IF(AC180&lt;&gt;"","",INDEX('M04-S02'!$BA$18:$BA$199,2*(ROWS(Q$151:Q180)-1)+1)),"")</f>
        <v/>
      </c>
      <c r="R180" s="200" t="str">
        <f ca="1">IFERROR(IF(AC180&lt;&gt;"","",INDEX('M04-S02'!$AN$18:$AN$199,2*(ROWS(R$151:R180)-1)+1)),"")</f>
        <v/>
      </c>
      <c r="S180" s="200">
        <f ca="1">IFERROR(IF(AC180&lt;&gt;"",INDEX('M04-S02'!$AD$18:$AD$199,2*(ROWS(S$151:S180)-1)+1),""),"")</f>
        <v>0</v>
      </c>
      <c r="T180" s="200">
        <f ca="1">IFERROR(IF(AC180&lt;&gt;"",INDEX('M04-S02'!$AF$18:$AF$199,2*(ROWS(T$151:T180)-1)+1),""),"")</f>
        <v>0</v>
      </c>
      <c r="U180" s="200" t="str">
        <f ca="1">IFERROR(IF(AC180&lt;&gt;"",INDEX('M04-S02'!$AH$18:$AH$199,2*(ROWS(U$151:U180)-1)+1),""),"")</f>
        <v/>
      </c>
      <c r="V180" s="178" t="str">
        <f t="shared" ca="1" si="16"/>
        <v>Total</v>
      </c>
      <c r="W180" s="116">
        <f ca="1">IFERROR(IF(AC180&lt;&gt;"",ROUND(INDEX('M04-S02'!$M$18:$M$199,2*(ROWS(W$151:W180)-1)+1),3),""),"")</f>
        <v>0</v>
      </c>
      <c r="X180" s="116">
        <f ca="1">IFERROR(IF(AC180&lt;&gt;"",ROUND(INDEX('M04-S02'!$Z$18:$Z$199,2*(ROWS(X$151:X180)-1)+1),3),""),"")</f>
        <v>0</v>
      </c>
      <c r="Y180" s="408"/>
      <c r="Z180" s="173" t="str">
        <f ca="1">IFERROR(IF(AC180&lt;&gt;"",INDEX('M04-S02'!$AK$18:$AK$199,2*(ROWS(Z$151:Z180)-1)+1),""),"")</f>
        <v/>
      </c>
      <c r="AA180" s="408"/>
      <c r="AB180" s="415" t="str">
        <f ca="1">IFERROR(IF(AC180&lt;&gt;"",INDEX('M04-S02'!$BA$18:$BA$199,2*(ROWS(AB$151:AB180)-1)+1),""),"")</f>
        <v/>
      </c>
      <c r="AC180" s="178" t="str">
        <f ca="1">IFERROR(INDEX('M04-S02'!$BJ$18:$BJ$199,2*(ROWS(AC$151:AC180)-1)+1),"")</f>
        <v>Submit for Review</v>
      </c>
      <c r="AD180" s="415" t="str">
        <f>IFERROR(INDEX('M04-S02'!$AW$18:$AW$199,2*(ROWS(AD$151:AD180)-1)+1),"")</f>
        <v/>
      </c>
      <c r="AE180" s="415" t="str">
        <f>IFERROR(INDEX('M04-S02'!$AX$18:$AX$199,2*(ROWS(AE$151:AE180)-1)+1),"")</f>
        <v/>
      </c>
      <c r="AF180" s="173" t="str">
        <f>IFERROR(INDEX('M04-S02'!$O$18:$O$199,2*(ROWS(AF$151:AF180)-1)+1),"")</f>
        <v/>
      </c>
      <c r="AG180" s="173">
        <f>IFERROR(INDEX('M04-S02'!$AB$18:$AB$199,2*(ROWS(AG$151:AG180)-1)+1),"")</f>
        <v>0</v>
      </c>
      <c r="AH180" s="408"/>
      <c r="AI180" s="178">
        <f>IFERROR(INDEX('M04-S02'!$B$18:$B$199,2*(ROWS(AI$151:AI180)-1)+1),"")</f>
        <v>30</v>
      </c>
      <c r="AJ180" s="178">
        <f>IFERROR(INDEX('M04-S02'!$G$18:$G$199,2*(ROWS(AJ$151:AJ180)-1)+1),"")</f>
        <v>0</v>
      </c>
      <c r="AK180" s="178">
        <f>IFERROR(INDEX('M04-S02'!$S$18:$S$199,2*(ROWS(AK$151:AK180)-1)+1),"")</f>
        <v>0</v>
      </c>
      <c r="AL180" s="178">
        <f>IFERROR(INDEX('M04-S02'!$K$18:$K$199,2*(ROWS(AL$151:AL180)-1)+1),"")</f>
        <v>0</v>
      </c>
      <c r="AM180" s="178">
        <f>IFERROR(INDEX('M04-S02'!$W$18:$W$199,2*(ROWS(AM$151:AM180)-1)+1),"")</f>
        <v>0</v>
      </c>
      <c r="AN180" s="200" t="str">
        <f>IFERROR(INDEX('M04-S02'!$AT$18:$AT$199,2*(ROWS(AN$151:AN180)-1)+1),"")</f>
        <v/>
      </c>
      <c r="AO180" s="200" t="str">
        <f>IFERROR(INDEX('M04-S02'!$AU$18:$AU$199,2*(ROWS(AO$151:AO180)-1)+1),"")</f>
        <v/>
      </c>
      <c r="AP180" s="178" t="str">
        <f>IFERROR(INDEX('M04-S02'!$AV$18:$AV$199,2*(ROWS(AP$151:AP180)-1)+1),"")</f>
        <v/>
      </c>
      <c r="AQ180" s="178" t="str">
        <f>IFERROR(INDEX('M04-S02'!$AY$18:$AY$199,2*(ROWS(AQ$151:AQ180)-1)+1),"")</f>
        <v/>
      </c>
      <c r="AR180" s="178" t="s">
        <v>1374</v>
      </c>
      <c r="AS180" s="178"/>
      <c r="AT180" s="278"/>
      <c r="AU180" s="278"/>
      <c r="AV180" s="278"/>
      <c r="AW180" s="278"/>
      <c r="AX180" s="278"/>
      <c r="AY180" s="278"/>
      <c r="AZ180" s="278"/>
      <c r="BA180" s="278"/>
      <c r="BB180" s="278"/>
      <c r="BC180" s="278"/>
      <c r="BD180" s="278"/>
      <c r="BE180" s="279"/>
    </row>
    <row r="181" spans="1:125" s="180" customFormat="1">
      <c r="A181" s="430" t="str">
        <f>"Custom "&amp;M4S3</f>
        <v>Custom Lighting Controls</v>
      </c>
      <c r="B181" s="63"/>
      <c r="C181" s="63"/>
      <c r="D181" s="63"/>
      <c r="E181" s="63"/>
      <c r="F181" s="409"/>
      <c r="G181" s="63"/>
      <c r="H181" s="404"/>
      <c r="I181" s="404"/>
      <c r="J181" s="404"/>
      <c r="K181" s="63"/>
      <c r="L181" s="412"/>
      <c r="M181" s="412"/>
      <c r="N181" s="416"/>
      <c r="O181" s="416"/>
      <c r="P181" s="416"/>
      <c r="Q181" s="416"/>
      <c r="R181" s="404"/>
      <c r="S181" s="404"/>
      <c r="T181" s="404"/>
      <c r="U181" s="404"/>
      <c r="V181" s="63"/>
      <c r="W181" s="412"/>
      <c r="X181" s="412"/>
      <c r="Y181" s="409"/>
      <c r="Z181" s="409"/>
      <c r="AA181" s="416"/>
      <c r="AB181" s="416"/>
      <c r="AC181" s="63"/>
      <c r="AD181" s="416"/>
      <c r="AE181" s="416"/>
      <c r="AF181" s="409"/>
      <c r="AG181" s="409"/>
      <c r="AH181" s="409"/>
      <c r="AI181" s="63"/>
      <c r="AJ181" s="63"/>
      <c r="AK181" s="177"/>
      <c r="AL181" s="63"/>
      <c r="AM181" s="63"/>
      <c r="AN181" s="404"/>
      <c r="AO181" s="404"/>
      <c r="AP181" s="63"/>
      <c r="AQ181" s="63"/>
      <c r="AR181" s="63"/>
      <c r="AS181" s="63"/>
      <c r="AT181" s="63"/>
      <c r="AU181" s="278"/>
      <c r="AV181" s="278"/>
      <c r="AW181" s="278"/>
      <c r="AX181" s="278"/>
      <c r="AY181" s="278"/>
      <c r="AZ181" s="278"/>
      <c r="BA181" s="278"/>
      <c r="BB181" s="278"/>
      <c r="BC181" s="278"/>
      <c r="BD181" s="278"/>
      <c r="BE181" s="279"/>
      <c r="BP181"/>
      <c r="BQ181"/>
      <c r="BR181"/>
      <c r="CH181"/>
      <c r="CI181"/>
      <c r="CJ181"/>
      <c r="CK181"/>
      <c r="CL181"/>
      <c r="CM181"/>
      <c r="CN181"/>
    </row>
    <row r="182" spans="1:125" s="54" customFormat="1" hidden="1">
      <c r="A182" s="135">
        <f t="shared" ref="A182:A196" si="18">PROJID</f>
        <v>0</v>
      </c>
      <c r="B182" s="178" t="str">
        <f>IF(C182="","",CONCATENATE(ROW(),"-",C182))</f>
        <v/>
      </c>
      <c r="C182" s="178" t="str">
        <f>IFERROR(IF(INDEX('M04-S03'!$BH$18:$BH$199,2*(ROWS($C$182:C182)-1)+1)="","",INDEX('M04-S03'!$BH$18:$BH$199,2*(ROWS($C$182:C182)-1)+1)),"")</f>
        <v/>
      </c>
      <c r="D182" s="180" t="s">
        <v>144</v>
      </c>
      <c r="E182" s="178" t="str">
        <f>IFERROR(INDEX('M04-S03'!$AZ$18:$AZ$199,2*(ROWS(E$182:E182)-1)+1),"")</f>
        <v/>
      </c>
      <c r="F182" s="173">
        <f>IFERROR(INDEX('M04-S03'!$T$18:$T$199,2*(ROWS(G$182:G182)-1)+1),"")</f>
        <v>0</v>
      </c>
      <c r="G182" s="178">
        <f>IFERROR(INDEX('M04-S03'!$AA$18:$AA$199,2*(ROWS(G$182:G182)-1)+1),"")</f>
        <v>0</v>
      </c>
      <c r="H182" s="200" t="str">
        <f ca="1">IFERROR(IF(AC182&lt;&gt;"","",INDEX('M04-S03'!$AD$18:$AD$199,2*(ROWS(H$182:H182)-1)+1)),"")</f>
        <v/>
      </c>
      <c r="I182" s="200" t="str">
        <f ca="1">IFERROR(IF(AC182&lt;&gt;"","",INDEX('M04-S03'!$AF$18:$AF$199,2*(ROWS(I$182:I182)-1)+1)),"")</f>
        <v/>
      </c>
      <c r="J182" s="200" t="str">
        <f ca="1">IFERROR(IF(AC182&lt;&gt;"","",INDEX('M04-S03'!$AH$18:$AH$199,2*(ROWS(J$182:J182)-1)+1)),"")</f>
        <v/>
      </c>
      <c r="K182" s="178" t="s">
        <v>84</v>
      </c>
      <c r="L182" s="116" t="str">
        <f ca="1">IFERROR(IF(AC182&lt;&gt;"","",ROUND(INDEX('M04-S03'!$O$18:$O$199,2*(ROWS(L$182:L182)-1)+1),3)),"")</f>
        <v/>
      </c>
      <c r="M182" s="116" t="str">
        <f ca="1">IFERROR(IF(AC182&lt;&gt;"","",ROUND(INDEX('M04-S03'!$O$18:$O$199,2*(ROWS(M$182:M182)-1)+1),3)),"")</f>
        <v/>
      </c>
      <c r="N182" s="418"/>
      <c r="O182" s="415" t="str">
        <f ca="1">IFERROR(IF(AC182&lt;&gt;"","",INDEX('M04-S03'!$AK$18:$AK$199,2*(ROWS(O$182:O182)-1)+1)),"")</f>
        <v/>
      </c>
      <c r="P182" s="408"/>
      <c r="Q182" s="415" t="str">
        <f ca="1">IFERROR(IF(AC182&lt;&gt;"","",INDEX('M04-S03'!$BA$18:$BA$199,2*(ROWS(Q$182:Q182)-1)+1)),"")</f>
        <v/>
      </c>
      <c r="R182" s="200" t="str">
        <f ca="1">IFERROR(IF(AC182&lt;&gt;"","",INDEX('M04-S03'!$AN$18:$AN$199,2*(ROWS(R$182:R182)-1)+1)),"")</f>
        <v/>
      </c>
      <c r="S182" s="200">
        <f ca="1">IFERROR(IF(AC182&lt;&gt;"",INDEX('M04-S03'!$AD$18:$AD$199,2*(ROWS(S$182:S182)-1)+1),""),"")</f>
        <v>0</v>
      </c>
      <c r="T182" s="200">
        <f ca="1">IFERROR(IF(AC182&lt;&gt;"",INDEX('M04-S03'!$AF$18:$AF$199,2*(ROWS(T$182:T182)-1)+1),""),"")</f>
        <v>0</v>
      </c>
      <c r="U182" s="200" t="str">
        <f ca="1">IFERROR(IF(AC182&lt;&gt;"",INDEX('M04-S03'!$AH$18:$AH$199,2*(ROWS(U$182:U182)-1)+1),""),"")</f>
        <v/>
      </c>
      <c r="V182" s="178">
        <f ca="1">IFERROR(IF(AC182&lt;&gt;"",INDEX('M04-S03'!$AB$38:$AB$199,2*(ROWS(V$182:V182)-1)+1),""),"")</f>
        <v>0</v>
      </c>
      <c r="W182" s="116">
        <f ca="1">IFERROR(IF(AC182&lt;&gt;"",ROUND(INDEX('M04-S03'!$P$38:$P$199,2*(ROWS(W$182:W182)-1)+1),3),""),"")</f>
        <v>0</v>
      </c>
      <c r="X182" s="116">
        <f ca="1">IFERROR(IF(AC182&lt;&gt;"",ROUND(INDEX('M04-S03'!$Z$38:$Z$199,2*(ROWS(X$182:X182)-1)+1),3),""),"")</f>
        <v>0</v>
      </c>
      <c r="Y182" s="408"/>
      <c r="Z182" s="173" t="str">
        <f ca="1">IFERROR(IF(AC182&lt;&gt;"",INDEX('M04-S03'!$AK$18:$AK$199,2*(ROWS(Z$182:Z182)-1)+1),""),"")</f>
        <v/>
      </c>
      <c r="AA182" s="408"/>
      <c r="AB182" s="415" t="str">
        <f ca="1">IFERROR(IF(AC182&lt;&gt;"",INDEX('M04-S03'!$BA$18:$BA$199,2*(ROWS(AB$182:AB182)-1)+1),""),"")</f>
        <v/>
      </c>
      <c r="AC182" s="178" t="str">
        <f ca="1">IFERROR(INDEX('M04-S03'!$BJ$18:$BJ$199,2*(ROWS(AC$182:AC182)-1)+1),"")</f>
        <v>Submit for Review</v>
      </c>
      <c r="AD182" s="415" t="str">
        <f>IFERROR(INDEX('M04-S03'!$AW$18:$AW$199,2*(ROWS(AD$182:AD182)-1)+1),"")</f>
        <v/>
      </c>
      <c r="AE182" s="415" t="str">
        <f>IFERROR(INDEX('M04-S03'!$AX$18:$AX$199,2*(ROWS(AE$182:AE182)-1)+1),"")</f>
        <v/>
      </c>
      <c r="AF182" s="408"/>
      <c r="AG182" s="408"/>
      <c r="AH182" s="173">
        <f>IFERROR(INDEX('M04-S03'!$Q$18:$Q$199,2*(ROWS(AH$182:AH182)-1)+1),"")</f>
        <v>0</v>
      </c>
      <c r="AI182" s="178">
        <f>IFERROR(INDEX('M04-S03'!$B$18:$B$199,2*(ROWS(AI$182:AI182)-1)+1),"")</f>
        <v>1</v>
      </c>
      <c r="AJ182" s="325"/>
      <c r="AK182" s="178">
        <f>IFERROR(INDEX('M04-S03'!$C$18:$C$199,2*(ROWS(AK$182:AK182)-1)+1),"")</f>
        <v>0</v>
      </c>
      <c r="AL182" s="325"/>
      <c r="AM182" s="178">
        <f>IFERROR(INDEX('M04-S03'!$W$18:$W$199,2*(ROWS(AM$182:AM182)-1)+1),"")</f>
        <v>0</v>
      </c>
      <c r="AN182" s="200" t="str">
        <f>IFERROR(INDEX('M04-S03'!$AT$18:$AT$199,2*(ROWS(AN$182:AN182)-1)+1),"")</f>
        <v/>
      </c>
      <c r="AO182" s="200" t="str">
        <f>IFERROR(INDEX('M04-S03'!$AU$18:$AU$199,2*(ROWS(AO$182:AO182)-1)+1),"")</f>
        <v/>
      </c>
      <c r="AP182" s="178" t="str">
        <f>IFERROR(INDEX('M04-S03'!$AV$18:$AV$199,2*(ROWS(AP$182:AP182)-1)+1),"")</f>
        <v/>
      </c>
      <c r="AQ182" s="178" t="str">
        <f>IFERROR(INDEX('M04-S03'!$AY$18:$AY$199,2*(ROWS(AQ$182:AQ182)-1)+1),"")</f>
        <v/>
      </c>
      <c r="AR182" s="178" t="s">
        <v>1374</v>
      </c>
      <c r="AS182" s="178"/>
      <c r="AT182" s="278"/>
      <c r="AU182" s="278"/>
      <c r="AV182" s="278"/>
      <c r="AW182" s="278"/>
      <c r="AX182" s="278"/>
      <c r="AY182" s="278"/>
      <c r="AZ182" s="278"/>
      <c r="BA182" s="278"/>
      <c r="BB182" s="278"/>
      <c r="BC182" s="278"/>
      <c r="BD182" s="278"/>
      <c r="BE182" s="279"/>
      <c r="BL182" s="180"/>
      <c r="BP182" s="180"/>
      <c r="BQ182" s="180"/>
      <c r="BR182" s="180"/>
      <c r="CD182" s="180"/>
      <c r="CE182" s="180"/>
      <c r="CF182" s="180"/>
      <c r="CH182" s="180"/>
      <c r="CI182" s="180"/>
      <c r="CJ182" s="180"/>
      <c r="CK182" s="180"/>
      <c r="CL182" s="180"/>
      <c r="CM182" s="180"/>
      <c r="CN182" s="180"/>
      <c r="CQ182" s="180"/>
      <c r="CR182" s="180"/>
      <c r="CS182" s="180"/>
      <c r="DS182" s="180"/>
      <c r="DT182" s="180"/>
      <c r="DU182" s="180"/>
    </row>
    <row r="183" spans="1:125" s="54" customFormat="1" hidden="1">
      <c r="A183" s="135">
        <f t="shared" si="18"/>
        <v>0</v>
      </c>
      <c r="B183" s="178" t="str">
        <f t="shared" ref="B183:B196" si="19">IF(C183="","",CONCATENATE(ROW(),"-",C183))</f>
        <v/>
      </c>
      <c r="C183" s="178" t="str">
        <f>IFERROR(IF(INDEX('M04-S03'!$BH$18:$BH$199,2*(ROWS($C$182:C183)-1)+1)="","",INDEX('M04-S03'!$BH$18:$BH$199,2*(ROWS($C$182:C183)-1)+1)),"")</f>
        <v/>
      </c>
      <c r="D183" s="180" t="s">
        <v>144</v>
      </c>
      <c r="E183" s="178" t="str">
        <f>IFERROR(INDEX('M04-S03'!$AZ$18:$AZ$199,2*(ROWS(E$182:E183)-1)+1),"")</f>
        <v/>
      </c>
      <c r="F183" s="173">
        <f>IFERROR(INDEX('M04-S03'!$T$18:$T$199,2*(ROWS(G$182:G183)-1)+1),"")</f>
        <v>0</v>
      </c>
      <c r="G183" s="178">
        <f>IFERROR(INDEX('M04-S03'!$AA$18:$AA$199,2*(ROWS(G$182:G183)-1)+1),"")</f>
        <v>0</v>
      </c>
      <c r="H183" s="200" t="str">
        <f ca="1">IFERROR(IF(AC183&lt;&gt;"","",INDEX('M04-S03'!$AD$18:$AD$199,2*(ROWS(H$182:H183)-1)+1)),"")</f>
        <v/>
      </c>
      <c r="I183" s="200" t="str">
        <f ca="1">IFERROR(IF(AC183&lt;&gt;"","",INDEX('M04-S03'!$AF$18:$AF$199,2*(ROWS(I$182:I183)-1)+1)),"")</f>
        <v/>
      </c>
      <c r="J183" s="200" t="str">
        <f ca="1">IFERROR(IF(AC183&lt;&gt;"","",INDEX('M04-S03'!$AH$18:$AH$199,2*(ROWS(J$182:J183)-1)+1)),"")</f>
        <v/>
      </c>
      <c r="K183" s="178" t="s">
        <v>84</v>
      </c>
      <c r="L183" s="116" t="str">
        <f ca="1">IFERROR(IF(AC183&lt;&gt;"","",ROUND(INDEX('M04-S03'!$O$18:$O$199,2*(ROWS(L$182:L183)-1)+1),3)),"")</f>
        <v/>
      </c>
      <c r="M183" s="116" t="str">
        <f ca="1">IFERROR(IF(AC183&lt;&gt;"","",ROUND(INDEX('M04-S03'!$O$18:$O$199,2*(ROWS(M$182:M183)-1)+1),3)),"")</f>
        <v/>
      </c>
      <c r="N183" s="418"/>
      <c r="O183" s="415" t="str">
        <f ca="1">IFERROR(IF(AC183&lt;&gt;"","",INDEX('M04-S03'!$AK$18:$AK$199,2*(ROWS(O$182:O183)-1)+1)),"")</f>
        <v/>
      </c>
      <c r="P183" s="408"/>
      <c r="Q183" s="415" t="str">
        <f ca="1">IFERROR(IF(AC183&lt;&gt;"","",INDEX('M04-S03'!$BA$18:$BA$199,2*(ROWS(Q$182:Q183)-1)+1)),"")</f>
        <v/>
      </c>
      <c r="R183" s="200" t="str">
        <f ca="1">IFERROR(IF(AC183&lt;&gt;"","",INDEX('M04-S03'!$AN$18:$AN$199,2*(ROWS(R$182:R183)-1)+1)),"")</f>
        <v/>
      </c>
      <c r="S183" s="200">
        <f ca="1">IFERROR(IF(AC183&lt;&gt;"",INDEX('M04-S03'!$AD$18:$AD$199,2*(ROWS(S$182:S183)-1)+1),""),"")</f>
        <v>0</v>
      </c>
      <c r="T183" s="200">
        <f ca="1">IFERROR(IF(AC183&lt;&gt;"",INDEX('M04-S03'!$AF$18:$AF$199,2*(ROWS(T$182:T183)-1)+1),""),"")</f>
        <v>0</v>
      </c>
      <c r="U183" s="200" t="str">
        <f ca="1">IFERROR(IF(AC183&lt;&gt;"",INDEX('M04-S03'!$AH$18:$AH$199,2*(ROWS(U$182:U183)-1)+1),""),"")</f>
        <v/>
      </c>
      <c r="V183" s="178">
        <f ca="1">IFERROR(IF(AC183&lt;&gt;"",INDEX('M04-S03'!$AB$38:$AB$199,2*(ROWS(V$182:V183)-1)+1),""),"")</f>
        <v>0</v>
      </c>
      <c r="W183" s="116">
        <f ca="1">IFERROR(IF(AC183&lt;&gt;"",ROUND(INDEX('M04-S03'!$P$38:$P$199,2*(ROWS(W$182:W183)-1)+1),3),""),"")</f>
        <v>0</v>
      </c>
      <c r="X183" s="116">
        <f ca="1">IFERROR(IF(AC183&lt;&gt;"",ROUND(INDEX('M04-S03'!$Z$38:$Z$199,2*(ROWS(X$182:X183)-1)+1),3),""),"")</f>
        <v>0</v>
      </c>
      <c r="Y183" s="408"/>
      <c r="Z183" s="173" t="str">
        <f ca="1">IFERROR(IF(AC183&lt;&gt;"",INDEX('M04-S03'!$AK$18:$AK$199,2*(ROWS(Z$182:Z183)-1)+1),""),"")</f>
        <v/>
      </c>
      <c r="AA183" s="408"/>
      <c r="AB183" s="415" t="str">
        <f ca="1">IFERROR(IF(AC183&lt;&gt;"",INDEX('M04-S03'!$BA$18:$BA$199,2*(ROWS(AB$182:AB183)-1)+1),""),"")</f>
        <v/>
      </c>
      <c r="AC183" s="178" t="str">
        <f ca="1">IFERROR(INDEX('M04-S03'!$BJ$18:$BJ$199,2*(ROWS(AC$182:AC183)-1)+1),"")</f>
        <v>Submit for Review</v>
      </c>
      <c r="AD183" s="415" t="str">
        <f>IFERROR(INDEX('M04-S03'!$AW$18:$AW$199,2*(ROWS(AD$182:AD183)-1)+1),"")</f>
        <v/>
      </c>
      <c r="AE183" s="415" t="str">
        <f>IFERROR(INDEX('M04-S03'!$AX$18:$AX$199,2*(ROWS(AE$182:AE183)-1)+1),"")</f>
        <v/>
      </c>
      <c r="AF183" s="408"/>
      <c r="AG183" s="408"/>
      <c r="AH183" s="173">
        <f>IFERROR(INDEX('M04-S03'!$Q$18:$Q$199,2*(ROWS(AH$182:AH183)-1)+1),"")</f>
        <v>0</v>
      </c>
      <c r="AI183" s="178">
        <f>IFERROR(INDEX('M04-S03'!$B$18:$B$199,2*(ROWS(AI$182:AI183)-1)+1),"")</f>
        <v>2</v>
      </c>
      <c r="AJ183" s="325"/>
      <c r="AK183" s="178">
        <f>IFERROR(INDEX('M04-S03'!$C$18:$C$199,2*(ROWS(AK$182:AK183)-1)+1),"")</f>
        <v>0</v>
      </c>
      <c r="AL183" s="325"/>
      <c r="AM183" s="178">
        <f>IFERROR(INDEX('M04-S03'!$W$18:$W$199,2*(ROWS(AM$182:AM183)-1)+1),"")</f>
        <v>0</v>
      </c>
      <c r="AN183" s="200" t="str">
        <f>IFERROR(INDEX('M04-S03'!$AT$18:$AT$199,2*(ROWS(AN$182:AN183)-1)+1),"")</f>
        <v/>
      </c>
      <c r="AO183" s="200" t="str">
        <f>IFERROR(INDEX('M04-S03'!$AU$18:$AU$199,2*(ROWS(AO$182:AO183)-1)+1),"")</f>
        <v/>
      </c>
      <c r="AP183" s="178" t="str">
        <f>IFERROR(INDEX('M04-S03'!$AV$18:$AV$199,2*(ROWS(AP$182:AP183)-1)+1),"")</f>
        <v/>
      </c>
      <c r="AQ183" s="178" t="str">
        <f>IFERROR(INDEX('M04-S03'!$AY$18:$AY$199,2*(ROWS(AQ$182:AQ183)-1)+1),"")</f>
        <v/>
      </c>
      <c r="AR183" s="178" t="s">
        <v>1374</v>
      </c>
      <c r="AS183" s="178"/>
      <c r="AT183" s="278"/>
      <c r="AU183" s="278"/>
      <c r="AV183" s="278"/>
      <c r="AW183" s="278"/>
      <c r="AX183" s="278"/>
      <c r="AY183" s="278"/>
      <c r="AZ183" s="278"/>
      <c r="BA183" s="278"/>
      <c r="BB183" s="278"/>
      <c r="BC183" s="278"/>
      <c r="BD183" s="278"/>
      <c r="BE183" s="279"/>
      <c r="BL183" s="180"/>
      <c r="BP183" s="180"/>
      <c r="BQ183" s="180"/>
      <c r="BR183" s="180"/>
      <c r="CD183" s="180"/>
      <c r="CE183" s="180"/>
      <c r="CF183" s="180"/>
      <c r="CH183" s="180"/>
      <c r="CI183" s="180"/>
      <c r="CJ183" s="180"/>
      <c r="CK183" s="180"/>
      <c r="CL183" s="180"/>
      <c r="CM183" s="180"/>
      <c r="CN183" s="180"/>
      <c r="CQ183" s="180"/>
      <c r="CR183" s="180"/>
      <c r="CS183" s="180"/>
      <c r="DS183" s="180"/>
      <c r="DT183" s="180"/>
      <c r="DU183" s="180"/>
    </row>
    <row r="184" spans="1:125" s="54" customFormat="1" hidden="1">
      <c r="A184" s="135">
        <f t="shared" si="18"/>
        <v>0</v>
      </c>
      <c r="B184" s="178" t="str">
        <f t="shared" si="19"/>
        <v/>
      </c>
      <c r="C184" s="178" t="str">
        <f>IFERROR(IF(INDEX('M04-S03'!$BH$18:$BH$199,2*(ROWS($C$182:C184)-1)+1)="","",INDEX('M04-S03'!$BH$18:$BH$199,2*(ROWS($C$182:C184)-1)+1)),"")</f>
        <v/>
      </c>
      <c r="D184" s="180" t="s">
        <v>144</v>
      </c>
      <c r="E184" s="178" t="str">
        <f>IFERROR(INDEX('M04-S03'!$AZ$18:$AZ$199,2*(ROWS(E$182:E184)-1)+1),"")</f>
        <v/>
      </c>
      <c r="F184" s="173">
        <f>IFERROR(INDEX('M04-S03'!$T$18:$T$199,2*(ROWS(G$182:G184)-1)+1),"")</f>
        <v>0</v>
      </c>
      <c r="G184" s="178">
        <f>IFERROR(INDEX('M04-S03'!$AA$18:$AA$199,2*(ROWS(G$182:G184)-1)+1),"")</f>
        <v>0</v>
      </c>
      <c r="H184" s="200" t="str">
        <f ca="1">IFERROR(IF(AC184&lt;&gt;"","",INDEX('M04-S03'!$AD$18:$AD$199,2*(ROWS(H$182:H184)-1)+1)),"")</f>
        <v/>
      </c>
      <c r="I184" s="200" t="str">
        <f ca="1">IFERROR(IF(AC184&lt;&gt;"","",INDEX('M04-S03'!$AF$18:$AF$199,2*(ROWS(I$182:I184)-1)+1)),"")</f>
        <v/>
      </c>
      <c r="J184" s="200" t="str">
        <f ca="1">IFERROR(IF(AC184&lt;&gt;"","",INDEX('M04-S03'!$AH$18:$AH$199,2*(ROWS(J$182:J184)-1)+1)),"")</f>
        <v/>
      </c>
      <c r="K184" s="178" t="s">
        <v>84</v>
      </c>
      <c r="L184" s="116" t="str">
        <f ca="1">IFERROR(IF(AC184&lt;&gt;"","",ROUND(INDEX('M04-S03'!$O$18:$O$199,2*(ROWS(L$182:L184)-1)+1),3)),"")</f>
        <v/>
      </c>
      <c r="M184" s="116" t="str">
        <f ca="1">IFERROR(IF(AC184&lt;&gt;"","",ROUND(INDEX('M04-S03'!$O$18:$O$199,2*(ROWS(M$182:M184)-1)+1),3)),"")</f>
        <v/>
      </c>
      <c r="N184" s="418"/>
      <c r="O184" s="415" t="str">
        <f ca="1">IFERROR(IF(AC184&lt;&gt;"","",INDEX('M04-S03'!$AK$18:$AK$199,2*(ROWS(O$182:O184)-1)+1)),"")</f>
        <v/>
      </c>
      <c r="P184" s="408"/>
      <c r="Q184" s="415" t="str">
        <f ca="1">IFERROR(IF(AC184&lt;&gt;"","",INDEX('M04-S03'!$BA$18:$BA$199,2*(ROWS(Q$182:Q184)-1)+1)),"")</f>
        <v/>
      </c>
      <c r="R184" s="200" t="str">
        <f ca="1">IFERROR(IF(AC184&lt;&gt;"","",INDEX('M04-S03'!$AN$18:$AN$199,2*(ROWS(R$182:R184)-1)+1)),"")</f>
        <v/>
      </c>
      <c r="S184" s="200">
        <f ca="1">IFERROR(IF(AC184&lt;&gt;"",INDEX('M04-S03'!$AD$18:$AD$199,2*(ROWS(S$182:S184)-1)+1),""),"")</f>
        <v>0</v>
      </c>
      <c r="T184" s="200">
        <f ca="1">IFERROR(IF(AC184&lt;&gt;"",INDEX('M04-S03'!$AF$18:$AF$199,2*(ROWS(T$182:T184)-1)+1),""),"")</f>
        <v>0</v>
      </c>
      <c r="U184" s="200" t="str">
        <f ca="1">IFERROR(IF(AC184&lt;&gt;"",INDEX('M04-S03'!$AH$18:$AH$199,2*(ROWS(U$182:U184)-1)+1),""),"")</f>
        <v/>
      </c>
      <c r="V184" s="178">
        <f ca="1">IFERROR(IF(AC184&lt;&gt;"",INDEX('M04-S03'!$AB$38:$AB$199,2*(ROWS(V$182:V184)-1)+1),""),"")</f>
        <v>0</v>
      </c>
      <c r="W184" s="116">
        <f ca="1">IFERROR(IF(AC184&lt;&gt;"",ROUND(INDEX('M04-S03'!$P$38:$P$199,2*(ROWS(W$182:W184)-1)+1),3),""),"")</f>
        <v>0</v>
      </c>
      <c r="X184" s="116">
        <f ca="1">IFERROR(IF(AC184&lt;&gt;"",ROUND(INDEX('M04-S03'!$Z$38:$Z$199,2*(ROWS(X$182:X184)-1)+1),3),""),"")</f>
        <v>0</v>
      </c>
      <c r="Y184" s="408"/>
      <c r="Z184" s="173" t="str">
        <f ca="1">IFERROR(IF(AC184&lt;&gt;"",INDEX('M04-S03'!$AK$18:$AK$199,2*(ROWS(Z$182:Z184)-1)+1),""),"")</f>
        <v/>
      </c>
      <c r="AA184" s="408"/>
      <c r="AB184" s="415" t="str">
        <f ca="1">IFERROR(IF(AC184&lt;&gt;"",INDEX('M04-S03'!$BA$18:$BA$199,2*(ROWS(AB$182:AB184)-1)+1),""),"")</f>
        <v/>
      </c>
      <c r="AC184" s="178" t="str">
        <f ca="1">IFERROR(INDEX('M04-S03'!$BJ$18:$BJ$199,2*(ROWS(AC$182:AC184)-1)+1),"")</f>
        <v>Submit for Review</v>
      </c>
      <c r="AD184" s="415" t="str">
        <f>IFERROR(INDEX('M04-S03'!$AW$18:$AW$199,2*(ROWS(AD$182:AD184)-1)+1),"")</f>
        <v/>
      </c>
      <c r="AE184" s="415" t="str">
        <f>IFERROR(INDEX('M04-S03'!$AX$18:$AX$199,2*(ROWS(AE$182:AE184)-1)+1),"")</f>
        <v/>
      </c>
      <c r="AF184" s="408"/>
      <c r="AG184" s="408"/>
      <c r="AH184" s="173">
        <f>IFERROR(INDEX('M04-S03'!$Q$18:$Q$199,2*(ROWS(AH$182:AH184)-1)+1),"")</f>
        <v>0</v>
      </c>
      <c r="AI184" s="178">
        <f>IFERROR(INDEX('M04-S03'!$B$18:$B$199,2*(ROWS(AI$182:AI184)-1)+1),"")</f>
        <v>3</v>
      </c>
      <c r="AJ184" s="325"/>
      <c r="AK184" s="178">
        <f>IFERROR(INDEX('M04-S03'!$C$18:$C$199,2*(ROWS(AK$182:AK184)-1)+1),"")</f>
        <v>0</v>
      </c>
      <c r="AL184" s="325"/>
      <c r="AM184" s="178">
        <f>IFERROR(INDEX('M04-S03'!$W$18:$W$199,2*(ROWS(AM$182:AM184)-1)+1),"")</f>
        <v>0</v>
      </c>
      <c r="AN184" s="200" t="str">
        <f>IFERROR(INDEX('M04-S03'!$AT$18:$AT$199,2*(ROWS(AN$182:AN184)-1)+1),"")</f>
        <v/>
      </c>
      <c r="AO184" s="200" t="str">
        <f>IFERROR(INDEX('M04-S03'!$AU$18:$AU$199,2*(ROWS(AO$182:AO184)-1)+1),"")</f>
        <v/>
      </c>
      <c r="AP184" s="178" t="str">
        <f>IFERROR(INDEX('M04-S03'!$AV$18:$AV$199,2*(ROWS(AP$182:AP184)-1)+1),"")</f>
        <v/>
      </c>
      <c r="AQ184" s="178" t="str">
        <f>IFERROR(INDEX('M04-S03'!$AY$18:$AY$199,2*(ROWS(AQ$182:AQ184)-1)+1),"")</f>
        <v/>
      </c>
      <c r="AR184" s="178" t="s">
        <v>1374</v>
      </c>
      <c r="AS184" s="178"/>
      <c r="AT184" s="278"/>
      <c r="AU184" s="278"/>
      <c r="AV184" s="278"/>
      <c r="AW184" s="278"/>
      <c r="AX184" s="278"/>
      <c r="AY184" s="278"/>
      <c r="AZ184" s="278"/>
      <c r="BA184" s="278"/>
      <c r="BB184" s="278"/>
      <c r="BC184" s="278"/>
      <c r="BD184" s="278"/>
      <c r="BE184" s="279"/>
      <c r="BL184" s="180"/>
      <c r="BP184" s="180"/>
      <c r="BQ184" s="180"/>
      <c r="BR184" s="180"/>
      <c r="CD184" s="180"/>
      <c r="CE184" s="180"/>
      <c r="CF184" s="180"/>
      <c r="CH184" s="180"/>
      <c r="CI184" s="180"/>
      <c r="CJ184" s="180"/>
      <c r="CK184" s="180"/>
      <c r="CL184" s="180"/>
      <c r="CM184" s="180"/>
      <c r="CN184" s="180"/>
      <c r="CQ184" s="180"/>
      <c r="CR184" s="180"/>
      <c r="CS184" s="180"/>
      <c r="DS184" s="180"/>
      <c r="DT184" s="180"/>
      <c r="DU184" s="180"/>
    </row>
    <row r="185" spans="1:125" s="54" customFormat="1" hidden="1">
      <c r="A185" s="135">
        <f t="shared" si="18"/>
        <v>0</v>
      </c>
      <c r="B185" s="178" t="str">
        <f t="shared" si="19"/>
        <v/>
      </c>
      <c r="C185" s="178" t="str">
        <f>IFERROR(IF(INDEX('M04-S03'!$BH$18:$BH$199,2*(ROWS($C$182:C185)-1)+1)="","",INDEX('M04-S03'!$BH$18:$BH$199,2*(ROWS($C$182:C185)-1)+1)),"")</f>
        <v/>
      </c>
      <c r="D185" s="180" t="s">
        <v>144</v>
      </c>
      <c r="E185" s="178" t="str">
        <f>IFERROR(INDEX('M04-S03'!$AZ$18:$AZ$199,2*(ROWS(E$182:E185)-1)+1),"")</f>
        <v/>
      </c>
      <c r="F185" s="173">
        <f>IFERROR(INDEX('M04-S03'!$T$18:$T$199,2*(ROWS(G$182:G185)-1)+1),"")</f>
        <v>0</v>
      </c>
      <c r="G185" s="178">
        <f>IFERROR(INDEX('M04-S03'!$AA$18:$AA$199,2*(ROWS(G$182:G185)-1)+1),"")</f>
        <v>0</v>
      </c>
      <c r="H185" s="200" t="str">
        <f ca="1">IFERROR(IF(AC185&lt;&gt;"","",INDEX('M04-S03'!$AD$18:$AD$199,2*(ROWS(H$182:H185)-1)+1)),"")</f>
        <v/>
      </c>
      <c r="I185" s="200" t="str">
        <f ca="1">IFERROR(IF(AC185&lt;&gt;"","",INDEX('M04-S03'!$AF$18:$AF$199,2*(ROWS(I$182:I185)-1)+1)),"")</f>
        <v/>
      </c>
      <c r="J185" s="200" t="str">
        <f ca="1">IFERROR(IF(AC185&lt;&gt;"","",INDEX('M04-S03'!$AH$18:$AH$199,2*(ROWS(J$182:J185)-1)+1)),"")</f>
        <v/>
      </c>
      <c r="K185" s="178" t="s">
        <v>84</v>
      </c>
      <c r="L185" s="116" t="str">
        <f ca="1">IFERROR(IF(AC185&lt;&gt;"","",ROUND(INDEX('M04-S03'!$O$18:$O$199,2*(ROWS(L$182:L185)-1)+1),3)),"")</f>
        <v/>
      </c>
      <c r="M185" s="116" t="str">
        <f ca="1">IFERROR(IF(AC185&lt;&gt;"","",ROUND(INDEX('M04-S03'!$O$18:$O$199,2*(ROWS(M$182:M185)-1)+1),3)),"")</f>
        <v/>
      </c>
      <c r="N185" s="418"/>
      <c r="O185" s="415" t="str">
        <f ca="1">IFERROR(IF(AC185&lt;&gt;"","",INDEX('M04-S03'!$AK$18:$AK$199,2*(ROWS(O$182:O185)-1)+1)),"")</f>
        <v/>
      </c>
      <c r="P185" s="408"/>
      <c r="Q185" s="415" t="str">
        <f ca="1">IFERROR(IF(AC185&lt;&gt;"","",INDEX('M04-S03'!$BA$18:$BA$199,2*(ROWS(Q$182:Q185)-1)+1)),"")</f>
        <v/>
      </c>
      <c r="R185" s="200" t="str">
        <f ca="1">IFERROR(IF(AC185&lt;&gt;"","",INDEX('M04-S03'!$AN$18:$AN$199,2*(ROWS(R$182:R185)-1)+1)),"")</f>
        <v/>
      </c>
      <c r="S185" s="200">
        <f ca="1">IFERROR(IF(AC185&lt;&gt;"",INDEX('M04-S03'!$AD$18:$AD$199,2*(ROWS(S$182:S185)-1)+1),""),"")</f>
        <v>0</v>
      </c>
      <c r="T185" s="200">
        <f ca="1">IFERROR(IF(AC185&lt;&gt;"",INDEX('M04-S03'!$AF$18:$AF$199,2*(ROWS(T$182:T185)-1)+1),""),"")</f>
        <v>0</v>
      </c>
      <c r="U185" s="200" t="str">
        <f ca="1">IFERROR(IF(AC185&lt;&gt;"",INDEX('M04-S03'!$AH$18:$AH$199,2*(ROWS(U$182:U185)-1)+1),""),"")</f>
        <v/>
      </c>
      <c r="V185" s="178">
        <f ca="1">IFERROR(IF(AC185&lt;&gt;"",INDEX('M04-S03'!$AB$38:$AB$199,2*(ROWS(V$182:V185)-1)+1),""),"")</f>
        <v>0</v>
      </c>
      <c r="W185" s="116">
        <f ca="1">IFERROR(IF(AC185&lt;&gt;"",ROUND(INDEX('M04-S03'!$P$38:$P$199,2*(ROWS(W$182:W185)-1)+1),3),""),"")</f>
        <v>0</v>
      </c>
      <c r="X185" s="116">
        <f ca="1">IFERROR(IF(AC185&lt;&gt;"",ROUND(INDEX('M04-S03'!$Z$38:$Z$199,2*(ROWS(X$182:X185)-1)+1),3),""),"")</f>
        <v>0</v>
      </c>
      <c r="Y185" s="408"/>
      <c r="Z185" s="173" t="str">
        <f ca="1">IFERROR(IF(AC185&lt;&gt;"",INDEX('M04-S03'!$AK$18:$AK$199,2*(ROWS(Z$182:Z185)-1)+1),""),"")</f>
        <v/>
      </c>
      <c r="AA185" s="408"/>
      <c r="AB185" s="415" t="str">
        <f ca="1">IFERROR(IF(AC185&lt;&gt;"",INDEX('M04-S03'!$BA$18:$BA$199,2*(ROWS(AB$182:AB185)-1)+1),""),"")</f>
        <v/>
      </c>
      <c r="AC185" s="178" t="str">
        <f ca="1">IFERROR(INDEX('M04-S03'!$BJ$18:$BJ$199,2*(ROWS(AC$182:AC185)-1)+1),"")</f>
        <v>Submit for Review</v>
      </c>
      <c r="AD185" s="415" t="str">
        <f>IFERROR(INDEX('M04-S03'!$AW$18:$AW$199,2*(ROWS(AD$182:AD185)-1)+1),"")</f>
        <v/>
      </c>
      <c r="AE185" s="415" t="str">
        <f>IFERROR(INDEX('M04-S03'!$AX$18:$AX$199,2*(ROWS(AE$182:AE185)-1)+1),"")</f>
        <v/>
      </c>
      <c r="AF185" s="408"/>
      <c r="AG185" s="408"/>
      <c r="AH185" s="173">
        <f>IFERROR(INDEX('M04-S03'!$Q$18:$Q$199,2*(ROWS(AH$182:AH185)-1)+1),"")</f>
        <v>0</v>
      </c>
      <c r="AI185" s="178">
        <f>IFERROR(INDEX('M04-S03'!$B$18:$B$199,2*(ROWS(AI$182:AI185)-1)+1),"")</f>
        <v>4</v>
      </c>
      <c r="AJ185" s="325"/>
      <c r="AK185" s="178">
        <f>IFERROR(INDEX('M04-S03'!$C$18:$C$199,2*(ROWS(AK$182:AK185)-1)+1),"")</f>
        <v>0</v>
      </c>
      <c r="AL185" s="325"/>
      <c r="AM185" s="178">
        <f>IFERROR(INDEX('M04-S03'!$W$18:$W$199,2*(ROWS(AM$182:AM185)-1)+1),"")</f>
        <v>0</v>
      </c>
      <c r="AN185" s="200" t="str">
        <f>IFERROR(INDEX('M04-S03'!$AT$18:$AT$199,2*(ROWS(AN$182:AN185)-1)+1),"")</f>
        <v/>
      </c>
      <c r="AO185" s="200" t="str">
        <f>IFERROR(INDEX('M04-S03'!$AU$18:$AU$199,2*(ROWS(AO$182:AO185)-1)+1),"")</f>
        <v/>
      </c>
      <c r="AP185" s="178" t="str">
        <f>IFERROR(INDEX('M04-S03'!$AV$18:$AV$199,2*(ROWS(AP$182:AP185)-1)+1),"")</f>
        <v/>
      </c>
      <c r="AQ185" s="178" t="str">
        <f>IFERROR(INDEX('M04-S03'!$AY$18:$AY$199,2*(ROWS(AQ$182:AQ185)-1)+1),"")</f>
        <v/>
      </c>
      <c r="AR185" s="178" t="s">
        <v>1374</v>
      </c>
      <c r="AS185" s="178"/>
      <c r="AT185" s="278"/>
      <c r="AU185" s="278"/>
      <c r="AV185" s="278"/>
      <c r="AW185" s="278"/>
      <c r="AX185" s="278"/>
      <c r="AY185" s="278"/>
      <c r="AZ185" s="278"/>
      <c r="BA185" s="278"/>
      <c r="BB185" s="278"/>
      <c r="BC185" s="278"/>
      <c r="BD185" s="278"/>
      <c r="BE185" s="279"/>
      <c r="BL185" s="180"/>
      <c r="BP185" s="180"/>
      <c r="BQ185" s="180"/>
      <c r="BR185" s="180"/>
      <c r="CD185" s="180"/>
      <c r="CE185" s="180"/>
      <c r="CF185" s="180"/>
      <c r="CH185" s="180"/>
      <c r="CI185" s="180"/>
      <c r="CJ185" s="180"/>
      <c r="CK185" s="180"/>
      <c r="CL185" s="180"/>
      <c r="CM185" s="180"/>
      <c r="CN185" s="180"/>
      <c r="CQ185" s="180"/>
      <c r="CR185" s="180"/>
      <c r="CS185" s="180"/>
      <c r="DS185" s="180"/>
      <c r="DT185" s="180"/>
      <c r="DU185" s="180"/>
    </row>
    <row r="186" spans="1:125" s="54" customFormat="1" hidden="1">
      <c r="A186" s="135">
        <f t="shared" si="18"/>
        <v>0</v>
      </c>
      <c r="B186" s="178" t="str">
        <f t="shared" si="19"/>
        <v/>
      </c>
      <c r="C186" s="178" t="str">
        <f>IFERROR(IF(INDEX('M04-S03'!$BH$18:$BH$199,2*(ROWS($C$182:C186)-1)+1)="","",INDEX('M04-S03'!$BH$18:$BH$199,2*(ROWS($C$182:C186)-1)+1)),"")</f>
        <v/>
      </c>
      <c r="D186" s="180" t="s">
        <v>144</v>
      </c>
      <c r="E186" s="178" t="str">
        <f>IFERROR(INDEX('M04-S03'!$AZ$18:$AZ$199,2*(ROWS(E$182:E186)-1)+1),"")</f>
        <v/>
      </c>
      <c r="F186" s="173">
        <f>IFERROR(INDEX('M04-S03'!$T$18:$T$199,2*(ROWS(G$182:G186)-1)+1),"")</f>
        <v>0</v>
      </c>
      <c r="G186" s="178">
        <f>IFERROR(INDEX('M04-S03'!$AA$18:$AA$199,2*(ROWS(G$182:G186)-1)+1),"")</f>
        <v>0</v>
      </c>
      <c r="H186" s="200" t="str">
        <f ca="1">IFERROR(IF(AC186&lt;&gt;"","",INDEX('M04-S03'!$AD$18:$AD$199,2*(ROWS(H$182:H186)-1)+1)),"")</f>
        <v/>
      </c>
      <c r="I186" s="200" t="str">
        <f ca="1">IFERROR(IF(AC186&lt;&gt;"","",INDEX('M04-S03'!$AF$18:$AF$199,2*(ROWS(I$182:I186)-1)+1)),"")</f>
        <v/>
      </c>
      <c r="J186" s="200" t="str">
        <f ca="1">IFERROR(IF(AC186&lt;&gt;"","",INDEX('M04-S03'!$AH$18:$AH$199,2*(ROWS(J$182:J186)-1)+1)),"")</f>
        <v/>
      </c>
      <c r="K186" s="178" t="s">
        <v>84</v>
      </c>
      <c r="L186" s="116" t="str">
        <f ca="1">IFERROR(IF(AC186&lt;&gt;"","",ROUND(INDEX('M04-S03'!$O$18:$O$199,2*(ROWS(L$182:L186)-1)+1),3)),"")</f>
        <v/>
      </c>
      <c r="M186" s="116" t="str">
        <f ca="1">IFERROR(IF(AC186&lt;&gt;"","",ROUND(INDEX('M04-S03'!$O$18:$O$199,2*(ROWS(M$182:M186)-1)+1),3)),"")</f>
        <v/>
      </c>
      <c r="N186" s="418"/>
      <c r="O186" s="415" t="str">
        <f ca="1">IFERROR(IF(AC186&lt;&gt;"","",INDEX('M04-S03'!$AK$18:$AK$199,2*(ROWS(O$182:O186)-1)+1)),"")</f>
        <v/>
      </c>
      <c r="P186" s="408"/>
      <c r="Q186" s="415" t="str">
        <f ca="1">IFERROR(IF(AC186&lt;&gt;"","",INDEX('M04-S03'!$BA$18:$BA$199,2*(ROWS(Q$182:Q186)-1)+1)),"")</f>
        <v/>
      </c>
      <c r="R186" s="200" t="str">
        <f ca="1">IFERROR(IF(AC186&lt;&gt;"","",INDEX('M04-S03'!$AN$18:$AN$199,2*(ROWS(R$182:R186)-1)+1)),"")</f>
        <v/>
      </c>
      <c r="S186" s="200">
        <f ca="1">IFERROR(IF(AC186&lt;&gt;"",INDEX('M04-S03'!$AD$18:$AD$199,2*(ROWS(S$182:S186)-1)+1),""),"")</f>
        <v>0</v>
      </c>
      <c r="T186" s="200">
        <f ca="1">IFERROR(IF(AC186&lt;&gt;"",INDEX('M04-S03'!$AF$18:$AF$199,2*(ROWS(T$182:T186)-1)+1),""),"")</f>
        <v>0</v>
      </c>
      <c r="U186" s="200" t="str">
        <f ca="1">IFERROR(IF(AC186&lt;&gt;"",INDEX('M04-S03'!$AH$18:$AH$199,2*(ROWS(U$182:U186)-1)+1),""),"")</f>
        <v/>
      </c>
      <c r="V186" s="178">
        <f ca="1">IFERROR(IF(AC186&lt;&gt;"",INDEX('M04-S03'!$AB$38:$AB$199,2*(ROWS(V$182:V186)-1)+1),""),"")</f>
        <v>0</v>
      </c>
      <c r="W186" s="116">
        <f ca="1">IFERROR(IF(AC186&lt;&gt;"",ROUND(INDEX('M04-S03'!$P$38:$P$199,2*(ROWS(W$182:W186)-1)+1),3),""),"")</f>
        <v>0</v>
      </c>
      <c r="X186" s="116">
        <f ca="1">IFERROR(IF(AC186&lt;&gt;"",ROUND(INDEX('M04-S03'!$Z$38:$Z$199,2*(ROWS(X$182:X186)-1)+1),3),""),"")</f>
        <v>0</v>
      </c>
      <c r="Y186" s="408"/>
      <c r="Z186" s="173" t="str">
        <f ca="1">IFERROR(IF(AC186&lt;&gt;"",INDEX('M04-S03'!$AK$18:$AK$199,2*(ROWS(Z$182:Z186)-1)+1),""),"")</f>
        <v/>
      </c>
      <c r="AA186" s="408"/>
      <c r="AB186" s="415" t="str">
        <f ca="1">IFERROR(IF(AC186&lt;&gt;"",INDEX('M04-S03'!$BA$18:$BA$199,2*(ROWS(AB$182:AB186)-1)+1),""),"")</f>
        <v/>
      </c>
      <c r="AC186" s="178" t="str">
        <f ca="1">IFERROR(INDEX('M04-S03'!$BJ$18:$BJ$199,2*(ROWS(AC$182:AC186)-1)+1),"")</f>
        <v>Submit for Review</v>
      </c>
      <c r="AD186" s="415" t="str">
        <f>IFERROR(INDEX('M04-S03'!$AW$18:$AW$199,2*(ROWS(AD$182:AD186)-1)+1),"")</f>
        <v/>
      </c>
      <c r="AE186" s="415" t="str">
        <f>IFERROR(INDEX('M04-S03'!$AX$18:$AX$199,2*(ROWS(AE$182:AE186)-1)+1),"")</f>
        <v/>
      </c>
      <c r="AF186" s="408"/>
      <c r="AG186" s="408"/>
      <c r="AH186" s="173">
        <f>IFERROR(INDEX('M04-S03'!$Q$18:$Q$199,2*(ROWS(AH$182:AH186)-1)+1),"")</f>
        <v>0</v>
      </c>
      <c r="AI186" s="178">
        <f>IFERROR(INDEX('M04-S03'!$B$18:$B$199,2*(ROWS(AI$182:AI186)-1)+1),"")</f>
        <v>5</v>
      </c>
      <c r="AJ186" s="325"/>
      <c r="AK186" s="178">
        <f>IFERROR(INDEX('M04-S03'!$C$18:$C$199,2*(ROWS(AK$182:AK186)-1)+1),"")</f>
        <v>0</v>
      </c>
      <c r="AL186" s="325"/>
      <c r="AM186" s="178">
        <f>IFERROR(INDEX('M04-S03'!$W$18:$W$199,2*(ROWS(AM$182:AM186)-1)+1),"")</f>
        <v>0</v>
      </c>
      <c r="AN186" s="200" t="str">
        <f>IFERROR(INDEX('M04-S03'!$AT$18:$AT$199,2*(ROWS(AN$182:AN186)-1)+1),"")</f>
        <v/>
      </c>
      <c r="AO186" s="200" t="str">
        <f>IFERROR(INDEX('M04-S03'!$AU$18:$AU$199,2*(ROWS(AO$182:AO186)-1)+1),"")</f>
        <v/>
      </c>
      <c r="AP186" s="178" t="str">
        <f>IFERROR(INDEX('M04-S03'!$AV$18:$AV$199,2*(ROWS(AP$182:AP186)-1)+1),"")</f>
        <v/>
      </c>
      <c r="AQ186" s="178" t="str">
        <f>IFERROR(INDEX('M04-S03'!$AY$18:$AY$199,2*(ROWS(AQ$182:AQ186)-1)+1),"")</f>
        <v/>
      </c>
      <c r="AR186" s="178" t="s">
        <v>1374</v>
      </c>
      <c r="AS186" s="178"/>
      <c r="AT186" s="278"/>
      <c r="AU186" s="278"/>
      <c r="AV186" s="278"/>
      <c r="AW186" s="278"/>
      <c r="AX186" s="278"/>
      <c r="AY186" s="278"/>
      <c r="AZ186" s="278"/>
      <c r="BA186" s="278"/>
      <c r="BB186" s="278"/>
      <c r="BC186" s="278"/>
      <c r="BD186" s="278"/>
      <c r="BE186" s="279"/>
      <c r="BL186" s="180"/>
      <c r="BP186" s="180"/>
      <c r="BQ186" s="180"/>
      <c r="BR186" s="180"/>
      <c r="CD186" s="180"/>
      <c r="CE186" s="180"/>
      <c r="CF186" s="180"/>
      <c r="CH186" s="180"/>
      <c r="CI186" s="180"/>
      <c r="CJ186" s="180"/>
      <c r="CK186" s="180"/>
      <c r="CL186" s="180"/>
      <c r="CM186" s="180"/>
      <c r="CN186" s="180"/>
      <c r="CQ186" s="180"/>
      <c r="CR186" s="180"/>
      <c r="CS186" s="180"/>
      <c r="DS186" s="180"/>
      <c r="DT186" s="180"/>
      <c r="DU186" s="180"/>
    </row>
    <row r="187" spans="1:125" s="54" customFormat="1" hidden="1">
      <c r="A187" s="135">
        <f t="shared" si="18"/>
        <v>0</v>
      </c>
      <c r="B187" s="178" t="str">
        <f t="shared" si="19"/>
        <v/>
      </c>
      <c r="C187" s="178" t="str">
        <f>IFERROR(IF(INDEX('M04-S03'!$BH$18:$BH$199,2*(ROWS($C$182:C187)-1)+1)="","",INDEX('M04-S03'!$BH$18:$BH$199,2*(ROWS($C$182:C187)-1)+1)),"")</f>
        <v/>
      </c>
      <c r="D187" s="180" t="s">
        <v>144</v>
      </c>
      <c r="E187" s="178" t="str">
        <f>IFERROR(INDEX('M04-S03'!$AZ$18:$AZ$199,2*(ROWS(E$182:E187)-1)+1),"")</f>
        <v/>
      </c>
      <c r="F187" s="173">
        <f>IFERROR(INDEX('M04-S03'!$T$18:$T$199,2*(ROWS(G$182:G187)-1)+1),"")</f>
        <v>0</v>
      </c>
      <c r="G187" s="178">
        <f>IFERROR(INDEX('M04-S03'!$AA$18:$AA$199,2*(ROWS(G$182:G187)-1)+1),"")</f>
        <v>0</v>
      </c>
      <c r="H187" s="200" t="str">
        <f ca="1">IFERROR(IF(AC187&lt;&gt;"","",INDEX('M04-S03'!$AD$18:$AD$199,2*(ROWS(H$182:H187)-1)+1)),"")</f>
        <v/>
      </c>
      <c r="I187" s="200" t="str">
        <f ca="1">IFERROR(IF(AC187&lt;&gt;"","",INDEX('M04-S03'!$AF$18:$AF$199,2*(ROWS(I$182:I187)-1)+1)),"")</f>
        <v/>
      </c>
      <c r="J187" s="200" t="str">
        <f ca="1">IFERROR(IF(AC187&lt;&gt;"","",INDEX('M04-S03'!$AH$18:$AH$199,2*(ROWS(J$182:J187)-1)+1)),"")</f>
        <v/>
      </c>
      <c r="K187" s="178" t="s">
        <v>84</v>
      </c>
      <c r="L187" s="116" t="str">
        <f ca="1">IFERROR(IF(AC187&lt;&gt;"","",ROUND(INDEX('M04-S03'!$O$18:$O$199,2*(ROWS(L$182:L187)-1)+1),3)),"")</f>
        <v/>
      </c>
      <c r="M187" s="116" t="str">
        <f ca="1">IFERROR(IF(AC187&lt;&gt;"","",ROUND(INDEX('M04-S03'!$O$18:$O$199,2*(ROWS(M$182:M187)-1)+1),3)),"")</f>
        <v/>
      </c>
      <c r="N187" s="418"/>
      <c r="O187" s="415" t="str">
        <f ca="1">IFERROR(IF(AC187&lt;&gt;"","",INDEX('M04-S03'!$AK$18:$AK$199,2*(ROWS(O$182:O187)-1)+1)),"")</f>
        <v/>
      </c>
      <c r="P187" s="408"/>
      <c r="Q187" s="415" t="str">
        <f ca="1">IFERROR(IF(AC187&lt;&gt;"","",INDEX('M04-S03'!$BA$18:$BA$199,2*(ROWS(Q$182:Q187)-1)+1)),"")</f>
        <v/>
      </c>
      <c r="R187" s="200" t="str">
        <f ca="1">IFERROR(IF(AC187&lt;&gt;"","",INDEX('M04-S03'!$AN$18:$AN$199,2*(ROWS(R$182:R187)-1)+1)),"")</f>
        <v/>
      </c>
      <c r="S187" s="200">
        <f ca="1">IFERROR(IF(AC187&lt;&gt;"",INDEX('M04-S03'!$AD$18:$AD$199,2*(ROWS(S$182:S187)-1)+1),""),"")</f>
        <v>0</v>
      </c>
      <c r="T187" s="200">
        <f ca="1">IFERROR(IF(AC187&lt;&gt;"",INDEX('M04-S03'!$AF$18:$AF$199,2*(ROWS(T$182:T187)-1)+1),""),"")</f>
        <v>0</v>
      </c>
      <c r="U187" s="200" t="str">
        <f ca="1">IFERROR(IF(AC187&lt;&gt;"",INDEX('M04-S03'!$AH$18:$AH$199,2*(ROWS(U$182:U187)-1)+1),""),"")</f>
        <v/>
      </c>
      <c r="V187" s="178">
        <f ca="1">IFERROR(IF(AC187&lt;&gt;"",INDEX('M04-S03'!$AB$38:$AB$199,2*(ROWS(V$182:V187)-1)+1),""),"")</f>
        <v>0</v>
      </c>
      <c r="W187" s="116">
        <f ca="1">IFERROR(IF(AC187&lt;&gt;"",ROUND(INDEX('M04-S03'!$P$38:$P$199,2*(ROWS(W$182:W187)-1)+1),3),""),"")</f>
        <v>0</v>
      </c>
      <c r="X187" s="116">
        <f ca="1">IFERROR(IF(AC187&lt;&gt;"",ROUND(INDEX('M04-S03'!$Z$38:$Z$199,2*(ROWS(X$182:X187)-1)+1),3),""),"")</f>
        <v>0</v>
      </c>
      <c r="Y187" s="408"/>
      <c r="Z187" s="173" t="str">
        <f ca="1">IFERROR(IF(AC187&lt;&gt;"",INDEX('M04-S03'!$AK$18:$AK$199,2*(ROWS(Z$182:Z187)-1)+1),""),"")</f>
        <v/>
      </c>
      <c r="AA187" s="408"/>
      <c r="AB187" s="415" t="str">
        <f ca="1">IFERROR(IF(AC187&lt;&gt;"",INDEX('M04-S03'!$BA$18:$BA$199,2*(ROWS(AB$182:AB187)-1)+1),""),"")</f>
        <v/>
      </c>
      <c r="AC187" s="178" t="str">
        <f ca="1">IFERROR(INDEX('M04-S03'!$BJ$18:$BJ$199,2*(ROWS(AC$182:AC187)-1)+1),"")</f>
        <v>Submit for Review</v>
      </c>
      <c r="AD187" s="415" t="str">
        <f>IFERROR(INDEX('M04-S03'!$AW$18:$AW$199,2*(ROWS(AD$182:AD187)-1)+1),"")</f>
        <v/>
      </c>
      <c r="AE187" s="415" t="str">
        <f>IFERROR(INDEX('M04-S03'!$AX$18:$AX$199,2*(ROWS(AE$182:AE187)-1)+1),"")</f>
        <v/>
      </c>
      <c r="AF187" s="408"/>
      <c r="AG187" s="408"/>
      <c r="AH187" s="173">
        <f>IFERROR(INDEX('M04-S03'!$Q$18:$Q$199,2*(ROWS(AH$182:AH187)-1)+1),"")</f>
        <v>0</v>
      </c>
      <c r="AI187" s="178">
        <f>IFERROR(INDEX('M04-S03'!$B$18:$B$199,2*(ROWS(AI$182:AI187)-1)+1),"")</f>
        <v>6</v>
      </c>
      <c r="AJ187" s="325"/>
      <c r="AK187" s="178">
        <f>IFERROR(INDEX('M04-S03'!$C$18:$C$199,2*(ROWS(AK$182:AK187)-1)+1),"")</f>
        <v>0</v>
      </c>
      <c r="AL187" s="325"/>
      <c r="AM187" s="178">
        <f>IFERROR(INDEX('M04-S03'!$W$18:$W$199,2*(ROWS(AM$182:AM187)-1)+1),"")</f>
        <v>0</v>
      </c>
      <c r="AN187" s="200" t="str">
        <f>IFERROR(INDEX('M04-S03'!$AT$18:$AT$199,2*(ROWS(AN$182:AN187)-1)+1),"")</f>
        <v/>
      </c>
      <c r="AO187" s="200" t="str">
        <f>IFERROR(INDEX('M04-S03'!$AU$18:$AU$199,2*(ROWS(AO$182:AO187)-1)+1),"")</f>
        <v/>
      </c>
      <c r="AP187" s="178" t="str">
        <f>IFERROR(INDEX('M04-S03'!$AV$18:$AV$199,2*(ROWS(AP$182:AP187)-1)+1),"")</f>
        <v/>
      </c>
      <c r="AQ187" s="178" t="str">
        <f>IFERROR(INDEX('M04-S03'!$AY$18:$AY$199,2*(ROWS(AQ$182:AQ187)-1)+1),"")</f>
        <v/>
      </c>
      <c r="AR187" s="178" t="s">
        <v>1374</v>
      </c>
      <c r="AS187" s="178"/>
      <c r="AT187" s="278"/>
      <c r="AU187" s="278"/>
      <c r="AV187" s="278"/>
      <c r="AW187" s="278"/>
      <c r="AX187" s="278"/>
      <c r="AY187" s="278"/>
      <c r="AZ187" s="278"/>
      <c r="BA187" s="278"/>
      <c r="BB187" s="278"/>
      <c r="BC187" s="278"/>
      <c r="BD187" s="278"/>
      <c r="BE187" s="279"/>
      <c r="BL187" s="180"/>
      <c r="BP187" s="180"/>
      <c r="BQ187" s="180"/>
      <c r="BR187" s="180"/>
      <c r="CD187" s="180"/>
      <c r="CE187" s="180"/>
      <c r="CF187" s="180"/>
      <c r="CH187" s="180"/>
      <c r="CI187" s="180"/>
      <c r="CJ187" s="180"/>
      <c r="CK187" s="180"/>
      <c r="CL187" s="180"/>
      <c r="CM187" s="180"/>
      <c r="CN187" s="180"/>
      <c r="CQ187" s="180"/>
      <c r="CR187" s="180"/>
      <c r="CS187" s="180"/>
      <c r="DS187" s="180"/>
      <c r="DT187" s="180"/>
      <c r="DU187" s="180"/>
    </row>
    <row r="188" spans="1:125" s="54" customFormat="1" hidden="1">
      <c r="A188" s="135">
        <f t="shared" si="18"/>
        <v>0</v>
      </c>
      <c r="B188" s="178" t="str">
        <f t="shared" si="19"/>
        <v/>
      </c>
      <c r="C188" s="178" t="str">
        <f>IFERROR(IF(INDEX('M04-S03'!$BH$18:$BH$199,2*(ROWS($C$182:C188)-1)+1)="","",INDEX('M04-S03'!$BH$18:$BH$199,2*(ROWS($C$182:C188)-1)+1)),"")</f>
        <v/>
      </c>
      <c r="D188" s="180" t="s">
        <v>144</v>
      </c>
      <c r="E188" s="178" t="str">
        <f>IFERROR(INDEX('M04-S03'!$AZ$18:$AZ$199,2*(ROWS(E$182:E188)-1)+1),"")</f>
        <v/>
      </c>
      <c r="F188" s="173">
        <f>IFERROR(INDEX('M04-S03'!$T$18:$T$199,2*(ROWS(G$182:G188)-1)+1),"")</f>
        <v>0</v>
      </c>
      <c r="G188" s="178">
        <f>IFERROR(INDEX('M04-S03'!$AA$18:$AA$199,2*(ROWS(G$182:G188)-1)+1),"")</f>
        <v>0</v>
      </c>
      <c r="H188" s="200" t="str">
        <f ca="1">IFERROR(IF(AC188&lt;&gt;"","",INDEX('M04-S03'!$AD$18:$AD$199,2*(ROWS(H$182:H188)-1)+1)),"")</f>
        <v/>
      </c>
      <c r="I188" s="200" t="str">
        <f ca="1">IFERROR(IF(AC188&lt;&gt;"","",INDEX('M04-S03'!$AF$18:$AF$199,2*(ROWS(I$182:I188)-1)+1)),"")</f>
        <v/>
      </c>
      <c r="J188" s="200" t="str">
        <f ca="1">IFERROR(IF(AC188&lt;&gt;"","",INDEX('M04-S03'!$AH$18:$AH$199,2*(ROWS(J$182:J188)-1)+1)),"")</f>
        <v/>
      </c>
      <c r="K188" s="178" t="s">
        <v>84</v>
      </c>
      <c r="L188" s="116" t="str">
        <f ca="1">IFERROR(IF(AC188&lt;&gt;"","",ROUND(INDEX('M04-S03'!$O$18:$O$199,2*(ROWS(L$182:L188)-1)+1),3)),"")</f>
        <v/>
      </c>
      <c r="M188" s="116" t="str">
        <f ca="1">IFERROR(IF(AC188&lt;&gt;"","",ROUND(INDEX('M04-S03'!$O$18:$O$199,2*(ROWS(M$182:M188)-1)+1),3)),"")</f>
        <v/>
      </c>
      <c r="N188" s="418"/>
      <c r="O188" s="415" t="str">
        <f ca="1">IFERROR(IF(AC188&lt;&gt;"","",INDEX('M04-S03'!$AK$18:$AK$199,2*(ROWS(O$182:O188)-1)+1)),"")</f>
        <v/>
      </c>
      <c r="P188" s="408"/>
      <c r="Q188" s="415" t="str">
        <f ca="1">IFERROR(IF(AC188&lt;&gt;"","",INDEX('M04-S03'!$BA$18:$BA$199,2*(ROWS(Q$182:Q188)-1)+1)),"")</f>
        <v/>
      </c>
      <c r="R188" s="200" t="str">
        <f ca="1">IFERROR(IF(AC188&lt;&gt;"","",INDEX('M04-S03'!$AN$18:$AN$199,2*(ROWS(R$182:R188)-1)+1)),"")</f>
        <v/>
      </c>
      <c r="S188" s="200">
        <f ca="1">IFERROR(IF(AC188&lt;&gt;"",INDEX('M04-S03'!$AD$18:$AD$199,2*(ROWS(S$182:S188)-1)+1),""),"")</f>
        <v>0</v>
      </c>
      <c r="T188" s="200">
        <f ca="1">IFERROR(IF(AC188&lt;&gt;"",INDEX('M04-S03'!$AF$18:$AF$199,2*(ROWS(T$182:T188)-1)+1),""),"")</f>
        <v>0</v>
      </c>
      <c r="U188" s="200" t="str">
        <f ca="1">IFERROR(IF(AC188&lt;&gt;"",INDEX('M04-S03'!$AH$18:$AH$199,2*(ROWS(U$182:U188)-1)+1),""),"")</f>
        <v/>
      </c>
      <c r="V188" s="178">
        <f ca="1">IFERROR(IF(AC188&lt;&gt;"",INDEX('M04-S03'!$AB$38:$AB$199,2*(ROWS(V$182:V188)-1)+1),""),"")</f>
        <v>0</v>
      </c>
      <c r="W188" s="116">
        <f ca="1">IFERROR(IF(AC188&lt;&gt;"",ROUND(INDEX('M04-S03'!$P$38:$P$199,2*(ROWS(W$182:W188)-1)+1),3),""),"")</f>
        <v>0</v>
      </c>
      <c r="X188" s="116">
        <f ca="1">IFERROR(IF(AC188&lt;&gt;"",ROUND(INDEX('M04-S03'!$Z$38:$Z$199,2*(ROWS(X$182:X188)-1)+1),3),""),"")</f>
        <v>0</v>
      </c>
      <c r="Y188" s="408"/>
      <c r="Z188" s="173" t="str">
        <f ca="1">IFERROR(IF(AC188&lt;&gt;"",INDEX('M04-S03'!$AK$18:$AK$199,2*(ROWS(Z$182:Z188)-1)+1),""),"")</f>
        <v/>
      </c>
      <c r="AA188" s="408"/>
      <c r="AB188" s="415" t="str">
        <f ca="1">IFERROR(IF(AC188&lt;&gt;"",INDEX('M04-S03'!$BA$18:$BA$199,2*(ROWS(AB$182:AB188)-1)+1),""),"")</f>
        <v/>
      </c>
      <c r="AC188" s="178" t="str">
        <f ca="1">IFERROR(INDEX('M04-S03'!$BJ$18:$BJ$199,2*(ROWS(AC$182:AC188)-1)+1),"")</f>
        <v>Submit for Review</v>
      </c>
      <c r="AD188" s="415" t="str">
        <f>IFERROR(INDEX('M04-S03'!$AW$18:$AW$199,2*(ROWS(AD$182:AD188)-1)+1),"")</f>
        <v/>
      </c>
      <c r="AE188" s="415" t="str">
        <f>IFERROR(INDEX('M04-S03'!$AX$18:$AX$199,2*(ROWS(AE$182:AE188)-1)+1),"")</f>
        <v/>
      </c>
      <c r="AF188" s="408"/>
      <c r="AG188" s="408"/>
      <c r="AH188" s="173">
        <f>IFERROR(INDEX('M04-S03'!$Q$18:$Q$199,2*(ROWS(AH$182:AH188)-1)+1),"")</f>
        <v>0</v>
      </c>
      <c r="AI188" s="178">
        <f>IFERROR(INDEX('M04-S03'!$B$18:$B$199,2*(ROWS(AI$182:AI188)-1)+1),"")</f>
        <v>7</v>
      </c>
      <c r="AJ188" s="325"/>
      <c r="AK188" s="178">
        <f>IFERROR(INDEX('M04-S03'!$C$18:$C$199,2*(ROWS(AK$182:AK188)-1)+1),"")</f>
        <v>0</v>
      </c>
      <c r="AL188" s="325"/>
      <c r="AM188" s="178">
        <f>IFERROR(INDEX('M04-S03'!$W$18:$W$199,2*(ROWS(AM$182:AM188)-1)+1),"")</f>
        <v>0</v>
      </c>
      <c r="AN188" s="200" t="str">
        <f>IFERROR(INDEX('M04-S03'!$AT$18:$AT$199,2*(ROWS(AN$182:AN188)-1)+1),"")</f>
        <v/>
      </c>
      <c r="AO188" s="200" t="str">
        <f>IFERROR(INDEX('M04-S03'!$AU$18:$AU$199,2*(ROWS(AO$182:AO188)-1)+1),"")</f>
        <v/>
      </c>
      <c r="AP188" s="178" t="str">
        <f>IFERROR(INDEX('M04-S03'!$AV$18:$AV$199,2*(ROWS(AP$182:AP188)-1)+1),"")</f>
        <v/>
      </c>
      <c r="AQ188" s="178" t="str">
        <f>IFERROR(INDEX('M04-S03'!$AY$18:$AY$199,2*(ROWS(AQ$182:AQ188)-1)+1),"")</f>
        <v/>
      </c>
      <c r="AR188" s="178" t="s">
        <v>1374</v>
      </c>
      <c r="AS188" s="178"/>
      <c r="AT188" s="278"/>
      <c r="AU188" s="278"/>
      <c r="AV188" s="278"/>
      <c r="AW188" s="278"/>
      <c r="AX188" s="278"/>
      <c r="AY188" s="278"/>
      <c r="AZ188" s="278"/>
      <c r="BA188" s="278"/>
      <c r="BB188" s="278"/>
      <c r="BC188" s="278"/>
      <c r="BD188" s="278"/>
      <c r="BE188" s="279"/>
      <c r="BL188" s="180"/>
      <c r="BP188" s="180"/>
      <c r="BQ188" s="180"/>
      <c r="BR188" s="180"/>
      <c r="CD188" s="180"/>
      <c r="CE188" s="180"/>
      <c r="CF188" s="180"/>
      <c r="CH188" s="180"/>
      <c r="CI188" s="180"/>
      <c r="CJ188" s="180"/>
      <c r="CK188" s="180"/>
      <c r="CL188" s="180"/>
      <c r="CM188" s="180"/>
      <c r="CN188" s="180"/>
      <c r="CQ188" s="180"/>
      <c r="CR188" s="180"/>
      <c r="CS188" s="180"/>
      <c r="DS188" s="180"/>
      <c r="DT188" s="180"/>
      <c r="DU188" s="180"/>
    </row>
    <row r="189" spans="1:125" s="54" customFormat="1" hidden="1">
      <c r="A189" s="135">
        <f t="shared" si="18"/>
        <v>0</v>
      </c>
      <c r="B189" s="178" t="str">
        <f t="shared" si="19"/>
        <v/>
      </c>
      <c r="C189" s="178" t="str">
        <f>IFERROR(IF(INDEX('M04-S03'!$BH$18:$BH$199,2*(ROWS($C$182:C189)-1)+1)="","",INDEX('M04-S03'!$BH$18:$BH$199,2*(ROWS($C$182:C189)-1)+1)),"")</f>
        <v/>
      </c>
      <c r="D189" s="180" t="s">
        <v>144</v>
      </c>
      <c r="E189" s="178" t="str">
        <f>IFERROR(INDEX('M04-S03'!$AZ$18:$AZ$199,2*(ROWS(E$182:E189)-1)+1),"")</f>
        <v/>
      </c>
      <c r="F189" s="173">
        <f>IFERROR(INDEX('M04-S03'!$T$18:$T$199,2*(ROWS(G$182:G189)-1)+1),"")</f>
        <v>0</v>
      </c>
      <c r="G189" s="178">
        <f>IFERROR(INDEX('M04-S03'!$AA$18:$AA$199,2*(ROWS(G$182:G189)-1)+1),"")</f>
        <v>0</v>
      </c>
      <c r="H189" s="200" t="str">
        <f ca="1">IFERROR(IF(AC189&lt;&gt;"","",INDEX('M04-S03'!$AD$18:$AD$199,2*(ROWS(H$182:H189)-1)+1)),"")</f>
        <v/>
      </c>
      <c r="I189" s="200" t="str">
        <f ca="1">IFERROR(IF(AC189&lt;&gt;"","",INDEX('M04-S03'!$AF$18:$AF$199,2*(ROWS(I$182:I189)-1)+1)),"")</f>
        <v/>
      </c>
      <c r="J189" s="200" t="str">
        <f ca="1">IFERROR(IF(AC189&lt;&gt;"","",INDEX('M04-S03'!$AH$18:$AH$199,2*(ROWS(J$182:J189)-1)+1)),"")</f>
        <v/>
      </c>
      <c r="K189" s="178" t="s">
        <v>84</v>
      </c>
      <c r="L189" s="116" t="str">
        <f ca="1">IFERROR(IF(AC189&lt;&gt;"","",ROUND(INDEX('M04-S03'!$O$18:$O$199,2*(ROWS(L$182:L189)-1)+1),3)),"")</f>
        <v/>
      </c>
      <c r="M189" s="116" t="str">
        <f ca="1">IFERROR(IF(AC189&lt;&gt;"","",ROUND(INDEX('M04-S03'!$O$18:$O$199,2*(ROWS(M$182:M189)-1)+1),3)),"")</f>
        <v/>
      </c>
      <c r="N189" s="418"/>
      <c r="O189" s="415" t="str">
        <f ca="1">IFERROR(IF(AC189&lt;&gt;"","",INDEX('M04-S03'!$AK$18:$AK$199,2*(ROWS(O$182:O189)-1)+1)),"")</f>
        <v/>
      </c>
      <c r="P189" s="408"/>
      <c r="Q189" s="415" t="str">
        <f ca="1">IFERROR(IF(AC189&lt;&gt;"","",INDEX('M04-S03'!$BA$18:$BA$199,2*(ROWS(Q$182:Q189)-1)+1)),"")</f>
        <v/>
      </c>
      <c r="R189" s="200" t="str">
        <f ca="1">IFERROR(IF(AC189&lt;&gt;"","",INDEX('M04-S03'!$AN$18:$AN$199,2*(ROWS(R$182:R189)-1)+1)),"")</f>
        <v/>
      </c>
      <c r="S189" s="200">
        <f ca="1">IFERROR(IF(AC189&lt;&gt;"",INDEX('M04-S03'!$AD$18:$AD$199,2*(ROWS(S$182:S189)-1)+1),""),"")</f>
        <v>0</v>
      </c>
      <c r="T189" s="200">
        <f ca="1">IFERROR(IF(AC189&lt;&gt;"",INDEX('M04-S03'!$AF$18:$AF$199,2*(ROWS(T$182:T189)-1)+1),""),"")</f>
        <v>0</v>
      </c>
      <c r="U189" s="200" t="str">
        <f ca="1">IFERROR(IF(AC189&lt;&gt;"",INDEX('M04-S03'!$AH$18:$AH$199,2*(ROWS(U$182:U189)-1)+1),""),"")</f>
        <v/>
      </c>
      <c r="V189" s="178">
        <f ca="1">IFERROR(IF(AC189&lt;&gt;"",INDEX('M04-S03'!$AB$38:$AB$199,2*(ROWS(V$182:V189)-1)+1),""),"")</f>
        <v>0</v>
      </c>
      <c r="W189" s="116">
        <f ca="1">IFERROR(IF(AC189&lt;&gt;"",ROUND(INDEX('M04-S03'!$P$38:$P$199,2*(ROWS(W$182:W189)-1)+1),3),""),"")</f>
        <v>0</v>
      </c>
      <c r="X189" s="116">
        <f ca="1">IFERROR(IF(AC189&lt;&gt;"",ROUND(INDEX('M04-S03'!$Z$38:$Z$199,2*(ROWS(X$182:X189)-1)+1),3),""),"")</f>
        <v>0</v>
      </c>
      <c r="Y189" s="408"/>
      <c r="Z189" s="173" t="str">
        <f ca="1">IFERROR(IF(AC189&lt;&gt;"",INDEX('M04-S03'!$AK$18:$AK$199,2*(ROWS(Z$182:Z189)-1)+1),""),"")</f>
        <v/>
      </c>
      <c r="AA189" s="408"/>
      <c r="AB189" s="415" t="str">
        <f ca="1">IFERROR(IF(AC189&lt;&gt;"",INDEX('M04-S03'!$BA$18:$BA$199,2*(ROWS(AB$182:AB189)-1)+1),""),"")</f>
        <v/>
      </c>
      <c r="AC189" s="178" t="str">
        <f ca="1">IFERROR(INDEX('M04-S03'!$BJ$18:$BJ$199,2*(ROWS(AC$182:AC189)-1)+1),"")</f>
        <v>Submit for Review</v>
      </c>
      <c r="AD189" s="415" t="str">
        <f>IFERROR(INDEX('M04-S03'!$AW$18:$AW$199,2*(ROWS(AD$182:AD189)-1)+1),"")</f>
        <v/>
      </c>
      <c r="AE189" s="415" t="str">
        <f>IFERROR(INDEX('M04-S03'!$AX$18:$AX$199,2*(ROWS(AE$182:AE189)-1)+1),"")</f>
        <v/>
      </c>
      <c r="AF189" s="408"/>
      <c r="AG189" s="408"/>
      <c r="AH189" s="173">
        <f>IFERROR(INDEX('M04-S03'!$Q$18:$Q$199,2*(ROWS(AH$182:AH189)-1)+1),"")</f>
        <v>0</v>
      </c>
      <c r="AI189" s="178">
        <f>IFERROR(INDEX('M04-S03'!$B$18:$B$199,2*(ROWS(AI$182:AI189)-1)+1),"")</f>
        <v>8</v>
      </c>
      <c r="AJ189" s="325"/>
      <c r="AK189" s="178">
        <f>IFERROR(INDEX('M04-S03'!$C$18:$C$199,2*(ROWS(AK$182:AK189)-1)+1),"")</f>
        <v>0</v>
      </c>
      <c r="AL189" s="325"/>
      <c r="AM189" s="178">
        <f>IFERROR(INDEX('M04-S03'!$W$18:$W$199,2*(ROWS(AM$182:AM189)-1)+1),"")</f>
        <v>0</v>
      </c>
      <c r="AN189" s="200" t="str">
        <f>IFERROR(INDEX('M04-S03'!$AT$18:$AT$199,2*(ROWS(AN$182:AN189)-1)+1),"")</f>
        <v/>
      </c>
      <c r="AO189" s="200" t="str">
        <f>IFERROR(INDEX('M04-S03'!$AU$18:$AU$199,2*(ROWS(AO$182:AO189)-1)+1),"")</f>
        <v/>
      </c>
      <c r="AP189" s="178" t="str">
        <f>IFERROR(INDEX('M04-S03'!$AV$18:$AV$199,2*(ROWS(AP$182:AP189)-1)+1),"")</f>
        <v/>
      </c>
      <c r="AQ189" s="178" t="str">
        <f>IFERROR(INDEX('M04-S03'!$AY$18:$AY$199,2*(ROWS(AQ$182:AQ189)-1)+1),"")</f>
        <v/>
      </c>
      <c r="AR189" s="178" t="s">
        <v>1374</v>
      </c>
      <c r="AS189" s="178"/>
      <c r="AT189" s="278"/>
      <c r="AU189" s="278"/>
      <c r="AV189" s="278"/>
      <c r="AW189" s="278"/>
      <c r="AX189" s="278"/>
      <c r="AY189" s="278"/>
      <c r="AZ189" s="278"/>
      <c r="BA189" s="278"/>
      <c r="BB189" s="278"/>
      <c r="BC189" s="278"/>
      <c r="BD189" s="278"/>
      <c r="BE189" s="279"/>
      <c r="BL189" s="180"/>
      <c r="BP189" s="180"/>
      <c r="BQ189" s="180"/>
      <c r="BR189" s="180"/>
      <c r="CD189" s="180"/>
      <c r="CE189" s="180"/>
      <c r="CF189" s="180"/>
      <c r="CH189" s="180"/>
      <c r="CI189" s="180"/>
      <c r="CJ189" s="180"/>
      <c r="CK189" s="180"/>
      <c r="CL189" s="180"/>
      <c r="CM189" s="180"/>
      <c r="CN189" s="180"/>
      <c r="CQ189" s="180"/>
      <c r="CR189" s="180"/>
      <c r="CS189" s="180"/>
      <c r="DS189" s="180"/>
      <c r="DT189" s="180"/>
      <c r="DU189" s="180"/>
    </row>
    <row r="190" spans="1:125" s="54" customFormat="1" hidden="1">
      <c r="A190" s="135">
        <f t="shared" si="18"/>
        <v>0</v>
      </c>
      <c r="B190" s="178" t="str">
        <f t="shared" si="19"/>
        <v/>
      </c>
      <c r="C190" s="178" t="str">
        <f>IFERROR(IF(INDEX('M04-S03'!$BH$18:$BH$199,2*(ROWS($C$182:C190)-1)+1)="","",INDEX('M04-S03'!$BH$18:$BH$199,2*(ROWS($C$182:C190)-1)+1)),"")</f>
        <v/>
      </c>
      <c r="D190" s="180" t="s">
        <v>144</v>
      </c>
      <c r="E190" s="178" t="str">
        <f>IFERROR(INDEX('M04-S03'!$AZ$18:$AZ$199,2*(ROWS(E$182:E190)-1)+1),"")</f>
        <v/>
      </c>
      <c r="F190" s="173">
        <f>IFERROR(INDEX('M04-S03'!$T$18:$T$199,2*(ROWS(G$182:G190)-1)+1),"")</f>
        <v>0</v>
      </c>
      <c r="G190" s="178">
        <f>IFERROR(INDEX('M04-S03'!$AA$18:$AA$199,2*(ROWS(G$182:G190)-1)+1),"")</f>
        <v>0</v>
      </c>
      <c r="H190" s="200" t="str">
        <f ca="1">IFERROR(IF(AC190&lt;&gt;"","",INDEX('M04-S03'!$AD$18:$AD$199,2*(ROWS(H$182:H190)-1)+1)),"")</f>
        <v/>
      </c>
      <c r="I190" s="200" t="str">
        <f ca="1">IFERROR(IF(AC190&lt;&gt;"","",INDEX('M04-S03'!$AF$18:$AF$199,2*(ROWS(I$182:I190)-1)+1)),"")</f>
        <v/>
      </c>
      <c r="J190" s="200" t="str">
        <f ca="1">IFERROR(IF(AC190&lt;&gt;"","",INDEX('M04-S03'!$AH$18:$AH$199,2*(ROWS(J$182:J190)-1)+1)),"")</f>
        <v/>
      </c>
      <c r="K190" s="178" t="s">
        <v>84</v>
      </c>
      <c r="L190" s="116" t="str">
        <f ca="1">IFERROR(IF(AC190&lt;&gt;"","",ROUND(INDEX('M04-S03'!$O$18:$O$199,2*(ROWS(L$182:L190)-1)+1),3)),"")</f>
        <v/>
      </c>
      <c r="M190" s="116" t="str">
        <f ca="1">IFERROR(IF(AC190&lt;&gt;"","",ROUND(INDEX('M04-S03'!$O$18:$O$199,2*(ROWS(M$182:M190)-1)+1),3)),"")</f>
        <v/>
      </c>
      <c r="N190" s="418"/>
      <c r="O190" s="415" t="str">
        <f ca="1">IFERROR(IF(AC190&lt;&gt;"","",INDEX('M04-S03'!$AK$18:$AK$199,2*(ROWS(O$182:O190)-1)+1)),"")</f>
        <v/>
      </c>
      <c r="P190" s="408"/>
      <c r="Q190" s="415" t="str">
        <f ca="1">IFERROR(IF(AC190&lt;&gt;"","",INDEX('M04-S03'!$BA$18:$BA$199,2*(ROWS(Q$182:Q190)-1)+1)),"")</f>
        <v/>
      </c>
      <c r="R190" s="200" t="str">
        <f ca="1">IFERROR(IF(AC190&lt;&gt;"","",INDEX('M04-S03'!$AN$18:$AN$199,2*(ROWS(R$182:R190)-1)+1)),"")</f>
        <v/>
      </c>
      <c r="S190" s="200">
        <f ca="1">IFERROR(IF(AC190&lt;&gt;"",INDEX('M04-S03'!$AD$18:$AD$199,2*(ROWS(S$182:S190)-1)+1),""),"")</f>
        <v>0</v>
      </c>
      <c r="T190" s="200">
        <f ca="1">IFERROR(IF(AC190&lt;&gt;"",INDEX('M04-S03'!$AF$18:$AF$199,2*(ROWS(T$182:T190)-1)+1),""),"")</f>
        <v>0</v>
      </c>
      <c r="U190" s="200" t="str">
        <f ca="1">IFERROR(IF(AC190&lt;&gt;"",INDEX('M04-S03'!$AH$18:$AH$199,2*(ROWS(U$182:U190)-1)+1),""),"")</f>
        <v/>
      </c>
      <c r="V190" s="178">
        <f ca="1">IFERROR(IF(AC190&lt;&gt;"",INDEX('M04-S03'!$AB$38:$AB$199,2*(ROWS(V$182:V190)-1)+1),""),"")</f>
        <v>0</v>
      </c>
      <c r="W190" s="116">
        <f ca="1">IFERROR(IF(AC190&lt;&gt;"",ROUND(INDEX('M04-S03'!$P$38:$P$199,2*(ROWS(W$182:W190)-1)+1),3),""),"")</f>
        <v>0</v>
      </c>
      <c r="X190" s="116">
        <f ca="1">IFERROR(IF(AC190&lt;&gt;"",ROUND(INDEX('M04-S03'!$Z$38:$Z$199,2*(ROWS(X$182:X190)-1)+1),3),""),"")</f>
        <v>0</v>
      </c>
      <c r="Y190" s="408"/>
      <c r="Z190" s="173" t="str">
        <f ca="1">IFERROR(IF(AC190&lt;&gt;"",INDEX('M04-S03'!$AK$18:$AK$199,2*(ROWS(Z$182:Z190)-1)+1),""),"")</f>
        <v/>
      </c>
      <c r="AA190" s="408"/>
      <c r="AB190" s="415" t="str">
        <f ca="1">IFERROR(IF(AC190&lt;&gt;"",INDEX('M04-S03'!$BA$18:$BA$199,2*(ROWS(AB$182:AB190)-1)+1),""),"")</f>
        <v/>
      </c>
      <c r="AC190" s="178" t="str">
        <f ca="1">IFERROR(INDEX('M04-S03'!$BJ$18:$BJ$199,2*(ROWS(AC$182:AC190)-1)+1),"")</f>
        <v>Submit for Review</v>
      </c>
      <c r="AD190" s="415" t="str">
        <f>IFERROR(INDEX('M04-S03'!$AW$18:$AW$199,2*(ROWS(AD$182:AD190)-1)+1),"")</f>
        <v/>
      </c>
      <c r="AE190" s="415" t="str">
        <f>IFERROR(INDEX('M04-S03'!$AX$18:$AX$199,2*(ROWS(AE$182:AE190)-1)+1),"")</f>
        <v/>
      </c>
      <c r="AF190" s="408"/>
      <c r="AG190" s="408"/>
      <c r="AH190" s="173">
        <f>IFERROR(INDEX('M04-S03'!$Q$18:$Q$199,2*(ROWS(AH$182:AH190)-1)+1),"")</f>
        <v>0</v>
      </c>
      <c r="AI190" s="178">
        <f>IFERROR(INDEX('M04-S03'!$B$18:$B$199,2*(ROWS(AI$182:AI190)-1)+1),"")</f>
        <v>9</v>
      </c>
      <c r="AJ190" s="325"/>
      <c r="AK190" s="178">
        <f>IFERROR(INDEX('M04-S03'!$C$18:$C$199,2*(ROWS(AK$182:AK190)-1)+1),"")</f>
        <v>0</v>
      </c>
      <c r="AL190" s="325"/>
      <c r="AM190" s="178">
        <f>IFERROR(INDEX('M04-S03'!$W$18:$W$199,2*(ROWS(AM$182:AM190)-1)+1),"")</f>
        <v>0</v>
      </c>
      <c r="AN190" s="200" t="str">
        <f>IFERROR(INDEX('M04-S03'!$AT$18:$AT$199,2*(ROWS(AN$182:AN190)-1)+1),"")</f>
        <v/>
      </c>
      <c r="AO190" s="200" t="str">
        <f>IFERROR(INDEX('M04-S03'!$AU$18:$AU$199,2*(ROWS(AO$182:AO190)-1)+1),"")</f>
        <v/>
      </c>
      <c r="AP190" s="178" t="str">
        <f>IFERROR(INDEX('M04-S03'!$AV$18:$AV$199,2*(ROWS(AP$182:AP190)-1)+1),"")</f>
        <v/>
      </c>
      <c r="AQ190" s="178" t="str">
        <f>IFERROR(INDEX('M04-S03'!$AY$18:$AY$199,2*(ROWS(AQ$182:AQ190)-1)+1),"")</f>
        <v/>
      </c>
      <c r="AR190" s="178" t="s">
        <v>1374</v>
      </c>
      <c r="AS190" s="178"/>
      <c r="AT190" s="278"/>
      <c r="AU190" s="278"/>
      <c r="AV190" s="278"/>
      <c r="AW190" s="278"/>
      <c r="AX190" s="278"/>
      <c r="AY190" s="278"/>
      <c r="AZ190" s="278"/>
      <c r="BA190" s="278"/>
      <c r="BB190" s="278"/>
      <c r="BC190" s="278"/>
      <c r="BD190" s="278"/>
      <c r="BE190" s="279"/>
      <c r="BL190" s="180"/>
      <c r="BP190" s="180"/>
      <c r="BQ190" s="180"/>
      <c r="BR190" s="180"/>
      <c r="CD190" s="180"/>
      <c r="CE190" s="180"/>
      <c r="CF190" s="180"/>
      <c r="CH190" s="180"/>
      <c r="CI190" s="180"/>
      <c r="CJ190" s="180"/>
      <c r="CK190" s="180"/>
      <c r="CL190" s="180"/>
      <c r="CM190" s="180"/>
      <c r="CN190" s="180"/>
      <c r="CQ190" s="180"/>
      <c r="CR190" s="180"/>
      <c r="CS190" s="180"/>
      <c r="DS190" s="180"/>
      <c r="DT190" s="180"/>
      <c r="DU190" s="180"/>
    </row>
    <row r="191" spans="1:125" s="54" customFormat="1" hidden="1">
      <c r="A191" s="135">
        <f t="shared" si="18"/>
        <v>0</v>
      </c>
      <c r="B191" s="178" t="str">
        <f t="shared" si="19"/>
        <v/>
      </c>
      <c r="C191" s="178" t="str">
        <f>IFERROR(IF(INDEX('M04-S03'!$BH$18:$BH$199,2*(ROWS($C$182:C191)-1)+1)="","",INDEX('M04-S03'!$BH$18:$BH$199,2*(ROWS($C$182:C191)-1)+1)),"")</f>
        <v/>
      </c>
      <c r="D191" s="180" t="s">
        <v>144</v>
      </c>
      <c r="E191" s="178" t="str">
        <f>IFERROR(INDEX('M04-S03'!$AZ$18:$AZ$199,2*(ROWS(E$182:E191)-1)+1),"")</f>
        <v/>
      </c>
      <c r="F191" s="173">
        <f>IFERROR(INDEX('M04-S03'!$T$18:$T$199,2*(ROWS(G$182:G191)-1)+1),"")</f>
        <v>0</v>
      </c>
      <c r="G191" s="178">
        <f>IFERROR(INDEX('M04-S03'!$AA$18:$AA$199,2*(ROWS(G$182:G191)-1)+1),"")</f>
        <v>0</v>
      </c>
      <c r="H191" s="200" t="str">
        <f ca="1">IFERROR(IF(AC191&lt;&gt;"","",INDEX('M04-S03'!$AD$18:$AD$199,2*(ROWS(H$182:H191)-1)+1)),"")</f>
        <v/>
      </c>
      <c r="I191" s="200" t="str">
        <f ca="1">IFERROR(IF(AC191&lt;&gt;"","",INDEX('M04-S03'!$AF$18:$AF$199,2*(ROWS(I$182:I191)-1)+1)),"")</f>
        <v/>
      </c>
      <c r="J191" s="200" t="str">
        <f ca="1">IFERROR(IF(AC191&lt;&gt;"","",INDEX('M04-S03'!$AH$18:$AH$199,2*(ROWS(J$182:J191)-1)+1)),"")</f>
        <v/>
      </c>
      <c r="K191" s="178" t="s">
        <v>84</v>
      </c>
      <c r="L191" s="116" t="str">
        <f ca="1">IFERROR(IF(AC191&lt;&gt;"","",ROUND(INDEX('M04-S03'!$O$18:$O$199,2*(ROWS(L$182:L191)-1)+1),3)),"")</f>
        <v/>
      </c>
      <c r="M191" s="116" t="str">
        <f ca="1">IFERROR(IF(AC191&lt;&gt;"","",ROUND(INDEX('M04-S03'!$O$18:$O$199,2*(ROWS(M$182:M191)-1)+1),3)),"")</f>
        <v/>
      </c>
      <c r="N191" s="418"/>
      <c r="O191" s="415" t="str">
        <f ca="1">IFERROR(IF(AC191&lt;&gt;"","",INDEX('M04-S03'!$AK$18:$AK$199,2*(ROWS(O$182:O191)-1)+1)),"")</f>
        <v/>
      </c>
      <c r="P191" s="408"/>
      <c r="Q191" s="415" t="str">
        <f ca="1">IFERROR(IF(AC191&lt;&gt;"","",INDEX('M04-S03'!$BA$18:$BA$199,2*(ROWS(Q$182:Q191)-1)+1)),"")</f>
        <v/>
      </c>
      <c r="R191" s="200" t="str">
        <f ca="1">IFERROR(IF(AC191&lt;&gt;"","",INDEX('M04-S03'!$AN$18:$AN$199,2*(ROWS(R$182:R191)-1)+1)),"")</f>
        <v/>
      </c>
      <c r="S191" s="200">
        <f ca="1">IFERROR(IF(AC191&lt;&gt;"",INDEX('M04-S03'!$AD$18:$AD$199,2*(ROWS(S$182:S191)-1)+1),""),"")</f>
        <v>0</v>
      </c>
      <c r="T191" s="200">
        <f ca="1">IFERROR(IF(AC191&lt;&gt;"",INDEX('M04-S03'!$AF$18:$AF$199,2*(ROWS(T$182:T191)-1)+1),""),"")</f>
        <v>0</v>
      </c>
      <c r="U191" s="200" t="str">
        <f ca="1">IFERROR(IF(AC191&lt;&gt;"",INDEX('M04-S03'!$AH$18:$AH$199,2*(ROWS(U$182:U191)-1)+1),""),"")</f>
        <v/>
      </c>
      <c r="V191" s="178">
        <f ca="1">IFERROR(IF(AC191&lt;&gt;"",INDEX('M04-S03'!$AB$38:$AB$199,2*(ROWS(V$182:V191)-1)+1),""),"")</f>
        <v>0</v>
      </c>
      <c r="W191" s="116">
        <f ca="1">IFERROR(IF(AC191&lt;&gt;"",ROUND(INDEX('M04-S03'!$P$38:$P$199,2*(ROWS(W$182:W191)-1)+1),3),""),"")</f>
        <v>0</v>
      </c>
      <c r="X191" s="116">
        <f ca="1">IFERROR(IF(AC191&lt;&gt;"",ROUND(INDEX('M04-S03'!$Z$38:$Z$199,2*(ROWS(X$182:X191)-1)+1),3),""),"")</f>
        <v>0</v>
      </c>
      <c r="Y191" s="408"/>
      <c r="Z191" s="173" t="str">
        <f ca="1">IFERROR(IF(AC191&lt;&gt;"",INDEX('M04-S03'!$AK$18:$AK$199,2*(ROWS(Z$182:Z191)-1)+1),""),"")</f>
        <v/>
      </c>
      <c r="AA191" s="408"/>
      <c r="AB191" s="415" t="str">
        <f ca="1">IFERROR(IF(AC191&lt;&gt;"",INDEX('M04-S03'!$BA$18:$BA$199,2*(ROWS(AB$182:AB191)-1)+1),""),"")</f>
        <v/>
      </c>
      <c r="AC191" s="178" t="str">
        <f ca="1">IFERROR(INDEX('M04-S03'!$BJ$18:$BJ$199,2*(ROWS(AC$182:AC191)-1)+1),"")</f>
        <v>Submit for Review</v>
      </c>
      <c r="AD191" s="415" t="str">
        <f>IFERROR(INDEX('M04-S03'!$AW$18:$AW$199,2*(ROWS(AD$182:AD191)-1)+1),"")</f>
        <v/>
      </c>
      <c r="AE191" s="415" t="str">
        <f>IFERROR(INDEX('M04-S03'!$AX$18:$AX$199,2*(ROWS(AE$182:AE191)-1)+1),"")</f>
        <v/>
      </c>
      <c r="AF191" s="408"/>
      <c r="AG191" s="408"/>
      <c r="AH191" s="173">
        <f>IFERROR(INDEX('M04-S03'!$Q$18:$Q$199,2*(ROWS(AH$182:AH191)-1)+1),"")</f>
        <v>0</v>
      </c>
      <c r="AI191" s="178">
        <f>IFERROR(INDEX('M04-S03'!$B$18:$B$199,2*(ROWS(AI$182:AI191)-1)+1),"")</f>
        <v>10</v>
      </c>
      <c r="AJ191" s="325"/>
      <c r="AK191" s="178">
        <f>IFERROR(INDEX('M04-S03'!$C$18:$C$199,2*(ROWS(AK$182:AK191)-1)+1),"")</f>
        <v>0</v>
      </c>
      <c r="AL191" s="325"/>
      <c r="AM191" s="178">
        <f>IFERROR(INDEX('M04-S03'!$W$18:$W$199,2*(ROWS(AM$182:AM191)-1)+1),"")</f>
        <v>0</v>
      </c>
      <c r="AN191" s="200" t="str">
        <f>IFERROR(INDEX('M04-S03'!$AT$18:$AT$199,2*(ROWS(AN$182:AN191)-1)+1),"")</f>
        <v/>
      </c>
      <c r="AO191" s="200" t="str">
        <f>IFERROR(INDEX('M04-S03'!$AU$18:$AU$199,2*(ROWS(AO$182:AO191)-1)+1),"")</f>
        <v/>
      </c>
      <c r="AP191" s="178" t="str">
        <f>IFERROR(INDEX('M04-S03'!$AV$18:$AV$199,2*(ROWS(AP$182:AP191)-1)+1),"")</f>
        <v/>
      </c>
      <c r="AQ191" s="178" t="str">
        <f>IFERROR(INDEX('M04-S03'!$AY$18:$AY$199,2*(ROWS(AQ$182:AQ191)-1)+1),"")</f>
        <v/>
      </c>
      <c r="AR191" s="178" t="s">
        <v>1374</v>
      </c>
      <c r="AS191" s="178"/>
      <c r="AT191" s="278"/>
      <c r="AU191" s="278"/>
      <c r="AV191" s="278"/>
      <c r="AW191" s="278"/>
      <c r="AX191" s="278"/>
      <c r="AY191" s="278"/>
      <c r="AZ191" s="278"/>
      <c r="BA191" s="278"/>
      <c r="BB191" s="278"/>
      <c r="BC191" s="278"/>
      <c r="BD191" s="278"/>
      <c r="BE191" s="279"/>
      <c r="BL191" s="180"/>
      <c r="BP191" s="180"/>
      <c r="BQ191" s="180"/>
      <c r="BR191" s="180"/>
      <c r="CD191" s="180"/>
      <c r="CE191" s="180"/>
      <c r="CF191" s="180"/>
      <c r="CH191" s="180"/>
      <c r="CI191" s="180"/>
      <c r="CJ191" s="180"/>
      <c r="CK191" s="180"/>
      <c r="CL191" s="180"/>
      <c r="CM191" s="180"/>
      <c r="CN191" s="180"/>
      <c r="CQ191" s="180"/>
      <c r="CR191" s="180"/>
      <c r="CS191" s="180"/>
      <c r="DS191" s="180"/>
      <c r="DT191" s="180"/>
      <c r="DU191" s="180"/>
    </row>
    <row r="192" spans="1:125" s="54" customFormat="1" hidden="1">
      <c r="A192" s="135">
        <f t="shared" si="18"/>
        <v>0</v>
      </c>
      <c r="B192" s="178" t="str">
        <f t="shared" si="19"/>
        <v/>
      </c>
      <c r="C192" s="178" t="str">
        <f>IFERROR(IF(INDEX('M04-S03'!$BH$18:$BH$199,2*(ROWS($C$182:C192)-1)+1)="","",INDEX('M04-S03'!$BH$18:$BH$199,2*(ROWS($C$182:C192)-1)+1)),"")</f>
        <v/>
      </c>
      <c r="D192" s="180" t="s">
        <v>144</v>
      </c>
      <c r="E192" s="178">
        <f>IFERROR(INDEX('M04-S03'!$AZ$18:$AZ$199,2*(ROWS(E$182:E192)-1)+1),"")</f>
        <v>0</v>
      </c>
      <c r="F192" s="173">
        <f>IFERROR(INDEX('M04-S03'!$T$18:$T$199,2*(ROWS(G$182:G192)-1)+1),"")</f>
        <v>0</v>
      </c>
      <c r="G192" s="178">
        <f>IFERROR(INDEX('M04-S03'!$AA$18:$AA$199,2*(ROWS(G$182:G192)-1)+1),"")</f>
        <v>0</v>
      </c>
      <c r="H192" s="200" t="str">
        <f>IFERROR(IF(AC192&lt;&gt;"","",INDEX('M04-S03'!$AD$18:$AD$199,2*(ROWS(H$182:H192)-1)+1)),"")</f>
        <v/>
      </c>
      <c r="I192" s="200" t="str">
        <f>IFERROR(IF(AC192&lt;&gt;"","",INDEX('M04-S03'!$AF$18:$AF$199,2*(ROWS(I$182:I192)-1)+1)),"")</f>
        <v/>
      </c>
      <c r="J192" s="200" t="str">
        <f>IFERROR(IF(AC192&lt;&gt;"","",INDEX('M04-S03'!$AH$18:$AH$199,2*(ROWS(J$182:J192)-1)+1)),"")</f>
        <v/>
      </c>
      <c r="K192" s="178" t="s">
        <v>84</v>
      </c>
      <c r="L192" s="116" t="str">
        <f>IFERROR(IF(AC192&lt;&gt;"","",ROUND(INDEX('M04-S03'!$O$18:$O$199,2*(ROWS(L$182:L192)-1)+1),3)),"")</f>
        <v/>
      </c>
      <c r="M192" s="116" t="str">
        <f>IFERROR(IF(AC192&lt;&gt;"","",ROUND(INDEX('M04-S03'!$O$18:$O$199,2*(ROWS(M$182:M192)-1)+1),3)),"")</f>
        <v/>
      </c>
      <c r="N192" s="418"/>
      <c r="O192" s="415" t="str">
        <f>IFERROR(IF(AC192&lt;&gt;"","",INDEX('M04-S03'!$AK$18:$AK$199,2*(ROWS(O$182:O192)-1)+1)),"")</f>
        <v/>
      </c>
      <c r="P192" s="408"/>
      <c r="Q192" s="415" t="str">
        <f>IFERROR(IF(AC192&lt;&gt;"","",INDEX('M04-S03'!$BA$18:$BA$199,2*(ROWS(Q$182:Q192)-1)+1)),"")</f>
        <v/>
      </c>
      <c r="R192" s="200" t="str">
        <f>IFERROR(IF(AC192&lt;&gt;"","",INDEX('M04-S03'!$AN$18:$AN$199,2*(ROWS(R$182:R192)-1)+1)),"")</f>
        <v/>
      </c>
      <c r="S192" s="200">
        <f>IFERROR(IF(AC192&lt;&gt;"",INDEX('M04-S03'!$AD$18:$AD$199,2*(ROWS(S$182:S192)-1)+1),""),"")</f>
        <v>0</v>
      </c>
      <c r="T192" s="200">
        <f>IFERROR(IF(AC192&lt;&gt;"",INDEX('M04-S03'!$AF$18:$AF$199,2*(ROWS(T$182:T192)-1)+1),""),"")</f>
        <v>0</v>
      </c>
      <c r="U192" s="200">
        <f>IFERROR(IF(AC192&lt;&gt;"",INDEX('M04-S03'!$AH$18:$AH$199,2*(ROWS(U$182:U192)-1)+1),""),"")</f>
        <v>0</v>
      </c>
      <c r="V192" s="178">
        <f>IFERROR(IF(AC192&lt;&gt;"",INDEX('M04-S03'!$AB$38:$AB$199,2*(ROWS(V$182:V192)-1)+1),""),"")</f>
        <v>0</v>
      </c>
      <c r="W192" s="116">
        <f>IFERROR(IF(AC192&lt;&gt;"",ROUND(INDEX('M04-S03'!$P$38:$P$199,2*(ROWS(W$182:W192)-1)+1),3),""),"")</f>
        <v>0</v>
      </c>
      <c r="X192" s="116">
        <f>IFERROR(IF(AC192&lt;&gt;"",ROUND(INDEX('M04-S03'!$Z$38:$Z$199,2*(ROWS(X$182:X192)-1)+1),3),""),"")</f>
        <v>0</v>
      </c>
      <c r="Y192" s="408"/>
      <c r="Z192" s="173">
        <f>IFERROR(IF(AC192&lt;&gt;"",INDEX('M04-S03'!$AK$18:$AK$199,2*(ROWS(Z$182:Z192)-1)+1),""),"")</f>
        <v>0</v>
      </c>
      <c r="AA192" s="408"/>
      <c r="AB192" s="415">
        <f>IFERROR(IF(AC192&lt;&gt;"",INDEX('M04-S03'!$BA$18:$BA$199,2*(ROWS(AB$182:AB192)-1)+1),""),"")</f>
        <v>0</v>
      </c>
      <c r="AC192" s="178">
        <f>IFERROR(INDEX('M04-S03'!$BJ$18:$BJ$199,2*(ROWS(AC$182:AC192)-1)+1),"")</f>
        <v>0</v>
      </c>
      <c r="AD192" s="415">
        <f>IFERROR(INDEX('M04-S03'!$AW$18:$AW$199,2*(ROWS(AD$182:AD192)-1)+1),"")</f>
        <v>0</v>
      </c>
      <c r="AE192" s="415">
        <f>IFERROR(INDEX('M04-S03'!$AX$18:$AX$199,2*(ROWS(AE$182:AE192)-1)+1),"")</f>
        <v>0</v>
      </c>
      <c r="AF192" s="408"/>
      <c r="AG192" s="408"/>
      <c r="AH192" s="173">
        <f>IFERROR(INDEX('M04-S03'!$Q$18:$Q$199,2*(ROWS(AH$182:AH192)-1)+1),"")</f>
        <v>0</v>
      </c>
      <c r="AI192" s="178">
        <f>IFERROR(INDEX('M04-S03'!$B$18:$B$199,2*(ROWS(AI$182:AI192)-1)+1),"")</f>
        <v>0</v>
      </c>
      <c r="AJ192" s="325"/>
      <c r="AK192" s="178">
        <f>IFERROR(INDEX('M04-S03'!$C$18:$C$199,2*(ROWS(AK$182:AK192)-1)+1),"")</f>
        <v>0</v>
      </c>
      <c r="AL192" s="325"/>
      <c r="AM192" s="178">
        <f>IFERROR(INDEX('M04-S03'!$W$18:$W$199,2*(ROWS(AM$182:AM192)-1)+1),"")</f>
        <v>0</v>
      </c>
      <c r="AN192" s="200">
        <f>IFERROR(INDEX('M04-S03'!$AT$18:$AT$199,2*(ROWS(AN$182:AN192)-1)+1),"")</f>
        <v>0</v>
      </c>
      <c r="AO192" s="200">
        <f>IFERROR(INDEX('M04-S03'!$AU$18:$AU$199,2*(ROWS(AO$182:AO192)-1)+1),"")</f>
        <v>0</v>
      </c>
      <c r="AP192" s="178">
        <f>IFERROR(INDEX('M04-S03'!$AV$18:$AV$199,2*(ROWS(AP$182:AP192)-1)+1),"")</f>
        <v>0</v>
      </c>
      <c r="AQ192" s="178">
        <f>IFERROR(INDEX('M04-S03'!$AY$18:$AY$199,2*(ROWS(AQ$182:AQ192)-1)+1),"")</f>
        <v>0</v>
      </c>
      <c r="AR192" s="178" t="s">
        <v>1374</v>
      </c>
      <c r="AS192" s="178"/>
      <c r="AT192" s="278"/>
      <c r="AU192" s="278"/>
      <c r="AV192" s="278"/>
      <c r="AW192" s="278"/>
      <c r="AX192" s="278"/>
      <c r="AY192" s="278"/>
      <c r="AZ192" s="278"/>
      <c r="BA192" s="278"/>
      <c r="BB192" s="278"/>
      <c r="BC192" s="278"/>
      <c r="BD192" s="278"/>
      <c r="BE192" s="279"/>
      <c r="BL192" s="180"/>
      <c r="BP192" s="180"/>
      <c r="BQ192" s="180"/>
      <c r="BR192" s="180"/>
      <c r="CD192" s="180"/>
      <c r="CE192" s="180"/>
      <c r="CF192" s="180"/>
      <c r="CH192" s="180"/>
      <c r="CI192" s="180"/>
      <c r="CJ192" s="180"/>
      <c r="CK192" s="180"/>
      <c r="CL192" s="180"/>
      <c r="CM192" s="180"/>
      <c r="CN192" s="180"/>
      <c r="CQ192" s="180"/>
      <c r="CR192" s="180"/>
      <c r="CS192" s="180"/>
      <c r="DS192" s="180"/>
      <c r="DT192" s="180"/>
      <c r="DU192" s="180"/>
    </row>
    <row r="193" spans="1:125" s="54" customFormat="1" hidden="1">
      <c r="A193" s="135">
        <f t="shared" si="18"/>
        <v>0</v>
      </c>
      <c r="B193" s="178" t="str">
        <f t="shared" si="19"/>
        <v/>
      </c>
      <c r="C193" s="178" t="str">
        <f>IFERROR(IF(INDEX('M04-S03'!$BH$18:$BH$199,2*(ROWS($C$182:C193)-1)+1)="","",INDEX('M04-S03'!$BH$18:$BH$199,2*(ROWS($C$182:C193)-1)+1)),"")</f>
        <v/>
      </c>
      <c r="D193" s="180" t="s">
        <v>144</v>
      </c>
      <c r="E193" s="178">
        <f>IFERROR(INDEX('M04-S03'!$AZ$18:$AZ$199,2*(ROWS(E$182:E193)-1)+1),"")</f>
        <v>0</v>
      </c>
      <c r="F193" s="173">
        <f>IFERROR(INDEX('M04-S03'!$T$18:$T$199,2*(ROWS(G$182:G193)-1)+1),"")</f>
        <v>0</v>
      </c>
      <c r="G193" s="178">
        <f>IFERROR(INDEX('M04-S03'!$AA$18:$AA$199,2*(ROWS(G$182:G193)-1)+1),"")</f>
        <v>0</v>
      </c>
      <c r="H193" s="200" t="str">
        <f>IFERROR(IF(AC193&lt;&gt;"","",INDEX('M04-S03'!$AD$18:$AD$199,2*(ROWS(H$182:H193)-1)+1)),"")</f>
        <v/>
      </c>
      <c r="I193" s="200" t="str">
        <f>IFERROR(IF(AC193&lt;&gt;"","",INDEX('M04-S03'!$AF$18:$AF$199,2*(ROWS(I$182:I193)-1)+1)),"")</f>
        <v/>
      </c>
      <c r="J193" s="200" t="str">
        <f>IFERROR(IF(AC193&lt;&gt;"","",INDEX('M04-S03'!$AH$18:$AH$199,2*(ROWS(J$182:J193)-1)+1)),"")</f>
        <v/>
      </c>
      <c r="K193" s="178" t="s">
        <v>84</v>
      </c>
      <c r="L193" s="116" t="str">
        <f>IFERROR(IF(AC193&lt;&gt;"","",ROUND(INDEX('M04-S03'!$O$18:$O$199,2*(ROWS(L$182:L193)-1)+1),3)),"")</f>
        <v/>
      </c>
      <c r="M193" s="116" t="str">
        <f>IFERROR(IF(AC193&lt;&gt;"","",ROUND(INDEX('M04-S03'!$O$18:$O$199,2*(ROWS(M$182:M193)-1)+1),3)),"")</f>
        <v/>
      </c>
      <c r="N193" s="418"/>
      <c r="O193" s="415" t="str">
        <f>IFERROR(IF(AC193&lt;&gt;"","",INDEX('M04-S03'!$AK$18:$AK$199,2*(ROWS(O$182:O193)-1)+1)),"")</f>
        <v/>
      </c>
      <c r="P193" s="408"/>
      <c r="Q193" s="415" t="str">
        <f>IFERROR(IF(AC193&lt;&gt;"","",INDEX('M04-S03'!$BA$18:$BA$199,2*(ROWS(Q$182:Q193)-1)+1)),"")</f>
        <v/>
      </c>
      <c r="R193" s="200" t="str">
        <f>IFERROR(IF(AC193&lt;&gt;"","",INDEX('M04-S03'!$AN$18:$AN$199,2*(ROWS(R$182:R193)-1)+1)),"")</f>
        <v/>
      </c>
      <c r="S193" s="200">
        <f>IFERROR(IF(AC193&lt;&gt;"",INDEX('M04-S03'!$AD$18:$AD$199,2*(ROWS(S$182:S193)-1)+1),""),"")</f>
        <v>0</v>
      </c>
      <c r="T193" s="200">
        <f>IFERROR(IF(AC193&lt;&gt;"",INDEX('M04-S03'!$AF$18:$AF$199,2*(ROWS(T$182:T193)-1)+1),""),"")</f>
        <v>0</v>
      </c>
      <c r="U193" s="200">
        <f>IFERROR(IF(AC193&lt;&gt;"",INDEX('M04-S03'!$AH$18:$AH$199,2*(ROWS(U$182:U193)-1)+1),""),"")</f>
        <v>0</v>
      </c>
      <c r="V193" s="178">
        <f>IFERROR(IF(AC193&lt;&gt;"",INDEX('M04-S03'!$AB$38:$AB$199,2*(ROWS(V$182:V193)-1)+1),""),"")</f>
        <v>0</v>
      </c>
      <c r="W193" s="116">
        <f>IFERROR(IF(AC193&lt;&gt;"",ROUND(INDEX('M04-S03'!$P$38:$P$199,2*(ROWS(W$182:W193)-1)+1),3),""),"")</f>
        <v>0</v>
      </c>
      <c r="X193" s="116">
        <f>IFERROR(IF(AC193&lt;&gt;"",ROUND(INDEX('M04-S03'!$Z$38:$Z$199,2*(ROWS(X$182:X193)-1)+1),3),""),"")</f>
        <v>0</v>
      </c>
      <c r="Y193" s="408"/>
      <c r="Z193" s="173">
        <f>IFERROR(IF(AC193&lt;&gt;"",INDEX('M04-S03'!$AK$18:$AK$199,2*(ROWS(Z$182:Z193)-1)+1),""),"")</f>
        <v>0</v>
      </c>
      <c r="AA193" s="408"/>
      <c r="AB193" s="415">
        <f>IFERROR(IF(AC193&lt;&gt;"",INDEX('M04-S03'!$BA$18:$BA$199,2*(ROWS(AB$182:AB193)-1)+1),""),"")</f>
        <v>0</v>
      </c>
      <c r="AC193" s="178">
        <f>IFERROR(INDEX('M04-S03'!$BJ$18:$BJ$199,2*(ROWS(AC$182:AC193)-1)+1),"")</f>
        <v>0</v>
      </c>
      <c r="AD193" s="415">
        <f>IFERROR(INDEX('M04-S03'!$AW$18:$AW$199,2*(ROWS(AD$182:AD193)-1)+1),"")</f>
        <v>0</v>
      </c>
      <c r="AE193" s="415">
        <f>IFERROR(INDEX('M04-S03'!$AX$18:$AX$199,2*(ROWS(AE$182:AE193)-1)+1),"")</f>
        <v>0</v>
      </c>
      <c r="AF193" s="408"/>
      <c r="AG193" s="408"/>
      <c r="AH193" s="173">
        <f>IFERROR(INDEX('M04-S03'!$Q$18:$Q$199,2*(ROWS(AH$182:AH193)-1)+1),"")</f>
        <v>0</v>
      </c>
      <c r="AI193" s="178">
        <f>IFERROR(INDEX('M04-S03'!$B$18:$B$199,2*(ROWS(AI$182:AI193)-1)+1),"")</f>
        <v>0</v>
      </c>
      <c r="AJ193" s="325"/>
      <c r="AK193" s="178">
        <f>IFERROR(INDEX('M04-S03'!$C$18:$C$199,2*(ROWS(AK$182:AK193)-1)+1),"")</f>
        <v>0</v>
      </c>
      <c r="AL193" s="325"/>
      <c r="AM193" s="178">
        <f>IFERROR(INDEX('M04-S03'!$W$18:$W$199,2*(ROWS(AM$182:AM193)-1)+1),"")</f>
        <v>0</v>
      </c>
      <c r="AN193" s="200">
        <f>IFERROR(INDEX('M04-S03'!$AT$18:$AT$199,2*(ROWS(AN$182:AN193)-1)+1),"")</f>
        <v>0</v>
      </c>
      <c r="AO193" s="200">
        <f>IFERROR(INDEX('M04-S03'!$AU$18:$AU$199,2*(ROWS(AO$182:AO193)-1)+1),"")</f>
        <v>0</v>
      </c>
      <c r="AP193" s="178">
        <f>IFERROR(INDEX('M04-S03'!$AV$18:$AV$199,2*(ROWS(AP$182:AP193)-1)+1),"")</f>
        <v>0</v>
      </c>
      <c r="AQ193" s="178">
        <f>IFERROR(INDEX('M04-S03'!$AY$18:$AY$199,2*(ROWS(AQ$182:AQ193)-1)+1),"")</f>
        <v>0</v>
      </c>
      <c r="AR193" s="178" t="s">
        <v>1374</v>
      </c>
      <c r="AS193" s="178"/>
      <c r="AT193" s="278"/>
      <c r="AU193" s="278"/>
      <c r="AV193" s="278"/>
      <c r="AW193" s="278"/>
      <c r="AX193" s="278"/>
      <c r="AY193" s="278"/>
      <c r="AZ193" s="278"/>
      <c r="BA193" s="278"/>
      <c r="BB193" s="278"/>
      <c r="BC193" s="278"/>
      <c r="BD193" s="278"/>
      <c r="BE193" s="279"/>
      <c r="BL193" s="180"/>
      <c r="BP193" s="180"/>
      <c r="BQ193" s="180"/>
      <c r="BR193" s="180"/>
      <c r="CD193" s="180"/>
      <c r="CE193" s="180"/>
      <c r="CF193" s="180"/>
      <c r="CH193" s="180"/>
      <c r="CI193" s="180"/>
      <c r="CJ193" s="180"/>
      <c r="CK193" s="180"/>
      <c r="CL193" s="180"/>
      <c r="CM193" s="180"/>
      <c r="CN193" s="180"/>
      <c r="CQ193" s="180"/>
      <c r="CR193" s="180"/>
      <c r="CS193" s="180"/>
      <c r="DS193" s="180"/>
      <c r="DT193" s="180"/>
      <c r="DU193" s="180"/>
    </row>
    <row r="194" spans="1:125" s="54" customFormat="1" hidden="1">
      <c r="A194" s="135">
        <f t="shared" si="18"/>
        <v>0</v>
      </c>
      <c r="B194" s="178" t="str">
        <f t="shared" si="19"/>
        <v/>
      </c>
      <c r="C194" s="178" t="str">
        <f>IFERROR(IF(INDEX('M04-S03'!$BH$18:$BH$199,2*(ROWS($C$182:C194)-1)+1)="","",INDEX('M04-S03'!$BH$18:$BH$199,2*(ROWS($C$182:C194)-1)+1)),"")</f>
        <v/>
      </c>
      <c r="D194" s="180" t="s">
        <v>144</v>
      </c>
      <c r="E194" s="178">
        <f>IFERROR(INDEX('M04-S03'!$AZ$18:$AZ$199,2*(ROWS(E$182:E194)-1)+1),"")</f>
        <v>0</v>
      </c>
      <c r="F194" s="173">
        <f>IFERROR(INDEX('M04-S03'!$T$18:$T$199,2*(ROWS(G$182:G194)-1)+1),"")</f>
        <v>0</v>
      </c>
      <c r="G194" s="178">
        <f>IFERROR(INDEX('M04-S03'!$AA$18:$AA$199,2*(ROWS(G$182:G194)-1)+1),"")</f>
        <v>0</v>
      </c>
      <c r="H194" s="200" t="str">
        <f>IFERROR(IF(AC194&lt;&gt;"","",INDEX('M04-S03'!$AD$18:$AD$199,2*(ROWS(H$182:H194)-1)+1)),"")</f>
        <v/>
      </c>
      <c r="I194" s="200" t="str">
        <f>IFERROR(IF(AC194&lt;&gt;"","",INDEX('M04-S03'!$AF$18:$AF$199,2*(ROWS(I$182:I194)-1)+1)),"")</f>
        <v/>
      </c>
      <c r="J194" s="200" t="str">
        <f>IFERROR(IF(AC194&lt;&gt;"","",INDEX('M04-S03'!$AH$18:$AH$199,2*(ROWS(J$182:J194)-1)+1)),"")</f>
        <v/>
      </c>
      <c r="K194" s="178" t="s">
        <v>84</v>
      </c>
      <c r="L194" s="116" t="str">
        <f>IFERROR(IF(AC194&lt;&gt;"","",ROUND(INDEX('M04-S03'!$O$18:$O$199,2*(ROWS(L$182:L194)-1)+1),3)),"")</f>
        <v/>
      </c>
      <c r="M194" s="116" t="str">
        <f>IFERROR(IF(AC194&lt;&gt;"","",ROUND(INDEX('M04-S03'!$O$18:$O$199,2*(ROWS(M$182:M194)-1)+1),3)),"")</f>
        <v/>
      </c>
      <c r="N194" s="418"/>
      <c r="O194" s="415" t="str">
        <f>IFERROR(IF(AC194&lt;&gt;"","",INDEX('M04-S03'!$AK$18:$AK$199,2*(ROWS(O$182:O194)-1)+1)),"")</f>
        <v/>
      </c>
      <c r="P194" s="408"/>
      <c r="Q194" s="415" t="str">
        <f>IFERROR(IF(AC194&lt;&gt;"","",INDEX('M04-S03'!$BA$18:$BA$199,2*(ROWS(Q$182:Q194)-1)+1)),"")</f>
        <v/>
      </c>
      <c r="R194" s="200" t="str">
        <f>IFERROR(IF(AC194&lt;&gt;"","",INDEX('M04-S03'!$AN$18:$AN$199,2*(ROWS(R$182:R194)-1)+1)),"")</f>
        <v/>
      </c>
      <c r="S194" s="200">
        <f>IFERROR(IF(AC194&lt;&gt;"",INDEX('M04-S03'!$AD$18:$AD$199,2*(ROWS(S$182:S194)-1)+1),""),"")</f>
        <v>0</v>
      </c>
      <c r="T194" s="200">
        <f>IFERROR(IF(AC194&lt;&gt;"",INDEX('M04-S03'!$AF$18:$AF$199,2*(ROWS(T$182:T194)-1)+1),""),"")</f>
        <v>0</v>
      </c>
      <c r="U194" s="200">
        <f>IFERROR(IF(AC194&lt;&gt;"",INDEX('M04-S03'!$AH$18:$AH$199,2*(ROWS(U$182:U194)-1)+1),""),"")</f>
        <v>0</v>
      </c>
      <c r="V194" s="178">
        <f>IFERROR(IF(AC194&lt;&gt;"",INDEX('M04-S03'!$AB$38:$AB$199,2*(ROWS(V$182:V194)-1)+1),""),"")</f>
        <v>0</v>
      </c>
      <c r="W194" s="116">
        <f>IFERROR(IF(AC194&lt;&gt;"",ROUND(INDEX('M04-S03'!$P$38:$P$199,2*(ROWS(W$182:W194)-1)+1),3),""),"")</f>
        <v>0</v>
      </c>
      <c r="X194" s="116">
        <f>IFERROR(IF(AC194&lt;&gt;"",ROUND(INDEX('M04-S03'!$Z$38:$Z$199,2*(ROWS(X$182:X194)-1)+1),3),""),"")</f>
        <v>0</v>
      </c>
      <c r="Y194" s="408"/>
      <c r="Z194" s="173">
        <f>IFERROR(IF(AC194&lt;&gt;"",INDEX('M04-S03'!$AK$18:$AK$199,2*(ROWS(Z$182:Z194)-1)+1),""),"")</f>
        <v>0</v>
      </c>
      <c r="AA194" s="408"/>
      <c r="AB194" s="415">
        <f>IFERROR(IF(AC194&lt;&gt;"",INDEX('M04-S03'!$BA$18:$BA$199,2*(ROWS(AB$182:AB194)-1)+1),""),"")</f>
        <v>0</v>
      </c>
      <c r="AC194" s="178">
        <f>IFERROR(INDEX('M04-S03'!$BJ$18:$BJ$199,2*(ROWS(AC$182:AC194)-1)+1),"")</f>
        <v>0</v>
      </c>
      <c r="AD194" s="415">
        <f>IFERROR(INDEX('M04-S03'!$AW$18:$AW$199,2*(ROWS(AD$182:AD194)-1)+1),"")</f>
        <v>0</v>
      </c>
      <c r="AE194" s="415">
        <f>IFERROR(INDEX('M04-S03'!$AX$18:$AX$199,2*(ROWS(AE$182:AE194)-1)+1),"")</f>
        <v>0</v>
      </c>
      <c r="AF194" s="408"/>
      <c r="AG194" s="408"/>
      <c r="AH194" s="173">
        <f>IFERROR(INDEX('M04-S03'!$Q$18:$Q$199,2*(ROWS(AH$182:AH194)-1)+1),"")</f>
        <v>0</v>
      </c>
      <c r="AI194" s="178">
        <f>IFERROR(INDEX('M04-S03'!$B$18:$B$199,2*(ROWS(AI$182:AI194)-1)+1),"")</f>
        <v>0</v>
      </c>
      <c r="AJ194" s="325"/>
      <c r="AK194" s="178">
        <f>IFERROR(INDEX('M04-S03'!$C$18:$C$199,2*(ROWS(AK$182:AK194)-1)+1),"")</f>
        <v>0</v>
      </c>
      <c r="AL194" s="325"/>
      <c r="AM194" s="178">
        <f>IFERROR(INDEX('M04-S03'!$W$18:$W$199,2*(ROWS(AM$182:AM194)-1)+1),"")</f>
        <v>0</v>
      </c>
      <c r="AN194" s="200">
        <f>IFERROR(INDEX('M04-S03'!$AT$18:$AT$199,2*(ROWS(AN$182:AN194)-1)+1),"")</f>
        <v>0</v>
      </c>
      <c r="AO194" s="200">
        <f>IFERROR(INDEX('M04-S03'!$AU$18:$AU$199,2*(ROWS(AO$182:AO194)-1)+1),"")</f>
        <v>0</v>
      </c>
      <c r="AP194" s="178">
        <f>IFERROR(INDEX('M04-S03'!$AV$18:$AV$199,2*(ROWS(AP$182:AP194)-1)+1),"")</f>
        <v>0</v>
      </c>
      <c r="AQ194" s="178">
        <f>IFERROR(INDEX('M04-S03'!$AY$18:$AY$199,2*(ROWS(AQ$182:AQ194)-1)+1),"")</f>
        <v>0</v>
      </c>
      <c r="AR194" s="178" t="s">
        <v>1374</v>
      </c>
      <c r="AS194" s="178"/>
      <c r="AT194" s="278"/>
      <c r="AU194" s="278"/>
      <c r="AV194" s="278"/>
      <c r="AW194" s="278"/>
      <c r="AX194" s="278"/>
      <c r="AY194" s="278"/>
      <c r="AZ194" s="278"/>
      <c r="BA194" s="278"/>
      <c r="BB194" s="278"/>
      <c r="BC194" s="278"/>
      <c r="BD194" s="278"/>
      <c r="BE194" s="279"/>
      <c r="BL194" s="180"/>
      <c r="BP194" s="180"/>
      <c r="BQ194" s="180"/>
      <c r="BR194" s="180"/>
      <c r="CD194" s="180"/>
      <c r="CE194" s="180"/>
      <c r="CF194" s="180"/>
      <c r="CH194" s="180"/>
      <c r="CI194" s="180"/>
      <c r="CJ194" s="180"/>
      <c r="CK194" s="180"/>
      <c r="CL194" s="180"/>
      <c r="CM194" s="180"/>
      <c r="CN194" s="180"/>
      <c r="CQ194" s="180"/>
      <c r="CR194" s="180"/>
      <c r="CS194" s="180"/>
      <c r="DS194" s="180"/>
      <c r="DT194" s="180"/>
      <c r="DU194" s="180"/>
    </row>
    <row r="195" spans="1:125" s="54" customFormat="1" hidden="1">
      <c r="A195" s="135">
        <f t="shared" si="18"/>
        <v>0</v>
      </c>
      <c r="B195" s="178" t="str">
        <f t="shared" si="19"/>
        <v/>
      </c>
      <c r="C195" s="178" t="str">
        <f>IFERROR(IF(INDEX('M04-S03'!$BH$18:$BH$199,2*(ROWS($C$182:C195)-1)+1)="","",INDEX('M04-S03'!$BH$18:$BH$199,2*(ROWS($C$182:C195)-1)+1)),"")</f>
        <v/>
      </c>
      <c r="D195" s="180" t="s">
        <v>144</v>
      </c>
      <c r="E195" s="178">
        <f>IFERROR(INDEX('M04-S03'!$AZ$18:$AZ$199,2*(ROWS(E$182:E195)-1)+1),"")</f>
        <v>0</v>
      </c>
      <c r="F195" s="173">
        <f>IFERROR(INDEX('M04-S03'!$T$18:$T$199,2*(ROWS(G$182:G195)-1)+1),"")</f>
        <v>0</v>
      </c>
      <c r="G195" s="178">
        <f>IFERROR(INDEX('M04-S03'!$AA$18:$AA$199,2*(ROWS(G$182:G195)-1)+1),"")</f>
        <v>0</v>
      </c>
      <c r="H195" s="200" t="str">
        <f>IFERROR(IF(AC195&lt;&gt;"","",INDEX('M04-S03'!$AD$18:$AD$199,2*(ROWS(H$182:H195)-1)+1)),"")</f>
        <v/>
      </c>
      <c r="I195" s="200" t="str">
        <f>IFERROR(IF(AC195&lt;&gt;"","",INDEX('M04-S03'!$AF$18:$AF$199,2*(ROWS(I$182:I195)-1)+1)),"")</f>
        <v/>
      </c>
      <c r="J195" s="200" t="str">
        <f>IFERROR(IF(AC195&lt;&gt;"","",INDEX('M04-S03'!$AH$18:$AH$199,2*(ROWS(J$182:J195)-1)+1)),"")</f>
        <v/>
      </c>
      <c r="K195" s="178" t="s">
        <v>84</v>
      </c>
      <c r="L195" s="116" t="str">
        <f>IFERROR(IF(AC195&lt;&gt;"","",ROUND(INDEX('M04-S03'!$O$18:$O$199,2*(ROWS(L$182:L195)-1)+1),3)),"")</f>
        <v/>
      </c>
      <c r="M195" s="116" t="str">
        <f>IFERROR(IF(AC195&lt;&gt;"","",ROUND(INDEX('M04-S03'!$O$18:$O$199,2*(ROWS(M$182:M195)-1)+1),3)),"")</f>
        <v/>
      </c>
      <c r="N195" s="418"/>
      <c r="O195" s="415" t="str">
        <f>IFERROR(IF(AC195&lt;&gt;"","",INDEX('M04-S03'!$AK$18:$AK$199,2*(ROWS(O$182:O195)-1)+1)),"")</f>
        <v/>
      </c>
      <c r="P195" s="408"/>
      <c r="Q195" s="415" t="str">
        <f>IFERROR(IF(AC195&lt;&gt;"","",INDEX('M04-S03'!$BA$18:$BA$199,2*(ROWS(Q$182:Q195)-1)+1)),"")</f>
        <v/>
      </c>
      <c r="R195" s="200" t="str">
        <f>IFERROR(IF(AC195&lt;&gt;"","",INDEX('M04-S03'!$AN$18:$AN$199,2*(ROWS(R$182:R195)-1)+1)),"")</f>
        <v/>
      </c>
      <c r="S195" s="200">
        <f>IFERROR(IF(AC195&lt;&gt;"",INDEX('M04-S03'!$AD$18:$AD$199,2*(ROWS(S$182:S195)-1)+1),""),"")</f>
        <v>0</v>
      </c>
      <c r="T195" s="200">
        <f>IFERROR(IF(AC195&lt;&gt;"",INDEX('M04-S03'!$AF$18:$AF$199,2*(ROWS(T$182:T195)-1)+1),""),"")</f>
        <v>0</v>
      </c>
      <c r="U195" s="200">
        <f>IFERROR(IF(AC195&lt;&gt;"",INDEX('M04-S03'!$AH$18:$AH$199,2*(ROWS(U$182:U195)-1)+1),""),"")</f>
        <v>0</v>
      </c>
      <c r="V195" s="178">
        <f>IFERROR(IF(AC195&lt;&gt;"",INDEX('M04-S03'!$AB$38:$AB$199,2*(ROWS(V$182:V195)-1)+1),""),"")</f>
        <v>0</v>
      </c>
      <c r="W195" s="116">
        <f>IFERROR(IF(AC195&lt;&gt;"",ROUND(INDEX('M04-S03'!$P$38:$P$199,2*(ROWS(W$182:W195)-1)+1),3),""),"")</f>
        <v>0</v>
      </c>
      <c r="X195" s="116">
        <f>IFERROR(IF(AC195&lt;&gt;"",ROUND(INDEX('M04-S03'!$Z$38:$Z$199,2*(ROWS(X$182:X195)-1)+1),3),""),"")</f>
        <v>0</v>
      </c>
      <c r="Y195" s="408"/>
      <c r="Z195" s="173">
        <f>IFERROR(IF(AC195&lt;&gt;"",INDEX('M04-S03'!$AK$18:$AK$199,2*(ROWS(Z$182:Z195)-1)+1),""),"")</f>
        <v>0</v>
      </c>
      <c r="AA195" s="408"/>
      <c r="AB195" s="415">
        <f>IFERROR(IF(AC195&lt;&gt;"",INDEX('M04-S03'!$BA$18:$BA$199,2*(ROWS(AB$182:AB195)-1)+1),""),"")</f>
        <v>0</v>
      </c>
      <c r="AC195" s="178">
        <f>IFERROR(INDEX('M04-S03'!$BJ$18:$BJ$199,2*(ROWS(AC$182:AC195)-1)+1),"")</f>
        <v>0</v>
      </c>
      <c r="AD195" s="415">
        <f>IFERROR(INDEX('M04-S03'!$AW$18:$AW$199,2*(ROWS(AD$182:AD195)-1)+1),"")</f>
        <v>0</v>
      </c>
      <c r="AE195" s="415">
        <f>IFERROR(INDEX('M04-S03'!$AX$18:$AX$199,2*(ROWS(AE$182:AE195)-1)+1),"")</f>
        <v>0</v>
      </c>
      <c r="AF195" s="408"/>
      <c r="AG195" s="408"/>
      <c r="AH195" s="173">
        <f>IFERROR(INDEX('M04-S03'!$Q$18:$Q$199,2*(ROWS(AH$182:AH195)-1)+1),"")</f>
        <v>0</v>
      </c>
      <c r="AI195" s="178">
        <f>IFERROR(INDEX('M04-S03'!$B$18:$B$199,2*(ROWS(AI$182:AI195)-1)+1),"")</f>
        <v>0</v>
      </c>
      <c r="AJ195" s="325"/>
      <c r="AK195" s="178">
        <f>IFERROR(INDEX('M04-S03'!$C$18:$C$199,2*(ROWS(AK$182:AK195)-1)+1),"")</f>
        <v>0</v>
      </c>
      <c r="AL195" s="325"/>
      <c r="AM195" s="178">
        <f>IFERROR(INDEX('M04-S03'!$W$18:$W$199,2*(ROWS(AM$182:AM195)-1)+1),"")</f>
        <v>0</v>
      </c>
      <c r="AN195" s="200">
        <f>IFERROR(INDEX('M04-S03'!$AT$18:$AT$199,2*(ROWS(AN$182:AN195)-1)+1),"")</f>
        <v>0</v>
      </c>
      <c r="AO195" s="200">
        <f>IFERROR(INDEX('M04-S03'!$AU$18:$AU$199,2*(ROWS(AO$182:AO195)-1)+1),"")</f>
        <v>0</v>
      </c>
      <c r="AP195" s="178">
        <f>IFERROR(INDEX('M04-S03'!$AV$18:$AV$199,2*(ROWS(AP$182:AP195)-1)+1),"")</f>
        <v>0</v>
      </c>
      <c r="AQ195" s="178">
        <f>IFERROR(INDEX('M04-S03'!$AY$18:$AY$199,2*(ROWS(AQ$182:AQ195)-1)+1),"")</f>
        <v>0</v>
      </c>
      <c r="AR195" s="178" t="s">
        <v>1374</v>
      </c>
      <c r="AS195" s="178"/>
      <c r="AT195" s="278"/>
      <c r="AU195" s="278"/>
      <c r="AV195" s="278"/>
      <c r="AW195" s="278"/>
      <c r="AX195" s="278"/>
      <c r="AY195" s="278"/>
      <c r="AZ195" s="278"/>
      <c r="BA195" s="278"/>
      <c r="BB195" s="278"/>
      <c r="BC195" s="278"/>
      <c r="BD195" s="278"/>
      <c r="BE195" s="279"/>
      <c r="BL195" s="180"/>
      <c r="BP195" s="180"/>
      <c r="BQ195" s="180"/>
      <c r="BR195" s="180"/>
      <c r="CD195" s="180"/>
      <c r="CE195" s="180"/>
      <c r="CF195" s="180"/>
      <c r="CH195" s="180"/>
      <c r="CI195" s="180"/>
      <c r="CJ195" s="180"/>
      <c r="CK195" s="180"/>
      <c r="CL195" s="180"/>
      <c r="CM195" s="180"/>
      <c r="CN195" s="180"/>
      <c r="CQ195" s="180"/>
      <c r="CR195" s="180"/>
      <c r="CS195" s="180"/>
      <c r="DS195" s="180"/>
      <c r="DT195" s="180"/>
      <c r="DU195" s="180"/>
    </row>
    <row r="196" spans="1:125" s="54" customFormat="1" hidden="1">
      <c r="A196" s="135">
        <f t="shared" si="18"/>
        <v>0</v>
      </c>
      <c r="B196" s="178" t="str">
        <f t="shared" si="19"/>
        <v/>
      </c>
      <c r="C196" s="178" t="str">
        <f>IFERROR(IF(INDEX('M04-S03'!$BH$18:$BH$199,2*(ROWS($C$182:C196)-1)+1)="","",INDEX('M04-S03'!$BH$18:$BH$199,2*(ROWS($C$182:C196)-1)+1)),"")</f>
        <v/>
      </c>
      <c r="D196" s="180" t="s">
        <v>144</v>
      </c>
      <c r="E196" s="178">
        <f>IFERROR(INDEX('M04-S03'!$AZ$18:$AZ$199,2*(ROWS(E$182:E196)-1)+1),"")</f>
        <v>0</v>
      </c>
      <c r="F196" s="173">
        <f>IFERROR(INDEX('M04-S03'!$T$18:$T$199,2*(ROWS(G$182:G196)-1)+1),"")</f>
        <v>0</v>
      </c>
      <c r="G196" s="178">
        <f>IFERROR(INDEX('M04-S03'!$AA$18:$AA$199,2*(ROWS(G$182:G196)-1)+1),"")</f>
        <v>0</v>
      </c>
      <c r="H196" s="200" t="str">
        <f>IFERROR(IF(AC196&lt;&gt;"","",INDEX('M04-S03'!$AD$18:$AD$199,2*(ROWS(H$182:H196)-1)+1)),"")</f>
        <v/>
      </c>
      <c r="I196" s="200" t="str">
        <f>IFERROR(IF(AC196&lt;&gt;"","",INDEX('M04-S03'!$AF$18:$AF$199,2*(ROWS(I$182:I196)-1)+1)),"")</f>
        <v/>
      </c>
      <c r="J196" s="200" t="str">
        <f>IFERROR(IF(AC196&lt;&gt;"","",INDEX('M04-S03'!$AH$18:$AH$199,2*(ROWS(J$182:J196)-1)+1)),"")</f>
        <v/>
      </c>
      <c r="K196" s="178" t="s">
        <v>84</v>
      </c>
      <c r="L196" s="116" t="str">
        <f>IFERROR(IF(AC196&lt;&gt;"","",ROUND(INDEX('M04-S03'!$O$18:$O$199,2*(ROWS(L$182:L196)-1)+1),3)),"")</f>
        <v/>
      </c>
      <c r="M196" s="116" t="str">
        <f>IFERROR(IF(AC196&lt;&gt;"","",ROUND(INDEX('M04-S03'!$O$18:$O$199,2*(ROWS(M$182:M196)-1)+1),3)),"")</f>
        <v/>
      </c>
      <c r="N196" s="418"/>
      <c r="O196" s="415" t="str">
        <f>IFERROR(IF(AC196&lt;&gt;"","",INDEX('M04-S03'!$AK$18:$AK$199,2*(ROWS(O$182:O196)-1)+1)),"")</f>
        <v/>
      </c>
      <c r="P196" s="408"/>
      <c r="Q196" s="415" t="str">
        <f>IFERROR(IF(AC196&lt;&gt;"","",INDEX('M04-S03'!$BA$18:$BA$199,2*(ROWS(Q$182:Q196)-1)+1)),"")</f>
        <v/>
      </c>
      <c r="R196" s="200" t="str">
        <f>IFERROR(IF(AC196&lt;&gt;"","",INDEX('M04-S03'!$AN$18:$AN$199,2*(ROWS(R$182:R196)-1)+1)),"")</f>
        <v/>
      </c>
      <c r="S196" s="200">
        <f>IFERROR(IF(AC196&lt;&gt;"",INDEX('M04-S03'!$AD$18:$AD$199,2*(ROWS(S$182:S196)-1)+1),""),"")</f>
        <v>0</v>
      </c>
      <c r="T196" s="200">
        <f>IFERROR(IF(AC196&lt;&gt;"",INDEX('M04-S03'!$AF$18:$AF$199,2*(ROWS(T$182:T196)-1)+1),""),"")</f>
        <v>0</v>
      </c>
      <c r="U196" s="200">
        <f>IFERROR(IF(AC196&lt;&gt;"",INDEX('M04-S03'!$AH$18:$AH$199,2*(ROWS(U$182:U196)-1)+1),""),"")</f>
        <v>0</v>
      </c>
      <c r="V196" s="178">
        <f>IFERROR(IF(AC196&lt;&gt;"",INDEX('M04-S03'!$AB$38:$AB$199,2*(ROWS(V$182:V196)-1)+1),""),"")</f>
        <v>0</v>
      </c>
      <c r="W196" s="116">
        <f>IFERROR(IF(AC196&lt;&gt;"",ROUND(INDEX('M04-S03'!$P$38:$P$199,2*(ROWS(W$182:W196)-1)+1),3),""),"")</f>
        <v>0</v>
      </c>
      <c r="X196" s="116">
        <f>IFERROR(IF(AC196&lt;&gt;"",ROUND(INDEX('M04-S03'!$Z$38:$Z$199,2*(ROWS(X$182:X196)-1)+1),3),""),"")</f>
        <v>0</v>
      </c>
      <c r="Y196" s="408"/>
      <c r="Z196" s="173">
        <f>IFERROR(IF(AC196&lt;&gt;"",INDEX('M04-S03'!$AK$18:$AK$199,2*(ROWS(Z$182:Z196)-1)+1),""),"")</f>
        <v>0</v>
      </c>
      <c r="AA196" s="408"/>
      <c r="AB196" s="415">
        <f>IFERROR(IF(AC196&lt;&gt;"",INDEX('M04-S03'!$BA$18:$BA$199,2*(ROWS(AB$182:AB196)-1)+1),""),"")</f>
        <v>0</v>
      </c>
      <c r="AC196" s="178">
        <f>IFERROR(INDEX('M04-S03'!$BJ$18:$BJ$199,2*(ROWS(AC$182:AC196)-1)+1),"")</f>
        <v>0</v>
      </c>
      <c r="AD196" s="415">
        <f>IFERROR(INDEX('M04-S03'!$AW$18:$AW$199,2*(ROWS(AD$182:AD196)-1)+1),"")</f>
        <v>0</v>
      </c>
      <c r="AE196" s="415">
        <f>IFERROR(INDEX('M04-S03'!$AX$18:$AX$199,2*(ROWS(AE$182:AE196)-1)+1),"")</f>
        <v>0</v>
      </c>
      <c r="AF196" s="408"/>
      <c r="AG196" s="408"/>
      <c r="AH196" s="173">
        <f>IFERROR(INDEX('M04-S03'!$Q$18:$Q$199,2*(ROWS(AH$182:AH196)-1)+1),"")</f>
        <v>0</v>
      </c>
      <c r="AI196" s="178">
        <f>IFERROR(INDEX('M04-S03'!$B$18:$B$199,2*(ROWS(AI$182:AI196)-1)+1),"")</f>
        <v>0</v>
      </c>
      <c r="AJ196" s="325"/>
      <c r="AK196" s="178">
        <f>IFERROR(INDEX('M04-S03'!$C$18:$C$199,2*(ROWS(AK$182:AK196)-1)+1),"")</f>
        <v>0</v>
      </c>
      <c r="AL196" s="325"/>
      <c r="AM196" s="178">
        <f>IFERROR(INDEX('M04-S03'!$W$18:$W$199,2*(ROWS(AM$182:AM196)-1)+1),"")</f>
        <v>0</v>
      </c>
      <c r="AN196" s="200">
        <f>IFERROR(INDEX('M04-S03'!$AT$18:$AT$199,2*(ROWS(AN$182:AN196)-1)+1),"")</f>
        <v>0</v>
      </c>
      <c r="AO196" s="200">
        <f>IFERROR(INDEX('M04-S03'!$AU$18:$AU$199,2*(ROWS(AO$182:AO196)-1)+1),"")</f>
        <v>0</v>
      </c>
      <c r="AP196" s="178">
        <f>IFERROR(INDEX('M04-S03'!$AV$18:$AV$199,2*(ROWS(AP$182:AP196)-1)+1),"")</f>
        <v>0</v>
      </c>
      <c r="AQ196" s="178">
        <f>IFERROR(INDEX('M04-S03'!$AY$18:$AY$199,2*(ROWS(AQ$182:AQ196)-1)+1),"")</f>
        <v>0</v>
      </c>
      <c r="AR196" s="178" t="s">
        <v>1374</v>
      </c>
      <c r="AS196" s="178"/>
      <c r="AT196" s="278"/>
      <c r="AU196" s="278"/>
      <c r="AV196" s="278"/>
      <c r="AW196" s="278"/>
      <c r="AX196" s="278"/>
      <c r="AY196" s="278"/>
      <c r="AZ196" s="278"/>
      <c r="BA196" s="278"/>
      <c r="BB196" s="278"/>
      <c r="BC196" s="278"/>
      <c r="BD196" s="278"/>
      <c r="BE196" s="279"/>
      <c r="BL196" s="180"/>
      <c r="BP196" s="180"/>
      <c r="BQ196" s="180"/>
      <c r="BR196" s="180"/>
      <c r="CD196" s="180"/>
      <c r="CE196" s="180"/>
      <c r="CF196" s="180"/>
      <c r="CH196" s="180"/>
      <c r="CI196" s="180"/>
      <c r="CJ196" s="180"/>
      <c r="CK196" s="180"/>
      <c r="CL196" s="180"/>
      <c r="CM196" s="180"/>
      <c r="CN196" s="180"/>
      <c r="CQ196" s="180"/>
      <c r="CR196" s="180"/>
      <c r="CS196" s="180"/>
      <c r="DS196" s="180"/>
      <c r="DT196" s="180"/>
      <c r="DU196" s="180"/>
    </row>
    <row r="197" spans="1:125" s="180" customFormat="1">
      <c r="A197" s="430" t="str">
        <f>"Custom "&amp;M4S4</f>
        <v>Custom Refrigeration</v>
      </c>
      <c r="B197" s="63"/>
      <c r="C197" s="63"/>
      <c r="D197" s="63"/>
      <c r="E197" s="63"/>
      <c r="F197" s="409"/>
      <c r="G197" s="63"/>
      <c r="H197" s="404"/>
      <c r="I197" s="404"/>
      <c r="J197" s="404"/>
      <c r="K197" s="63"/>
      <c r="L197" s="412"/>
      <c r="M197" s="412"/>
      <c r="N197" s="416"/>
      <c r="O197" s="416"/>
      <c r="P197" s="416"/>
      <c r="Q197" s="416"/>
      <c r="R197" s="404"/>
      <c r="S197" s="404"/>
      <c r="T197" s="404"/>
      <c r="U197" s="404"/>
      <c r="V197" s="63"/>
      <c r="W197" s="412"/>
      <c r="X197" s="412"/>
      <c r="Y197" s="409"/>
      <c r="Z197" s="409"/>
      <c r="AA197" s="416"/>
      <c r="AB197" s="416"/>
      <c r="AC197" s="63"/>
      <c r="AD197" s="416"/>
      <c r="AE197" s="416"/>
      <c r="AF197" s="409"/>
      <c r="AG197" s="409"/>
      <c r="AH197" s="409"/>
      <c r="AI197" s="63"/>
      <c r="AJ197" s="63"/>
      <c r="AK197" s="177"/>
      <c r="AL197" s="63"/>
      <c r="AM197" s="63"/>
      <c r="AN197" s="404"/>
      <c r="AO197" s="404"/>
      <c r="AP197" s="63"/>
      <c r="AQ197" s="63"/>
      <c r="AR197" s="63"/>
      <c r="AS197" s="63"/>
      <c r="AT197" s="63"/>
      <c r="AU197" s="278"/>
      <c r="AV197" s="278"/>
      <c r="AW197" s="278"/>
      <c r="AX197" s="278"/>
      <c r="AY197" s="278"/>
      <c r="AZ197" s="278"/>
      <c r="BA197" s="278"/>
      <c r="BB197" s="278"/>
      <c r="BC197" s="278"/>
      <c r="BD197" s="278"/>
      <c r="BE197" s="279"/>
      <c r="BP197"/>
      <c r="BQ197"/>
      <c r="BR197"/>
      <c r="CH197"/>
      <c r="CI197"/>
      <c r="CJ197"/>
      <c r="CK197"/>
      <c r="CL197"/>
      <c r="CM197"/>
      <c r="CN197"/>
    </row>
    <row r="198" spans="1:125" s="54" customFormat="1" hidden="1">
      <c r="A198" s="135">
        <f t="shared" ref="A198:A212" si="20">PROJID</f>
        <v>0</v>
      </c>
      <c r="B198" s="178" t="str">
        <f>IF(C198="","",CONCATENATE(ROW(),"-",C198))</f>
        <v/>
      </c>
      <c r="C198" s="178" t="str">
        <f>IFERROR(IF(INDEX('M04-S04'!$BH$18:$BH$199,2*(ROWS($C$198:C198)-1)+1)="","",INDEX('M04-S04'!$BH$18:$BH$199,2*(ROWS($C$198:C198)-1)+1)),"")</f>
        <v/>
      </c>
      <c r="D198" s="180" t="s">
        <v>144</v>
      </c>
      <c r="E198" s="178" t="str">
        <f>IFERROR(INDEX('M04-S04'!$AZ$18:$AZ$199,2*(ROWS(E$198:E198)-1)+1),"")</f>
        <v/>
      </c>
      <c r="F198" s="408"/>
      <c r="G198" s="325"/>
      <c r="H198" s="200" t="str">
        <f ca="1">IFERROR(IF(AC198&lt;&gt;"","",INDEX('M04-S04'!$AD$18:$AD$199,2*(ROWS(H$198:H198)-1)+1)),"")</f>
        <v/>
      </c>
      <c r="I198" s="200" t="str">
        <f ca="1">IFERROR(IF(AC198&lt;&gt;"","",INDEX('M04-S04'!$AF$18:$AF$199,2*(ROWS(I$198:I198)-1)+1)),"")</f>
        <v/>
      </c>
      <c r="J198" s="200" t="str">
        <f ca="1">IFERROR(IF(AC198&lt;&gt;"","",INDEX('M04-S04'!$AH$18:$AH$199,2*(ROWS(J$198:J198)-1)+1)),"")</f>
        <v/>
      </c>
      <c r="K198" s="178" t="str">
        <f ca="1">IFERROR(IF(AC198&lt;&gt;"","",INDEX('M04-S04'!$AB$18:$AB$199,2*(ROWS(J$198:J198)-1)+1)),"")</f>
        <v/>
      </c>
      <c r="L198" s="116" t="str">
        <f ca="1">IFERROR(IF(AC198&lt;&gt;"","",ROUND(INDEX('M04-S04'!$P$18:$P$199,2*(ROWS(L$198:L198)-1)+1),3)),"")</f>
        <v/>
      </c>
      <c r="M198" s="116" t="str">
        <f ca="1">IFERROR(IF(AC198&lt;&gt;"","",ROUND(INDEX('M04-S04'!$X$18:$X$199,2*(ROWS(M$198:M198)-1)+1),3)),"")</f>
        <v/>
      </c>
      <c r="N198" s="418"/>
      <c r="O198" s="415" t="str">
        <f ca="1">IFERROR(IF(AC198&lt;&gt;"","",INDEX('M04-S04'!$AK$18:$AK$199,2*(ROWS(O$198:O198)-1)+1)),"")</f>
        <v/>
      </c>
      <c r="P198" s="408"/>
      <c r="Q198" s="415" t="str">
        <f ca="1">IFERROR(IF(AC198&lt;&gt;"","",INDEX('M04-S04'!$BA$18:$BA$199,2*(ROWS(Q$198:Q198)-1)+1)),"")</f>
        <v/>
      </c>
      <c r="R198" s="200" t="str">
        <f ca="1">IFERROR(IF(AC198&lt;&gt;"","",INDEX('M04-S04'!$AN$18:$AN$199,2*(ROWS(R$198:R198)-1)+1)),"")</f>
        <v/>
      </c>
      <c r="S198" s="200">
        <f ca="1">IFERROR(IF(AC198&lt;&gt;"",INDEX('M04-S04'!$AD$18:$AD$199,2*(ROWS(S$198:S198)-1)+1),""),"")</f>
        <v>0</v>
      </c>
      <c r="T198" s="200" t="str">
        <f ca="1">IFERROR(IF(AC198&lt;&gt;"",INDEX('M04-S04'!$AF$18:$AF$199,2*(ROWS(T$198:T198)-1)+1),""),"")</f>
        <v/>
      </c>
      <c r="U198" s="200" t="str">
        <f ca="1">IFERROR(IF(AC198&lt;&gt;"",INDEX('M04-S04'!$AH$18:$AH$199,2*(ROWS(U$198:U198)-1)+1),""),"")</f>
        <v/>
      </c>
      <c r="V198" s="178" t="str">
        <f ca="1">IFERROR(IF(AC198&lt;&gt;"",INDEX('M04-S04'!$AB$18:$AB$199,2*(ROWS(V$198:V198)-1)+1),""),"")</f>
        <v/>
      </c>
      <c r="W198" s="116">
        <f ca="1">IFERROR(IF(AC198&lt;&gt;"",ROUND(INDEX('M04-S04'!$P$18:$P$199,2*(ROWS(W$198:W198)-1)+1),3),""),"")</f>
        <v>0</v>
      </c>
      <c r="X198" s="116">
        <f ca="1">IFERROR(IF(AC198&lt;&gt;"",ROUND(INDEX('M04-S04'!$Z$18:$Z$199,2*(ROWS(X$198:X198)-1)+1),3),""),"")</f>
        <v>0</v>
      </c>
      <c r="Y198" s="408"/>
      <c r="Z198" s="173" t="str">
        <f ca="1">IFERROR(IF(AC198&lt;&gt;"",INDEX('M04-S04'!$AK$18:$AK$199,2*(ROWS(Z$198:Z198)-1)+1),""),"")</f>
        <v/>
      </c>
      <c r="AA198" s="408"/>
      <c r="AB198" s="415" t="str">
        <f ca="1">IFERROR(IF(AC198&lt;&gt;"",INDEX('M04-S04'!$BA$18:$BA$199,2*(ROWS(AB$198:AB198)-1)+1),""),"")</f>
        <v/>
      </c>
      <c r="AC198" s="178" t="str">
        <f ca="1">IFERROR(INDEX('M04-S04'!$BJ$18:$BJ$199,2*(ROWS(AC$198:AC198)-1)+1),"")</f>
        <v>Submit for Review</v>
      </c>
      <c r="AD198" s="415" t="str">
        <f>IFERROR(INDEX('M04-S04'!$AW$18:$AW$199,2*(ROWS(AD$198:AD198)-1)+1),"")</f>
        <v/>
      </c>
      <c r="AE198" s="415" t="str">
        <f>IFERROR(INDEX('M04-S04'!$AX$18:$AX$199,2*(ROWS(AE$198:AE198)-1)+1),"")</f>
        <v/>
      </c>
      <c r="AF198" s="408"/>
      <c r="AG198" s="408"/>
      <c r="AH198" s="408"/>
      <c r="AI198" s="178">
        <f>IFERROR(INDEX('M04-S04'!$B$18:$B$199,2*(ROWS(AI$198:AI198)-1)+1),"")</f>
        <v>1</v>
      </c>
      <c r="AJ198" s="325"/>
      <c r="AK198" s="178">
        <f>IFERROR(INDEX('M04-S04'!$F$18:$F$199,2*(ROWS(AK$198:AK198)-1)+1),"")</f>
        <v>0</v>
      </c>
      <c r="AL198" s="178">
        <f>IFERROR(INDEX('M04-S04'!$L$18:$L$199,2*(ROWS(AL$198:AL198)-1)+1),"")</f>
        <v>0</v>
      </c>
      <c r="AM198" s="178">
        <f>IFERROR(INDEX('M04-S04'!$T$18:$T$199,2*(ROWS(AM$198:AM198)-1)+1),"")</f>
        <v>0</v>
      </c>
      <c r="AN198" s="200" t="str">
        <f>IFERROR(INDEX('M04-S04'!$AT$18:$AT$199,2*(ROWS(AN$198:AN198)-1)+1),"")</f>
        <v/>
      </c>
      <c r="AO198" s="200" t="str">
        <f>IFERROR(INDEX('M04-S04'!$AU$18:$AU$199,2*(ROWS(AO$198:AO198)-1)+1),"")</f>
        <v/>
      </c>
      <c r="AP198" s="178" t="str">
        <f>IFERROR(INDEX('M04-S04'!$AV$18:$AV$199,2*(ROWS(AP$198:AP198)-1)+1),"")</f>
        <v/>
      </c>
      <c r="AQ198" s="178" t="str">
        <f>IFERROR(INDEX('M04-S04'!$AY$18:$AY$199,2*(ROWS(AQ$198:AQ198)-1)+1),"")</f>
        <v/>
      </c>
      <c r="AR198" s="178" t="s">
        <v>1374</v>
      </c>
      <c r="AS198" s="178"/>
      <c r="AT198" s="278"/>
      <c r="AU198" s="278"/>
      <c r="AV198" s="278"/>
      <c r="AW198" s="278"/>
      <c r="AX198" s="278"/>
      <c r="AY198" s="278"/>
      <c r="AZ198" s="278"/>
      <c r="BA198" s="278"/>
      <c r="BB198" s="278"/>
      <c r="BC198" s="278"/>
      <c r="BD198" s="278"/>
      <c r="BE198" s="279"/>
      <c r="BL198" s="180"/>
      <c r="BP198" s="180"/>
      <c r="BQ198" s="180"/>
      <c r="BR198" s="180"/>
      <c r="CD198" s="180"/>
      <c r="CE198" s="180"/>
      <c r="CF198" s="180"/>
      <c r="CH198" s="180"/>
      <c r="CI198" s="180"/>
      <c r="CJ198" s="180"/>
      <c r="CK198" s="180"/>
      <c r="CL198" s="180"/>
      <c r="CM198" s="180"/>
      <c r="CN198" s="180"/>
      <c r="CQ198" s="180"/>
      <c r="CR198" s="180"/>
      <c r="CS198" s="180"/>
      <c r="DS198" s="180"/>
      <c r="DT198" s="180"/>
      <c r="DU198" s="180"/>
    </row>
    <row r="199" spans="1:125" s="54" customFormat="1" hidden="1">
      <c r="A199" s="135">
        <f t="shared" si="20"/>
        <v>0</v>
      </c>
      <c r="B199" s="178" t="str">
        <f t="shared" ref="B199:B212" si="21">IF(C199="","",CONCATENATE(ROW(),"-",C199))</f>
        <v/>
      </c>
      <c r="C199" s="178" t="str">
        <f>IFERROR(IF(INDEX('M04-S04'!$BH$18:$BH$199,2*(ROWS($C$198:C199)-1)+1)="","",INDEX('M04-S04'!$BH$18:$BH$199,2*(ROWS($C$198:C199)-1)+1)),"")</f>
        <v/>
      </c>
      <c r="D199" s="180" t="s">
        <v>144</v>
      </c>
      <c r="E199" s="178" t="str">
        <f>IFERROR(INDEX('M04-S04'!$AZ$18:$AZ$199,2*(ROWS(E$198:E199)-1)+1),"")</f>
        <v/>
      </c>
      <c r="F199" s="408"/>
      <c r="G199" s="325"/>
      <c r="H199" s="200" t="str">
        <f ca="1">IFERROR(IF(AC199&lt;&gt;"","",INDEX('M04-S04'!$AD$18:$AD$199,2*(ROWS(H$198:H199)-1)+1)),"")</f>
        <v/>
      </c>
      <c r="I199" s="200" t="str">
        <f ca="1">IFERROR(IF(AC199&lt;&gt;"","",INDEX('M04-S04'!$AF$18:$AF$199,2*(ROWS(I$198:I199)-1)+1)),"")</f>
        <v/>
      </c>
      <c r="J199" s="200" t="str">
        <f ca="1">IFERROR(IF(AC199&lt;&gt;"","",INDEX('M04-S04'!$AH$18:$AH$199,2*(ROWS(J$198:J199)-1)+1)),"")</f>
        <v/>
      </c>
      <c r="K199" s="178" t="str">
        <f ca="1">IFERROR(IF(AC199&lt;&gt;"","",INDEX('M04-S04'!$AB$18:$AB$199,2*(ROWS(J$198:J199)-1)+1)),"")</f>
        <v/>
      </c>
      <c r="L199" s="116" t="str">
        <f ca="1">IFERROR(IF(AC199&lt;&gt;"","",ROUND(INDEX('M04-S04'!$P$18:$P$199,2*(ROWS(L$198:L199)-1)+1),3)),"")</f>
        <v/>
      </c>
      <c r="M199" s="116" t="str">
        <f ca="1">IFERROR(IF(AC199&lt;&gt;"","",ROUND(INDEX('M04-S04'!$X$18:$X$199,2*(ROWS(M$198:M199)-1)+1),3)),"")</f>
        <v/>
      </c>
      <c r="N199" s="418"/>
      <c r="O199" s="415" t="str">
        <f ca="1">IFERROR(IF(AC199&lt;&gt;"","",INDEX('M04-S04'!$AK$18:$AK$199,2*(ROWS(O$198:O199)-1)+1)),"")</f>
        <v/>
      </c>
      <c r="P199" s="408"/>
      <c r="Q199" s="415" t="str">
        <f ca="1">IFERROR(IF(AC199&lt;&gt;"","",INDEX('M04-S04'!$BA$18:$BA$199,2*(ROWS(Q$198:Q199)-1)+1)),"")</f>
        <v/>
      </c>
      <c r="R199" s="200" t="str">
        <f ca="1">IFERROR(IF(AC199&lt;&gt;"","",INDEX('M04-S04'!$AN$18:$AN$199,2*(ROWS(R$198:R199)-1)+1)),"")</f>
        <v/>
      </c>
      <c r="S199" s="200">
        <f ca="1">IFERROR(IF(AC199&lt;&gt;"",INDEX('M04-S04'!$AD$18:$AD$199,2*(ROWS(S$198:S199)-1)+1),""),"")</f>
        <v>0</v>
      </c>
      <c r="T199" s="200" t="str">
        <f ca="1">IFERROR(IF(AC199&lt;&gt;"",INDEX('M04-S04'!$AF$18:$AF$199,2*(ROWS(T$198:T199)-1)+1),""),"")</f>
        <v/>
      </c>
      <c r="U199" s="200" t="str">
        <f ca="1">IFERROR(IF(AC199&lt;&gt;"",INDEX('M04-S04'!$AH$18:$AH$199,2*(ROWS(U$198:U199)-1)+1),""),"")</f>
        <v/>
      </c>
      <c r="V199" s="178" t="str">
        <f ca="1">IFERROR(IF(AC199&lt;&gt;"",INDEX('M04-S04'!$AB$18:$AB$199,2*(ROWS(V$198:V199)-1)+1),""),"")</f>
        <v/>
      </c>
      <c r="W199" s="116">
        <f ca="1">IFERROR(IF(AC199&lt;&gt;"",ROUND(INDEX('M04-S04'!$P$18:$P$199,2*(ROWS(W$198:W199)-1)+1),3),""),"")</f>
        <v>0</v>
      </c>
      <c r="X199" s="116">
        <f ca="1">IFERROR(IF(AC199&lt;&gt;"",ROUND(INDEX('M04-S04'!$Z$18:$Z$199,2*(ROWS(X$198:X199)-1)+1),3),""),"")</f>
        <v>0</v>
      </c>
      <c r="Y199" s="408"/>
      <c r="Z199" s="173" t="str">
        <f ca="1">IFERROR(IF(AC199&lt;&gt;"",INDEX('M04-S04'!$AK$18:$AK$199,2*(ROWS(Z$198:Z199)-1)+1),""),"")</f>
        <v/>
      </c>
      <c r="AA199" s="408"/>
      <c r="AB199" s="415" t="str">
        <f ca="1">IFERROR(IF(AC199&lt;&gt;"",INDEX('M04-S04'!$BA$18:$BA$199,2*(ROWS(AB$198:AB199)-1)+1),""),"")</f>
        <v/>
      </c>
      <c r="AC199" s="178" t="str">
        <f ca="1">IFERROR(INDEX('M04-S04'!$BJ$18:$BJ$199,2*(ROWS(AC$198:AC199)-1)+1),"")</f>
        <v>Submit for Review</v>
      </c>
      <c r="AD199" s="415" t="str">
        <f>IFERROR(INDEX('M04-S04'!$AW$18:$AW$199,2*(ROWS(AD$198:AD199)-1)+1),"")</f>
        <v/>
      </c>
      <c r="AE199" s="415" t="str">
        <f>IFERROR(INDEX('M04-S04'!$AX$18:$AX$199,2*(ROWS(AE$198:AE199)-1)+1),"")</f>
        <v/>
      </c>
      <c r="AF199" s="408"/>
      <c r="AG199" s="408"/>
      <c r="AH199" s="408"/>
      <c r="AI199" s="178">
        <f>IFERROR(INDEX('M04-S04'!$B$18:$B$199,2*(ROWS(AI$198:AI199)-1)+1),"")</f>
        <v>2</v>
      </c>
      <c r="AJ199" s="325"/>
      <c r="AK199" s="178">
        <f>IFERROR(INDEX('M04-S04'!$F$18:$F$199,2*(ROWS(AK$198:AK199)-1)+1),"")</f>
        <v>0</v>
      </c>
      <c r="AL199" s="178">
        <f>IFERROR(INDEX('M04-S04'!$L$18:$L$199,2*(ROWS(AL$198:AL199)-1)+1),"")</f>
        <v>0</v>
      </c>
      <c r="AM199" s="178">
        <f>IFERROR(INDEX('M04-S04'!$T$18:$T$199,2*(ROWS(AM$198:AM199)-1)+1),"")</f>
        <v>0</v>
      </c>
      <c r="AN199" s="200" t="str">
        <f>IFERROR(INDEX('M04-S04'!$AT$18:$AT$199,2*(ROWS(AN$198:AN199)-1)+1),"")</f>
        <v/>
      </c>
      <c r="AO199" s="200" t="str">
        <f>IFERROR(INDEX('M04-S04'!$AU$18:$AU$199,2*(ROWS(AO$198:AO199)-1)+1),"")</f>
        <v/>
      </c>
      <c r="AP199" s="178" t="str">
        <f>IFERROR(INDEX('M04-S04'!$AV$18:$AV$199,2*(ROWS(AP$198:AP199)-1)+1),"")</f>
        <v/>
      </c>
      <c r="AQ199" s="178" t="str">
        <f>IFERROR(INDEX('M04-S04'!$AY$18:$AY$199,2*(ROWS(AQ$198:AQ199)-1)+1),"")</f>
        <v/>
      </c>
      <c r="AR199" s="178" t="s">
        <v>1374</v>
      </c>
      <c r="AS199" s="178"/>
      <c r="AT199" s="278"/>
      <c r="AU199" s="278"/>
      <c r="AV199" s="278"/>
      <c r="AW199" s="278"/>
      <c r="AX199" s="278"/>
      <c r="AY199" s="278"/>
      <c r="AZ199" s="278"/>
      <c r="BA199" s="278"/>
      <c r="BB199" s="278"/>
      <c r="BC199" s="278"/>
      <c r="BD199" s="278"/>
      <c r="BE199" s="279"/>
      <c r="BL199" s="180"/>
      <c r="BP199" s="180"/>
      <c r="BQ199" s="180"/>
      <c r="BR199" s="180"/>
      <c r="CD199" s="180"/>
      <c r="CE199" s="180"/>
      <c r="CF199" s="180"/>
      <c r="CH199" s="180"/>
      <c r="CI199" s="180"/>
      <c r="CJ199" s="180"/>
      <c r="CK199" s="180"/>
      <c r="CL199" s="180"/>
      <c r="CM199" s="180"/>
      <c r="CN199" s="180"/>
      <c r="CQ199" s="180"/>
      <c r="CR199" s="180"/>
      <c r="CS199" s="180"/>
      <c r="DS199" s="180"/>
      <c r="DT199" s="180"/>
      <c r="DU199" s="180"/>
    </row>
    <row r="200" spans="1:125" s="54" customFormat="1" hidden="1">
      <c r="A200" s="135">
        <f t="shared" si="20"/>
        <v>0</v>
      </c>
      <c r="B200" s="178" t="str">
        <f t="shared" si="21"/>
        <v/>
      </c>
      <c r="C200" s="178" t="str">
        <f>IFERROR(IF(INDEX('M04-S04'!$BH$18:$BH$199,2*(ROWS($C$198:C200)-1)+1)="","",INDEX('M04-S04'!$BH$18:$BH$199,2*(ROWS($C$198:C200)-1)+1)),"")</f>
        <v/>
      </c>
      <c r="D200" s="180" t="s">
        <v>144</v>
      </c>
      <c r="E200" s="178" t="str">
        <f>IFERROR(INDEX('M04-S04'!$AZ$18:$AZ$199,2*(ROWS(E$198:E200)-1)+1),"")</f>
        <v/>
      </c>
      <c r="F200" s="408"/>
      <c r="G200" s="325"/>
      <c r="H200" s="200" t="str">
        <f ca="1">IFERROR(IF(AC200&lt;&gt;"","",INDEX('M04-S04'!$AD$18:$AD$199,2*(ROWS(H$198:H200)-1)+1)),"")</f>
        <v/>
      </c>
      <c r="I200" s="200" t="str">
        <f ca="1">IFERROR(IF(AC200&lt;&gt;"","",INDEX('M04-S04'!$AF$18:$AF$199,2*(ROWS(I$198:I200)-1)+1)),"")</f>
        <v/>
      </c>
      <c r="J200" s="200" t="str">
        <f ca="1">IFERROR(IF(AC200&lt;&gt;"","",INDEX('M04-S04'!$AH$18:$AH$199,2*(ROWS(J$198:J200)-1)+1)),"")</f>
        <v/>
      </c>
      <c r="K200" s="178" t="str">
        <f ca="1">IFERROR(IF(AC200&lt;&gt;"","",INDEX('M04-S04'!$AB$18:$AB$199,2*(ROWS(J$198:J200)-1)+1)),"")</f>
        <v/>
      </c>
      <c r="L200" s="116" t="str">
        <f ca="1">IFERROR(IF(AC200&lt;&gt;"","",ROUND(INDEX('M04-S04'!$P$18:$P$199,2*(ROWS(L$198:L200)-1)+1),3)),"")</f>
        <v/>
      </c>
      <c r="M200" s="116" t="str">
        <f ca="1">IFERROR(IF(AC200&lt;&gt;"","",ROUND(INDEX('M04-S04'!$X$18:$X$199,2*(ROWS(M$198:M200)-1)+1),3)),"")</f>
        <v/>
      </c>
      <c r="N200" s="418"/>
      <c r="O200" s="415" t="str">
        <f ca="1">IFERROR(IF(AC200&lt;&gt;"","",INDEX('M04-S04'!$AK$18:$AK$199,2*(ROWS(O$198:O200)-1)+1)),"")</f>
        <v/>
      </c>
      <c r="P200" s="408"/>
      <c r="Q200" s="415" t="str">
        <f ca="1">IFERROR(IF(AC200&lt;&gt;"","",INDEX('M04-S04'!$BA$18:$BA$199,2*(ROWS(Q$198:Q200)-1)+1)),"")</f>
        <v/>
      </c>
      <c r="R200" s="200" t="str">
        <f ca="1">IFERROR(IF(AC200&lt;&gt;"","",INDEX('M04-S04'!$AN$18:$AN$199,2*(ROWS(R$198:R200)-1)+1)),"")</f>
        <v/>
      </c>
      <c r="S200" s="200">
        <f ca="1">IFERROR(IF(AC200&lt;&gt;"",INDEX('M04-S04'!$AD$18:$AD$199,2*(ROWS(S$198:S200)-1)+1),""),"")</f>
        <v>0</v>
      </c>
      <c r="T200" s="200" t="str">
        <f ca="1">IFERROR(IF(AC200&lt;&gt;"",INDEX('M04-S04'!$AF$18:$AF$199,2*(ROWS(T$198:T200)-1)+1),""),"")</f>
        <v/>
      </c>
      <c r="U200" s="200" t="str">
        <f ca="1">IFERROR(IF(AC200&lt;&gt;"",INDEX('M04-S04'!$AH$18:$AH$199,2*(ROWS(U$198:U200)-1)+1),""),"")</f>
        <v/>
      </c>
      <c r="V200" s="178" t="str">
        <f ca="1">IFERROR(IF(AC200&lt;&gt;"",INDEX('M04-S04'!$AB$18:$AB$199,2*(ROWS(V$198:V200)-1)+1),""),"")</f>
        <v/>
      </c>
      <c r="W200" s="116">
        <f ca="1">IFERROR(IF(AC200&lt;&gt;"",ROUND(INDEX('M04-S04'!$P$18:$P$199,2*(ROWS(W$198:W200)-1)+1),3),""),"")</f>
        <v>0</v>
      </c>
      <c r="X200" s="116">
        <f ca="1">IFERROR(IF(AC200&lt;&gt;"",ROUND(INDEX('M04-S04'!$Z$18:$Z$199,2*(ROWS(X$198:X200)-1)+1),3),""),"")</f>
        <v>0</v>
      </c>
      <c r="Y200" s="408"/>
      <c r="Z200" s="173" t="str">
        <f ca="1">IFERROR(IF(AC200&lt;&gt;"",INDEX('M04-S04'!$AK$18:$AK$199,2*(ROWS(Z$198:Z200)-1)+1),""),"")</f>
        <v/>
      </c>
      <c r="AA200" s="408"/>
      <c r="AB200" s="415" t="str">
        <f ca="1">IFERROR(IF(AC200&lt;&gt;"",INDEX('M04-S04'!$BA$18:$BA$199,2*(ROWS(AB$198:AB200)-1)+1),""),"")</f>
        <v/>
      </c>
      <c r="AC200" s="178" t="str">
        <f ca="1">IFERROR(INDEX('M04-S04'!$BJ$18:$BJ$199,2*(ROWS(AC$198:AC200)-1)+1),"")</f>
        <v>Submit for Review</v>
      </c>
      <c r="AD200" s="415" t="str">
        <f>IFERROR(INDEX('M04-S04'!$AW$18:$AW$199,2*(ROWS(AD$198:AD200)-1)+1),"")</f>
        <v/>
      </c>
      <c r="AE200" s="415" t="str">
        <f>IFERROR(INDEX('M04-S04'!$AX$18:$AX$199,2*(ROWS(AE$198:AE200)-1)+1),"")</f>
        <v/>
      </c>
      <c r="AF200" s="408"/>
      <c r="AG200" s="408"/>
      <c r="AH200" s="408"/>
      <c r="AI200" s="178">
        <f>IFERROR(INDEX('M04-S04'!$B$18:$B$199,2*(ROWS(AI$198:AI200)-1)+1),"")</f>
        <v>3</v>
      </c>
      <c r="AJ200" s="325"/>
      <c r="AK200" s="178">
        <f>IFERROR(INDEX('M04-S04'!$F$18:$F$199,2*(ROWS(AK$198:AK200)-1)+1),"")</f>
        <v>0</v>
      </c>
      <c r="AL200" s="178">
        <f>IFERROR(INDEX('M04-S04'!$L$18:$L$199,2*(ROWS(AL$198:AL200)-1)+1),"")</f>
        <v>0</v>
      </c>
      <c r="AM200" s="178">
        <f>IFERROR(INDEX('M04-S04'!$T$18:$T$199,2*(ROWS(AM$198:AM200)-1)+1),"")</f>
        <v>0</v>
      </c>
      <c r="AN200" s="200" t="str">
        <f>IFERROR(INDEX('M04-S04'!$AT$18:$AT$199,2*(ROWS(AN$198:AN200)-1)+1),"")</f>
        <v/>
      </c>
      <c r="AO200" s="200" t="str">
        <f>IFERROR(INDEX('M04-S04'!$AU$18:$AU$199,2*(ROWS(AO$198:AO200)-1)+1),"")</f>
        <v/>
      </c>
      <c r="AP200" s="178" t="str">
        <f>IFERROR(INDEX('M04-S04'!$AV$18:$AV$199,2*(ROWS(AP$198:AP200)-1)+1),"")</f>
        <v/>
      </c>
      <c r="AQ200" s="178" t="str">
        <f>IFERROR(INDEX('M04-S04'!$AY$18:$AY$199,2*(ROWS(AQ$198:AQ200)-1)+1),"")</f>
        <v/>
      </c>
      <c r="AR200" s="178" t="s">
        <v>1374</v>
      </c>
      <c r="AS200" s="178"/>
      <c r="AT200" s="278"/>
      <c r="AU200" s="278"/>
      <c r="AV200" s="278"/>
      <c r="AW200" s="278"/>
      <c r="AX200" s="278"/>
      <c r="AY200" s="278"/>
      <c r="AZ200" s="278"/>
      <c r="BA200" s="278"/>
      <c r="BB200" s="278"/>
      <c r="BC200" s="278"/>
      <c r="BD200" s="278"/>
      <c r="BE200" s="279"/>
      <c r="BL200" s="180"/>
      <c r="BP200" s="180"/>
      <c r="BQ200" s="180"/>
      <c r="BR200" s="180"/>
      <c r="CD200" s="180"/>
      <c r="CE200" s="180"/>
      <c r="CF200" s="180"/>
      <c r="CH200" s="180"/>
      <c r="CI200" s="180"/>
      <c r="CJ200" s="180"/>
      <c r="CK200" s="180"/>
      <c r="CL200" s="180"/>
      <c r="CM200" s="180"/>
      <c r="CN200" s="180"/>
      <c r="CQ200" s="180"/>
      <c r="CR200" s="180"/>
      <c r="CS200" s="180"/>
      <c r="DS200" s="180"/>
      <c r="DT200" s="180"/>
      <c r="DU200" s="180"/>
    </row>
    <row r="201" spans="1:125" s="54" customFormat="1" hidden="1">
      <c r="A201" s="135">
        <f t="shared" si="20"/>
        <v>0</v>
      </c>
      <c r="B201" s="178" t="str">
        <f t="shared" si="21"/>
        <v/>
      </c>
      <c r="C201" s="178" t="str">
        <f>IFERROR(IF(INDEX('M04-S04'!$BH$18:$BH$199,2*(ROWS($C$198:C201)-1)+1)="","",INDEX('M04-S04'!$BH$18:$BH$199,2*(ROWS($C$198:C201)-1)+1)),"")</f>
        <v/>
      </c>
      <c r="D201" s="180" t="s">
        <v>144</v>
      </c>
      <c r="E201" s="178" t="str">
        <f>IFERROR(INDEX('M04-S04'!$AZ$18:$AZ$199,2*(ROWS(E$198:E201)-1)+1),"")</f>
        <v/>
      </c>
      <c r="F201" s="408"/>
      <c r="G201" s="325"/>
      <c r="H201" s="200" t="str">
        <f ca="1">IFERROR(IF(AC201&lt;&gt;"","",INDEX('M04-S04'!$AD$18:$AD$199,2*(ROWS(H$198:H201)-1)+1)),"")</f>
        <v/>
      </c>
      <c r="I201" s="200" t="str">
        <f ca="1">IFERROR(IF(AC201&lt;&gt;"","",INDEX('M04-S04'!$AF$18:$AF$199,2*(ROWS(I$198:I201)-1)+1)),"")</f>
        <v/>
      </c>
      <c r="J201" s="200" t="str">
        <f ca="1">IFERROR(IF(AC201&lt;&gt;"","",INDEX('M04-S04'!$AH$18:$AH$199,2*(ROWS(J$198:J201)-1)+1)),"")</f>
        <v/>
      </c>
      <c r="K201" s="178" t="str">
        <f ca="1">IFERROR(IF(AC201&lt;&gt;"","",INDEX('M04-S04'!$AB$18:$AB$199,2*(ROWS(J$198:J201)-1)+1)),"")</f>
        <v/>
      </c>
      <c r="L201" s="116" t="str">
        <f ca="1">IFERROR(IF(AC201&lt;&gt;"","",ROUND(INDEX('M04-S04'!$P$18:$P$199,2*(ROWS(L$198:L201)-1)+1),3)),"")</f>
        <v/>
      </c>
      <c r="M201" s="116" t="str">
        <f ca="1">IFERROR(IF(AC201&lt;&gt;"","",ROUND(INDEX('M04-S04'!$X$18:$X$199,2*(ROWS(M$198:M201)-1)+1),3)),"")</f>
        <v/>
      </c>
      <c r="N201" s="418"/>
      <c r="O201" s="415" t="str">
        <f ca="1">IFERROR(IF(AC201&lt;&gt;"","",INDEX('M04-S04'!$AK$18:$AK$199,2*(ROWS(O$198:O201)-1)+1)),"")</f>
        <v/>
      </c>
      <c r="P201" s="408"/>
      <c r="Q201" s="415" t="str">
        <f ca="1">IFERROR(IF(AC201&lt;&gt;"","",INDEX('M04-S04'!$BA$18:$BA$199,2*(ROWS(Q$198:Q201)-1)+1)),"")</f>
        <v/>
      </c>
      <c r="R201" s="200" t="str">
        <f ca="1">IFERROR(IF(AC201&lt;&gt;"","",INDEX('M04-S04'!$AN$18:$AN$199,2*(ROWS(R$198:R201)-1)+1)),"")</f>
        <v/>
      </c>
      <c r="S201" s="200">
        <f ca="1">IFERROR(IF(AC201&lt;&gt;"",INDEX('M04-S04'!$AD$18:$AD$199,2*(ROWS(S$198:S201)-1)+1),""),"")</f>
        <v>0</v>
      </c>
      <c r="T201" s="200" t="str">
        <f ca="1">IFERROR(IF(AC201&lt;&gt;"",INDEX('M04-S04'!$AF$18:$AF$199,2*(ROWS(T$198:T201)-1)+1),""),"")</f>
        <v/>
      </c>
      <c r="U201" s="200" t="str">
        <f ca="1">IFERROR(IF(AC201&lt;&gt;"",INDEX('M04-S04'!$AH$18:$AH$199,2*(ROWS(U$198:U201)-1)+1),""),"")</f>
        <v/>
      </c>
      <c r="V201" s="178" t="str">
        <f ca="1">IFERROR(IF(AC201&lt;&gt;"",INDEX('M04-S04'!$AB$18:$AB$199,2*(ROWS(V$198:V201)-1)+1),""),"")</f>
        <v/>
      </c>
      <c r="W201" s="116">
        <f ca="1">IFERROR(IF(AC201&lt;&gt;"",ROUND(INDEX('M04-S04'!$P$18:$P$199,2*(ROWS(W$198:W201)-1)+1),3),""),"")</f>
        <v>0</v>
      </c>
      <c r="X201" s="116">
        <f ca="1">IFERROR(IF(AC201&lt;&gt;"",ROUND(INDEX('M04-S04'!$Z$18:$Z$199,2*(ROWS(X$198:X201)-1)+1),3),""),"")</f>
        <v>0</v>
      </c>
      <c r="Y201" s="408"/>
      <c r="Z201" s="173" t="str">
        <f ca="1">IFERROR(IF(AC201&lt;&gt;"",INDEX('M04-S04'!$AK$18:$AK$199,2*(ROWS(Z$198:Z201)-1)+1),""),"")</f>
        <v/>
      </c>
      <c r="AA201" s="408"/>
      <c r="AB201" s="415" t="str">
        <f ca="1">IFERROR(IF(AC201&lt;&gt;"",INDEX('M04-S04'!$BA$18:$BA$199,2*(ROWS(AB$198:AB201)-1)+1),""),"")</f>
        <v/>
      </c>
      <c r="AC201" s="178" t="str">
        <f ca="1">IFERROR(INDEX('M04-S04'!$BJ$18:$BJ$199,2*(ROWS(AC$198:AC201)-1)+1),"")</f>
        <v>Submit for Review</v>
      </c>
      <c r="AD201" s="415" t="str">
        <f>IFERROR(INDEX('M04-S04'!$AW$18:$AW$199,2*(ROWS(AD$198:AD201)-1)+1),"")</f>
        <v/>
      </c>
      <c r="AE201" s="415" t="str">
        <f>IFERROR(INDEX('M04-S04'!$AX$18:$AX$199,2*(ROWS(AE$198:AE201)-1)+1),"")</f>
        <v/>
      </c>
      <c r="AF201" s="408"/>
      <c r="AG201" s="408"/>
      <c r="AH201" s="408"/>
      <c r="AI201" s="178">
        <f>IFERROR(INDEX('M04-S04'!$B$18:$B$199,2*(ROWS(AI$198:AI201)-1)+1),"")</f>
        <v>4</v>
      </c>
      <c r="AJ201" s="325"/>
      <c r="AK201" s="178">
        <f>IFERROR(INDEX('M04-S04'!$F$18:$F$199,2*(ROWS(AK$198:AK201)-1)+1),"")</f>
        <v>0</v>
      </c>
      <c r="AL201" s="178">
        <f>IFERROR(INDEX('M04-S04'!$L$18:$L$199,2*(ROWS(AL$198:AL201)-1)+1),"")</f>
        <v>0</v>
      </c>
      <c r="AM201" s="178">
        <f>IFERROR(INDEX('M04-S04'!$T$18:$T$199,2*(ROWS(AM$198:AM201)-1)+1),"")</f>
        <v>0</v>
      </c>
      <c r="AN201" s="200" t="str">
        <f>IFERROR(INDEX('M04-S04'!$AT$18:$AT$199,2*(ROWS(AN$198:AN201)-1)+1),"")</f>
        <v/>
      </c>
      <c r="AO201" s="200" t="str">
        <f>IFERROR(INDEX('M04-S04'!$AU$18:$AU$199,2*(ROWS(AO$198:AO201)-1)+1),"")</f>
        <v/>
      </c>
      <c r="AP201" s="178" t="str">
        <f>IFERROR(INDEX('M04-S04'!$AV$18:$AV$199,2*(ROWS(AP$198:AP201)-1)+1),"")</f>
        <v/>
      </c>
      <c r="AQ201" s="178" t="str">
        <f>IFERROR(INDEX('M04-S04'!$AY$18:$AY$199,2*(ROWS(AQ$198:AQ201)-1)+1),"")</f>
        <v/>
      </c>
      <c r="AR201" s="178" t="s">
        <v>1374</v>
      </c>
      <c r="AS201" s="178"/>
      <c r="AT201" s="278"/>
      <c r="AU201" s="278"/>
      <c r="AV201" s="278"/>
      <c r="AW201" s="278"/>
      <c r="AX201" s="278"/>
      <c r="AY201" s="278"/>
      <c r="AZ201" s="278"/>
      <c r="BA201" s="278"/>
      <c r="BB201" s="278"/>
      <c r="BC201" s="278"/>
      <c r="BD201" s="278"/>
      <c r="BE201" s="279"/>
      <c r="BL201" s="180"/>
      <c r="BP201" s="180"/>
      <c r="BQ201" s="180"/>
      <c r="BR201" s="180"/>
      <c r="CD201" s="180"/>
      <c r="CE201" s="180"/>
      <c r="CF201" s="180"/>
      <c r="CH201" s="180"/>
      <c r="CI201" s="180"/>
      <c r="CJ201" s="180"/>
      <c r="CK201" s="180"/>
      <c r="CL201" s="180"/>
      <c r="CM201" s="180"/>
      <c r="CN201" s="180"/>
      <c r="CQ201" s="180"/>
      <c r="CR201" s="180"/>
      <c r="CS201" s="180"/>
      <c r="DS201" s="180"/>
      <c r="DT201" s="180"/>
      <c r="DU201" s="180"/>
    </row>
    <row r="202" spans="1:125" s="54" customFormat="1" hidden="1">
      <c r="A202" s="135">
        <f t="shared" si="20"/>
        <v>0</v>
      </c>
      <c r="B202" s="178" t="str">
        <f t="shared" si="21"/>
        <v/>
      </c>
      <c r="C202" s="178" t="str">
        <f>IFERROR(IF(INDEX('M04-S04'!$BH$18:$BH$199,2*(ROWS($C$198:C202)-1)+1)="","",INDEX('M04-S04'!$BH$18:$BH$199,2*(ROWS($C$198:C202)-1)+1)),"")</f>
        <v/>
      </c>
      <c r="D202" s="180" t="s">
        <v>144</v>
      </c>
      <c r="E202" s="178" t="str">
        <f>IFERROR(INDEX('M04-S04'!$AZ$18:$AZ$199,2*(ROWS(E$198:E202)-1)+1),"")</f>
        <v/>
      </c>
      <c r="F202" s="408"/>
      <c r="G202" s="325"/>
      <c r="H202" s="200" t="str">
        <f ca="1">IFERROR(IF(AC202&lt;&gt;"","",INDEX('M04-S04'!$AD$18:$AD$199,2*(ROWS(H$198:H202)-1)+1)),"")</f>
        <v/>
      </c>
      <c r="I202" s="200" t="str">
        <f ca="1">IFERROR(IF(AC202&lt;&gt;"","",INDEX('M04-S04'!$AF$18:$AF$199,2*(ROWS(I$198:I202)-1)+1)),"")</f>
        <v/>
      </c>
      <c r="J202" s="200" t="str">
        <f ca="1">IFERROR(IF(AC202&lt;&gt;"","",INDEX('M04-S04'!$AH$18:$AH$199,2*(ROWS(J$198:J202)-1)+1)),"")</f>
        <v/>
      </c>
      <c r="K202" s="178" t="str">
        <f ca="1">IFERROR(IF(AC202&lt;&gt;"","",INDEX('M04-S04'!$AB$18:$AB$199,2*(ROWS(J$198:J202)-1)+1)),"")</f>
        <v/>
      </c>
      <c r="L202" s="116" t="str">
        <f ca="1">IFERROR(IF(AC202&lt;&gt;"","",ROUND(INDEX('M04-S04'!$P$18:$P$199,2*(ROWS(L$198:L202)-1)+1),3)),"")</f>
        <v/>
      </c>
      <c r="M202" s="116" t="str">
        <f ca="1">IFERROR(IF(AC202&lt;&gt;"","",ROUND(INDEX('M04-S04'!$X$18:$X$199,2*(ROWS(M$198:M202)-1)+1),3)),"")</f>
        <v/>
      </c>
      <c r="N202" s="418"/>
      <c r="O202" s="415" t="str">
        <f ca="1">IFERROR(IF(AC202&lt;&gt;"","",INDEX('M04-S04'!$AK$18:$AK$199,2*(ROWS(O$198:O202)-1)+1)),"")</f>
        <v/>
      </c>
      <c r="P202" s="408"/>
      <c r="Q202" s="415" t="str">
        <f ca="1">IFERROR(IF(AC202&lt;&gt;"","",INDEX('M04-S04'!$BA$18:$BA$199,2*(ROWS(Q$198:Q202)-1)+1)),"")</f>
        <v/>
      </c>
      <c r="R202" s="200" t="str">
        <f ca="1">IFERROR(IF(AC202&lt;&gt;"","",INDEX('M04-S04'!$AN$18:$AN$199,2*(ROWS(R$198:R202)-1)+1)),"")</f>
        <v/>
      </c>
      <c r="S202" s="200">
        <f ca="1">IFERROR(IF(AC202&lt;&gt;"",INDEX('M04-S04'!$AD$18:$AD$199,2*(ROWS(S$198:S202)-1)+1),""),"")</f>
        <v>0</v>
      </c>
      <c r="T202" s="200" t="str">
        <f ca="1">IFERROR(IF(AC202&lt;&gt;"",INDEX('M04-S04'!$AF$18:$AF$199,2*(ROWS(T$198:T202)-1)+1),""),"")</f>
        <v/>
      </c>
      <c r="U202" s="200" t="str">
        <f ca="1">IFERROR(IF(AC202&lt;&gt;"",INDEX('M04-S04'!$AH$18:$AH$199,2*(ROWS(U$198:U202)-1)+1),""),"")</f>
        <v/>
      </c>
      <c r="V202" s="178" t="str">
        <f ca="1">IFERROR(IF(AC202&lt;&gt;"",INDEX('M04-S04'!$AB$18:$AB$199,2*(ROWS(V$198:V202)-1)+1),""),"")</f>
        <v/>
      </c>
      <c r="W202" s="116">
        <f ca="1">IFERROR(IF(AC202&lt;&gt;"",ROUND(INDEX('M04-S04'!$P$18:$P$199,2*(ROWS(W$198:W202)-1)+1),3),""),"")</f>
        <v>0</v>
      </c>
      <c r="X202" s="116">
        <f ca="1">IFERROR(IF(AC202&lt;&gt;"",ROUND(INDEX('M04-S04'!$Z$18:$Z$199,2*(ROWS(X$198:X202)-1)+1),3),""),"")</f>
        <v>0</v>
      </c>
      <c r="Y202" s="408"/>
      <c r="Z202" s="173" t="str">
        <f ca="1">IFERROR(IF(AC202&lt;&gt;"",INDEX('M04-S04'!$AK$18:$AK$199,2*(ROWS(Z$198:Z202)-1)+1),""),"")</f>
        <v/>
      </c>
      <c r="AA202" s="408"/>
      <c r="AB202" s="415" t="str">
        <f ca="1">IFERROR(IF(AC202&lt;&gt;"",INDEX('M04-S04'!$BA$18:$BA$199,2*(ROWS(AB$198:AB202)-1)+1),""),"")</f>
        <v/>
      </c>
      <c r="AC202" s="178" t="str">
        <f ca="1">IFERROR(INDEX('M04-S04'!$BJ$18:$BJ$199,2*(ROWS(AC$198:AC202)-1)+1),"")</f>
        <v>Submit for Review</v>
      </c>
      <c r="AD202" s="415" t="str">
        <f>IFERROR(INDEX('M04-S04'!$AW$18:$AW$199,2*(ROWS(AD$198:AD202)-1)+1),"")</f>
        <v/>
      </c>
      <c r="AE202" s="415" t="str">
        <f>IFERROR(INDEX('M04-S04'!$AX$18:$AX$199,2*(ROWS(AE$198:AE202)-1)+1),"")</f>
        <v/>
      </c>
      <c r="AF202" s="408"/>
      <c r="AG202" s="408"/>
      <c r="AH202" s="408"/>
      <c r="AI202" s="178">
        <f>IFERROR(INDEX('M04-S04'!$B$18:$B$199,2*(ROWS(AI$198:AI202)-1)+1),"")</f>
        <v>5</v>
      </c>
      <c r="AJ202" s="325"/>
      <c r="AK202" s="178">
        <f>IFERROR(INDEX('M04-S04'!$F$18:$F$199,2*(ROWS(AK$198:AK202)-1)+1),"")</f>
        <v>0</v>
      </c>
      <c r="AL202" s="178">
        <f>IFERROR(INDEX('M04-S04'!$L$18:$L$199,2*(ROWS(AL$198:AL202)-1)+1),"")</f>
        <v>0</v>
      </c>
      <c r="AM202" s="178">
        <f>IFERROR(INDEX('M04-S04'!$T$18:$T$199,2*(ROWS(AM$198:AM202)-1)+1),"")</f>
        <v>0</v>
      </c>
      <c r="AN202" s="200" t="str">
        <f>IFERROR(INDEX('M04-S04'!$AT$18:$AT$199,2*(ROWS(AN$198:AN202)-1)+1),"")</f>
        <v/>
      </c>
      <c r="AO202" s="200" t="str">
        <f>IFERROR(INDEX('M04-S04'!$AU$18:$AU$199,2*(ROWS(AO$198:AO202)-1)+1),"")</f>
        <v/>
      </c>
      <c r="AP202" s="178" t="str">
        <f>IFERROR(INDEX('M04-S04'!$AV$18:$AV$199,2*(ROWS(AP$198:AP202)-1)+1),"")</f>
        <v/>
      </c>
      <c r="AQ202" s="178" t="str">
        <f>IFERROR(INDEX('M04-S04'!$AY$18:$AY$199,2*(ROWS(AQ$198:AQ202)-1)+1),"")</f>
        <v/>
      </c>
      <c r="AR202" s="178" t="s">
        <v>1374</v>
      </c>
      <c r="AS202" s="178"/>
      <c r="AT202" s="278"/>
      <c r="AU202" s="278"/>
      <c r="AV202" s="278"/>
      <c r="AW202" s="278"/>
      <c r="AX202" s="278"/>
      <c r="AY202" s="278"/>
      <c r="AZ202" s="278"/>
      <c r="BA202" s="278"/>
      <c r="BB202" s="278"/>
      <c r="BC202" s="278"/>
      <c r="BD202" s="278"/>
      <c r="BE202" s="279"/>
      <c r="BL202" s="180"/>
      <c r="BP202" s="180"/>
      <c r="BQ202" s="180"/>
      <c r="BR202" s="180"/>
      <c r="CD202" s="180"/>
      <c r="CE202" s="180"/>
      <c r="CF202" s="180"/>
      <c r="CH202" s="180"/>
      <c r="CI202" s="180"/>
      <c r="CJ202" s="180"/>
      <c r="CK202" s="180"/>
      <c r="CL202" s="180"/>
      <c r="CM202" s="180"/>
      <c r="CN202" s="180"/>
      <c r="CQ202" s="180"/>
      <c r="CR202" s="180"/>
      <c r="CS202" s="180"/>
      <c r="DS202" s="180"/>
      <c r="DT202" s="180"/>
      <c r="DU202" s="180"/>
    </row>
    <row r="203" spans="1:125" s="54" customFormat="1" hidden="1">
      <c r="A203" s="135">
        <f t="shared" si="20"/>
        <v>0</v>
      </c>
      <c r="B203" s="178" t="str">
        <f t="shared" si="21"/>
        <v/>
      </c>
      <c r="C203" s="178" t="str">
        <f>IFERROR(IF(INDEX('M04-S04'!$BH$18:$BH$199,2*(ROWS($C$198:C203)-1)+1)="","",INDEX('M04-S04'!$BH$18:$BH$199,2*(ROWS($C$198:C203)-1)+1)),"")</f>
        <v/>
      </c>
      <c r="D203" s="180" t="s">
        <v>144</v>
      </c>
      <c r="E203" s="178" t="str">
        <f>IFERROR(INDEX('M04-S04'!$AZ$18:$AZ$199,2*(ROWS(E$198:E203)-1)+1),"")</f>
        <v/>
      </c>
      <c r="F203" s="408"/>
      <c r="G203" s="325"/>
      <c r="H203" s="200" t="str">
        <f ca="1">IFERROR(IF(AC203&lt;&gt;"","",INDEX('M04-S04'!$AD$18:$AD$199,2*(ROWS(H$198:H203)-1)+1)),"")</f>
        <v/>
      </c>
      <c r="I203" s="200" t="str">
        <f ca="1">IFERROR(IF(AC203&lt;&gt;"","",INDEX('M04-S04'!$AF$18:$AF$199,2*(ROWS(I$198:I203)-1)+1)),"")</f>
        <v/>
      </c>
      <c r="J203" s="200" t="str">
        <f ca="1">IFERROR(IF(AC203&lt;&gt;"","",INDEX('M04-S04'!$AH$18:$AH$199,2*(ROWS(J$198:J203)-1)+1)),"")</f>
        <v/>
      </c>
      <c r="K203" s="178" t="str">
        <f ca="1">IFERROR(IF(AC203&lt;&gt;"","",INDEX('M04-S04'!$AB$18:$AB$199,2*(ROWS(J$198:J203)-1)+1)),"")</f>
        <v/>
      </c>
      <c r="L203" s="116" t="str">
        <f ca="1">IFERROR(IF(AC203&lt;&gt;"","",ROUND(INDEX('M04-S04'!$P$18:$P$199,2*(ROWS(L$198:L203)-1)+1),3)),"")</f>
        <v/>
      </c>
      <c r="M203" s="116" t="str">
        <f ca="1">IFERROR(IF(AC203&lt;&gt;"","",ROUND(INDEX('M04-S04'!$X$18:$X$199,2*(ROWS(M$198:M203)-1)+1),3)),"")</f>
        <v/>
      </c>
      <c r="N203" s="418"/>
      <c r="O203" s="415" t="str">
        <f ca="1">IFERROR(IF(AC203&lt;&gt;"","",INDEX('M04-S04'!$AK$18:$AK$199,2*(ROWS(O$198:O203)-1)+1)),"")</f>
        <v/>
      </c>
      <c r="P203" s="408"/>
      <c r="Q203" s="415" t="str">
        <f ca="1">IFERROR(IF(AC203&lt;&gt;"","",INDEX('M04-S04'!$BA$18:$BA$199,2*(ROWS(Q$198:Q203)-1)+1)),"")</f>
        <v/>
      </c>
      <c r="R203" s="200" t="str">
        <f ca="1">IFERROR(IF(AC203&lt;&gt;"","",INDEX('M04-S04'!$AN$18:$AN$199,2*(ROWS(R$198:R203)-1)+1)),"")</f>
        <v/>
      </c>
      <c r="S203" s="200">
        <f ca="1">IFERROR(IF(AC203&lt;&gt;"",INDEX('M04-S04'!$AD$18:$AD$199,2*(ROWS(S$198:S203)-1)+1),""),"")</f>
        <v>0</v>
      </c>
      <c r="T203" s="200" t="str">
        <f ca="1">IFERROR(IF(AC203&lt;&gt;"",INDEX('M04-S04'!$AF$18:$AF$199,2*(ROWS(T$198:T203)-1)+1),""),"")</f>
        <v/>
      </c>
      <c r="U203" s="200" t="str">
        <f ca="1">IFERROR(IF(AC203&lt;&gt;"",INDEX('M04-S04'!$AH$18:$AH$199,2*(ROWS(U$198:U203)-1)+1),""),"")</f>
        <v/>
      </c>
      <c r="V203" s="178" t="str">
        <f ca="1">IFERROR(IF(AC203&lt;&gt;"",INDEX('M04-S04'!$AB$18:$AB$199,2*(ROWS(V$198:V203)-1)+1),""),"")</f>
        <v/>
      </c>
      <c r="W203" s="116">
        <f ca="1">IFERROR(IF(AC203&lt;&gt;"",ROUND(INDEX('M04-S04'!$P$18:$P$199,2*(ROWS(W$198:W203)-1)+1),3),""),"")</f>
        <v>0</v>
      </c>
      <c r="X203" s="116">
        <f ca="1">IFERROR(IF(AC203&lt;&gt;"",ROUND(INDEX('M04-S04'!$Z$18:$Z$199,2*(ROWS(X$198:X203)-1)+1),3),""),"")</f>
        <v>0</v>
      </c>
      <c r="Y203" s="408"/>
      <c r="Z203" s="173" t="str">
        <f ca="1">IFERROR(IF(AC203&lt;&gt;"",INDEX('M04-S04'!$AK$18:$AK$199,2*(ROWS(Z$198:Z203)-1)+1),""),"")</f>
        <v/>
      </c>
      <c r="AA203" s="408"/>
      <c r="AB203" s="415" t="str">
        <f ca="1">IFERROR(IF(AC203&lt;&gt;"",INDEX('M04-S04'!$BA$18:$BA$199,2*(ROWS(AB$198:AB203)-1)+1),""),"")</f>
        <v/>
      </c>
      <c r="AC203" s="178" t="str">
        <f ca="1">IFERROR(INDEX('M04-S04'!$BJ$18:$BJ$199,2*(ROWS(AC$198:AC203)-1)+1),"")</f>
        <v>Submit for Review</v>
      </c>
      <c r="AD203" s="415" t="str">
        <f>IFERROR(INDEX('M04-S04'!$AW$18:$AW$199,2*(ROWS(AD$198:AD203)-1)+1),"")</f>
        <v/>
      </c>
      <c r="AE203" s="415" t="str">
        <f>IFERROR(INDEX('M04-S04'!$AX$18:$AX$199,2*(ROWS(AE$198:AE203)-1)+1),"")</f>
        <v/>
      </c>
      <c r="AF203" s="408"/>
      <c r="AG203" s="408"/>
      <c r="AH203" s="408"/>
      <c r="AI203" s="178">
        <f>IFERROR(INDEX('M04-S04'!$B$18:$B$199,2*(ROWS(AI$198:AI203)-1)+1),"")</f>
        <v>6</v>
      </c>
      <c r="AJ203" s="325"/>
      <c r="AK203" s="178">
        <f>IFERROR(INDEX('M04-S04'!$F$18:$F$199,2*(ROWS(AK$198:AK203)-1)+1),"")</f>
        <v>0</v>
      </c>
      <c r="AL203" s="178">
        <f>IFERROR(INDEX('M04-S04'!$L$18:$L$199,2*(ROWS(AL$198:AL203)-1)+1),"")</f>
        <v>0</v>
      </c>
      <c r="AM203" s="178">
        <f>IFERROR(INDEX('M04-S04'!$T$18:$T$199,2*(ROWS(AM$198:AM203)-1)+1),"")</f>
        <v>0</v>
      </c>
      <c r="AN203" s="200" t="str">
        <f>IFERROR(INDEX('M04-S04'!$AT$18:$AT$199,2*(ROWS(AN$198:AN203)-1)+1),"")</f>
        <v/>
      </c>
      <c r="AO203" s="200" t="str">
        <f>IFERROR(INDEX('M04-S04'!$AU$18:$AU$199,2*(ROWS(AO$198:AO203)-1)+1),"")</f>
        <v/>
      </c>
      <c r="AP203" s="178" t="str">
        <f>IFERROR(INDEX('M04-S04'!$AV$18:$AV$199,2*(ROWS(AP$198:AP203)-1)+1),"")</f>
        <v/>
      </c>
      <c r="AQ203" s="178" t="str">
        <f>IFERROR(INDEX('M04-S04'!$AY$18:$AY$199,2*(ROWS(AQ$198:AQ203)-1)+1),"")</f>
        <v/>
      </c>
      <c r="AR203" s="178" t="s">
        <v>1374</v>
      </c>
      <c r="AS203" s="178"/>
      <c r="AT203" s="278"/>
      <c r="AU203" s="278"/>
      <c r="AV203" s="278"/>
      <c r="AW203" s="278"/>
      <c r="AX203" s="278"/>
      <c r="AY203" s="278"/>
      <c r="AZ203" s="278"/>
      <c r="BA203" s="278"/>
      <c r="BB203" s="278"/>
      <c r="BC203" s="278"/>
      <c r="BD203" s="278"/>
      <c r="BE203" s="279"/>
      <c r="BL203" s="180"/>
      <c r="BP203" s="180"/>
      <c r="BQ203" s="180"/>
      <c r="BR203" s="180"/>
      <c r="CD203" s="180"/>
      <c r="CE203" s="180"/>
      <c r="CF203" s="180"/>
      <c r="CH203" s="180"/>
      <c r="CI203" s="180"/>
      <c r="CJ203" s="180"/>
      <c r="CK203" s="180"/>
      <c r="CL203" s="180"/>
      <c r="CM203" s="180"/>
      <c r="CN203" s="180"/>
      <c r="CQ203" s="180"/>
      <c r="CR203" s="180"/>
      <c r="CS203" s="180"/>
      <c r="DS203" s="180"/>
      <c r="DT203" s="180"/>
      <c r="DU203" s="180"/>
    </row>
    <row r="204" spans="1:125" s="54" customFormat="1" hidden="1">
      <c r="A204" s="135">
        <f t="shared" si="20"/>
        <v>0</v>
      </c>
      <c r="B204" s="178" t="str">
        <f t="shared" si="21"/>
        <v/>
      </c>
      <c r="C204" s="178" t="str">
        <f>IFERROR(IF(INDEX('M04-S04'!$BH$18:$BH$199,2*(ROWS($C$198:C204)-1)+1)="","",INDEX('M04-S04'!$BH$18:$BH$199,2*(ROWS($C$198:C204)-1)+1)),"")</f>
        <v/>
      </c>
      <c r="D204" s="180" t="s">
        <v>144</v>
      </c>
      <c r="E204" s="178" t="str">
        <f>IFERROR(INDEX('M04-S04'!$AZ$18:$AZ$199,2*(ROWS(E$198:E204)-1)+1),"")</f>
        <v/>
      </c>
      <c r="F204" s="408"/>
      <c r="G204" s="325"/>
      <c r="H204" s="200" t="str">
        <f ca="1">IFERROR(IF(AC204&lt;&gt;"","",INDEX('M04-S04'!$AD$18:$AD$199,2*(ROWS(H$198:H204)-1)+1)),"")</f>
        <v/>
      </c>
      <c r="I204" s="200" t="str">
        <f ca="1">IFERROR(IF(AC204&lt;&gt;"","",INDEX('M04-S04'!$AF$18:$AF$199,2*(ROWS(I$198:I204)-1)+1)),"")</f>
        <v/>
      </c>
      <c r="J204" s="200" t="str">
        <f ca="1">IFERROR(IF(AC204&lt;&gt;"","",INDEX('M04-S04'!$AH$18:$AH$199,2*(ROWS(J$198:J204)-1)+1)),"")</f>
        <v/>
      </c>
      <c r="K204" s="178" t="str">
        <f ca="1">IFERROR(IF(AC204&lt;&gt;"","",INDEX('M04-S04'!$AB$18:$AB$199,2*(ROWS(J$198:J204)-1)+1)),"")</f>
        <v/>
      </c>
      <c r="L204" s="116" t="str">
        <f ca="1">IFERROR(IF(AC204&lt;&gt;"","",ROUND(INDEX('M04-S04'!$P$18:$P$199,2*(ROWS(L$198:L204)-1)+1),3)),"")</f>
        <v/>
      </c>
      <c r="M204" s="116" t="str">
        <f ca="1">IFERROR(IF(AC204&lt;&gt;"","",ROUND(INDEX('M04-S04'!$X$18:$X$199,2*(ROWS(M$198:M204)-1)+1),3)),"")</f>
        <v/>
      </c>
      <c r="N204" s="418"/>
      <c r="O204" s="415" t="str">
        <f ca="1">IFERROR(IF(AC204&lt;&gt;"","",INDEX('M04-S04'!$AK$18:$AK$199,2*(ROWS(O$198:O204)-1)+1)),"")</f>
        <v/>
      </c>
      <c r="P204" s="408"/>
      <c r="Q204" s="415" t="str">
        <f ca="1">IFERROR(IF(AC204&lt;&gt;"","",INDEX('M04-S04'!$BA$18:$BA$199,2*(ROWS(Q$198:Q204)-1)+1)),"")</f>
        <v/>
      </c>
      <c r="R204" s="200" t="str">
        <f ca="1">IFERROR(IF(AC204&lt;&gt;"","",INDEX('M04-S04'!$AN$18:$AN$199,2*(ROWS(R$198:R204)-1)+1)),"")</f>
        <v/>
      </c>
      <c r="S204" s="200">
        <f ca="1">IFERROR(IF(AC204&lt;&gt;"",INDEX('M04-S04'!$AD$18:$AD$199,2*(ROWS(S$198:S204)-1)+1),""),"")</f>
        <v>0</v>
      </c>
      <c r="T204" s="200" t="str">
        <f ca="1">IFERROR(IF(AC204&lt;&gt;"",INDEX('M04-S04'!$AF$18:$AF$199,2*(ROWS(T$198:T204)-1)+1),""),"")</f>
        <v/>
      </c>
      <c r="U204" s="200" t="str">
        <f ca="1">IFERROR(IF(AC204&lt;&gt;"",INDEX('M04-S04'!$AH$18:$AH$199,2*(ROWS(U$198:U204)-1)+1),""),"")</f>
        <v/>
      </c>
      <c r="V204" s="178" t="str">
        <f ca="1">IFERROR(IF(AC204&lt;&gt;"",INDEX('M04-S04'!$AB$18:$AB$199,2*(ROWS(V$198:V204)-1)+1),""),"")</f>
        <v/>
      </c>
      <c r="W204" s="116">
        <f ca="1">IFERROR(IF(AC204&lt;&gt;"",ROUND(INDEX('M04-S04'!$P$18:$P$199,2*(ROWS(W$198:W204)-1)+1),3),""),"")</f>
        <v>0</v>
      </c>
      <c r="X204" s="116">
        <f ca="1">IFERROR(IF(AC204&lt;&gt;"",ROUND(INDEX('M04-S04'!$Z$18:$Z$199,2*(ROWS(X$198:X204)-1)+1),3),""),"")</f>
        <v>0</v>
      </c>
      <c r="Y204" s="408"/>
      <c r="Z204" s="173" t="str">
        <f ca="1">IFERROR(IF(AC204&lt;&gt;"",INDEX('M04-S04'!$AK$18:$AK$199,2*(ROWS(Z$198:Z204)-1)+1),""),"")</f>
        <v/>
      </c>
      <c r="AA204" s="408"/>
      <c r="AB204" s="415" t="str">
        <f ca="1">IFERROR(IF(AC204&lt;&gt;"",INDEX('M04-S04'!$BA$18:$BA$199,2*(ROWS(AB$198:AB204)-1)+1),""),"")</f>
        <v/>
      </c>
      <c r="AC204" s="178" t="str">
        <f ca="1">IFERROR(INDEX('M04-S04'!$BJ$18:$BJ$199,2*(ROWS(AC$198:AC204)-1)+1),"")</f>
        <v>Submit for Review</v>
      </c>
      <c r="AD204" s="415" t="str">
        <f>IFERROR(INDEX('M04-S04'!$AW$18:$AW$199,2*(ROWS(AD$198:AD204)-1)+1),"")</f>
        <v/>
      </c>
      <c r="AE204" s="415" t="str">
        <f>IFERROR(INDEX('M04-S04'!$AX$18:$AX$199,2*(ROWS(AE$198:AE204)-1)+1),"")</f>
        <v/>
      </c>
      <c r="AF204" s="408"/>
      <c r="AG204" s="408"/>
      <c r="AH204" s="408"/>
      <c r="AI204" s="178">
        <f>IFERROR(INDEX('M04-S04'!$B$18:$B$199,2*(ROWS(AI$198:AI204)-1)+1),"")</f>
        <v>7</v>
      </c>
      <c r="AJ204" s="325"/>
      <c r="AK204" s="178">
        <f>IFERROR(INDEX('M04-S04'!$F$18:$F$199,2*(ROWS(AK$198:AK204)-1)+1),"")</f>
        <v>0</v>
      </c>
      <c r="AL204" s="178">
        <f>IFERROR(INDEX('M04-S04'!$L$18:$L$199,2*(ROWS(AL$198:AL204)-1)+1),"")</f>
        <v>0</v>
      </c>
      <c r="AM204" s="178">
        <f>IFERROR(INDEX('M04-S04'!$T$18:$T$199,2*(ROWS(AM$198:AM204)-1)+1),"")</f>
        <v>0</v>
      </c>
      <c r="AN204" s="200" t="str">
        <f>IFERROR(INDEX('M04-S04'!$AT$18:$AT$199,2*(ROWS(AN$198:AN204)-1)+1),"")</f>
        <v/>
      </c>
      <c r="AO204" s="200" t="str">
        <f>IFERROR(INDEX('M04-S04'!$AU$18:$AU$199,2*(ROWS(AO$198:AO204)-1)+1),"")</f>
        <v/>
      </c>
      <c r="AP204" s="178" t="str">
        <f>IFERROR(INDEX('M04-S04'!$AV$18:$AV$199,2*(ROWS(AP$198:AP204)-1)+1),"")</f>
        <v/>
      </c>
      <c r="AQ204" s="178" t="str">
        <f>IFERROR(INDEX('M04-S04'!$AY$18:$AY$199,2*(ROWS(AQ$198:AQ204)-1)+1),"")</f>
        <v/>
      </c>
      <c r="AR204" s="178" t="s">
        <v>1374</v>
      </c>
      <c r="AS204" s="178"/>
      <c r="AT204" s="278"/>
      <c r="AU204" s="278"/>
      <c r="AV204" s="278"/>
      <c r="AW204" s="278"/>
      <c r="AX204" s="278"/>
      <c r="AY204" s="278"/>
      <c r="AZ204" s="278"/>
      <c r="BA204" s="278"/>
      <c r="BB204" s="278"/>
      <c r="BC204" s="278"/>
      <c r="BD204" s="278"/>
      <c r="BE204" s="279"/>
      <c r="BL204" s="180"/>
      <c r="BP204" s="180"/>
      <c r="BQ204" s="180"/>
      <c r="BR204" s="180"/>
      <c r="CD204" s="180"/>
      <c r="CE204" s="180"/>
      <c r="CF204" s="180"/>
      <c r="CH204" s="180"/>
      <c r="CI204" s="180"/>
      <c r="CJ204" s="180"/>
      <c r="CK204" s="180"/>
      <c r="CL204" s="180"/>
      <c r="CM204" s="180"/>
      <c r="CN204" s="180"/>
      <c r="CQ204" s="180"/>
      <c r="CR204" s="180"/>
      <c r="CS204" s="180"/>
      <c r="DS204" s="180"/>
      <c r="DT204" s="180"/>
      <c r="DU204" s="180"/>
    </row>
    <row r="205" spans="1:125" s="54" customFormat="1" hidden="1">
      <c r="A205" s="135">
        <f t="shared" si="20"/>
        <v>0</v>
      </c>
      <c r="B205" s="178" t="str">
        <f t="shared" si="21"/>
        <v/>
      </c>
      <c r="C205" s="178" t="str">
        <f>IFERROR(IF(INDEX('M04-S04'!$BH$18:$BH$199,2*(ROWS($C$198:C205)-1)+1)="","",INDEX('M04-S04'!$BH$18:$BH$199,2*(ROWS($C$198:C205)-1)+1)),"")</f>
        <v/>
      </c>
      <c r="D205" s="180" t="s">
        <v>144</v>
      </c>
      <c r="E205" s="178" t="str">
        <f>IFERROR(INDEX('M04-S04'!$AZ$18:$AZ$199,2*(ROWS(E$198:E205)-1)+1),"")</f>
        <v/>
      </c>
      <c r="F205" s="408"/>
      <c r="G205" s="325"/>
      <c r="H205" s="200" t="str">
        <f ca="1">IFERROR(IF(AC205&lt;&gt;"","",INDEX('M04-S04'!$AD$18:$AD$199,2*(ROWS(H$198:H205)-1)+1)),"")</f>
        <v/>
      </c>
      <c r="I205" s="200" t="str">
        <f ca="1">IFERROR(IF(AC205&lt;&gt;"","",INDEX('M04-S04'!$AF$18:$AF$199,2*(ROWS(I$198:I205)-1)+1)),"")</f>
        <v/>
      </c>
      <c r="J205" s="200" t="str">
        <f ca="1">IFERROR(IF(AC205&lt;&gt;"","",INDEX('M04-S04'!$AH$18:$AH$199,2*(ROWS(J$198:J205)-1)+1)),"")</f>
        <v/>
      </c>
      <c r="K205" s="178" t="str">
        <f ca="1">IFERROR(IF(AC205&lt;&gt;"","",INDEX('M04-S04'!$AB$18:$AB$199,2*(ROWS(J$198:J205)-1)+1)),"")</f>
        <v/>
      </c>
      <c r="L205" s="116" t="str">
        <f ca="1">IFERROR(IF(AC205&lt;&gt;"","",ROUND(INDEX('M04-S04'!$P$18:$P$199,2*(ROWS(L$198:L205)-1)+1),3)),"")</f>
        <v/>
      </c>
      <c r="M205" s="116" t="str">
        <f ca="1">IFERROR(IF(AC205&lt;&gt;"","",ROUND(INDEX('M04-S04'!$X$18:$X$199,2*(ROWS(M$198:M205)-1)+1),3)),"")</f>
        <v/>
      </c>
      <c r="N205" s="418"/>
      <c r="O205" s="415" t="str">
        <f ca="1">IFERROR(IF(AC205&lt;&gt;"","",INDEX('M04-S04'!$AK$18:$AK$199,2*(ROWS(O$198:O205)-1)+1)),"")</f>
        <v/>
      </c>
      <c r="P205" s="408"/>
      <c r="Q205" s="415" t="str">
        <f ca="1">IFERROR(IF(AC205&lt;&gt;"","",INDEX('M04-S04'!$BA$18:$BA$199,2*(ROWS(Q$198:Q205)-1)+1)),"")</f>
        <v/>
      </c>
      <c r="R205" s="200" t="str">
        <f ca="1">IFERROR(IF(AC205&lt;&gt;"","",INDEX('M04-S04'!$AN$18:$AN$199,2*(ROWS(R$198:R205)-1)+1)),"")</f>
        <v/>
      </c>
      <c r="S205" s="200">
        <f ca="1">IFERROR(IF(AC205&lt;&gt;"",INDEX('M04-S04'!$AD$18:$AD$199,2*(ROWS(S$198:S205)-1)+1),""),"")</f>
        <v>0</v>
      </c>
      <c r="T205" s="200" t="str">
        <f ca="1">IFERROR(IF(AC205&lt;&gt;"",INDEX('M04-S04'!$AF$18:$AF$199,2*(ROWS(T$198:T205)-1)+1),""),"")</f>
        <v/>
      </c>
      <c r="U205" s="200" t="str">
        <f ca="1">IFERROR(IF(AC205&lt;&gt;"",INDEX('M04-S04'!$AH$18:$AH$199,2*(ROWS(U$198:U205)-1)+1),""),"")</f>
        <v/>
      </c>
      <c r="V205" s="178" t="str">
        <f ca="1">IFERROR(IF(AC205&lt;&gt;"",INDEX('M04-S04'!$AB$18:$AB$199,2*(ROWS(V$198:V205)-1)+1),""),"")</f>
        <v/>
      </c>
      <c r="W205" s="116">
        <f ca="1">IFERROR(IF(AC205&lt;&gt;"",ROUND(INDEX('M04-S04'!$P$18:$P$199,2*(ROWS(W$198:W205)-1)+1),3),""),"")</f>
        <v>0</v>
      </c>
      <c r="X205" s="116">
        <f ca="1">IFERROR(IF(AC205&lt;&gt;"",ROUND(INDEX('M04-S04'!$Z$18:$Z$199,2*(ROWS(X$198:X205)-1)+1),3),""),"")</f>
        <v>0</v>
      </c>
      <c r="Y205" s="408"/>
      <c r="Z205" s="173" t="str">
        <f ca="1">IFERROR(IF(AC205&lt;&gt;"",INDEX('M04-S04'!$AK$18:$AK$199,2*(ROWS(Z$198:Z205)-1)+1),""),"")</f>
        <v/>
      </c>
      <c r="AA205" s="408"/>
      <c r="AB205" s="415" t="str">
        <f ca="1">IFERROR(IF(AC205&lt;&gt;"",INDEX('M04-S04'!$BA$18:$BA$199,2*(ROWS(AB$198:AB205)-1)+1),""),"")</f>
        <v/>
      </c>
      <c r="AC205" s="178" t="str">
        <f ca="1">IFERROR(INDEX('M04-S04'!$BJ$18:$BJ$199,2*(ROWS(AC$198:AC205)-1)+1),"")</f>
        <v>Submit for Review</v>
      </c>
      <c r="AD205" s="415" t="str">
        <f>IFERROR(INDEX('M04-S04'!$AW$18:$AW$199,2*(ROWS(AD$198:AD205)-1)+1),"")</f>
        <v/>
      </c>
      <c r="AE205" s="415" t="str">
        <f>IFERROR(INDEX('M04-S04'!$AX$18:$AX$199,2*(ROWS(AE$198:AE205)-1)+1),"")</f>
        <v/>
      </c>
      <c r="AF205" s="408"/>
      <c r="AG205" s="408"/>
      <c r="AH205" s="408"/>
      <c r="AI205" s="178">
        <f>IFERROR(INDEX('M04-S04'!$B$18:$B$199,2*(ROWS(AI$198:AI205)-1)+1),"")</f>
        <v>8</v>
      </c>
      <c r="AJ205" s="325"/>
      <c r="AK205" s="178">
        <f>IFERROR(INDEX('M04-S04'!$F$18:$F$199,2*(ROWS(AK$198:AK205)-1)+1),"")</f>
        <v>0</v>
      </c>
      <c r="AL205" s="178">
        <f>IFERROR(INDEX('M04-S04'!$L$18:$L$199,2*(ROWS(AL$198:AL205)-1)+1),"")</f>
        <v>0</v>
      </c>
      <c r="AM205" s="178">
        <f>IFERROR(INDEX('M04-S04'!$T$18:$T$199,2*(ROWS(AM$198:AM205)-1)+1),"")</f>
        <v>0</v>
      </c>
      <c r="AN205" s="200" t="str">
        <f>IFERROR(INDEX('M04-S04'!$AT$18:$AT$199,2*(ROWS(AN$198:AN205)-1)+1),"")</f>
        <v/>
      </c>
      <c r="AO205" s="200" t="str">
        <f>IFERROR(INDEX('M04-S04'!$AU$18:$AU$199,2*(ROWS(AO$198:AO205)-1)+1),"")</f>
        <v/>
      </c>
      <c r="AP205" s="178" t="str">
        <f>IFERROR(INDEX('M04-S04'!$AV$18:$AV$199,2*(ROWS(AP$198:AP205)-1)+1),"")</f>
        <v/>
      </c>
      <c r="AQ205" s="178" t="str">
        <f>IFERROR(INDEX('M04-S04'!$AY$18:$AY$199,2*(ROWS(AQ$198:AQ205)-1)+1),"")</f>
        <v/>
      </c>
      <c r="AR205" s="178" t="s">
        <v>1374</v>
      </c>
      <c r="AS205" s="178"/>
      <c r="AT205" s="278"/>
      <c r="AU205" s="278"/>
      <c r="AV205" s="278"/>
      <c r="AW205" s="278"/>
      <c r="AX205" s="278"/>
      <c r="AY205" s="278"/>
      <c r="AZ205" s="278"/>
      <c r="BA205" s="278"/>
      <c r="BB205" s="278"/>
      <c r="BC205" s="278"/>
      <c r="BD205" s="278"/>
      <c r="BE205" s="279"/>
      <c r="BL205" s="180"/>
      <c r="BP205" s="180"/>
      <c r="BQ205" s="180"/>
      <c r="BR205" s="180"/>
      <c r="CD205" s="180"/>
      <c r="CE205" s="180"/>
      <c r="CF205" s="180"/>
      <c r="CH205" s="180"/>
      <c r="CI205" s="180"/>
      <c r="CJ205" s="180"/>
      <c r="CK205" s="180"/>
      <c r="CL205" s="180"/>
      <c r="CM205" s="180"/>
      <c r="CN205" s="180"/>
      <c r="CQ205" s="180"/>
      <c r="CR205" s="180"/>
      <c r="CS205" s="180"/>
      <c r="DS205" s="180"/>
      <c r="DT205" s="180"/>
      <c r="DU205" s="180"/>
    </row>
    <row r="206" spans="1:125" s="54" customFormat="1" hidden="1">
      <c r="A206" s="135">
        <f t="shared" si="20"/>
        <v>0</v>
      </c>
      <c r="B206" s="178" t="str">
        <f t="shared" si="21"/>
        <v/>
      </c>
      <c r="C206" s="178" t="str">
        <f>IFERROR(IF(INDEX('M04-S04'!$BH$18:$BH$199,2*(ROWS($C$198:C206)-1)+1)="","",INDEX('M04-S04'!$BH$18:$BH$199,2*(ROWS($C$198:C206)-1)+1)),"")</f>
        <v/>
      </c>
      <c r="D206" s="180" t="s">
        <v>144</v>
      </c>
      <c r="E206" s="178" t="str">
        <f>IFERROR(INDEX('M04-S04'!$AZ$18:$AZ$199,2*(ROWS(E$198:E206)-1)+1),"")</f>
        <v/>
      </c>
      <c r="F206" s="408"/>
      <c r="G206" s="325"/>
      <c r="H206" s="200" t="str">
        <f ca="1">IFERROR(IF(AC206&lt;&gt;"","",INDEX('M04-S04'!$AD$18:$AD$199,2*(ROWS(H$198:H206)-1)+1)),"")</f>
        <v/>
      </c>
      <c r="I206" s="200" t="str">
        <f ca="1">IFERROR(IF(AC206&lt;&gt;"","",INDEX('M04-S04'!$AF$18:$AF$199,2*(ROWS(I$198:I206)-1)+1)),"")</f>
        <v/>
      </c>
      <c r="J206" s="200" t="str">
        <f ca="1">IFERROR(IF(AC206&lt;&gt;"","",INDEX('M04-S04'!$AH$18:$AH$199,2*(ROWS(J$198:J206)-1)+1)),"")</f>
        <v/>
      </c>
      <c r="K206" s="178" t="str">
        <f ca="1">IFERROR(IF(AC206&lt;&gt;"","",INDEX('M04-S04'!$AB$18:$AB$199,2*(ROWS(J$198:J206)-1)+1)),"")</f>
        <v/>
      </c>
      <c r="L206" s="116" t="str">
        <f ca="1">IFERROR(IF(AC206&lt;&gt;"","",ROUND(INDEX('M04-S04'!$P$18:$P$199,2*(ROWS(L$198:L206)-1)+1),3)),"")</f>
        <v/>
      </c>
      <c r="M206" s="116" t="str">
        <f ca="1">IFERROR(IF(AC206&lt;&gt;"","",ROUND(INDEX('M04-S04'!$X$18:$X$199,2*(ROWS(M$198:M206)-1)+1),3)),"")</f>
        <v/>
      </c>
      <c r="N206" s="418"/>
      <c r="O206" s="415" t="str">
        <f ca="1">IFERROR(IF(AC206&lt;&gt;"","",INDEX('M04-S04'!$AK$18:$AK$199,2*(ROWS(O$198:O206)-1)+1)),"")</f>
        <v/>
      </c>
      <c r="P206" s="408"/>
      <c r="Q206" s="415" t="str">
        <f ca="1">IFERROR(IF(AC206&lt;&gt;"","",INDEX('M04-S04'!$BA$18:$BA$199,2*(ROWS(Q$198:Q206)-1)+1)),"")</f>
        <v/>
      </c>
      <c r="R206" s="200" t="str">
        <f ca="1">IFERROR(IF(AC206&lt;&gt;"","",INDEX('M04-S04'!$AN$18:$AN$199,2*(ROWS(R$198:R206)-1)+1)),"")</f>
        <v/>
      </c>
      <c r="S206" s="200">
        <f ca="1">IFERROR(IF(AC206&lt;&gt;"",INDEX('M04-S04'!$AD$18:$AD$199,2*(ROWS(S$198:S206)-1)+1),""),"")</f>
        <v>0</v>
      </c>
      <c r="T206" s="200" t="str">
        <f ca="1">IFERROR(IF(AC206&lt;&gt;"",INDEX('M04-S04'!$AF$18:$AF$199,2*(ROWS(T$198:T206)-1)+1),""),"")</f>
        <v/>
      </c>
      <c r="U206" s="200" t="str">
        <f ca="1">IFERROR(IF(AC206&lt;&gt;"",INDEX('M04-S04'!$AH$18:$AH$199,2*(ROWS(U$198:U206)-1)+1),""),"")</f>
        <v/>
      </c>
      <c r="V206" s="178" t="str">
        <f ca="1">IFERROR(IF(AC206&lt;&gt;"",INDEX('M04-S04'!$AB$18:$AB$199,2*(ROWS(V$198:V206)-1)+1),""),"")</f>
        <v/>
      </c>
      <c r="W206" s="116">
        <f ca="1">IFERROR(IF(AC206&lt;&gt;"",ROUND(INDEX('M04-S04'!$P$18:$P$199,2*(ROWS(W$198:W206)-1)+1),3),""),"")</f>
        <v>0</v>
      </c>
      <c r="X206" s="116">
        <f ca="1">IFERROR(IF(AC206&lt;&gt;"",ROUND(INDEX('M04-S04'!$Z$18:$Z$199,2*(ROWS(X$198:X206)-1)+1),3),""),"")</f>
        <v>0</v>
      </c>
      <c r="Y206" s="408"/>
      <c r="Z206" s="173" t="str">
        <f ca="1">IFERROR(IF(AC206&lt;&gt;"",INDEX('M04-S04'!$AK$18:$AK$199,2*(ROWS(Z$198:Z206)-1)+1),""),"")</f>
        <v/>
      </c>
      <c r="AA206" s="408"/>
      <c r="AB206" s="415" t="str">
        <f ca="1">IFERROR(IF(AC206&lt;&gt;"",INDEX('M04-S04'!$BA$18:$BA$199,2*(ROWS(AB$198:AB206)-1)+1),""),"")</f>
        <v/>
      </c>
      <c r="AC206" s="178" t="str">
        <f ca="1">IFERROR(INDEX('M04-S04'!$BJ$18:$BJ$199,2*(ROWS(AC$198:AC206)-1)+1),"")</f>
        <v>Submit for Review</v>
      </c>
      <c r="AD206" s="415" t="str">
        <f>IFERROR(INDEX('M04-S04'!$AW$18:$AW$199,2*(ROWS(AD$198:AD206)-1)+1),"")</f>
        <v/>
      </c>
      <c r="AE206" s="415" t="str">
        <f>IFERROR(INDEX('M04-S04'!$AX$18:$AX$199,2*(ROWS(AE$198:AE206)-1)+1),"")</f>
        <v/>
      </c>
      <c r="AF206" s="408"/>
      <c r="AG206" s="408"/>
      <c r="AH206" s="408"/>
      <c r="AI206" s="178">
        <f>IFERROR(INDEX('M04-S04'!$B$18:$B$199,2*(ROWS(AI$198:AI206)-1)+1),"")</f>
        <v>9</v>
      </c>
      <c r="AJ206" s="325"/>
      <c r="AK206" s="178">
        <f>IFERROR(INDEX('M04-S04'!$F$18:$F$199,2*(ROWS(AK$198:AK206)-1)+1),"")</f>
        <v>0</v>
      </c>
      <c r="AL206" s="178">
        <f>IFERROR(INDEX('M04-S04'!$L$18:$L$199,2*(ROWS(AL$198:AL206)-1)+1),"")</f>
        <v>0</v>
      </c>
      <c r="AM206" s="178">
        <f>IFERROR(INDEX('M04-S04'!$T$18:$T$199,2*(ROWS(AM$198:AM206)-1)+1),"")</f>
        <v>0</v>
      </c>
      <c r="AN206" s="200" t="str">
        <f>IFERROR(INDEX('M04-S04'!$AT$18:$AT$199,2*(ROWS(AN$198:AN206)-1)+1),"")</f>
        <v/>
      </c>
      <c r="AO206" s="200" t="str">
        <f>IFERROR(INDEX('M04-S04'!$AU$18:$AU$199,2*(ROWS(AO$198:AO206)-1)+1),"")</f>
        <v/>
      </c>
      <c r="AP206" s="178" t="str">
        <f>IFERROR(INDEX('M04-S04'!$AV$18:$AV$199,2*(ROWS(AP$198:AP206)-1)+1),"")</f>
        <v/>
      </c>
      <c r="AQ206" s="178" t="str">
        <f>IFERROR(INDEX('M04-S04'!$AY$18:$AY$199,2*(ROWS(AQ$198:AQ206)-1)+1),"")</f>
        <v/>
      </c>
      <c r="AR206" s="178" t="s">
        <v>1374</v>
      </c>
      <c r="AS206" s="178"/>
      <c r="AT206" s="278"/>
      <c r="AU206" s="278"/>
      <c r="AV206" s="278"/>
      <c r="AW206" s="278"/>
      <c r="AX206" s="278"/>
      <c r="AY206" s="278"/>
      <c r="AZ206" s="278"/>
      <c r="BA206" s="278"/>
      <c r="BB206" s="278"/>
      <c r="BC206" s="278"/>
      <c r="BD206" s="278"/>
      <c r="BE206" s="279"/>
      <c r="BL206" s="180"/>
      <c r="BP206" s="180"/>
      <c r="BQ206" s="180"/>
      <c r="BR206" s="180"/>
      <c r="CD206" s="180"/>
      <c r="CE206" s="180"/>
      <c r="CF206" s="180"/>
      <c r="CH206" s="180"/>
      <c r="CI206" s="180"/>
      <c r="CJ206" s="180"/>
      <c r="CK206" s="180"/>
      <c r="CL206" s="180"/>
      <c r="CM206" s="180"/>
      <c r="CN206" s="180"/>
      <c r="CQ206" s="180"/>
      <c r="CR206" s="180"/>
      <c r="CS206" s="180"/>
      <c r="DS206" s="180"/>
      <c r="DT206" s="180"/>
      <c r="DU206" s="180"/>
    </row>
    <row r="207" spans="1:125" s="54" customFormat="1" hidden="1">
      <c r="A207" s="135">
        <f t="shared" si="20"/>
        <v>0</v>
      </c>
      <c r="B207" s="178" t="str">
        <f t="shared" si="21"/>
        <v/>
      </c>
      <c r="C207" s="178" t="str">
        <f>IFERROR(IF(INDEX('M04-S04'!$BH$18:$BH$199,2*(ROWS($C$198:C207)-1)+1)="","",INDEX('M04-S04'!$BH$18:$BH$199,2*(ROWS($C$198:C207)-1)+1)),"")</f>
        <v/>
      </c>
      <c r="D207" s="180" t="s">
        <v>144</v>
      </c>
      <c r="E207" s="178" t="str">
        <f>IFERROR(INDEX('M04-S04'!$AZ$18:$AZ$199,2*(ROWS(E$198:E207)-1)+1),"")</f>
        <v/>
      </c>
      <c r="F207" s="408"/>
      <c r="G207" s="325"/>
      <c r="H207" s="200" t="str">
        <f ca="1">IFERROR(IF(AC207&lt;&gt;"","",INDEX('M04-S04'!$AD$18:$AD$199,2*(ROWS(H$198:H207)-1)+1)),"")</f>
        <v/>
      </c>
      <c r="I207" s="200" t="str">
        <f ca="1">IFERROR(IF(AC207&lt;&gt;"","",INDEX('M04-S04'!$AF$18:$AF$199,2*(ROWS(I$198:I207)-1)+1)),"")</f>
        <v/>
      </c>
      <c r="J207" s="200" t="str">
        <f ca="1">IFERROR(IF(AC207&lt;&gt;"","",INDEX('M04-S04'!$AH$18:$AH$199,2*(ROWS(J$198:J207)-1)+1)),"")</f>
        <v/>
      </c>
      <c r="K207" s="178" t="str">
        <f ca="1">IFERROR(IF(AC207&lt;&gt;"","",INDEX('M04-S04'!$AB$18:$AB$199,2*(ROWS(J$198:J207)-1)+1)),"")</f>
        <v/>
      </c>
      <c r="L207" s="116" t="str">
        <f ca="1">IFERROR(IF(AC207&lt;&gt;"","",ROUND(INDEX('M04-S04'!$P$18:$P$199,2*(ROWS(L$198:L207)-1)+1),3)),"")</f>
        <v/>
      </c>
      <c r="M207" s="116" t="str">
        <f ca="1">IFERROR(IF(AC207&lt;&gt;"","",ROUND(INDEX('M04-S04'!$X$18:$X$199,2*(ROWS(M$198:M207)-1)+1),3)),"")</f>
        <v/>
      </c>
      <c r="N207" s="418"/>
      <c r="O207" s="415" t="str">
        <f ca="1">IFERROR(IF(AC207&lt;&gt;"","",INDEX('M04-S04'!$AK$18:$AK$199,2*(ROWS(O$198:O207)-1)+1)),"")</f>
        <v/>
      </c>
      <c r="P207" s="408"/>
      <c r="Q207" s="415" t="str">
        <f ca="1">IFERROR(IF(AC207&lt;&gt;"","",INDEX('M04-S04'!$BA$18:$BA$199,2*(ROWS(Q$198:Q207)-1)+1)),"")</f>
        <v/>
      </c>
      <c r="R207" s="200" t="str">
        <f ca="1">IFERROR(IF(AC207&lt;&gt;"","",INDEX('M04-S04'!$AN$18:$AN$199,2*(ROWS(R$198:R207)-1)+1)),"")</f>
        <v/>
      </c>
      <c r="S207" s="200">
        <f ca="1">IFERROR(IF(AC207&lt;&gt;"",INDEX('M04-S04'!$AD$18:$AD$199,2*(ROWS(S$198:S207)-1)+1),""),"")</f>
        <v>0</v>
      </c>
      <c r="T207" s="200" t="str">
        <f ca="1">IFERROR(IF(AC207&lt;&gt;"",INDEX('M04-S04'!$AF$18:$AF$199,2*(ROWS(T$198:T207)-1)+1),""),"")</f>
        <v/>
      </c>
      <c r="U207" s="200" t="str">
        <f ca="1">IFERROR(IF(AC207&lt;&gt;"",INDEX('M04-S04'!$AH$18:$AH$199,2*(ROWS(U$198:U207)-1)+1),""),"")</f>
        <v/>
      </c>
      <c r="V207" s="178" t="str">
        <f ca="1">IFERROR(IF(AC207&lt;&gt;"",INDEX('M04-S04'!$AB$18:$AB$199,2*(ROWS(V$198:V207)-1)+1),""),"")</f>
        <v/>
      </c>
      <c r="W207" s="116">
        <f ca="1">IFERROR(IF(AC207&lt;&gt;"",ROUND(INDEX('M04-S04'!$P$18:$P$199,2*(ROWS(W$198:W207)-1)+1),3),""),"")</f>
        <v>0</v>
      </c>
      <c r="X207" s="116">
        <f ca="1">IFERROR(IF(AC207&lt;&gt;"",ROUND(INDEX('M04-S04'!$Z$18:$Z$199,2*(ROWS(X$198:X207)-1)+1),3),""),"")</f>
        <v>0</v>
      </c>
      <c r="Y207" s="408"/>
      <c r="Z207" s="173" t="str">
        <f ca="1">IFERROR(IF(AC207&lt;&gt;"",INDEX('M04-S04'!$AK$18:$AK$199,2*(ROWS(Z$198:Z207)-1)+1),""),"")</f>
        <v/>
      </c>
      <c r="AA207" s="408"/>
      <c r="AB207" s="415" t="str">
        <f ca="1">IFERROR(IF(AC207&lt;&gt;"",INDEX('M04-S04'!$BA$18:$BA$199,2*(ROWS(AB$198:AB207)-1)+1),""),"")</f>
        <v/>
      </c>
      <c r="AC207" s="178" t="str">
        <f ca="1">IFERROR(INDEX('M04-S04'!$BJ$18:$BJ$199,2*(ROWS(AC$198:AC207)-1)+1),"")</f>
        <v>Submit for Review</v>
      </c>
      <c r="AD207" s="415" t="str">
        <f>IFERROR(INDEX('M04-S04'!$AW$18:$AW$199,2*(ROWS(AD$198:AD207)-1)+1),"")</f>
        <v/>
      </c>
      <c r="AE207" s="415" t="str">
        <f>IFERROR(INDEX('M04-S04'!$AX$18:$AX$199,2*(ROWS(AE$198:AE207)-1)+1),"")</f>
        <v/>
      </c>
      <c r="AF207" s="408"/>
      <c r="AG207" s="408"/>
      <c r="AH207" s="408"/>
      <c r="AI207" s="178">
        <f>IFERROR(INDEX('M04-S04'!$B$18:$B$199,2*(ROWS(AI$198:AI207)-1)+1),"")</f>
        <v>10</v>
      </c>
      <c r="AJ207" s="325"/>
      <c r="AK207" s="178">
        <f>IFERROR(INDEX('M04-S04'!$F$18:$F$199,2*(ROWS(AK$198:AK207)-1)+1),"")</f>
        <v>0</v>
      </c>
      <c r="AL207" s="178">
        <f>IFERROR(INDEX('M04-S04'!$L$18:$L$199,2*(ROWS(AL$198:AL207)-1)+1),"")</f>
        <v>0</v>
      </c>
      <c r="AM207" s="178">
        <f>IFERROR(INDEX('M04-S04'!$T$18:$T$199,2*(ROWS(AM$198:AM207)-1)+1),"")</f>
        <v>0</v>
      </c>
      <c r="AN207" s="200" t="str">
        <f>IFERROR(INDEX('M04-S04'!$AT$18:$AT$199,2*(ROWS(AN$198:AN207)-1)+1),"")</f>
        <v/>
      </c>
      <c r="AO207" s="200" t="str">
        <f>IFERROR(INDEX('M04-S04'!$AU$18:$AU$199,2*(ROWS(AO$198:AO207)-1)+1),"")</f>
        <v/>
      </c>
      <c r="AP207" s="178" t="str">
        <f>IFERROR(INDEX('M04-S04'!$AV$18:$AV$199,2*(ROWS(AP$198:AP207)-1)+1),"")</f>
        <v/>
      </c>
      <c r="AQ207" s="178" t="str">
        <f>IFERROR(INDEX('M04-S04'!$AY$18:$AY$199,2*(ROWS(AQ$198:AQ207)-1)+1),"")</f>
        <v/>
      </c>
      <c r="AR207" s="178" t="s">
        <v>1374</v>
      </c>
      <c r="AS207" s="178"/>
      <c r="AT207" s="278"/>
      <c r="AU207" s="278"/>
      <c r="AV207" s="278"/>
      <c r="AW207" s="278"/>
      <c r="AX207" s="278"/>
      <c r="AY207" s="278"/>
      <c r="AZ207" s="278"/>
      <c r="BA207" s="278"/>
      <c r="BB207" s="278"/>
      <c r="BC207" s="278"/>
      <c r="BD207" s="278"/>
      <c r="BE207" s="279"/>
      <c r="BL207" s="180"/>
      <c r="BP207" s="180"/>
      <c r="BQ207" s="180"/>
      <c r="BR207" s="180"/>
      <c r="CD207" s="180"/>
      <c r="CE207" s="180"/>
      <c r="CF207" s="180"/>
      <c r="CH207" s="180"/>
      <c r="CI207" s="180"/>
      <c r="CJ207" s="180"/>
      <c r="CK207" s="180"/>
      <c r="CL207" s="180"/>
      <c r="CM207" s="180"/>
      <c r="CN207" s="180"/>
      <c r="CQ207" s="180"/>
      <c r="CR207" s="180"/>
      <c r="CS207" s="180"/>
      <c r="DS207" s="180"/>
      <c r="DT207" s="180"/>
      <c r="DU207" s="180"/>
    </row>
    <row r="208" spans="1:125" s="54" customFormat="1" hidden="1">
      <c r="A208" s="135">
        <f t="shared" si="20"/>
        <v>0</v>
      </c>
      <c r="B208" s="178" t="str">
        <f t="shared" si="21"/>
        <v/>
      </c>
      <c r="C208" s="178" t="str">
        <f>IFERROR(IF(INDEX('M04-S04'!$BH$18:$BH$199,2*(ROWS($C$198:C208)-1)+1)="","",INDEX('M04-S04'!$BH$18:$BH$199,2*(ROWS($C$198:C208)-1)+1)),"")</f>
        <v/>
      </c>
      <c r="D208" s="180" t="s">
        <v>144</v>
      </c>
      <c r="E208" s="178">
        <f>IFERROR(INDEX('M04-S04'!$AZ$18:$AZ$199,2*(ROWS(E$198:E208)-1)+1),"")</f>
        <v>0</v>
      </c>
      <c r="F208" s="408"/>
      <c r="G208" s="325"/>
      <c r="H208" s="200" t="str">
        <f>IFERROR(IF(AC208&lt;&gt;"","",INDEX('M04-S04'!$AD$18:$AD$199,2*(ROWS(H$198:H208)-1)+1)),"")</f>
        <v/>
      </c>
      <c r="I208" s="200" t="str">
        <f>IFERROR(IF(AC208&lt;&gt;"","",INDEX('M04-S04'!$AF$18:$AF$199,2*(ROWS(I$198:I208)-1)+1)),"")</f>
        <v/>
      </c>
      <c r="J208" s="200" t="str">
        <f>IFERROR(IF(AC208&lt;&gt;"","",INDEX('M04-S04'!$AH$18:$AH$199,2*(ROWS(J$198:J208)-1)+1)),"")</f>
        <v/>
      </c>
      <c r="K208" s="178" t="str">
        <f>IFERROR(IF(AC208&lt;&gt;"","",INDEX('M04-S04'!$AB$18:$AB$199,2*(ROWS(J$198:J208)-1)+1)),"")</f>
        <v/>
      </c>
      <c r="L208" s="116" t="str">
        <f>IFERROR(IF(AC208&lt;&gt;"","",ROUND(INDEX('M04-S04'!$P$18:$P$199,2*(ROWS(L$198:L208)-1)+1),3)),"")</f>
        <v/>
      </c>
      <c r="M208" s="116" t="str">
        <f>IFERROR(IF(AC208&lt;&gt;"","",ROUND(INDEX('M04-S04'!$X$18:$X$199,2*(ROWS(M$198:M208)-1)+1),3)),"")</f>
        <v/>
      </c>
      <c r="N208" s="418"/>
      <c r="O208" s="415" t="str">
        <f>IFERROR(IF(AC208&lt;&gt;"","",INDEX('M04-S04'!$AK$18:$AK$199,2*(ROWS(O$198:O208)-1)+1)),"")</f>
        <v/>
      </c>
      <c r="P208" s="408"/>
      <c r="Q208" s="415" t="str">
        <f>IFERROR(IF(AC208&lt;&gt;"","",INDEX('M04-S04'!$BA$18:$BA$199,2*(ROWS(Q$198:Q208)-1)+1)),"")</f>
        <v/>
      </c>
      <c r="R208" s="200" t="str">
        <f>IFERROR(IF(AC208&lt;&gt;"","",INDEX('M04-S04'!$AN$18:$AN$199,2*(ROWS(R$198:R208)-1)+1)),"")</f>
        <v/>
      </c>
      <c r="S208" s="200">
        <f>IFERROR(IF(AC208&lt;&gt;"",INDEX('M04-S04'!$AD$18:$AD$199,2*(ROWS(S$198:S208)-1)+1),""),"")</f>
        <v>0</v>
      </c>
      <c r="T208" s="200">
        <f>IFERROR(IF(AC208&lt;&gt;"",INDEX('M04-S04'!$AF$18:$AF$199,2*(ROWS(T$198:T208)-1)+1),""),"")</f>
        <v>0</v>
      </c>
      <c r="U208" s="200">
        <f>IFERROR(IF(AC208&lt;&gt;"",INDEX('M04-S04'!$AH$18:$AH$199,2*(ROWS(U$198:U208)-1)+1),""),"")</f>
        <v>0</v>
      </c>
      <c r="V208" s="178">
        <f>IFERROR(IF(AC208&lt;&gt;"",INDEX('M04-S04'!$AB$18:$AB$199,2*(ROWS(V$198:V208)-1)+1),""),"")</f>
        <v>0</v>
      </c>
      <c r="W208" s="116">
        <f>IFERROR(IF(AC208&lt;&gt;"",ROUND(INDEX('M04-S04'!$P$18:$P$199,2*(ROWS(W$198:W208)-1)+1),3),""),"")</f>
        <v>0</v>
      </c>
      <c r="X208" s="116">
        <f>IFERROR(IF(AC208&lt;&gt;"",ROUND(INDEX('M04-S04'!$Z$18:$Z$199,2*(ROWS(X$198:X208)-1)+1),3),""),"")</f>
        <v>0</v>
      </c>
      <c r="Y208" s="408"/>
      <c r="Z208" s="173">
        <f>IFERROR(IF(AC208&lt;&gt;"",INDEX('M04-S04'!$AK$18:$AK$199,2*(ROWS(Z$198:Z208)-1)+1),""),"")</f>
        <v>0</v>
      </c>
      <c r="AA208" s="408"/>
      <c r="AB208" s="415">
        <f>IFERROR(IF(AC208&lt;&gt;"",INDEX('M04-S04'!$BA$18:$BA$199,2*(ROWS(AB$198:AB208)-1)+1),""),"")</f>
        <v>0</v>
      </c>
      <c r="AC208" s="178">
        <f>IFERROR(INDEX('M04-S04'!$BJ$18:$BJ$199,2*(ROWS(AC$198:AC208)-1)+1),"")</f>
        <v>0</v>
      </c>
      <c r="AD208" s="415">
        <f>IFERROR(INDEX('M04-S04'!$AW$18:$AW$199,2*(ROWS(AD$198:AD208)-1)+1),"")</f>
        <v>0</v>
      </c>
      <c r="AE208" s="415">
        <f>IFERROR(INDEX('M04-S04'!$AX$18:$AX$199,2*(ROWS(AE$198:AE208)-1)+1),"")</f>
        <v>0</v>
      </c>
      <c r="AF208" s="408"/>
      <c r="AG208" s="408"/>
      <c r="AH208" s="408"/>
      <c r="AI208" s="178">
        <f>IFERROR(INDEX('M04-S04'!$B$18:$B$199,2*(ROWS(AI$198:AI208)-1)+1),"")</f>
        <v>0</v>
      </c>
      <c r="AJ208" s="325"/>
      <c r="AK208" s="178">
        <f>IFERROR(INDEX('M04-S04'!$F$18:$F$199,2*(ROWS(AK$198:AK208)-1)+1),"")</f>
        <v>0</v>
      </c>
      <c r="AL208" s="178">
        <f>IFERROR(INDEX('M04-S04'!$L$18:$L$199,2*(ROWS(AL$198:AL208)-1)+1),"")</f>
        <v>0</v>
      </c>
      <c r="AM208" s="178">
        <f>IFERROR(INDEX('M04-S04'!$T$18:$T$199,2*(ROWS(AM$198:AM208)-1)+1),"")</f>
        <v>0</v>
      </c>
      <c r="AN208" s="200">
        <f>IFERROR(INDEX('M04-S04'!$AT$18:$AT$199,2*(ROWS(AN$198:AN208)-1)+1),"")</f>
        <v>0</v>
      </c>
      <c r="AO208" s="200">
        <f>IFERROR(INDEX('M04-S04'!$AU$18:$AU$199,2*(ROWS(AO$198:AO208)-1)+1),"")</f>
        <v>0</v>
      </c>
      <c r="AP208" s="178">
        <f>IFERROR(INDEX('M04-S04'!$AV$18:$AV$199,2*(ROWS(AP$198:AP208)-1)+1),"")</f>
        <v>0</v>
      </c>
      <c r="AQ208" s="178">
        <f>IFERROR(INDEX('M04-S04'!$AY$18:$AY$199,2*(ROWS(AQ$198:AQ208)-1)+1),"")</f>
        <v>0</v>
      </c>
      <c r="AR208" s="178" t="s">
        <v>1374</v>
      </c>
      <c r="AS208" s="178"/>
      <c r="AT208" s="278"/>
      <c r="AU208" s="278"/>
      <c r="AV208" s="278"/>
      <c r="AW208" s="278"/>
      <c r="AX208" s="278"/>
      <c r="AY208" s="278"/>
      <c r="AZ208" s="278"/>
      <c r="BA208" s="278"/>
      <c r="BB208" s="278"/>
      <c r="BC208" s="278"/>
      <c r="BD208" s="278"/>
      <c r="BE208" s="279"/>
      <c r="BL208" s="180"/>
      <c r="BP208" s="180"/>
      <c r="BQ208" s="180"/>
      <c r="BR208" s="180"/>
      <c r="CD208" s="180"/>
      <c r="CE208" s="180"/>
      <c r="CF208" s="180"/>
      <c r="CH208" s="180"/>
      <c r="CI208" s="180"/>
      <c r="CJ208" s="180"/>
      <c r="CK208" s="180"/>
      <c r="CL208" s="180"/>
      <c r="CM208" s="180"/>
      <c r="CN208" s="180"/>
      <c r="CQ208" s="180"/>
      <c r="CR208" s="180"/>
      <c r="CS208" s="180"/>
      <c r="DS208" s="180"/>
      <c r="DT208" s="180"/>
      <c r="DU208" s="180"/>
    </row>
    <row r="209" spans="1:125" s="54" customFormat="1" hidden="1">
      <c r="A209" s="135">
        <f t="shared" si="20"/>
        <v>0</v>
      </c>
      <c r="B209" s="178" t="str">
        <f t="shared" si="21"/>
        <v/>
      </c>
      <c r="C209" s="178" t="str">
        <f>IFERROR(IF(INDEX('M04-S04'!$BH$18:$BH$199,2*(ROWS($C$198:C209)-1)+1)="","",INDEX('M04-S04'!$BH$18:$BH$199,2*(ROWS($C$198:C209)-1)+1)),"")</f>
        <v/>
      </c>
      <c r="D209" s="180" t="s">
        <v>144</v>
      </c>
      <c r="E209" s="178">
        <f>IFERROR(INDEX('M04-S04'!$AZ$18:$AZ$199,2*(ROWS(E$198:E209)-1)+1),"")</f>
        <v>0</v>
      </c>
      <c r="F209" s="408"/>
      <c r="G209" s="325"/>
      <c r="H209" s="200" t="str">
        <f>IFERROR(IF(AC209&lt;&gt;"","",INDEX('M04-S04'!$AD$18:$AD$199,2*(ROWS(H$198:H209)-1)+1)),"")</f>
        <v/>
      </c>
      <c r="I209" s="200" t="str">
        <f>IFERROR(IF(AC209&lt;&gt;"","",INDEX('M04-S04'!$AF$18:$AF$199,2*(ROWS(I$198:I209)-1)+1)),"")</f>
        <v/>
      </c>
      <c r="J209" s="200" t="str">
        <f>IFERROR(IF(AC209&lt;&gt;"","",INDEX('M04-S04'!$AH$18:$AH$199,2*(ROWS(J$198:J209)-1)+1)),"")</f>
        <v/>
      </c>
      <c r="K209" s="178" t="str">
        <f>IFERROR(IF(AC209&lt;&gt;"","",INDEX('M04-S04'!$AB$18:$AB$199,2*(ROWS(J$198:J209)-1)+1)),"")</f>
        <v/>
      </c>
      <c r="L209" s="116" t="str">
        <f>IFERROR(IF(AC209&lt;&gt;"","",ROUND(INDEX('M04-S04'!$P$18:$P$199,2*(ROWS(L$198:L209)-1)+1),3)),"")</f>
        <v/>
      </c>
      <c r="M209" s="116" t="str">
        <f>IFERROR(IF(AC209&lt;&gt;"","",ROUND(INDEX('M04-S04'!$X$18:$X$199,2*(ROWS(M$198:M209)-1)+1),3)),"")</f>
        <v/>
      </c>
      <c r="N209" s="418"/>
      <c r="O209" s="415" t="str">
        <f>IFERROR(IF(AC209&lt;&gt;"","",INDEX('M04-S04'!$AK$18:$AK$199,2*(ROWS(O$198:O209)-1)+1)),"")</f>
        <v/>
      </c>
      <c r="P209" s="408"/>
      <c r="Q209" s="415" t="str">
        <f>IFERROR(IF(AC209&lt;&gt;"","",INDEX('M04-S04'!$BA$18:$BA$199,2*(ROWS(Q$198:Q209)-1)+1)),"")</f>
        <v/>
      </c>
      <c r="R209" s="200" t="str">
        <f>IFERROR(IF(AC209&lt;&gt;"","",INDEX('M04-S04'!$AN$18:$AN$199,2*(ROWS(R$198:R209)-1)+1)),"")</f>
        <v/>
      </c>
      <c r="S209" s="200">
        <f>IFERROR(IF(AC209&lt;&gt;"",INDEX('M04-S04'!$AD$18:$AD$199,2*(ROWS(S$198:S209)-1)+1),""),"")</f>
        <v>0</v>
      </c>
      <c r="T209" s="200">
        <f>IFERROR(IF(AC209&lt;&gt;"",INDEX('M04-S04'!$AF$18:$AF$199,2*(ROWS(T$198:T209)-1)+1),""),"")</f>
        <v>0</v>
      </c>
      <c r="U209" s="200">
        <f>IFERROR(IF(AC209&lt;&gt;"",INDEX('M04-S04'!$AH$18:$AH$199,2*(ROWS(U$198:U209)-1)+1),""),"")</f>
        <v>0</v>
      </c>
      <c r="V209" s="178">
        <f>IFERROR(IF(AC209&lt;&gt;"",INDEX('M04-S04'!$AB$18:$AB$199,2*(ROWS(V$198:V209)-1)+1),""),"")</f>
        <v>0</v>
      </c>
      <c r="W209" s="116">
        <f>IFERROR(IF(AC209&lt;&gt;"",ROUND(INDEX('M04-S04'!$P$18:$P$199,2*(ROWS(W$198:W209)-1)+1),3),""),"")</f>
        <v>0</v>
      </c>
      <c r="X209" s="116">
        <f>IFERROR(IF(AC209&lt;&gt;"",ROUND(INDEX('M04-S04'!$Z$18:$Z$199,2*(ROWS(X$198:X209)-1)+1),3),""),"")</f>
        <v>0</v>
      </c>
      <c r="Y209" s="408"/>
      <c r="Z209" s="173">
        <f>IFERROR(IF(AC209&lt;&gt;"",INDEX('M04-S04'!$AK$18:$AK$199,2*(ROWS(Z$198:Z209)-1)+1),""),"")</f>
        <v>0</v>
      </c>
      <c r="AA209" s="408"/>
      <c r="AB209" s="415">
        <f>IFERROR(IF(AC209&lt;&gt;"",INDEX('M04-S04'!$BA$18:$BA$199,2*(ROWS(AB$198:AB209)-1)+1),""),"")</f>
        <v>0</v>
      </c>
      <c r="AC209" s="178">
        <f>IFERROR(INDEX('M04-S04'!$BJ$18:$BJ$199,2*(ROWS(AC$198:AC209)-1)+1),"")</f>
        <v>0</v>
      </c>
      <c r="AD209" s="415">
        <f>IFERROR(INDEX('M04-S04'!$AW$18:$AW$199,2*(ROWS(AD$198:AD209)-1)+1),"")</f>
        <v>0</v>
      </c>
      <c r="AE209" s="415">
        <f>IFERROR(INDEX('M04-S04'!$AX$18:$AX$199,2*(ROWS(AE$198:AE209)-1)+1),"")</f>
        <v>0</v>
      </c>
      <c r="AF209" s="408"/>
      <c r="AG209" s="408"/>
      <c r="AH209" s="408"/>
      <c r="AI209" s="178">
        <f>IFERROR(INDEX('M04-S04'!$B$18:$B$199,2*(ROWS(AI$198:AI209)-1)+1),"")</f>
        <v>0</v>
      </c>
      <c r="AJ209" s="325"/>
      <c r="AK209" s="178">
        <f>IFERROR(INDEX('M04-S04'!$F$18:$F$199,2*(ROWS(AK$198:AK209)-1)+1),"")</f>
        <v>0</v>
      </c>
      <c r="AL209" s="178">
        <f>IFERROR(INDEX('M04-S04'!$L$18:$L$199,2*(ROWS(AL$198:AL209)-1)+1),"")</f>
        <v>0</v>
      </c>
      <c r="AM209" s="178">
        <f>IFERROR(INDEX('M04-S04'!$T$18:$T$199,2*(ROWS(AM$198:AM209)-1)+1),"")</f>
        <v>0</v>
      </c>
      <c r="AN209" s="200">
        <f>IFERROR(INDEX('M04-S04'!$AT$18:$AT$199,2*(ROWS(AN$198:AN209)-1)+1),"")</f>
        <v>0</v>
      </c>
      <c r="AO209" s="200">
        <f>IFERROR(INDEX('M04-S04'!$AU$18:$AU$199,2*(ROWS(AO$198:AO209)-1)+1),"")</f>
        <v>0</v>
      </c>
      <c r="AP209" s="178">
        <f>IFERROR(INDEX('M04-S04'!$AV$18:$AV$199,2*(ROWS(AP$198:AP209)-1)+1),"")</f>
        <v>0</v>
      </c>
      <c r="AQ209" s="178">
        <f>IFERROR(INDEX('M04-S04'!$AY$18:$AY$199,2*(ROWS(AQ$198:AQ209)-1)+1),"")</f>
        <v>0</v>
      </c>
      <c r="AR209" s="178" t="s">
        <v>1374</v>
      </c>
      <c r="AS209" s="178"/>
      <c r="AT209" s="278"/>
      <c r="AU209" s="278"/>
      <c r="AV209" s="278"/>
      <c r="AW209" s="278"/>
      <c r="AX209" s="278"/>
      <c r="AY209" s="278"/>
      <c r="AZ209" s="278"/>
      <c r="BA209" s="278"/>
      <c r="BB209" s="278"/>
      <c r="BC209" s="278"/>
      <c r="BD209" s="278"/>
      <c r="BE209" s="279"/>
      <c r="BL209" s="180"/>
      <c r="BP209" s="180"/>
      <c r="BQ209" s="180"/>
      <c r="BR209" s="180"/>
      <c r="CD209" s="180"/>
      <c r="CE209" s="180"/>
      <c r="CF209" s="180"/>
      <c r="CH209" s="180"/>
      <c r="CI209" s="180"/>
      <c r="CJ209" s="180"/>
      <c r="CK209" s="180"/>
      <c r="CL209" s="180"/>
      <c r="CM209" s="180"/>
      <c r="CN209" s="180"/>
      <c r="CQ209" s="180"/>
      <c r="CR209" s="180"/>
      <c r="CS209" s="180"/>
      <c r="DS209" s="180"/>
      <c r="DT209" s="180"/>
      <c r="DU209" s="180"/>
    </row>
    <row r="210" spans="1:125" s="54" customFormat="1" hidden="1">
      <c r="A210" s="135">
        <f t="shared" si="20"/>
        <v>0</v>
      </c>
      <c r="B210" s="178" t="str">
        <f t="shared" si="21"/>
        <v/>
      </c>
      <c r="C210" s="178" t="str">
        <f>IFERROR(IF(INDEX('M04-S04'!$BH$18:$BH$199,2*(ROWS($C$198:C210)-1)+1)="","",INDEX('M04-S04'!$BH$18:$BH$199,2*(ROWS($C$198:C210)-1)+1)),"")</f>
        <v/>
      </c>
      <c r="D210" s="180" t="s">
        <v>144</v>
      </c>
      <c r="E210" s="178">
        <f>IFERROR(INDEX('M04-S04'!$AZ$18:$AZ$199,2*(ROWS(E$198:E210)-1)+1),"")</f>
        <v>0</v>
      </c>
      <c r="F210" s="408"/>
      <c r="G210" s="325"/>
      <c r="H210" s="200" t="str">
        <f>IFERROR(IF(AC210&lt;&gt;"","",INDEX('M04-S04'!$AD$18:$AD$199,2*(ROWS(H$198:H210)-1)+1)),"")</f>
        <v/>
      </c>
      <c r="I210" s="200" t="str">
        <f>IFERROR(IF(AC210&lt;&gt;"","",INDEX('M04-S04'!$AF$18:$AF$199,2*(ROWS(I$198:I210)-1)+1)),"")</f>
        <v/>
      </c>
      <c r="J210" s="200" t="str">
        <f>IFERROR(IF(AC210&lt;&gt;"","",INDEX('M04-S04'!$AH$18:$AH$199,2*(ROWS(J$198:J210)-1)+1)),"")</f>
        <v/>
      </c>
      <c r="K210" s="178" t="str">
        <f>IFERROR(IF(AC210&lt;&gt;"","",INDEX('M04-S04'!$AB$18:$AB$199,2*(ROWS(J$198:J210)-1)+1)),"")</f>
        <v/>
      </c>
      <c r="L210" s="116" t="str">
        <f>IFERROR(IF(AC210&lt;&gt;"","",ROUND(INDEX('M04-S04'!$P$18:$P$199,2*(ROWS(L$198:L210)-1)+1),3)),"")</f>
        <v/>
      </c>
      <c r="M210" s="116" t="str">
        <f>IFERROR(IF(AC210&lt;&gt;"","",ROUND(INDEX('M04-S04'!$X$18:$X$199,2*(ROWS(M$198:M210)-1)+1),3)),"")</f>
        <v/>
      </c>
      <c r="N210" s="418"/>
      <c r="O210" s="415" t="str">
        <f>IFERROR(IF(AC210&lt;&gt;"","",INDEX('M04-S04'!$AK$18:$AK$199,2*(ROWS(O$198:O210)-1)+1)),"")</f>
        <v/>
      </c>
      <c r="P210" s="408"/>
      <c r="Q210" s="415" t="str">
        <f>IFERROR(IF(AC210&lt;&gt;"","",INDEX('M04-S04'!$BA$18:$BA$199,2*(ROWS(Q$198:Q210)-1)+1)),"")</f>
        <v/>
      </c>
      <c r="R210" s="200" t="str">
        <f>IFERROR(IF(AC210&lt;&gt;"","",INDEX('M04-S04'!$AN$18:$AN$199,2*(ROWS(R$198:R210)-1)+1)),"")</f>
        <v/>
      </c>
      <c r="S210" s="200">
        <f>IFERROR(IF(AC210&lt;&gt;"",INDEX('M04-S04'!$AD$18:$AD$199,2*(ROWS(S$198:S210)-1)+1),""),"")</f>
        <v>0</v>
      </c>
      <c r="T210" s="200">
        <f>IFERROR(IF(AC210&lt;&gt;"",INDEX('M04-S04'!$AF$18:$AF$199,2*(ROWS(T$198:T210)-1)+1),""),"")</f>
        <v>0</v>
      </c>
      <c r="U210" s="200">
        <f>IFERROR(IF(AC210&lt;&gt;"",INDEX('M04-S04'!$AH$18:$AH$199,2*(ROWS(U$198:U210)-1)+1),""),"")</f>
        <v>0</v>
      </c>
      <c r="V210" s="178">
        <f>IFERROR(IF(AC210&lt;&gt;"",INDEX('M04-S04'!$AB$18:$AB$199,2*(ROWS(V$198:V210)-1)+1),""),"")</f>
        <v>0</v>
      </c>
      <c r="W210" s="116">
        <f>IFERROR(IF(AC210&lt;&gt;"",ROUND(INDEX('M04-S04'!$P$18:$P$199,2*(ROWS(W$198:W210)-1)+1),3),""),"")</f>
        <v>0</v>
      </c>
      <c r="X210" s="116">
        <f>IFERROR(IF(AC210&lt;&gt;"",ROUND(INDEX('M04-S04'!$Z$18:$Z$199,2*(ROWS(X$198:X210)-1)+1),3),""),"")</f>
        <v>0</v>
      </c>
      <c r="Y210" s="408"/>
      <c r="Z210" s="173">
        <f>IFERROR(IF(AC210&lt;&gt;"",INDEX('M04-S04'!$AK$18:$AK$199,2*(ROWS(Z$198:Z210)-1)+1),""),"")</f>
        <v>0</v>
      </c>
      <c r="AA210" s="408"/>
      <c r="AB210" s="415">
        <f>IFERROR(IF(AC210&lt;&gt;"",INDEX('M04-S04'!$BA$18:$BA$199,2*(ROWS(AB$198:AB210)-1)+1),""),"")</f>
        <v>0</v>
      </c>
      <c r="AC210" s="178">
        <f>IFERROR(INDEX('M04-S04'!$BJ$18:$BJ$199,2*(ROWS(AC$198:AC210)-1)+1),"")</f>
        <v>0</v>
      </c>
      <c r="AD210" s="415">
        <f>IFERROR(INDEX('M04-S04'!$AW$18:$AW$199,2*(ROWS(AD$198:AD210)-1)+1),"")</f>
        <v>0</v>
      </c>
      <c r="AE210" s="415">
        <f>IFERROR(INDEX('M04-S04'!$AX$18:$AX$199,2*(ROWS(AE$198:AE210)-1)+1),"")</f>
        <v>0</v>
      </c>
      <c r="AF210" s="408"/>
      <c r="AG210" s="408"/>
      <c r="AH210" s="408"/>
      <c r="AI210" s="178">
        <f>IFERROR(INDEX('M04-S04'!$B$18:$B$199,2*(ROWS(AI$198:AI210)-1)+1),"")</f>
        <v>0</v>
      </c>
      <c r="AJ210" s="325"/>
      <c r="AK210" s="178">
        <f>IFERROR(INDEX('M04-S04'!$F$18:$F$199,2*(ROWS(AK$198:AK210)-1)+1),"")</f>
        <v>0</v>
      </c>
      <c r="AL210" s="178">
        <f>IFERROR(INDEX('M04-S04'!$L$18:$L$199,2*(ROWS(AL$198:AL210)-1)+1),"")</f>
        <v>0</v>
      </c>
      <c r="AM210" s="178">
        <f>IFERROR(INDEX('M04-S04'!$T$18:$T$199,2*(ROWS(AM$198:AM210)-1)+1),"")</f>
        <v>0</v>
      </c>
      <c r="AN210" s="200">
        <f>IFERROR(INDEX('M04-S04'!$AT$18:$AT$199,2*(ROWS(AN$198:AN210)-1)+1),"")</f>
        <v>0</v>
      </c>
      <c r="AO210" s="200">
        <f>IFERROR(INDEX('M04-S04'!$AU$18:$AU$199,2*(ROWS(AO$198:AO210)-1)+1),"")</f>
        <v>0</v>
      </c>
      <c r="AP210" s="178">
        <f>IFERROR(INDEX('M04-S04'!$AV$18:$AV$199,2*(ROWS(AP$198:AP210)-1)+1),"")</f>
        <v>0</v>
      </c>
      <c r="AQ210" s="178">
        <f>IFERROR(INDEX('M04-S04'!$AY$18:$AY$199,2*(ROWS(AQ$198:AQ210)-1)+1),"")</f>
        <v>0</v>
      </c>
      <c r="AR210" s="178" t="s">
        <v>1374</v>
      </c>
      <c r="AS210" s="178"/>
      <c r="AT210" s="278"/>
      <c r="AU210" s="278"/>
      <c r="AV210" s="278"/>
      <c r="AW210" s="278"/>
      <c r="AX210" s="278"/>
      <c r="AY210" s="278"/>
      <c r="AZ210" s="278"/>
      <c r="BA210" s="278"/>
      <c r="BB210" s="278"/>
      <c r="BC210" s="278"/>
      <c r="BD210" s="278"/>
      <c r="BE210" s="279"/>
      <c r="BL210" s="180"/>
      <c r="BP210" s="180"/>
      <c r="BQ210" s="180"/>
      <c r="BR210" s="180"/>
      <c r="CD210" s="180"/>
      <c r="CE210" s="180"/>
      <c r="CF210" s="180"/>
      <c r="CH210" s="180"/>
      <c r="CI210" s="180"/>
      <c r="CJ210" s="180"/>
      <c r="CK210" s="180"/>
      <c r="CL210" s="180"/>
      <c r="CM210" s="180"/>
      <c r="CN210" s="180"/>
      <c r="CQ210" s="180"/>
      <c r="CR210" s="180"/>
      <c r="CS210" s="180"/>
      <c r="DS210" s="180"/>
      <c r="DT210" s="180"/>
      <c r="DU210" s="180"/>
    </row>
    <row r="211" spans="1:125" s="54" customFormat="1" hidden="1">
      <c r="A211" s="135">
        <f t="shared" si="20"/>
        <v>0</v>
      </c>
      <c r="B211" s="178" t="str">
        <f t="shared" si="21"/>
        <v/>
      </c>
      <c r="C211" s="178" t="str">
        <f>IFERROR(IF(INDEX('M04-S04'!$BH$18:$BH$199,2*(ROWS($C$198:C211)-1)+1)="","",INDEX('M04-S04'!$BH$18:$BH$199,2*(ROWS($C$198:C211)-1)+1)),"")</f>
        <v/>
      </c>
      <c r="D211" s="180" t="s">
        <v>144</v>
      </c>
      <c r="E211" s="178">
        <f>IFERROR(INDEX('M04-S04'!$AZ$18:$AZ$199,2*(ROWS(E$198:E211)-1)+1),"")</f>
        <v>0</v>
      </c>
      <c r="F211" s="408"/>
      <c r="G211" s="325"/>
      <c r="H211" s="200" t="str">
        <f>IFERROR(IF(AC211&lt;&gt;"","",INDEX('M04-S04'!$AD$18:$AD$199,2*(ROWS(H$198:H211)-1)+1)),"")</f>
        <v/>
      </c>
      <c r="I211" s="200" t="str">
        <f>IFERROR(IF(AC211&lt;&gt;"","",INDEX('M04-S04'!$AF$18:$AF$199,2*(ROWS(I$198:I211)-1)+1)),"")</f>
        <v/>
      </c>
      <c r="J211" s="200" t="str">
        <f>IFERROR(IF(AC211&lt;&gt;"","",INDEX('M04-S04'!$AH$18:$AH$199,2*(ROWS(J$198:J211)-1)+1)),"")</f>
        <v/>
      </c>
      <c r="K211" s="178" t="str">
        <f>IFERROR(IF(AC211&lt;&gt;"","",INDEX('M04-S04'!$AB$18:$AB$199,2*(ROWS(J$198:J211)-1)+1)),"")</f>
        <v/>
      </c>
      <c r="L211" s="116" t="str">
        <f>IFERROR(IF(AC211&lt;&gt;"","",ROUND(INDEX('M04-S04'!$P$18:$P$199,2*(ROWS(L$198:L211)-1)+1),3)),"")</f>
        <v/>
      </c>
      <c r="M211" s="116" t="str">
        <f>IFERROR(IF(AC211&lt;&gt;"","",ROUND(INDEX('M04-S04'!$X$18:$X$199,2*(ROWS(M$198:M211)-1)+1),3)),"")</f>
        <v/>
      </c>
      <c r="N211" s="418"/>
      <c r="O211" s="415" t="str">
        <f>IFERROR(IF(AC211&lt;&gt;"","",INDEX('M04-S04'!$AK$18:$AK$199,2*(ROWS(O$198:O211)-1)+1)),"")</f>
        <v/>
      </c>
      <c r="P211" s="408"/>
      <c r="Q211" s="415" t="str">
        <f>IFERROR(IF(AC211&lt;&gt;"","",INDEX('M04-S04'!$BA$18:$BA$199,2*(ROWS(Q$198:Q211)-1)+1)),"")</f>
        <v/>
      </c>
      <c r="R211" s="200" t="str">
        <f>IFERROR(IF(AC211&lt;&gt;"","",INDEX('M04-S04'!$AN$18:$AN$199,2*(ROWS(R$198:R211)-1)+1)),"")</f>
        <v/>
      </c>
      <c r="S211" s="200">
        <f>IFERROR(IF(AC211&lt;&gt;"",INDEX('M04-S04'!$AD$18:$AD$199,2*(ROWS(S$198:S211)-1)+1),""),"")</f>
        <v>0</v>
      </c>
      <c r="T211" s="200">
        <f>IFERROR(IF(AC211&lt;&gt;"",INDEX('M04-S04'!$AF$18:$AF$199,2*(ROWS(T$198:T211)-1)+1),""),"")</f>
        <v>0</v>
      </c>
      <c r="U211" s="200">
        <f>IFERROR(IF(AC211&lt;&gt;"",INDEX('M04-S04'!$AH$18:$AH$199,2*(ROWS(U$198:U211)-1)+1),""),"")</f>
        <v>0</v>
      </c>
      <c r="V211" s="178">
        <f>IFERROR(IF(AC211&lt;&gt;"",INDEX('M04-S04'!$AB$18:$AB$199,2*(ROWS(V$198:V211)-1)+1),""),"")</f>
        <v>0</v>
      </c>
      <c r="W211" s="116">
        <f>IFERROR(IF(AC211&lt;&gt;"",ROUND(INDEX('M04-S04'!$P$18:$P$199,2*(ROWS(W$198:W211)-1)+1),3),""),"")</f>
        <v>0</v>
      </c>
      <c r="X211" s="116">
        <f>IFERROR(IF(AC211&lt;&gt;"",ROUND(INDEX('M04-S04'!$Z$18:$Z$199,2*(ROWS(X$198:X211)-1)+1),3),""),"")</f>
        <v>0</v>
      </c>
      <c r="Y211" s="408"/>
      <c r="Z211" s="173">
        <f>IFERROR(IF(AC211&lt;&gt;"",INDEX('M04-S04'!$AK$18:$AK$199,2*(ROWS(Z$198:Z211)-1)+1),""),"")</f>
        <v>0</v>
      </c>
      <c r="AA211" s="408"/>
      <c r="AB211" s="415">
        <f>IFERROR(IF(AC211&lt;&gt;"",INDEX('M04-S04'!$BA$18:$BA$199,2*(ROWS(AB$198:AB211)-1)+1),""),"")</f>
        <v>0</v>
      </c>
      <c r="AC211" s="178">
        <f>IFERROR(INDEX('M04-S04'!$BJ$18:$BJ$199,2*(ROWS(AC$198:AC211)-1)+1),"")</f>
        <v>0</v>
      </c>
      <c r="AD211" s="415">
        <f>IFERROR(INDEX('M04-S04'!$AW$18:$AW$199,2*(ROWS(AD$198:AD211)-1)+1),"")</f>
        <v>0</v>
      </c>
      <c r="AE211" s="415">
        <f>IFERROR(INDEX('M04-S04'!$AX$18:$AX$199,2*(ROWS(AE$198:AE211)-1)+1),"")</f>
        <v>0</v>
      </c>
      <c r="AF211" s="408"/>
      <c r="AG211" s="408"/>
      <c r="AH211" s="408"/>
      <c r="AI211" s="178">
        <f>IFERROR(INDEX('M04-S04'!$B$18:$B$199,2*(ROWS(AI$198:AI211)-1)+1),"")</f>
        <v>0</v>
      </c>
      <c r="AJ211" s="325"/>
      <c r="AK211" s="178">
        <f>IFERROR(INDEX('M04-S04'!$F$18:$F$199,2*(ROWS(AK$198:AK211)-1)+1),"")</f>
        <v>0</v>
      </c>
      <c r="AL211" s="178">
        <f>IFERROR(INDEX('M04-S04'!$L$18:$L$199,2*(ROWS(AL$198:AL211)-1)+1),"")</f>
        <v>0</v>
      </c>
      <c r="AM211" s="178">
        <f>IFERROR(INDEX('M04-S04'!$T$18:$T$199,2*(ROWS(AM$198:AM211)-1)+1),"")</f>
        <v>0</v>
      </c>
      <c r="AN211" s="200">
        <f>IFERROR(INDEX('M04-S04'!$AT$18:$AT$199,2*(ROWS(AN$198:AN211)-1)+1),"")</f>
        <v>0</v>
      </c>
      <c r="AO211" s="200">
        <f>IFERROR(INDEX('M04-S04'!$AU$18:$AU$199,2*(ROWS(AO$198:AO211)-1)+1),"")</f>
        <v>0</v>
      </c>
      <c r="AP211" s="178">
        <f>IFERROR(INDEX('M04-S04'!$AV$18:$AV$199,2*(ROWS(AP$198:AP211)-1)+1),"")</f>
        <v>0</v>
      </c>
      <c r="AQ211" s="178">
        <f>IFERROR(INDEX('M04-S04'!$AY$18:$AY$199,2*(ROWS(AQ$198:AQ211)-1)+1),"")</f>
        <v>0</v>
      </c>
      <c r="AR211" s="178" t="s">
        <v>1374</v>
      </c>
      <c r="AS211" s="178"/>
      <c r="AT211" s="278"/>
      <c r="AU211" s="278"/>
      <c r="AV211" s="278"/>
      <c r="AW211" s="278"/>
      <c r="AX211" s="278"/>
      <c r="AY211" s="278"/>
      <c r="AZ211" s="278"/>
      <c r="BA211" s="278"/>
      <c r="BB211" s="278"/>
      <c r="BC211" s="278"/>
      <c r="BD211" s="278"/>
      <c r="BE211" s="279"/>
      <c r="BL211" s="180"/>
      <c r="BP211" s="180"/>
      <c r="BQ211" s="180"/>
      <c r="BR211" s="180"/>
      <c r="CD211" s="180"/>
      <c r="CE211" s="180"/>
      <c r="CF211" s="180"/>
      <c r="CH211" s="180"/>
      <c r="CI211" s="180"/>
      <c r="CJ211" s="180"/>
      <c r="CK211" s="180"/>
      <c r="CL211" s="180"/>
      <c r="CM211" s="180"/>
      <c r="CN211" s="180"/>
      <c r="CQ211" s="180"/>
      <c r="CR211" s="180"/>
      <c r="CS211" s="180"/>
      <c r="DS211" s="180"/>
      <c r="DT211" s="180"/>
      <c r="DU211" s="180"/>
    </row>
    <row r="212" spans="1:125" s="54" customFormat="1" hidden="1">
      <c r="A212" s="135">
        <f t="shared" si="20"/>
        <v>0</v>
      </c>
      <c r="B212" s="178" t="str">
        <f t="shared" si="21"/>
        <v/>
      </c>
      <c r="C212" s="178" t="str">
        <f>IFERROR(IF(INDEX('M04-S04'!$BH$18:$BH$199,2*(ROWS($C$198:C212)-1)+1)="","",INDEX('M04-S04'!$BH$18:$BH$199,2*(ROWS($C$198:C212)-1)+1)),"")</f>
        <v/>
      </c>
      <c r="D212" s="180" t="s">
        <v>144</v>
      </c>
      <c r="E212" s="178">
        <f>IFERROR(INDEX('M04-S04'!$AZ$18:$AZ$199,2*(ROWS(E$198:E212)-1)+1),"")</f>
        <v>0</v>
      </c>
      <c r="F212" s="408"/>
      <c r="G212" s="325"/>
      <c r="H212" s="200" t="str">
        <f>IFERROR(IF(AC212&lt;&gt;"","",INDEX('M04-S04'!$AD$18:$AD$199,2*(ROWS(H$198:H212)-1)+1)),"")</f>
        <v/>
      </c>
      <c r="I212" s="200" t="str">
        <f>IFERROR(IF(AC212&lt;&gt;"","",INDEX('M04-S04'!$AF$18:$AF$199,2*(ROWS(I$198:I212)-1)+1)),"")</f>
        <v/>
      </c>
      <c r="J212" s="200" t="str">
        <f>IFERROR(IF(AC212&lt;&gt;"","",INDEX('M04-S04'!$AH$18:$AH$199,2*(ROWS(J$198:J212)-1)+1)),"")</f>
        <v/>
      </c>
      <c r="K212" s="178" t="str">
        <f>IFERROR(IF(AC212&lt;&gt;"","",INDEX('M04-S04'!$AB$18:$AB$199,2*(ROWS(J$198:J212)-1)+1)),"")</f>
        <v/>
      </c>
      <c r="L212" s="116" t="str">
        <f>IFERROR(IF(AC212&lt;&gt;"","",ROUND(INDEX('M04-S04'!$P$18:$P$199,2*(ROWS(L$198:L212)-1)+1),3)),"")</f>
        <v/>
      </c>
      <c r="M212" s="116" t="str">
        <f>IFERROR(IF(AC212&lt;&gt;"","",ROUND(INDEX('M04-S04'!$X$18:$X$199,2*(ROWS(M$198:M212)-1)+1),3)),"")</f>
        <v/>
      </c>
      <c r="N212" s="418"/>
      <c r="O212" s="415" t="str">
        <f>IFERROR(IF(AC212&lt;&gt;"","",INDEX('M04-S04'!$AK$18:$AK$199,2*(ROWS(O$198:O212)-1)+1)),"")</f>
        <v/>
      </c>
      <c r="P212" s="408"/>
      <c r="Q212" s="415" t="str">
        <f>IFERROR(IF(AC212&lt;&gt;"","",INDEX('M04-S04'!$BA$18:$BA$199,2*(ROWS(Q$198:Q212)-1)+1)),"")</f>
        <v/>
      </c>
      <c r="R212" s="200" t="str">
        <f>IFERROR(IF(AC212&lt;&gt;"","",INDEX('M04-S04'!$AN$18:$AN$199,2*(ROWS(R$198:R212)-1)+1)),"")</f>
        <v/>
      </c>
      <c r="S212" s="200">
        <f>IFERROR(IF(AC212&lt;&gt;"",INDEX('M04-S04'!$AD$18:$AD$199,2*(ROWS(S$198:S212)-1)+1),""),"")</f>
        <v>0</v>
      </c>
      <c r="T212" s="200">
        <f>IFERROR(IF(AC212&lt;&gt;"",INDEX('M04-S04'!$AF$18:$AF$199,2*(ROWS(T$198:T212)-1)+1),""),"")</f>
        <v>0</v>
      </c>
      <c r="U212" s="200">
        <f>IFERROR(IF(AC212&lt;&gt;"",INDEX('M04-S04'!$AH$18:$AH$199,2*(ROWS(U$198:U212)-1)+1),""),"")</f>
        <v>0</v>
      </c>
      <c r="V212" s="178">
        <f>IFERROR(IF(AC212&lt;&gt;"",INDEX('M04-S04'!$AB$18:$AB$199,2*(ROWS(V$198:V212)-1)+1),""),"")</f>
        <v>0</v>
      </c>
      <c r="W212" s="116">
        <f>IFERROR(IF(AC212&lt;&gt;"",ROUND(INDEX('M04-S04'!$P$18:$P$199,2*(ROWS(W$198:W212)-1)+1),3),""),"")</f>
        <v>0</v>
      </c>
      <c r="X212" s="116">
        <f>IFERROR(IF(AC212&lt;&gt;"",ROUND(INDEX('M04-S04'!$Z$18:$Z$199,2*(ROWS(X$198:X212)-1)+1),3),""),"")</f>
        <v>0</v>
      </c>
      <c r="Y212" s="408"/>
      <c r="Z212" s="173">
        <f>IFERROR(IF(AC212&lt;&gt;"",INDEX('M04-S04'!$AK$18:$AK$199,2*(ROWS(Z$198:Z212)-1)+1),""),"")</f>
        <v>0</v>
      </c>
      <c r="AA212" s="408"/>
      <c r="AB212" s="415">
        <f>IFERROR(IF(AC212&lt;&gt;"",INDEX('M04-S04'!$BA$18:$BA$199,2*(ROWS(AB$198:AB212)-1)+1),""),"")</f>
        <v>0</v>
      </c>
      <c r="AC212" s="178">
        <f>IFERROR(INDEX('M04-S04'!$BJ$18:$BJ$199,2*(ROWS(AC$198:AC212)-1)+1),"")</f>
        <v>0</v>
      </c>
      <c r="AD212" s="415">
        <f>IFERROR(INDEX('M04-S04'!$AW$18:$AW$199,2*(ROWS(AD$198:AD212)-1)+1),"")</f>
        <v>0</v>
      </c>
      <c r="AE212" s="415">
        <f>IFERROR(INDEX('M04-S04'!$AX$18:$AX$199,2*(ROWS(AE$198:AE212)-1)+1),"")</f>
        <v>0</v>
      </c>
      <c r="AF212" s="408"/>
      <c r="AG212" s="408"/>
      <c r="AH212" s="408"/>
      <c r="AI212" s="178">
        <f>IFERROR(INDEX('M04-S04'!$B$18:$B$199,2*(ROWS(AI$198:AI212)-1)+1),"")</f>
        <v>0</v>
      </c>
      <c r="AJ212" s="325"/>
      <c r="AK212" s="178">
        <f>IFERROR(INDEX('M04-S04'!$F$18:$F$199,2*(ROWS(AK$198:AK212)-1)+1),"")</f>
        <v>0</v>
      </c>
      <c r="AL212" s="178">
        <f>IFERROR(INDEX('M04-S04'!$L$18:$L$199,2*(ROWS(AL$198:AL212)-1)+1),"")</f>
        <v>0</v>
      </c>
      <c r="AM212" s="178">
        <f>IFERROR(INDEX('M04-S04'!$T$18:$T$199,2*(ROWS(AM$198:AM212)-1)+1),"")</f>
        <v>0</v>
      </c>
      <c r="AN212" s="200">
        <f>IFERROR(INDEX('M04-S04'!$AT$18:$AT$199,2*(ROWS(AN$198:AN212)-1)+1),"")</f>
        <v>0</v>
      </c>
      <c r="AO212" s="200">
        <f>IFERROR(INDEX('M04-S04'!$AU$18:$AU$199,2*(ROWS(AO$198:AO212)-1)+1),"")</f>
        <v>0</v>
      </c>
      <c r="AP212" s="178">
        <f>IFERROR(INDEX('M04-S04'!$AV$18:$AV$199,2*(ROWS(AP$198:AP212)-1)+1),"")</f>
        <v>0</v>
      </c>
      <c r="AQ212" s="178">
        <f>IFERROR(INDEX('M04-S04'!$AY$18:$AY$199,2*(ROWS(AQ$198:AQ212)-1)+1),"")</f>
        <v>0</v>
      </c>
      <c r="AR212" s="178" t="s">
        <v>1374</v>
      </c>
      <c r="AS212" s="178"/>
      <c r="AT212" s="278"/>
      <c r="AU212" s="278"/>
      <c r="AV212" s="278"/>
      <c r="AW212" s="278"/>
      <c r="AX212" s="278"/>
      <c r="AY212" s="278"/>
      <c r="AZ212" s="278"/>
      <c r="BA212" s="278"/>
      <c r="BB212" s="278"/>
      <c r="BC212" s="278"/>
      <c r="BD212" s="278"/>
      <c r="BE212" s="279"/>
      <c r="BL212" s="180"/>
      <c r="BP212" s="180"/>
      <c r="BQ212" s="180"/>
      <c r="BR212" s="180"/>
      <c r="CD212" s="180"/>
      <c r="CE212" s="180"/>
      <c r="CF212" s="180"/>
      <c r="CH212" s="180"/>
      <c r="CI212" s="180"/>
      <c r="CJ212" s="180"/>
      <c r="CK212" s="180"/>
      <c r="CL212" s="180"/>
      <c r="CM212" s="180"/>
      <c r="CN212" s="180"/>
      <c r="CQ212" s="180"/>
      <c r="CR212" s="180"/>
      <c r="CS212" s="180"/>
      <c r="DS212" s="180"/>
      <c r="DT212" s="180"/>
      <c r="DU212" s="180"/>
    </row>
    <row r="213" spans="1:125" s="180" customFormat="1">
      <c r="A213" s="430" t="str">
        <f>"Custom "&amp;M4S5</f>
        <v>Custom HVAC</v>
      </c>
      <c r="B213" s="63"/>
      <c r="C213" s="63"/>
      <c r="D213" s="63"/>
      <c r="E213" s="63"/>
      <c r="F213" s="409"/>
      <c r="G213" s="63"/>
      <c r="H213" s="404"/>
      <c r="I213" s="404"/>
      <c r="J213" s="404"/>
      <c r="K213" s="63"/>
      <c r="L213" s="412"/>
      <c r="M213" s="412"/>
      <c r="N213" s="416"/>
      <c r="O213" s="416"/>
      <c r="P213" s="416"/>
      <c r="Q213" s="416"/>
      <c r="R213" s="404"/>
      <c r="S213" s="404"/>
      <c r="T213" s="404"/>
      <c r="U213" s="404"/>
      <c r="V213" s="63"/>
      <c r="W213" s="412"/>
      <c r="X213" s="412"/>
      <c r="Y213" s="409"/>
      <c r="Z213" s="409"/>
      <c r="AA213" s="416"/>
      <c r="AB213" s="416"/>
      <c r="AC213" s="63"/>
      <c r="AD213" s="416"/>
      <c r="AE213" s="416"/>
      <c r="AF213" s="409"/>
      <c r="AG213" s="409"/>
      <c r="AH213" s="409"/>
      <c r="AI213" s="63"/>
      <c r="AJ213" s="63"/>
      <c r="AK213" s="177"/>
      <c r="AL213" s="63"/>
      <c r="AM213" s="63"/>
      <c r="AN213" s="404"/>
      <c r="AO213" s="404"/>
      <c r="AP213" s="63"/>
      <c r="AQ213" s="63"/>
      <c r="AR213" s="63"/>
      <c r="AS213" s="63"/>
      <c r="AT213" s="63"/>
      <c r="AU213" s="278"/>
      <c r="AV213" s="278"/>
      <c r="AW213" s="278"/>
      <c r="AX213" s="278"/>
      <c r="AY213" s="278"/>
      <c r="AZ213" s="278"/>
      <c r="BA213" s="278"/>
      <c r="BB213" s="278"/>
      <c r="BC213" s="278"/>
      <c r="BD213" s="278"/>
      <c r="BE213" s="279"/>
      <c r="BP213"/>
      <c r="BQ213"/>
      <c r="BR213"/>
      <c r="CH213"/>
      <c r="CI213"/>
      <c r="CJ213"/>
      <c r="CK213"/>
      <c r="CL213"/>
      <c r="CM213"/>
      <c r="CN213"/>
    </row>
    <row r="214" spans="1:125" s="54" customFormat="1" hidden="1">
      <c r="A214" s="135">
        <f t="shared" ref="A214:A228" si="22">PROJID</f>
        <v>0</v>
      </c>
      <c r="B214" s="178" t="str">
        <f>IF(C214="","",CONCATENATE(ROW(),"-",C214))</f>
        <v/>
      </c>
      <c r="C214" s="178" t="str">
        <f>IFERROR(IF(INDEX('M04-S05'!$BH$18:$BH$199,2*(ROWS($C$214:C214)-1)+1)="","",INDEX('M04-S05'!$BH$18:$BH$199,2*(ROWS($C$214:C214)-1)+1)),"")</f>
        <v/>
      </c>
      <c r="D214" s="180" t="s">
        <v>144</v>
      </c>
      <c r="E214" s="178" t="str">
        <f>IFERROR(INDEX('M04-S05'!$AZ$18:$AZ$199,2*(ROWS(E$214:E214)-1)+1),"")</f>
        <v/>
      </c>
      <c r="F214" s="408"/>
      <c r="G214" s="325"/>
      <c r="H214" s="200" t="str">
        <f ca="1">IFERROR(IF(AC214&lt;&gt;"","",INDEX('M04-S05'!$AD$18:$AD$199,2*(ROWS(H$214:H214)-1)+1)),"")</f>
        <v/>
      </c>
      <c r="I214" s="200" t="str">
        <f ca="1">IFERROR(IF(AC214&lt;&gt;"","",INDEX('M04-S05'!$AF$18:$AF$199,2*(ROWS(I$214:I214)-1)+1)),"")</f>
        <v/>
      </c>
      <c r="J214" s="200" t="str">
        <f ca="1">IFERROR(IF(AC214&lt;&gt;"","",INDEX('M04-S05'!$AH$18:$AH$199,2*(ROWS(J$214:J214)-1)+1)),"")</f>
        <v/>
      </c>
      <c r="K214" s="178" t="str">
        <f ca="1">IFERROR(IF(AC214&lt;&gt;"","",INDEX('M04-S05'!$AB$18:$AB$199,2*(ROWS(J$214:J214)-1)+1)),"")</f>
        <v/>
      </c>
      <c r="L214" s="116" t="str">
        <f ca="1">IFERROR(IF(AC214&lt;&gt;"","",ROUND(INDEX('M04-S05'!$P$18:$P$199,2*(ROWS(L$214:L214)-1)+1),3)),"")</f>
        <v/>
      </c>
      <c r="M214" s="116" t="str">
        <f ca="1">IFERROR(IF(AC214&lt;&gt;"","",ROUND(INDEX('M04-S05'!$X$18:$X$199,2*(ROWS(M$214:M214)-1)+1),3)),"")</f>
        <v/>
      </c>
      <c r="N214" s="418"/>
      <c r="O214" s="415" t="str">
        <f ca="1">IFERROR(IF(AC214&lt;&gt;"","",INDEX('M04-S05'!$AK$18:$AK$199,2*(ROWS(O$214:O214)-1)+1)),"")</f>
        <v/>
      </c>
      <c r="P214" s="408"/>
      <c r="Q214" s="415" t="str">
        <f ca="1">IFERROR(IF(AC214&lt;&gt;"","",INDEX('M04-S05'!$BA$18:$BA$199,2*(ROWS(Q$214:Q214)-1)+1)),"")</f>
        <v/>
      </c>
      <c r="R214" s="200" t="str">
        <f ca="1">IFERROR(IF(AC214&lt;&gt;"","",INDEX('M04-S05'!$AN$18:$AN$199,2*(ROWS(R$214:R214)-1)+1)),"")</f>
        <v/>
      </c>
      <c r="S214" s="200">
        <f ca="1">IFERROR(IF(AC214&lt;&gt;"",INDEX('M04-S05'!$AD$18:$AD$199,2*(ROWS(S$214:S214)-1)+1),""),"")</f>
        <v>0</v>
      </c>
      <c r="T214" s="200" t="str">
        <f ca="1">IFERROR(IF(AC214&lt;&gt;"",INDEX('M04-S05'!$AF$18:$AF$199,2*(ROWS(T$214:T214)-1)+1),""),"")</f>
        <v/>
      </c>
      <c r="U214" s="200" t="str">
        <f ca="1">IFERROR(IF(AC214&lt;&gt;"",INDEX('M04-S05'!$AH$18:$AH$199,2*(ROWS(U$214:U214)-1)+1),""),"")</f>
        <v/>
      </c>
      <c r="V214" s="178" t="str">
        <f ca="1">IFERROR(IF(AC214&lt;&gt;"",INDEX('M04-S05'!$AB$18:$AB$199,2*(ROWS(V$214:V214)-1)+1),""),"")</f>
        <v/>
      </c>
      <c r="W214" s="116">
        <f ca="1">IFERROR(IF(AC214&lt;&gt;"",ROUND(INDEX('M04-S05'!$P$18:$P$199,2*(ROWS(W$214:W214)-1)+1),3),""),"")</f>
        <v>0</v>
      </c>
      <c r="X214" s="116">
        <f ca="1">IFERROR(IF(AC214&lt;&gt;"",ROUND(INDEX('M04-S05'!$Z$18:$Z$199,2*(ROWS(X$214:X214)-1)+1),3),""),"")</f>
        <v>0</v>
      </c>
      <c r="Y214" s="408"/>
      <c r="Z214" s="173" t="str">
        <f ca="1">IFERROR(IF(AC214&lt;&gt;"",INDEX('M04-S05'!$AK$18:$AK$199,2*(ROWS(Z$214:Z214)-1)+1),""),"")</f>
        <v/>
      </c>
      <c r="AA214" s="408"/>
      <c r="AB214" s="415" t="str">
        <f ca="1">IFERROR(IF(AC214&lt;&gt;"",INDEX('M04-S05'!$BA$18:$BA$199,2*(ROWS(AB$214:AB214)-1)+1),""),"")</f>
        <v/>
      </c>
      <c r="AC214" s="178" t="str">
        <f ca="1">IFERROR(INDEX('M04-S05'!$BJ$18:$BJ$199,2*(ROWS(AC$214:AC214)-1)+1),"")</f>
        <v>Submit for Review</v>
      </c>
      <c r="AD214" s="415" t="str">
        <f>IFERROR(INDEX('M04-S05'!$AW$18:$AW$199,2*(ROWS(AD$214:AD214)-1)+1),"")</f>
        <v/>
      </c>
      <c r="AE214" s="415" t="str">
        <f>IFERROR(INDEX('M04-S05'!$AX$18:$AX$199,2*(ROWS(AE$214:AE214)-1)+1),"")</f>
        <v/>
      </c>
      <c r="AF214" s="408"/>
      <c r="AG214" s="408"/>
      <c r="AH214" s="408"/>
      <c r="AI214" s="178">
        <f>IFERROR(INDEX('M04-S05'!$B$18:$B$199,2*(ROWS(AI$214:AI214)-1)+1),"")</f>
        <v>1</v>
      </c>
      <c r="AJ214" s="325"/>
      <c r="AK214" s="178">
        <f>IFERROR(INDEX('M04-S05'!$F$18:$F$199,2*(ROWS(AK$214:AK214)-1)+1),"")</f>
        <v>0</v>
      </c>
      <c r="AL214" s="178">
        <f>IFERROR(INDEX('M04-S05'!$L$18:$L$199,2*(ROWS(AL$214:AL214)-1)+1),"")</f>
        <v>0</v>
      </c>
      <c r="AM214" s="178">
        <f>IFERROR(INDEX('M04-S05'!$T$18:$T$199,2*(ROWS(AM$214:AM214)-1)+1),"")</f>
        <v>0</v>
      </c>
      <c r="AN214" s="200" t="str">
        <f>IFERROR(INDEX('M04-S05'!$AT$18:$AT$199,2*(ROWS(AN$214:AN214)-1)+1),"")</f>
        <v/>
      </c>
      <c r="AO214" s="200" t="str">
        <f>IFERROR(INDEX('M04-S05'!$AU$18:$AU$199,2*(ROWS(AO$214:AO214)-1)+1),"")</f>
        <v/>
      </c>
      <c r="AP214" s="178" t="str">
        <f>IFERROR(INDEX('M04-S05'!$AV$18:$AV$199,2*(ROWS(AP$214:AP214)-1)+1),"")</f>
        <v/>
      </c>
      <c r="AQ214" s="178" t="str">
        <f>IFERROR(INDEX('M04-S05'!$AY$18:$AY$199,2*(ROWS(AQ$214:AQ214)-1)+1),"")</f>
        <v/>
      </c>
      <c r="AR214" s="178" t="s">
        <v>1374</v>
      </c>
      <c r="AS214" s="178"/>
      <c r="AT214" s="278"/>
      <c r="AU214" s="278"/>
      <c r="AV214" s="278"/>
      <c r="AW214" s="278"/>
      <c r="AX214" s="278"/>
      <c r="AY214" s="278"/>
      <c r="AZ214" s="278"/>
      <c r="BA214" s="278"/>
      <c r="BB214" s="278"/>
      <c r="BC214" s="278"/>
      <c r="BD214" s="278"/>
      <c r="BE214" s="279"/>
      <c r="BL214" s="180"/>
      <c r="BP214" s="180"/>
      <c r="BQ214" s="180"/>
      <c r="BR214" s="180"/>
      <c r="CD214" s="180"/>
      <c r="CE214" s="180"/>
      <c r="CF214" s="180"/>
      <c r="CH214" s="180"/>
      <c r="CI214" s="180"/>
      <c r="CJ214" s="180"/>
      <c r="CK214" s="180"/>
      <c r="CL214" s="180"/>
      <c r="CM214" s="180"/>
      <c r="CN214" s="180"/>
      <c r="CQ214" s="180"/>
      <c r="CR214" s="180"/>
      <c r="CS214" s="180"/>
      <c r="DS214" s="180"/>
      <c r="DT214" s="180"/>
      <c r="DU214" s="180"/>
    </row>
    <row r="215" spans="1:125" s="54" customFormat="1" hidden="1">
      <c r="A215" s="135">
        <f t="shared" si="22"/>
        <v>0</v>
      </c>
      <c r="B215" s="178" t="str">
        <f t="shared" ref="B215:B228" si="23">IF(C215="","",CONCATENATE(ROW(),"-",C215))</f>
        <v/>
      </c>
      <c r="C215" s="178" t="str">
        <f>IFERROR(IF(INDEX('M04-S05'!$BH$18:$BH$199,2*(ROWS($C$214:C215)-1)+1)="","",INDEX('M04-S05'!$BH$18:$BH$199,2*(ROWS($C$214:C215)-1)+1)),"")</f>
        <v/>
      </c>
      <c r="D215" s="180" t="s">
        <v>144</v>
      </c>
      <c r="E215" s="178" t="str">
        <f>IFERROR(INDEX('M04-S05'!$AZ$18:$AZ$199,2*(ROWS(E$214:E215)-1)+1),"")</f>
        <v/>
      </c>
      <c r="F215" s="408"/>
      <c r="G215" s="325"/>
      <c r="H215" s="200" t="str">
        <f ca="1">IFERROR(IF(AC215&lt;&gt;"","",INDEX('M04-S05'!$AD$18:$AD$199,2*(ROWS(H$214:H215)-1)+1)),"")</f>
        <v/>
      </c>
      <c r="I215" s="200" t="str">
        <f ca="1">IFERROR(IF(AC215&lt;&gt;"","",INDEX('M04-S05'!$AF$18:$AF$199,2*(ROWS(I$214:I215)-1)+1)),"")</f>
        <v/>
      </c>
      <c r="J215" s="200" t="str">
        <f ca="1">IFERROR(IF(AC215&lt;&gt;"","",INDEX('M04-S05'!$AH$18:$AH$199,2*(ROWS(J$214:J215)-1)+1)),"")</f>
        <v/>
      </c>
      <c r="K215" s="178" t="str">
        <f ca="1">IFERROR(IF(AC215&lt;&gt;"","",INDEX('M04-S05'!$AB$18:$AB$199,2*(ROWS(J$214:J215)-1)+1)),"")</f>
        <v/>
      </c>
      <c r="L215" s="116" t="str">
        <f ca="1">IFERROR(IF(AC215&lt;&gt;"","",ROUND(INDEX('M04-S05'!$P$18:$P$199,2*(ROWS(L$214:L215)-1)+1),3)),"")</f>
        <v/>
      </c>
      <c r="M215" s="116" t="str">
        <f ca="1">IFERROR(IF(AC215&lt;&gt;"","",ROUND(INDEX('M04-S05'!$X$18:$X$199,2*(ROWS(M$214:M215)-1)+1),3)),"")</f>
        <v/>
      </c>
      <c r="N215" s="418"/>
      <c r="O215" s="415" t="str">
        <f ca="1">IFERROR(IF(AC215&lt;&gt;"","",INDEX('M04-S05'!$AK$18:$AK$199,2*(ROWS(O$214:O215)-1)+1)),"")</f>
        <v/>
      </c>
      <c r="P215" s="408"/>
      <c r="Q215" s="415" t="str">
        <f ca="1">IFERROR(IF(AC215&lt;&gt;"","",INDEX('M04-S05'!$BA$18:$BA$199,2*(ROWS(Q$214:Q215)-1)+1)),"")</f>
        <v/>
      </c>
      <c r="R215" s="200" t="str">
        <f ca="1">IFERROR(IF(AC215&lt;&gt;"","",INDEX('M04-S05'!$AN$18:$AN$199,2*(ROWS(R$214:R215)-1)+1)),"")</f>
        <v/>
      </c>
      <c r="S215" s="200">
        <f ca="1">IFERROR(IF(AC215&lt;&gt;"",INDEX('M04-S05'!$AD$18:$AD$199,2*(ROWS(S$214:S215)-1)+1),""),"")</f>
        <v>0</v>
      </c>
      <c r="T215" s="200" t="str">
        <f ca="1">IFERROR(IF(AC215&lt;&gt;"",INDEX('M04-S05'!$AF$18:$AF$199,2*(ROWS(T$214:T215)-1)+1),""),"")</f>
        <v/>
      </c>
      <c r="U215" s="200" t="str">
        <f ca="1">IFERROR(IF(AC215&lt;&gt;"",INDEX('M04-S05'!$AH$18:$AH$199,2*(ROWS(U$214:U215)-1)+1),""),"")</f>
        <v/>
      </c>
      <c r="V215" s="178" t="str">
        <f ca="1">IFERROR(IF(AC215&lt;&gt;"",INDEX('M04-S05'!$AB$18:$AB$199,2*(ROWS(V$214:V215)-1)+1),""),"")</f>
        <v/>
      </c>
      <c r="W215" s="116">
        <f ca="1">IFERROR(IF(AC215&lt;&gt;"",ROUND(INDEX('M04-S05'!$P$18:$P$199,2*(ROWS(W$214:W215)-1)+1),3),""),"")</f>
        <v>0</v>
      </c>
      <c r="X215" s="116">
        <f ca="1">IFERROR(IF(AC215&lt;&gt;"",ROUND(INDEX('M04-S05'!$Z$18:$Z$199,2*(ROWS(X$214:X215)-1)+1),3),""),"")</f>
        <v>0</v>
      </c>
      <c r="Y215" s="408"/>
      <c r="Z215" s="173" t="str">
        <f ca="1">IFERROR(IF(AC215&lt;&gt;"",INDEX('M04-S05'!$AK$18:$AK$199,2*(ROWS(Z$214:Z215)-1)+1),""),"")</f>
        <v/>
      </c>
      <c r="AA215" s="408"/>
      <c r="AB215" s="415" t="str">
        <f ca="1">IFERROR(IF(AC215&lt;&gt;"",INDEX('M04-S05'!$BA$18:$BA$199,2*(ROWS(AB$214:AB215)-1)+1),""),"")</f>
        <v/>
      </c>
      <c r="AC215" s="178" t="str">
        <f ca="1">IFERROR(INDEX('M04-S05'!$BJ$18:$BJ$199,2*(ROWS(AC$214:AC215)-1)+1),"")</f>
        <v>Submit for Review</v>
      </c>
      <c r="AD215" s="415" t="str">
        <f>IFERROR(INDEX('M04-S05'!$AW$18:$AW$199,2*(ROWS(AD$214:AD215)-1)+1),"")</f>
        <v/>
      </c>
      <c r="AE215" s="415" t="str">
        <f>IFERROR(INDEX('M04-S05'!$AX$18:$AX$199,2*(ROWS(AE$214:AE215)-1)+1),"")</f>
        <v/>
      </c>
      <c r="AF215" s="408"/>
      <c r="AG215" s="408"/>
      <c r="AH215" s="408"/>
      <c r="AI215" s="178">
        <f>IFERROR(INDEX('M04-S05'!$B$18:$B$199,2*(ROWS(AI$214:AI215)-1)+1),"")</f>
        <v>2</v>
      </c>
      <c r="AJ215" s="325"/>
      <c r="AK215" s="178">
        <f>IFERROR(INDEX('M04-S05'!$F$18:$F$199,2*(ROWS(AK$214:AK215)-1)+1),"")</f>
        <v>0</v>
      </c>
      <c r="AL215" s="178">
        <f>IFERROR(INDEX('M04-S05'!$L$18:$L$199,2*(ROWS(AL$214:AL215)-1)+1),"")</f>
        <v>0</v>
      </c>
      <c r="AM215" s="178">
        <f>IFERROR(INDEX('M04-S05'!$T$18:$T$199,2*(ROWS(AM$214:AM215)-1)+1),"")</f>
        <v>0</v>
      </c>
      <c r="AN215" s="200" t="str">
        <f>IFERROR(INDEX('M04-S05'!$AT$18:$AT$199,2*(ROWS(AN$214:AN215)-1)+1),"")</f>
        <v/>
      </c>
      <c r="AO215" s="200" t="str">
        <f>IFERROR(INDEX('M04-S05'!$AU$18:$AU$199,2*(ROWS(AO$214:AO215)-1)+1),"")</f>
        <v/>
      </c>
      <c r="AP215" s="178" t="str">
        <f>IFERROR(INDEX('M04-S05'!$AV$18:$AV$199,2*(ROWS(AP$214:AP215)-1)+1),"")</f>
        <v/>
      </c>
      <c r="AQ215" s="178" t="str">
        <f>IFERROR(INDEX('M04-S05'!$AY$18:$AY$199,2*(ROWS(AQ$214:AQ215)-1)+1),"")</f>
        <v/>
      </c>
      <c r="AR215" s="178" t="s">
        <v>1374</v>
      </c>
      <c r="AS215" s="178"/>
      <c r="AT215" s="278"/>
      <c r="AU215" s="278"/>
      <c r="AV215" s="278"/>
      <c r="AW215" s="278"/>
      <c r="AX215" s="278"/>
      <c r="AY215" s="278"/>
      <c r="AZ215" s="278"/>
      <c r="BA215" s="278"/>
      <c r="BB215" s="278"/>
      <c r="BC215" s="278"/>
      <c r="BD215" s="278"/>
      <c r="BE215" s="279"/>
      <c r="BL215" s="180"/>
      <c r="BP215" s="180"/>
      <c r="BQ215" s="180"/>
      <c r="BR215" s="180"/>
      <c r="CD215" s="180"/>
      <c r="CE215" s="180"/>
      <c r="CF215" s="180"/>
      <c r="CH215" s="180"/>
      <c r="CI215" s="180"/>
      <c r="CJ215" s="180"/>
      <c r="CK215" s="180"/>
      <c r="CL215" s="180"/>
      <c r="CM215" s="180"/>
      <c r="CN215" s="180"/>
      <c r="CQ215" s="180"/>
      <c r="CR215" s="180"/>
      <c r="CS215" s="180"/>
      <c r="DS215" s="180"/>
      <c r="DT215" s="180"/>
      <c r="DU215" s="180"/>
    </row>
    <row r="216" spans="1:125" s="54" customFormat="1" hidden="1">
      <c r="A216" s="135">
        <f t="shared" si="22"/>
        <v>0</v>
      </c>
      <c r="B216" s="178" t="str">
        <f t="shared" si="23"/>
        <v/>
      </c>
      <c r="C216" s="178" t="str">
        <f>IFERROR(IF(INDEX('M04-S05'!$BH$18:$BH$199,2*(ROWS($C$214:C216)-1)+1)="","",INDEX('M04-S05'!$BH$18:$BH$199,2*(ROWS($C$214:C216)-1)+1)),"")</f>
        <v/>
      </c>
      <c r="D216" s="180" t="s">
        <v>144</v>
      </c>
      <c r="E216" s="178" t="str">
        <f>IFERROR(INDEX('M04-S05'!$AZ$18:$AZ$199,2*(ROWS(E$214:E216)-1)+1),"")</f>
        <v/>
      </c>
      <c r="F216" s="408"/>
      <c r="G216" s="325"/>
      <c r="H216" s="200" t="str">
        <f ca="1">IFERROR(IF(AC216&lt;&gt;"","",INDEX('M04-S05'!$AD$18:$AD$199,2*(ROWS(H$214:H216)-1)+1)),"")</f>
        <v/>
      </c>
      <c r="I216" s="200" t="str">
        <f ca="1">IFERROR(IF(AC216&lt;&gt;"","",INDEX('M04-S05'!$AF$18:$AF$199,2*(ROWS(I$214:I216)-1)+1)),"")</f>
        <v/>
      </c>
      <c r="J216" s="200" t="str">
        <f ca="1">IFERROR(IF(AC216&lt;&gt;"","",INDEX('M04-S05'!$AH$18:$AH$199,2*(ROWS(J$214:J216)-1)+1)),"")</f>
        <v/>
      </c>
      <c r="K216" s="178" t="str">
        <f ca="1">IFERROR(IF(AC216&lt;&gt;"","",INDEX('M04-S05'!$AB$18:$AB$199,2*(ROWS(J$214:J216)-1)+1)),"")</f>
        <v/>
      </c>
      <c r="L216" s="116" t="str">
        <f ca="1">IFERROR(IF(AC216&lt;&gt;"","",ROUND(INDEX('M04-S05'!$P$18:$P$199,2*(ROWS(L$214:L216)-1)+1),3)),"")</f>
        <v/>
      </c>
      <c r="M216" s="116" t="str">
        <f ca="1">IFERROR(IF(AC216&lt;&gt;"","",ROUND(INDEX('M04-S05'!$X$18:$X$199,2*(ROWS(M$214:M216)-1)+1),3)),"")</f>
        <v/>
      </c>
      <c r="N216" s="418"/>
      <c r="O216" s="415" t="str">
        <f ca="1">IFERROR(IF(AC216&lt;&gt;"","",INDEX('M04-S05'!$AK$18:$AK$199,2*(ROWS(O$214:O216)-1)+1)),"")</f>
        <v/>
      </c>
      <c r="P216" s="408"/>
      <c r="Q216" s="415" t="str">
        <f ca="1">IFERROR(IF(AC216&lt;&gt;"","",INDEX('M04-S05'!$BA$18:$BA$199,2*(ROWS(Q$214:Q216)-1)+1)),"")</f>
        <v/>
      </c>
      <c r="R216" s="200" t="str">
        <f ca="1">IFERROR(IF(AC216&lt;&gt;"","",INDEX('M04-S05'!$AN$18:$AN$199,2*(ROWS(R$214:R216)-1)+1)),"")</f>
        <v/>
      </c>
      <c r="S216" s="200">
        <f ca="1">IFERROR(IF(AC216&lt;&gt;"",INDEX('M04-S05'!$AD$18:$AD$199,2*(ROWS(S$214:S216)-1)+1),""),"")</f>
        <v>0</v>
      </c>
      <c r="T216" s="200" t="str">
        <f ca="1">IFERROR(IF(AC216&lt;&gt;"",INDEX('M04-S05'!$AF$18:$AF$199,2*(ROWS(T$214:T216)-1)+1),""),"")</f>
        <v/>
      </c>
      <c r="U216" s="200" t="str">
        <f ca="1">IFERROR(IF(AC216&lt;&gt;"",INDEX('M04-S05'!$AH$18:$AH$199,2*(ROWS(U$214:U216)-1)+1),""),"")</f>
        <v/>
      </c>
      <c r="V216" s="178" t="str">
        <f ca="1">IFERROR(IF(AC216&lt;&gt;"",INDEX('M04-S05'!$AB$18:$AB$199,2*(ROWS(V$214:V216)-1)+1),""),"")</f>
        <v/>
      </c>
      <c r="W216" s="116">
        <f ca="1">IFERROR(IF(AC216&lt;&gt;"",ROUND(INDEX('M04-S05'!$P$18:$P$199,2*(ROWS(W$214:W216)-1)+1),3),""),"")</f>
        <v>0</v>
      </c>
      <c r="X216" s="116">
        <f ca="1">IFERROR(IF(AC216&lt;&gt;"",ROUND(INDEX('M04-S05'!$Z$18:$Z$199,2*(ROWS(X$214:X216)-1)+1),3),""),"")</f>
        <v>0</v>
      </c>
      <c r="Y216" s="408"/>
      <c r="Z216" s="173" t="str">
        <f ca="1">IFERROR(IF(AC216&lt;&gt;"",INDEX('M04-S05'!$AK$18:$AK$199,2*(ROWS(Z$214:Z216)-1)+1),""),"")</f>
        <v/>
      </c>
      <c r="AA216" s="408"/>
      <c r="AB216" s="415" t="str">
        <f ca="1">IFERROR(IF(AC216&lt;&gt;"",INDEX('M04-S05'!$BA$18:$BA$199,2*(ROWS(AB$214:AB216)-1)+1),""),"")</f>
        <v/>
      </c>
      <c r="AC216" s="178" t="str">
        <f ca="1">IFERROR(INDEX('M04-S05'!$BJ$18:$BJ$199,2*(ROWS(AC$214:AC216)-1)+1),"")</f>
        <v>Submit for Review</v>
      </c>
      <c r="AD216" s="415" t="str">
        <f>IFERROR(INDEX('M04-S05'!$AW$18:$AW$199,2*(ROWS(AD$214:AD216)-1)+1),"")</f>
        <v/>
      </c>
      <c r="AE216" s="415" t="str">
        <f>IFERROR(INDEX('M04-S05'!$AX$18:$AX$199,2*(ROWS(AE$214:AE216)-1)+1),"")</f>
        <v/>
      </c>
      <c r="AF216" s="408"/>
      <c r="AG216" s="408"/>
      <c r="AH216" s="408"/>
      <c r="AI216" s="178">
        <f>IFERROR(INDEX('M04-S05'!$B$18:$B$199,2*(ROWS(AI$214:AI216)-1)+1),"")</f>
        <v>3</v>
      </c>
      <c r="AJ216" s="325"/>
      <c r="AK216" s="178">
        <f>IFERROR(INDEX('M04-S05'!$F$18:$F$199,2*(ROWS(AK$214:AK216)-1)+1),"")</f>
        <v>0</v>
      </c>
      <c r="AL216" s="178">
        <f>IFERROR(INDEX('M04-S05'!$L$18:$L$199,2*(ROWS(AL$214:AL216)-1)+1),"")</f>
        <v>0</v>
      </c>
      <c r="AM216" s="178">
        <f>IFERROR(INDEX('M04-S05'!$T$18:$T$199,2*(ROWS(AM$214:AM216)-1)+1),"")</f>
        <v>0</v>
      </c>
      <c r="AN216" s="200" t="str">
        <f>IFERROR(INDEX('M04-S05'!$AT$18:$AT$199,2*(ROWS(AN$214:AN216)-1)+1),"")</f>
        <v/>
      </c>
      <c r="AO216" s="200" t="str">
        <f>IFERROR(INDEX('M04-S05'!$AU$18:$AU$199,2*(ROWS(AO$214:AO216)-1)+1),"")</f>
        <v/>
      </c>
      <c r="AP216" s="178" t="str">
        <f>IFERROR(INDEX('M04-S05'!$AV$18:$AV$199,2*(ROWS(AP$214:AP216)-1)+1),"")</f>
        <v/>
      </c>
      <c r="AQ216" s="178" t="str">
        <f>IFERROR(INDEX('M04-S05'!$AY$18:$AY$199,2*(ROWS(AQ$214:AQ216)-1)+1),"")</f>
        <v/>
      </c>
      <c r="AR216" s="178" t="s">
        <v>1374</v>
      </c>
      <c r="AS216" s="178"/>
      <c r="AT216" s="278"/>
      <c r="AU216" s="278"/>
      <c r="AV216" s="278"/>
      <c r="AW216" s="278"/>
      <c r="AX216" s="278"/>
      <c r="AY216" s="278"/>
      <c r="AZ216" s="278"/>
      <c r="BA216" s="278"/>
      <c r="BB216" s="278"/>
      <c r="BC216" s="278"/>
      <c r="BD216" s="278"/>
      <c r="BE216" s="279"/>
      <c r="BL216" s="180"/>
      <c r="BP216" s="180"/>
      <c r="BQ216" s="180"/>
      <c r="BR216" s="180"/>
      <c r="CD216" s="180"/>
      <c r="CE216" s="180"/>
      <c r="CF216" s="180"/>
      <c r="CH216" s="180"/>
      <c r="CI216" s="180"/>
      <c r="CJ216" s="180"/>
      <c r="CK216" s="180"/>
      <c r="CL216" s="180"/>
      <c r="CM216" s="180"/>
      <c r="CN216" s="180"/>
      <c r="CQ216" s="180"/>
      <c r="CR216" s="180"/>
      <c r="CS216" s="180"/>
      <c r="DS216" s="180"/>
      <c r="DT216" s="180"/>
      <c r="DU216" s="180"/>
    </row>
    <row r="217" spans="1:125" s="54" customFormat="1" hidden="1">
      <c r="A217" s="135">
        <f t="shared" si="22"/>
        <v>0</v>
      </c>
      <c r="B217" s="178" t="str">
        <f t="shared" si="23"/>
        <v/>
      </c>
      <c r="C217" s="178" t="str">
        <f>IFERROR(IF(INDEX('M04-S05'!$BH$18:$BH$199,2*(ROWS($C$214:C217)-1)+1)="","",INDEX('M04-S05'!$BH$18:$BH$199,2*(ROWS($C$214:C217)-1)+1)),"")</f>
        <v/>
      </c>
      <c r="D217" s="180" t="s">
        <v>144</v>
      </c>
      <c r="E217" s="178" t="str">
        <f>IFERROR(INDEX('M04-S05'!$AZ$18:$AZ$199,2*(ROWS(E$214:E217)-1)+1),"")</f>
        <v/>
      </c>
      <c r="F217" s="408"/>
      <c r="G217" s="325"/>
      <c r="H217" s="200" t="str">
        <f ca="1">IFERROR(IF(AC217&lt;&gt;"","",INDEX('M04-S05'!$AD$18:$AD$199,2*(ROWS(H$214:H217)-1)+1)),"")</f>
        <v/>
      </c>
      <c r="I217" s="200" t="str">
        <f ca="1">IFERROR(IF(AC217&lt;&gt;"","",INDEX('M04-S05'!$AF$18:$AF$199,2*(ROWS(I$214:I217)-1)+1)),"")</f>
        <v/>
      </c>
      <c r="J217" s="200" t="str">
        <f ca="1">IFERROR(IF(AC217&lt;&gt;"","",INDEX('M04-S05'!$AH$18:$AH$199,2*(ROWS(J$214:J217)-1)+1)),"")</f>
        <v/>
      </c>
      <c r="K217" s="178" t="str">
        <f ca="1">IFERROR(IF(AC217&lt;&gt;"","",INDEX('M04-S05'!$AB$18:$AB$199,2*(ROWS(J$214:J217)-1)+1)),"")</f>
        <v/>
      </c>
      <c r="L217" s="116" t="str">
        <f ca="1">IFERROR(IF(AC217&lt;&gt;"","",ROUND(INDEX('M04-S05'!$P$18:$P$199,2*(ROWS(L$214:L217)-1)+1),3)),"")</f>
        <v/>
      </c>
      <c r="M217" s="116" t="str">
        <f ca="1">IFERROR(IF(AC217&lt;&gt;"","",ROUND(INDEX('M04-S05'!$X$18:$X$199,2*(ROWS(M$214:M217)-1)+1),3)),"")</f>
        <v/>
      </c>
      <c r="N217" s="418"/>
      <c r="O217" s="415" t="str">
        <f ca="1">IFERROR(IF(AC217&lt;&gt;"","",INDEX('M04-S05'!$AK$18:$AK$199,2*(ROWS(O$214:O217)-1)+1)),"")</f>
        <v/>
      </c>
      <c r="P217" s="408"/>
      <c r="Q217" s="415" t="str">
        <f ca="1">IFERROR(IF(AC217&lt;&gt;"","",INDEX('M04-S05'!$BA$18:$BA$199,2*(ROWS(Q$214:Q217)-1)+1)),"")</f>
        <v/>
      </c>
      <c r="R217" s="200" t="str">
        <f ca="1">IFERROR(IF(AC217&lt;&gt;"","",INDEX('M04-S05'!$AN$18:$AN$199,2*(ROWS(R$214:R217)-1)+1)),"")</f>
        <v/>
      </c>
      <c r="S217" s="200">
        <f ca="1">IFERROR(IF(AC217&lt;&gt;"",INDEX('M04-S05'!$AD$18:$AD$199,2*(ROWS(S$214:S217)-1)+1),""),"")</f>
        <v>0</v>
      </c>
      <c r="T217" s="200" t="str">
        <f ca="1">IFERROR(IF(AC217&lt;&gt;"",INDEX('M04-S05'!$AF$18:$AF$199,2*(ROWS(T$214:T217)-1)+1),""),"")</f>
        <v/>
      </c>
      <c r="U217" s="200" t="str">
        <f ca="1">IFERROR(IF(AC217&lt;&gt;"",INDEX('M04-S05'!$AH$18:$AH$199,2*(ROWS(U$214:U217)-1)+1),""),"")</f>
        <v/>
      </c>
      <c r="V217" s="178" t="str">
        <f ca="1">IFERROR(IF(AC217&lt;&gt;"",INDEX('M04-S05'!$AB$18:$AB$199,2*(ROWS(V$214:V217)-1)+1),""),"")</f>
        <v/>
      </c>
      <c r="W217" s="116">
        <f ca="1">IFERROR(IF(AC217&lt;&gt;"",ROUND(INDEX('M04-S05'!$P$18:$P$199,2*(ROWS(W$214:W217)-1)+1),3),""),"")</f>
        <v>0</v>
      </c>
      <c r="X217" s="116">
        <f ca="1">IFERROR(IF(AC217&lt;&gt;"",ROUND(INDEX('M04-S05'!$Z$18:$Z$199,2*(ROWS(X$214:X217)-1)+1),3),""),"")</f>
        <v>0</v>
      </c>
      <c r="Y217" s="408"/>
      <c r="Z217" s="173" t="str">
        <f ca="1">IFERROR(IF(AC217&lt;&gt;"",INDEX('M04-S05'!$AK$18:$AK$199,2*(ROWS(Z$214:Z217)-1)+1),""),"")</f>
        <v/>
      </c>
      <c r="AA217" s="408"/>
      <c r="AB217" s="415" t="str">
        <f ca="1">IFERROR(IF(AC217&lt;&gt;"",INDEX('M04-S05'!$BA$18:$BA$199,2*(ROWS(AB$214:AB217)-1)+1),""),"")</f>
        <v/>
      </c>
      <c r="AC217" s="178" t="str">
        <f ca="1">IFERROR(INDEX('M04-S05'!$BJ$18:$BJ$199,2*(ROWS(AC$214:AC217)-1)+1),"")</f>
        <v>Submit for Review</v>
      </c>
      <c r="AD217" s="415" t="str">
        <f>IFERROR(INDEX('M04-S05'!$AW$18:$AW$199,2*(ROWS(AD$214:AD217)-1)+1),"")</f>
        <v/>
      </c>
      <c r="AE217" s="415" t="str">
        <f>IFERROR(INDEX('M04-S05'!$AX$18:$AX$199,2*(ROWS(AE$214:AE217)-1)+1),"")</f>
        <v/>
      </c>
      <c r="AF217" s="408"/>
      <c r="AG217" s="408"/>
      <c r="AH217" s="408"/>
      <c r="AI217" s="178">
        <f>IFERROR(INDEX('M04-S05'!$B$18:$B$199,2*(ROWS(AI$214:AI217)-1)+1),"")</f>
        <v>4</v>
      </c>
      <c r="AJ217" s="325"/>
      <c r="AK217" s="178">
        <f>IFERROR(INDEX('M04-S05'!$F$18:$F$199,2*(ROWS(AK$214:AK217)-1)+1),"")</f>
        <v>0</v>
      </c>
      <c r="AL217" s="178">
        <f>IFERROR(INDEX('M04-S05'!$L$18:$L$199,2*(ROWS(AL$214:AL217)-1)+1),"")</f>
        <v>0</v>
      </c>
      <c r="AM217" s="178">
        <f>IFERROR(INDEX('M04-S05'!$T$18:$T$199,2*(ROWS(AM$214:AM217)-1)+1),"")</f>
        <v>0</v>
      </c>
      <c r="AN217" s="200" t="str">
        <f>IFERROR(INDEX('M04-S05'!$AT$18:$AT$199,2*(ROWS(AN$214:AN217)-1)+1),"")</f>
        <v/>
      </c>
      <c r="AO217" s="200" t="str">
        <f>IFERROR(INDEX('M04-S05'!$AU$18:$AU$199,2*(ROWS(AO$214:AO217)-1)+1),"")</f>
        <v/>
      </c>
      <c r="AP217" s="178" t="str">
        <f>IFERROR(INDEX('M04-S05'!$AV$18:$AV$199,2*(ROWS(AP$214:AP217)-1)+1),"")</f>
        <v/>
      </c>
      <c r="AQ217" s="178" t="str">
        <f>IFERROR(INDEX('M04-S05'!$AY$18:$AY$199,2*(ROWS(AQ$214:AQ217)-1)+1),"")</f>
        <v/>
      </c>
      <c r="AR217" s="178" t="s">
        <v>1374</v>
      </c>
      <c r="AS217" s="178"/>
      <c r="AT217" s="278"/>
      <c r="AU217" s="278"/>
      <c r="AV217" s="278"/>
      <c r="AW217" s="278"/>
      <c r="AX217" s="278"/>
      <c r="AY217" s="278"/>
      <c r="AZ217" s="278"/>
      <c r="BA217" s="278"/>
      <c r="BB217" s="278"/>
      <c r="BC217" s="278"/>
      <c r="BD217" s="278"/>
      <c r="BE217" s="279"/>
      <c r="BL217" s="180"/>
      <c r="BP217" s="180"/>
      <c r="BQ217" s="180"/>
      <c r="BR217" s="180"/>
      <c r="CD217" s="180"/>
      <c r="CE217" s="180"/>
      <c r="CF217" s="180"/>
      <c r="CH217" s="180"/>
      <c r="CI217" s="180"/>
      <c r="CJ217" s="180"/>
      <c r="CK217" s="180"/>
      <c r="CL217" s="180"/>
      <c r="CM217" s="180"/>
      <c r="CN217" s="180"/>
      <c r="CQ217" s="180"/>
      <c r="CR217" s="180"/>
      <c r="CS217" s="180"/>
      <c r="DS217" s="180"/>
      <c r="DT217" s="180"/>
      <c r="DU217" s="180"/>
    </row>
    <row r="218" spans="1:125" s="54" customFormat="1" hidden="1">
      <c r="A218" s="135">
        <f t="shared" si="22"/>
        <v>0</v>
      </c>
      <c r="B218" s="178" t="str">
        <f t="shared" si="23"/>
        <v/>
      </c>
      <c r="C218" s="178" t="str">
        <f>IFERROR(IF(INDEX('M04-S05'!$BH$18:$BH$199,2*(ROWS($C$214:C218)-1)+1)="","",INDEX('M04-S05'!$BH$18:$BH$199,2*(ROWS($C$214:C218)-1)+1)),"")</f>
        <v/>
      </c>
      <c r="D218" s="180" t="s">
        <v>144</v>
      </c>
      <c r="E218" s="178" t="str">
        <f>IFERROR(INDEX('M04-S05'!$AZ$18:$AZ$199,2*(ROWS(E$214:E218)-1)+1),"")</f>
        <v/>
      </c>
      <c r="F218" s="408"/>
      <c r="G218" s="325"/>
      <c r="H218" s="200" t="str">
        <f ca="1">IFERROR(IF(AC218&lt;&gt;"","",INDEX('M04-S05'!$AD$18:$AD$199,2*(ROWS(H$214:H218)-1)+1)),"")</f>
        <v/>
      </c>
      <c r="I218" s="200" t="str">
        <f ca="1">IFERROR(IF(AC218&lt;&gt;"","",INDEX('M04-S05'!$AF$18:$AF$199,2*(ROWS(I$214:I218)-1)+1)),"")</f>
        <v/>
      </c>
      <c r="J218" s="200" t="str">
        <f ca="1">IFERROR(IF(AC218&lt;&gt;"","",INDEX('M04-S05'!$AH$18:$AH$199,2*(ROWS(J$214:J218)-1)+1)),"")</f>
        <v/>
      </c>
      <c r="K218" s="178" t="str">
        <f ca="1">IFERROR(IF(AC218&lt;&gt;"","",INDEX('M04-S05'!$AB$18:$AB$199,2*(ROWS(J$214:J218)-1)+1)),"")</f>
        <v/>
      </c>
      <c r="L218" s="116" t="str">
        <f ca="1">IFERROR(IF(AC218&lt;&gt;"","",ROUND(INDEX('M04-S05'!$P$18:$P$199,2*(ROWS(L$214:L218)-1)+1),3)),"")</f>
        <v/>
      </c>
      <c r="M218" s="116" t="str">
        <f ca="1">IFERROR(IF(AC218&lt;&gt;"","",ROUND(INDEX('M04-S05'!$X$18:$X$199,2*(ROWS(M$214:M218)-1)+1),3)),"")</f>
        <v/>
      </c>
      <c r="N218" s="418"/>
      <c r="O218" s="415" t="str">
        <f ca="1">IFERROR(IF(AC218&lt;&gt;"","",INDEX('M04-S05'!$AK$18:$AK$199,2*(ROWS(O$214:O218)-1)+1)),"")</f>
        <v/>
      </c>
      <c r="P218" s="408"/>
      <c r="Q218" s="415" t="str">
        <f ca="1">IFERROR(IF(AC218&lt;&gt;"","",INDEX('M04-S05'!$BA$18:$BA$199,2*(ROWS(Q$214:Q218)-1)+1)),"")</f>
        <v/>
      </c>
      <c r="R218" s="200" t="str">
        <f ca="1">IFERROR(IF(AC218&lt;&gt;"","",INDEX('M04-S05'!$AN$18:$AN$199,2*(ROWS(R$214:R218)-1)+1)),"")</f>
        <v/>
      </c>
      <c r="S218" s="200">
        <f ca="1">IFERROR(IF(AC218&lt;&gt;"",INDEX('M04-S05'!$AD$18:$AD$199,2*(ROWS(S$214:S218)-1)+1),""),"")</f>
        <v>0</v>
      </c>
      <c r="T218" s="200" t="str">
        <f ca="1">IFERROR(IF(AC218&lt;&gt;"",INDEX('M04-S05'!$AF$18:$AF$199,2*(ROWS(T$214:T218)-1)+1),""),"")</f>
        <v/>
      </c>
      <c r="U218" s="200" t="str">
        <f ca="1">IFERROR(IF(AC218&lt;&gt;"",INDEX('M04-S05'!$AH$18:$AH$199,2*(ROWS(U$214:U218)-1)+1),""),"")</f>
        <v/>
      </c>
      <c r="V218" s="178" t="str">
        <f ca="1">IFERROR(IF(AC218&lt;&gt;"",INDEX('M04-S05'!$AB$18:$AB$199,2*(ROWS(V$214:V218)-1)+1),""),"")</f>
        <v/>
      </c>
      <c r="W218" s="116">
        <f ca="1">IFERROR(IF(AC218&lt;&gt;"",ROUND(INDEX('M04-S05'!$P$18:$P$199,2*(ROWS(W$214:W218)-1)+1),3),""),"")</f>
        <v>0</v>
      </c>
      <c r="X218" s="116">
        <f ca="1">IFERROR(IF(AC218&lt;&gt;"",ROUND(INDEX('M04-S05'!$Z$18:$Z$199,2*(ROWS(X$214:X218)-1)+1),3),""),"")</f>
        <v>0</v>
      </c>
      <c r="Y218" s="408"/>
      <c r="Z218" s="173" t="str">
        <f ca="1">IFERROR(IF(AC218&lt;&gt;"",INDEX('M04-S05'!$AK$18:$AK$199,2*(ROWS(Z$214:Z218)-1)+1),""),"")</f>
        <v/>
      </c>
      <c r="AA218" s="408"/>
      <c r="AB218" s="415" t="str">
        <f ca="1">IFERROR(IF(AC218&lt;&gt;"",INDEX('M04-S05'!$BA$18:$BA$199,2*(ROWS(AB$214:AB218)-1)+1),""),"")</f>
        <v/>
      </c>
      <c r="AC218" s="178" t="str">
        <f ca="1">IFERROR(INDEX('M04-S05'!$BJ$18:$BJ$199,2*(ROWS(AC$214:AC218)-1)+1),"")</f>
        <v>Submit for Review</v>
      </c>
      <c r="AD218" s="415" t="str">
        <f>IFERROR(INDEX('M04-S05'!$AW$18:$AW$199,2*(ROWS(AD$214:AD218)-1)+1),"")</f>
        <v/>
      </c>
      <c r="AE218" s="415" t="str">
        <f>IFERROR(INDEX('M04-S05'!$AX$18:$AX$199,2*(ROWS(AE$214:AE218)-1)+1),"")</f>
        <v/>
      </c>
      <c r="AF218" s="408"/>
      <c r="AG218" s="408"/>
      <c r="AH218" s="408"/>
      <c r="AI218" s="178">
        <f>IFERROR(INDEX('M04-S05'!$B$18:$B$199,2*(ROWS(AI$214:AI218)-1)+1),"")</f>
        <v>5</v>
      </c>
      <c r="AJ218" s="325"/>
      <c r="AK218" s="178">
        <f>IFERROR(INDEX('M04-S05'!$F$18:$F$199,2*(ROWS(AK$214:AK218)-1)+1),"")</f>
        <v>0</v>
      </c>
      <c r="AL218" s="178">
        <f>IFERROR(INDEX('M04-S05'!$L$18:$L$199,2*(ROWS(AL$214:AL218)-1)+1),"")</f>
        <v>0</v>
      </c>
      <c r="AM218" s="178">
        <f>IFERROR(INDEX('M04-S05'!$T$18:$T$199,2*(ROWS(AM$214:AM218)-1)+1),"")</f>
        <v>0</v>
      </c>
      <c r="AN218" s="200" t="str">
        <f>IFERROR(INDEX('M04-S05'!$AT$18:$AT$199,2*(ROWS(AN$214:AN218)-1)+1),"")</f>
        <v/>
      </c>
      <c r="AO218" s="200" t="str">
        <f>IFERROR(INDEX('M04-S05'!$AU$18:$AU$199,2*(ROWS(AO$214:AO218)-1)+1),"")</f>
        <v/>
      </c>
      <c r="AP218" s="178" t="str">
        <f>IFERROR(INDEX('M04-S05'!$AV$18:$AV$199,2*(ROWS(AP$214:AP218)-1)+1),"")</f>
        <v/>
      </c>
      <c r="AQ218" s="178" t="str">
        <f>IFERROR(INDEX('M04-S05'!$AY$18:$AY$199,2*(ROWS(AQ$214:AQ218)-1)+1),"")</f>
        <v/>
      </c>
      <c r="AR218" s="178" t="s">
        <v>1374</v>
      </c>
      <c r="AS218" s="178"/>
      <c r="AT218" s="278"/>
      <c r="AU218" s="278"/>
      <c r="AV218" s="278"/>
      <c r="AW218" s="278"/>
      <c r="AX218" s="278"/>
      <c r="AY218" s="278"/>
      <c r="AZ218" s="278"/>
      <c r="BA218" s="278"/>
      <c r="BB218" s="278"/>
      <c r="BC218" s="278"/>
      <c r="BD218" s="278"/>
      <c r="BE218" s="279"/>
      <c r="BL218" s="180"/>
      <c r="BP218" s="180"/>
      <c r="BQ218" s="180"/>
      <c r="BR218" s="180"/>
      <c r="CD218" s="180"/>
      <c r="CE218" s="180"/>
      <c r="CF218" s="180"/>
      <c r="CH218" s="180"/>
      <c r="CI218" s="180"/>
      <c r="CJ218" s="180"/>
      <c r="CK218" s="180"/>
      <c r="CL218" s="180"/>
      <c r="CM218" s="180"/>
      <c r="CN218" s="180"/>
      <c r="CQ218" s="180"/>
      <c r="CR218" s="180"/>
      <c r="CS218" s="180"/>
      <c r="DS218" s="180"/>
      <c r="DT218" s="180"/>
      <c r="DU218" s="180"/>
    </row>
    <row r="219" spans="1:125" s="54" customFormat="1" hidden="1">
      <c r="A219" s="135">
        <f t="shared" si="22"/>
        <v>0</v>
      </c>
      <c r="B219" s="178" t="str">
        <f t="shared" si="23"/>
        <v/>
      </c>
      <c r="C219" s="178" t="str">
        <f>IFERROR(IF(INDEX('M04-S05'!$BH$18:$BH$199,2*(ROWS($C$214:C219)-1)+1)="","",INDEX('M04-S05'!$BH$18:$BH$199,2*(ROWS($C$214:C219)-1)+1)),"")</f>
        <v/>
      </c>
      <c r="D219" s="180" t="s">
        <v>144</v>
      </c>
      <c r="E219" s="178" t="str">
        <f>IFERROR(INDEX('M04-S05'!$AZ$18:$AZ$199,2*(ROWS(E$214:E219)-1)+1),"")</f>
        <v/>
      </c>
      <c r="F219" s="408"/>
      <c r="G219" s="325"/>
      <c r="H219" s="200" t="str">
        <f ca="1">IFERROR(IF(AC219&lt;&gt;"","",INDEX('M04-S05'!$AD$18:$AD$199,2*(ROWS(H$214:H219)-1)+1)),"")</f>
        <v/>
      </c>
      <c r="I219" s="200" t="str">
        <f ca="1">IFERROR(IF(AC219&lt;&gt;"","",INDEX('M04-S05'!$AF$18:$AF$199,2*(ROWS(I$214:I219)-1)+1)),"")</f>
        <v/>
      </c>
      <c r="J219" s="200" t="str">
        <f ca="1">IFERROR(IF(AC219&lt;&gt;"","",INDEX('M04-S05'!$AH$18:$AH$199,2*(ROWS(J$214:J219)-1)+1)),"")</f>
        <v/>
      </c>
      <c r="K219" s="178" t="str">
        <f ca="1">IFERROR(IF(AC219&lt;&gt;"","",INDEX('M04-S05'!$AB$18:$AB$199,2*(ROWS(J$214:J219)-1)+1)),"")</f>
        <v/>
      </c>
      <c r="L219" s="116" t="str">
        <f ca="1">IFERROR(IF(AC219&lt;&gt;"","",ROUND(INDEX('M04-S05'!$P$18:$P$199,2*(ROWS(L$214:L219)-1)+1),3)),"")</f>
        <v/>
      </c>
      <c r="M219" s="116" t="str">
        <f ca="1">IFERROR(IF(AC219&lt;&gt;"","",ROUND(INDEX('M04-S05'!$X$18:$X$199,2*(ROWS(M$214:M219)-1)+1),3)),"")</f>
        <v/>
      </c>
      <c r="N219" s="418"/>
      <c r="O219" s="415" t="str">
        <f ca="1">IFERROR(IF(AC219&lt;&gt;"","",INDEX('M04-S05'!$AK$18:$AK$199,2*(ROWS(O$214:O219)-1)+1)),"")</f>
        <v/>
      </c>
      <c r="P219" s="408"/>
      <c r="Q219" s="415" t="str">
        <f ca="1">IFERROR(IF(AC219&lt;&gt;"","",INDEX('M04-S05'!$BA$18:$BA$199,2*(ROWS(Q$214:Q219)-1)+1)),"")</f>
        <v/>
      </c>
      <c r="R219" s="200" t="str">
        <f ca="1">IFERROR(IF(AC219&lt;&gt;"","",INDEX('M04-S05'!$AN$18:$AN$199,2*(ROWS(R$214:R219)-1)+1)),"")</f>
        <v/>
      </c>
      <c r="S219" s="200">
        <f ca="1">IFERROR(IF(AC219&lt;&gt;"",INDEX('M04-S05'!$AD$18:$AD$199,2*(ROWS(S$214:S219)-1)+1),""),"")</f>
        <v>0</v>
      </c>
      <c r="T219" s="200" t="str">
        <f ca="1">IFERROR(IF(AC219&lt;&gt;"",INDEX('M04-S05'!$AF$18:$AF$199,2*(ROWS(T$214:T219)-1)+1),""),"")</f>
        <v/>
      </c>
      <c r="U219" s="200" t="str">
        <f ca="1">IFERROR(IF(AC219&lt;&gt;"",INDEX('M04-S05'!$AH$18:$AH$199,2*(ROWS(U$214:U219)-1)+1),""),"")</f>
        <v/>
      </c>
      <c r="V219" s="178" t="str">
        <f ca="1">IFERROR(IF(AC219&lt;&gt;"",INDEX('M04-S05'!$AB$18:$AB$199,2*(ROWS(V$214:V219)-1)+1),""),"")</f>
        <v/>
      </c>
      <c r="W219" s="116">
        <f ca="1">IFERROR(IF(AC219&lt;&gt;"",ROUND(INDEX('M04-S05'!$P$18:$P$199,2*(ROWS(W$214:W219)-1)+1),3),""),"")</f>
        <v>0</v>
      </c>
      <c r="X219" s="116">
        <f ca="1">IFERROR(IF(AC219&lt;&gt;"",ROUND(INDEX('M04-S05'!$Z$18:$Z$199,2*(ROWS(X$214:X219)-1)+1),3),""),"")</f>
        <v>0</v>
      </c>
      <c r="Y219" s="408"/>
      <c r="Z219" s="173" t="str">
        <f ca="1">IFERROR(IF(AC219&lt;&gt;"",INDEX('M04-S05'!$AK$18:$AK$199,2*(ROWS(Z$214:Z219)-1)+1),""),"")</f>
        <v/>
      </c>
      <c r="AA219" s="408"/>
      <c r="AB219" s="415" t="str">
        <f ca="1">IFERROR(IF(AC219&lt;&gt;"",INDEX('M04-S05'!$BA$18:$BA$199,2*(ROWS(AB$214:AB219)-1)+1),""),"")</f>
        <v/>
      </c>
      <c r="AC219" s="178" t="str">
        <f ca="1">IFERROR(INDEX('M04-S05'!$BJ$18:$BJ$199,2*(ROWS(AC$214:AC219)-1)+1),"")</f>
        <v>Submit for Review</v>
      </c>
      <c r="AD219" s="415" t="str">
        <f>IFERROR(INDEX('M04-S05'!$AW$18:$AW$199,2*(ROWS(AD$214:AD219)-1)+1),"")</f>
        <v/>
      </c>
      <c r="AE219" s="415" t="str">
        <f>IFERROR(INDEX('M04-S05'!$AX$18:$AX$199,2*(ROWS(AE$214:AE219)-1)+1),"")</f>
        <v/>
      </c>
      <c r="AF219" s="408"/>
      <c r="AG219" s="408"/>
      <c r="AH219" s="408"/>
      <c r="AI219" s="178">
        <f>IFERROR(INDEX('M04-S05'!$B$18:$B$199,2*(ROWS(AI$214:AI219)-1)+1),"")</f>
        <v>6</v>
      </c>
      <c r="AJ219" s="325"/>
      <c r="AK219" s="178">
        <f>IFERROR(INDEX('M04-S05'!$F$18:$F$199,2*(ROWS(AK$214:AK219)-1)+1),"")</f>
        <v>0</v>
      </c>
      <c r="AL219" s="178">
        <f>IFERROR(INDEX('M04-S05'!$L$18:$L$199,2*(ROWS(AL$214:AL219)-1)+1),"")</f>
        <v>0</v>
      </c>
      <c r="AM219" s="178">
        <f>IFERROR(INDEX('M04-S05'!$T$18:$T$199,2*(ROWS(AM$214:AM219)-1)+1),"")</f>
        <v>0</v>
      </c>
      <c r="AN219" s="200" t="str">
        <f>IFERROR(INDEX('M04-S05'!$AT$18:$AT$199,2*(ROWS(AN$214:AN219)-1)+1),"")</f>
        <v/>
      </c>
      <c r="AO219" s="200" t="str">
        <f>IFERROR(INDEX('M04-S05'!$AU$18:$AU$199,2*(ROWS(AO$214:AO219)-1)+1),"")</f>
        <v/>
      </c>
      <c r="AP219" s="178" t="str">
        <f>IFERROR(INDEX('M04-S05'!$AV$18:$AV$199,2*(ROWS(AP$214:AP219)-1)+1),"")</f>
        <v/>
      </c>
      <c r="AQ219" s="178" t="str">
        <f>IFERROR(INDEX('M04-S05'!$AY$18:$AY$199,2*(ROWS(AQ$214:AQ219)-1)+1),"")</f>
        <v/>
      </c>
      <c r="AR219" s="178" t="s">
        <v>1374</v>
      </c>
      <c r="AS219" s="178"/>
      <c r="AT219" s="278"/>
      <c r="AU219" s="278"/>
      <c r="AV219" s="278"/>
      <c r="AW219" s="278"/>
      <c r="AX219" s="278"/>
      <c r="AY219" s="278"/>
      <c r="AZ219" s="278"/>
      <c r="BA219" s="278"/>
      <c r="BB219" s="278"/>
      <c r="BC219" s="278"/>
      <c r="BD219" s="278"/>
      <c r="BE219" s="279"/>
      <c r="BL219" s="180"/>
      <c r="BP219" s="180"/>
      <c r="BQ219" s="180"/>
      <c r="BR219" s="180"/>
      <c r="CD219" s="180"/>
      <c r="CE219" s="180"/>
      <c r="CF219" s="180"/>
      <c r="CH219" s="180"/>
      <c r="CI219" s="180"/>
      <c r="CJ219" s="180"/>
      <c r="CK219" s="180"/>
      <c r="CL219" s="180"/>
      <c r="CM219" s="180"/>
      <c r="CN219" s="180"/>
      <c r="CQ219" s="180"/>
      <c r="CR219" s="180"/>
      <c r="CS219" s="180"/>
      <c r="DS219" s="180"/>
      <c r="DT219" s="180"/>
      <c r="DU219" s="180"/>
    </row>
    <row r="220" spans="1:125" s="54" customFormat="1" hidden="1">
      <c r="A220" s="135">
        <f t="shared" si="22"/>
        <v>0</v>
      </c>
      <c r="B220" s="178" t="str">
        <f t="shared" si="23"/>
        <v/>
      </c>
      <c r="C220" s="178" t="str">
        <f>IFERROR(IF(INDEX('M04-S05'!$BH$18:$BH$199,2*(ROWS($C$214:C220)-1)+1)="","",INDEX('M04-S05'!$BH$18:$BH$199,2*(ROWS($C$214:C220)-1)+1)),"")</f>
        <v/>
      </c>
      <c r="D220" s="180" t="s">
        <v>144</v>
      </c>
      <c r="E220" s="178" t="str">
        <f>IFERROR(INDEX('M04-S05'!$AZ$18:$AZ$199,2*(ROWS(E$214:E220)-1)+1),"")</f>
        <v/>
      </c>
      <c r="F220" s="408"/>
      <c r="G220" s="325"/>
      <c r="H220" s="200" t="str">
        <f ca="1">IFERROR(IF(AC220&lt;&gt;"","",INDEX('M04-S05'!$AD$18:$AD$199,2*(ROWS(H$214:H220)-1)+1)),"")</f>
        <v/>
      </c>
      <c r="I220" s="200" t="str">
        <f ca="1">IFERROR(IF(AC220&lt;&gt;"","",INDEX('M04-S05'!$AF$18:$AF$199,2*(ROWS(I$214:I220)-1)+1)),"")</f>
        <v/>
      </c>
      <c r="J220" s="200" t="str">
        <f ca="1">IFERROR(IF(AC220&lt;&gt;"","",INDEX('M04-S05'!$AH$18:$AH$199,2*(ROWS(J$214:J220)-1)+1)),"")</f>
        <v/>
      </c>
      <c r="K220" s="178" t="str">
        <f ca="1">IFERROR(IF(AC220&lt;&gt;"","",INDEX('M04-S05'!$AB$18:$AB$199,2*(ROWS(J$214:J220)-1)+1)),"")</f>
        <v/>
      </c>
      <c r="L220" s="116" t="str">
        <f ca="1">IFERROR(IF(AC220&lt;&gt;"","",ROUND(INDEX('M04-S05'!$P$18:$P$199,2*(ROWS(L$214:L220)-1)+1),3)),"")</f>
        <v/>
      </c>
      <c r="M220" s="116" t="str">
        <f ca="1">IFERROR(IF(AC220&lt;&gt;"","",ROUND(INDEX('M04-S05'!$X$18:$X$199,2*(ROWS(M$214:M220)-1)+1),3)),"")</f>
        <v/>
      </c>
      <c r="N220" s="418"/>
      <c r="O220" s="415" t="str">
        <f ca="1">IFERROR(IF(AC220&lt;&gt;"","",INDEX('M04-S05'!$AK$18:$AK$199,2*(ROWS(O$214:O220)-1)+1)),"")</f>
        <v/>
      </c>
      <c r="P220" s="408"/>
      <c r="Q220" s="415" t="str">
        <f ca="1">IFERROR(IF(AC220&lt;&gt;"","",INDEX('M04-S05'!$BA$18:$BA$199,2*(ROWS(Q$214:Q220)-1)+1)),"")</f>
        <v/>
      </c>
      <c r="R220" s="200" t="str">
        <f ca="1">IFERROR(IF(AC220&lt;&gt;"","",INDEX('M04-S05'!$AN$18:$AN$199,2*(ROWS(R$214:R220)-1)+1)),"")</f>
        <v/>
      </c>
      <c r="S220" s="200">
        <f ca="1">IFERROR(IF(AC220&lt;&gt;"",INDEX('M04-S05'!$AD$18:$AD$199,2*(ROWS(S$214:S220)-1)+1),""),"")</f>
        <v>0</v>
      </c>
      <c r="T220" s="200" t="str">
        <f ca="1">IFERROR(IF(AC220&lt;&gt;"",INDEX('M04-S05'!$AF$18:$AF$199,2*(ROWS(T$214:T220)-1)+1),""),"")</f>
        <v/>
      </c>
      <c r="U220" s="200" t="str">
        <f ca="1">IFERROR(IF(AC220&lt;&gt;"",INDEX('M04-S05'!$AH$18:$AH$199,2*(ROWS(U$214:U220)-1)+1),""),"")</f>
        <v/>
      </c>
      <c r="V220" s="178" t="str">
        <f ca="1">IFERROR(IF(AC220&lt;&gt;"",INDEX('M04-S05'!$AB$18:$AB$199,2*(ROWS(V$214:V220)-1)+1),""),"")</f>
        <v/>
      </c>
      <c r="W220" s="116">
        <f ca="1">IFERROR(IF(AC220&lt;&gt;"",ROUND(INDEX('M04-S05'!$P$18:$P$199,2*(ROWS(W$214:W220)-1)+1),3),""),"")</f>
        <v>0</v>
      </c>
      <c r="X220" s="116">
        <f ca="1">IFERROR(IF(AC220&lt;&gt;"",ROUND(INDEX('M04-S05'!$Z$18:$Z$199,2*(ROWS(X$214:X220)-1)+1),3),""),"")</f>
        <v>0</v>
      </c>
      <c r="Y220" s="408"/>
      <c r="Z220" s="173" t="str">
        <f ca="1">IFERROR(IF(AC220&lt;&gt;"",INDEX('M04-S05'!$AK$18:$AK$199,2*(ROWS(Z$214:Z220)-1)+1),""),"")</f>
        <v/>
      </c>
      <c r="AA220" s="408"/>
      <c r="AB220" s="415" t="str">
        <f ca="1">IFERROR(IF(AC220&lt;&gt;"",INDEX('M04-S05'!$BA$18:$BA$199,2*(ROWS(AB$214:AB220)-1)+1),""),"")</f>
        <v/>
      </c>
      <c r="AC220" s="178" t="str">
        <f ca="1">IFERROR(INDEX('M04-S05'!$BJ$18:$BJ$199,2*(ROWS(AC$214:AC220)-1)+1),"")</f>
        <v>Submit for Review</v>
      </c>
      <c r="AD220" s="415" t="str">
        <f>IFERROR(INDEX('M04-S05'!$AW$18:$AW$199,2*(ROWS(AD$214:AD220)-1)+1),"")</f>
        <v/>
      </c>
      <c r="AE220" s="415" t="str">
        <f>IFERROR(INDEX('M04-S05'!$AX$18:$AX$199,2*(ROWS(AE$214:AE220)-1)+1),"")</f>
        <v/>
      </c>
      <c r="AF220" s="408"/>
      <c r="AG220" s="408"/>
      <c r="AH220" s="408"/>
      <c r="AI220" s="178">
        <f>IFERROR(INDEX('M04-S05'!$B$18:$B$199,2*(ROWS(AI$214:AI220)-1)+1),"")</f>
        <v>7</v>
      </c>
      <c r="AJ220" s="325"/>
      <c r="AK220" s="178">
        <f>IFERROR(INDEX('M04-S05'!$F$18:$F$199,2*(ROWS(AK$214:AK220)-1)+1),"")</f>
        <v>0</v>
      </c>
      <c r="AL220" s="178">
        <f>IFERROR(INDEX('M04-S05'!$L$18:$L$199,2*(ROWS(AL$214:AL220)-1)+1),"")</f>
        <v>0</v>
      </c>
      <c r="AM220" s="178">
        <f>IFERROR(INDEX('M04-S05'!$T$18:$T$199,2*(ROWS(AM$214:AM220)-1)+1),"")</f>
        <v>0</v>
      </c>
      <c r="AN220" s="200" t="str">
        <f>IFERROR(INDEX('M04-S05'!$AT$18:$AT$199,2*(ROWS(AN$214:AN220)-1)+1),"")</f>
        <v/>
      </c>
      <c r="AO220" s="200" t="str">
        <f>IFERROR(INDEX('M04-S05'!$AU$18:$AU$199,2*(ROWS(AO$214:AO220)-1)+1),"")</f>
        <v/>
      </c>
      <c r="AP220" s="178" t="str">
        <f>IFERROR(INDEX('M04-S05'!$AV$18:$AV$199,2*(ROWS(AP$214:AP220)-1)+1),"")</f>
        <v/>
      </c>
      <c r="AQ220" s="178" t="str">
        <f>IFERROR(INDEX('M04-S05'!$AY$18:$AY$199,2*(ROWS(AQ$214:AQ220)-1)+1),"")</f>
        <v/>
      </c>
      <c r="AR220" s="178" t="s">
        <v>1374</v>
      </c>
      <c r="AS220" s="178"/>
      <c r="AT220" s="278"/>
      <c r="AU220" s="278"/>
      <c r="AV220" s="278"/>
      <c r="AW220" s="278"/>
      <c r="AX220" s="278"/>
      <c r="AY220" s="278"/>
      <c r="AZ220" s="278"/>
      <c r="BA220" s="278"/>
      <c r="BB220" s="278"/>
      <c r="BC220" s="278"/>
      <c r="BD220" s="278"/>
      <c r="BE220" s="279"/>
      <c r="BL220" s="180"/>
      <c r="BP220" s="180"/>
      <c r="BQ220" s="180"/>
      <c r="BR220" s="180"/>
      <c r="CD220" s="180"/>
      <c r="CE220" s="180"/>
      <c r="CF220" s="180"/>
      <c r="CH220" s="180"/>
      <c r="CI220" s="180"/>
      <c r="CJ220" s="180"/>
      <c r="CK220" s="180"/>
      <c r="CL220" s="180"/>
      <c r="CM220" s="180"/>
      <c r="CN220" s="180"/>
      <c r="CQ220" s="180"/>
      <c r="CR220" s="180"/>
      <c r="CS220" s="180"/>
      <c r="DS220" s="180"/>
      <c r="DT220" s="180"/>
      <c r="DU220" s="180"/>
    </row>
    <row r="221" spans="1:125" s="54" customFormat="1" hidden="1">
      <c r="A221" s="135">
        <f t="shared" si="22"/>
        <v>0</v>
      </c>
      <c r="B221" s="178" t="str">
        <f t="shared" si="23"/>
        <v/>
      </c>
      <c r="C221" s="178" t="str">
        <f>IFERROR(IF(INDEX('M04-S05'!$BH$18:$BH$199,2*(ROWS($C$214:C221)-1)+1)="","",INDEX('M04-S05'!$BH$18:$BH$199,2*(ROWS($C$214:C221)-1)+1)),"")</f>
        <v/>
      </c>
      <c r="D221" s="180" t="s">
        <v>144</v>
      </c>
      <c r="E221" s="178" t="str">
        <f>IFERROR(INDEX('M04-S05'!$AZ$18:$AZ$199,2*(ROWS(E$214:E221)-1)+1),"")</f>
        <v/>
      </c>
      <c r="F221" s="408"/>
      <c r="G221" s="325"/>
      <c r="H221" s="200" t="str">
        <f ca="1">IFERROR(IF(AC221&lt;&gt;"","",INDEX('M04-S05'!$AD$18:$AD$199,2*(ROWS(H$214:H221)-1)+1)),"")</f>
        <v/>
      </c>
      <c r="I221" s="200" t="str">
        <f ca="1">IFERROR(IF(AC221&lt;&gt;"","",INDEX('M04-S05'!$AF$18:$AF$199,2*(ROWS(I$214:I221)-1)+1)),"")</f>
        <v/>
      </c>
      <c r="J221" s="200" t="str">
        <f ca="1">IFERROR(IF(AC221&lt;&gt;"","",INDEX('M04-S05'!$AH$18:$AH$199,2*(ROWS(J$214:J221)-1)+1)),"")</f>
        <v/>
      </c>
      <c r="K221" s="178" t="str">
        <f ca="1">IFERROR(IF(AC221&lt;&gt;"","",INDEX('M04-S05'!$AB$18:$AB$199,2*(ROWS(J$214:J221)-1)+1)),"")</f>
        <v/>
      </c>
      <c r="L221" s="116" t="str">
        <f ca="1">IFERROR(IF(AC221&lt;&gt;"","",ROUND(INDEX('M04-S05'!$P$18:$P$199,2*(ROWS(L$214:L221)-1)+1),3)),"")</f>
        <v/>
      </c>
      <c r="M221" s="116" t="str">
        <f ca="1">IFERROR(IF(AC221&lt;&gt;"","",ROUND(INDEX('M04-S05'!$X$18:$X$199,2*(ROWS(M$214:M221)-1)+1),3)),"")</f>
        <v/>
      </c>
      <c r="N221" s="418"/>
      <c r="O221" s="415" t="str">
        <f ca="1">IFERROR(IF(AC221&lt;&gt;"","",INDEX('M04-S05'!$AK$18:$AK$199,2*(ROWS(O$214:O221)-1)+1)),"")</f>
        <v/>
      </c>
      <c r="P221" s="408"/>
      <c r="Q221" s="415" t="str">
        <f ca="1">IFERROR(IF(AC221&lt;&gt;"","",INDEX('M04-S05'!$BA$18:$BA$199,2*(ROWS(Q$214:Q221)-1)+1)),"")</f>
        <v/>
      </c>
      <c r="R221" s="200" t="str">
        <f ca="1">IFERROR(IF(AC221&lt;&gt;"","",INDEX('M04-S05'!$AN$18:$AN$199,2*(ROWS(R$214:R221)-1)+1)),"")</f>
        <v/>
      </c>
      <c r="S221" s="200">
        <f ca="1">IFERROR(IF(AC221&lt;&gt;"",INDEX('M04-S05'!$AD$18:$AD$199,2*(ROWS(S$214:S221)-1)+1),""),"")</f>
        <v>0</v>
      </c>
      <c r="T221" s="200" t="str">
        <f ca="1">IFERROR(IF(AC221&lt;&gt;"",INDEX('M04-S05'!$AF$18:$AF$199,2*(ROWS(T$214:T221)-1)+1),""),"")</f>
        <v/>
      </c>
      <c r="U221" s="200" t="str">
        <f ca="1">IFERROR(IF(AC221&lt;&gt;"",INDEX('M04-S05'!$AH$18:$AH$199,2*(ROWS(U$214:U221)-1)+1),""),"")</f>
        <v/>
      </c>
      <c r="V221" s="178" t="str">
        <f ca="1">IFERROR(IF(AC221&lt;&gt;"",INDEX('M04-S05'!$AB$18:$AB$199,2*(ROWS(V$214:V221)-1)+1),""),"")</f>
        <v/>
      </c>
      <c r="W221" s="116">
        <f ca="1">IFERROR(IF(AC221&lt;&gt;"",ROUND(INDEX('M04-S05'!$P$18:$P$199,2*(ROWS(W$214:W221)-1)+1),3),""),"")</f>
        <v>0</v>
      </c>
      <c r="X221" s="116">
        <f ca="1">IFERROR(IF(AC221&lt;&gt;"",ROUND(INDEX('M04-S05'!$Z$18:$Z$199,2*(ROWS(X$214:X221)-1)+1),3),""),"")</f>
        <v>0</v>
      </c>
      <c r="Y221" s="408"/>
      <c r="Z221" s="173" t="str">
        <f ca="1">IFERROR(IF(AC221&lt;&gt;"",INDEX('M04-S05'!$AK$18:$AK$199,2*(ROWS(Z$214:Z221)-1)+1),""),"")</f>
        <v/>
      </c>
      <c r="AA221" s="408"/>
      <c r="AB221" s="415" t="str">
        <f ca="1">IFERROR(IF(AC221&lt;&gt;"",INDEX('M04-S05'!$BA$18:$BA$199,2*(ROWS(AB$214:AB221)-1)+1),""),"")</f>
        <v/>
      </c>
      <c r="AC221" s="178" t="str">
        <f ca="1">IFERROR(INDEX('M04-S05'!$BJ$18:$BJ$199,2*(ROWS(AC$214:AC221)-1)+1),"")</f>
        <v>Submit for Review</v>
      </c>
      <c r="AD221" s="415" t="str">
        <f>IFERROR(INDEX('M04-S05'!$AW$18:$AW$199,2*(ROWS(AD$214:AD221)-1)+1),"")</f>
        <v/>
      </c>
      <c r="AE221" s="415" t="str">
        <f>IFERROR(INDEX('M04-S05'!$AX$18:$AX$199,2*(ROWS(AE$214:AE221)-1)+1),"")</f>
        <v/>
      </c>
      <c r="AF221" s="408"/>
      <c r="AG221" s="408"/>
      <c r="AH221" s="408"/>
      <c r="AI221" s="178">
        <f>IFERROR(INDEX('M04-S05'!$B$18:$B$199,2*(ROWS(AI$214:AI221)-1)+1),"")</f>
        <v>8</v>
      </c>
      <c r="AJ221" s="325"/>
      <c r="AK221" s="178">
        <f>IFERROR(INDEX('M04-S05'!$F$18:$F$199,2*(ROWS(AK$214:AK221)-1)+1),"")</f>
        <v>0</v>
      </c>
      <c r="AL221" s="178">
        <f>IFERROR(INDEX('M04-S05'!$L$18:$L$199,2*(ROWS(AL$214:AL221)-1)+1),"")</f>
        <v>0</v>
      </c>
      <c r="AM221" s="178">
        <f>IFERROR(INDEX('M04-S05'!$T$18:$T$199,2*(ROWS(AM$214:AM221)-1)+1),"")</f>
        <v>0</v>
      </c>
      <c r="AN221" s="200" t="str">
        <f>IFERROR(INDEX('M04-S05'!$AT$18:$AT$199,2*(ROWS(AN$214:AN221)-1)+1),"")</f>
        <v/>
      </c>
      <c r="AO221" s="200" t="str">
        <f>IFERROR(INDEX('M04-S05'!$AU$18:$AU$199,2*(ROWS(AO$214:AO221)-1)+1),"")</f>
        <v/>
      </c>
      <c r="AP221" s="178" t="str">
        <f>IFERROR(INDEX('M04-S05'!$AV$18:$AV$199,2*(ROWS(AP$214:AP221)-1)+1),"")</f>
        <v/>
      </c>
      <c r="AQ221" s="178" t="str">
        <f>IFERROR(INDEX('M04-S05'!$AY$18:$AY$199,2*(ROWS(AQ$214:AQ221)-1)+1),"")</f>
        <v/>
      </c>
      <c r="AR221" s="178" t="s">
        <v>1374</v>
      </c>
      <c r="AS221" s="178"/>
      <c r="AT221" s="278"/>
      <c r="AU221" s="278"/>
      <c r="AV221" s="278"/>
      <c r="AW221" s="278"/>
      <c r="AX221" s="278"/>
      <c r="AY221" s="278"/>
      <c r="AZ221" s="278"/>
      <c r="BA221" s="278"/>
      <c r="BB221" s="278"/>
      <c r="BC221" s="278"/>
      <c r="BD221" s="278"/>
      <c r="BE221" s="279"/>
      <c r="BL221" s="180"/>
      <c r="BP221" s="180"/>
      <c r="BQ221" s="180"/>
      <c r="BR221" s="180"/>
      <c r="CD221" s="180"/>
      <c r="CE221" s="180"/>
      <c r="CF221" s="180"/>
      <c r="CH221" s="180"/>
      <c r="CI221" s="180"/>
      <c r="CJ221" s="180"/>
      <c r="CK221" s="180"/>
      <c r="CL221" s="180"/>
      <c r="CM221" s="180"/>
      <c r="CN221" s="180"/>
      <c r="CQ221" s="180"/>
      <c r="CR221" s="180"/>
      <c r="CS221" s="180"/>
      <c r="DS221" s="180"/>
      <c r="DT221" s="180"/>
      <c r="DU221" s="180"/>
    </row>
    <row r="222" spans="1:125" s="54" customFormat="1" hidden="1">
      <c r="A222" s="135">
        <f t="shared" si="22"/>
        <v>0</v>
      </c>
      <c r="B222" s="178" t="str">
        <f t="shared" si="23"/>
        <v/>
      </c>
      <c r="C222" s="178" t="str">
        <f>IFERROR(IF(INDEX('M04-S05'!$BH$18:$BH$199,2*(ROWS($C$214:C222)-1)+1)="","",INDEX('M04-S05'!$BH$18:$BH$199,2*(ROWS($C$214:C222)-1)+1)),"")</f>
        <v/>
      </c>
      <c r="D222" s="180" t="s">
        <v>144</v>
      </c>
      <c r="E222" s="178" t="str">
        <f>IFERROR(INDEX('M04-S05'!$AZ$18:$AZ$199,2*(ROWS(E$214:E222)-1)+1),"")</f>
        <v/>
      </c>
      <c r="F222" s="408"/>
      <c r="G222" s="325"/>
      <c r="H222" s="200" t="str">
        <f ca="1">IFERROR(IF(AC222&lt;&gt;"","",INDEX('M04-S05'!$AD$18:$AD$199,2*(ROWS(H$214:H222)-1)+1)),"")</f>
        <v/>
      </c>
      <c r="I222" s="200" t="str">
        <f ca="1">IFERROR(IF(AC222&lt;&gt;"","",INDEX('M04-S05'!$AF$18:$AF$199,2*(ROWS(I$214:I222)-1)+1)),"")</f>
        <v/>
      </c>
      <c r="J222" s="200" t="str">
        <f ca="1">IFERROR(IF(AC222&lt;&gt;"","",INDEX('M04-S05'!$AH$18:$AH$199,2*(ROWS(J$214:J222)-1)+1)),"")</f>
        <v/>
      </c>
      <c r="K222" s="178" t="str">
        <f ca="1">IFERROR(IF(AC222&lt;&gt;"","",INDEX('M04-S05'!$AB$18:$AB$199,2*(ROWS(J$214:J222)-1)+1)),"")</f>
        <v/>
      </c>
      <c r="L222" s="116" t="str">
        <f ca="1">IFERROR(IF(AC222&lt;&gt;"","",ROUND(INDEX('M04-S05'!$P$18:$P$199,2*(ROWS(L$214:L222)-1)+1),3)),"")</f>
        <v/>
      </c>
      <c r="M222" s="116" t="str">
        <f ca="1">IFERROR(IF(AC222&lt;&gt;"","",ROUND(INDEX('M04-S05'!$X$18:$X$199,2*(ROWS(M$214:M222)-1)+1),3)),"")</f>
        <v/>
      </c>
      <c r="N222" s="418"/>
      <c r="O222" s="415" t="str">
        <f ca="1">IFERROR(IF(AC222&lt;&gt;"","",INDEX('M04-S05'!$AK$18:$AK$199,2*(ROWS(O$214:O222)-1)+1)),"")</f>
        <v/>
      </c>
      <c r="P222" s="408"/>
      <c r="Q222" s="415" t="str">
        <f ca="1">IFERROR(IF(AC222&lt;&gt;"","",INDEX('M04-S05'!$BA$18:$BA$199,2*(ROWS(Q$214:Q222)-1)+1)),"")</f>
        <v/>
      </c>
      <c r="R222" s="200" t="str">
        <f ca="1">IFERROR(IF(AC222&lt;&gt;"","",INDEX('M04-S05'!$AN$18:$AN$199,2*(ROWS(R$214:R222)-1)+1)),"")</f>
        <v/>
      </c>
      <c r="S222" s="200">
        <f ca="1">IFERROR(IF(AC222&lt;&gt;"",INDEX('M04-S05'!$AD$18:$AD$199,2*(ROWS(S$214:S222)-1)+1),""),"")</f>
        <v>0</v>
      </c>
      <c r="T222" s="200" t="str">
        <f ca="1">IFERROR(IF(AC222&lt;&gt;"",INDEX('M04-S05'!$AF$18:$AF$199,2*(ROWS(T$214:T222)-1)+1),""),"")</f>
        <v/>
      </c>
      <c r="U222" s="200" t="str">
        <f ca="1">IFERROR(IF(AC222&lt;&gt;"",INDEX('M04-S05'!$AH$18:$AH$199,2*(ROWS(U$214:U222)-1)+1),""),"")</f>
        <v/>
      </c>
      <c r="V222" s="178" t="str">
        <f ca="1">IFERROR(IF(AC222&lt;&gt;"",INDEX('M04-S05'!$AB$18:$AB$199,2*(ROWS(V$214:V222)-1)+1),""),"")</f>
        <v/>
      </c>
      <c r="W222" s="116">
        <f ca="1">IFERROR(IF(AC222&lt;&gt;"",ROUND(INDEX('M04-S05'!$P$18:$P$199,2*(ROWS(W$214:W222)-1)+1),3),""),"")</f>
        <v>0</v>
      </c>
      <c r="X222" s="116">
        <f ca="1">IFERROR(IF(AC222&lt;&gt;"",ROUND(INDEX('M04-S05'!$Z$18:$Z$199,2*(ROWS(X$214:X222)-1)+1),3),""),"")</f>
        <v>0</v>
      </c>
      <c r="Y222" s="408"/>
      <c r="Z222" s="173" t="str">
        <f ca="1">IFERROR(IF(AC222&lt;&gt;"",INDEX('M04-S05'!$AK$18:$AK$199,2*(ROWS(Z$214:Z222)-1)+1),""),"")</f>
        <v/>
      </c>
      <c r="AA222" s="408"/>
      <c r="AB222" s="415" t="str">
        <f ca="1">IFERROR(IF(AC222&lt;&gt;"",INDEX('M04-S05'!$BA$18:$BA$199,2*(ROWS(AB$214:AB222)-1)+1),""),"")</f>
        <v/>
      </c>
      <c r="AC222" s="178" t="str">
        <f ca="1">IFERROR(INDEX('M04-S05'!$BJ$18:$BJ$199,2*(ROWS(AC$214:AC222)-1)+1),"")</f>
        <v>Submit for Review</v>
      </c>
      <c r="AD222" s="415" t="str">
        <f>IFERROR(INDEX('M04-S05'!$AW$18:$AW$199,2*(ROWS(AD$214:AD222)-1)+1),"")</f>
        <v/>
      </c>
      <c r="AE222" s="415" t="str">
        <f>IFERROR(INDEX('M04-S05'!$AX$18:$AX$199,2*(ROWS(AE$214:AE222)-1)+1),"")</f>
        <v/>
      </c>
      <c r="AF222" s="408"/>
      <c r="AG222" s="408"/>
      <c r="AH222" s="408"/>
      <c r="AI222" s="178">
        <f>IFERROR(INDEX('M04-S05'!$B$18:$B$199,2*(ROWS(AI$214:AI222)-1)+1),"")</f>
        <v>9</v>
      </c>
      <c r="AJ222" s="325"/>
      <c r="AK222" s="178">
        <f>IFERROR(INDEX('M04-S05'!$F$18:$F$199,2*(ROWS(AK$214:AK222)-1)+1),"")</f>
        <v>0</v>
      </c>
      <c r="AL222" s="178">
        <f>IFERROR(INDEX('M04-S05'!$L$18:$L$199,2*(ROWS(AL$214:AL222)-1)+1),"")</f>
        <v>0</v>
      </c>
      <c r="AM222" s="178">
        <f>IFERROR(INDEX('M04-S05'!$T$18:$T$199,2*(ROWS(AM$214:AM222)-1)+1),"")</f>
        <v>0</v>
      </c>
      <c r="AN222" s="200" t="str">
        <f>IFERROR(INDEX('M04-S05'!$AT$18:$AT$199,2*(ROWS(AN$214:AN222)-1)+1),"")</f>
        <v/>
      </c>
      <c r="AO222" s="200" t="str">
        <f>IFERROR(INDEX('M04-S05'!$AU$18:$AU$199,2*(ROWS(AO$214:AO222)-1)+1),"")</f>
        <v/>
      </c>
      <c r="AP222" s="178" t="str">
        <f>IFERROR(INDEX('M04-S05'!$AV$18:$AV$199,2*(ROWS(AP$214:AP222)-1)+1),"")</f>
        <v/>
      </c>
      <c r="AQ222" s="178" t="str">
        <f>IFERROR(INDEX('M04-S05'!$AY$18:$AY$199,2*(ROWS(AQ$214:AQ222)-1)+1),"")</f>
        <v/>
      </c>
      <c r="AR222" s="178" t="s">
        <v>1374</v>
      </c>
      <c r="AS222" s="178"/>
      <c r="AT222" s="278"/>
      <c r="AU222" s="278"/>
      <c r="AV222" s="278"/>
      <c r="AW222" s="278"/>
      <c r="AX222" s="278"/>
      <c r="AY222" s="278"/>
      <c r="AZ222" s="278"/>
      <c r="BA222" s="278"/>
      <c r="BB222" s="278"/>
      <c r="BC222" s="278"/>
      <c r="BD222" s="278"/>
      <c r="BE222" s="279"/>
      <c r="BL222" s="180"/>
      <c r="BP222" s="180"/>
      <c r="BQ222" s="180"/>
      <c r="BR222" s="180"/>
      <c r="CD222" s="180"/>
      <c r="CE222" s="180"/>
      <c r="CF222" s="180"/>
      <c r="CH222" s="180"/>
      <c r="CI222" s="180"/>
      <c r="CJ222" s="180"/>
      <c r="CK222" s="180"/>
      <c r="CL222" s="180"/>
      <c r="CM222" s="180"/>
      <c r="CN222" s="180"/>
      <c r="CQ222" s="180"/>
      <c r="CR222" s="180"/>
      <c r="CS222" s="180"/>
      <c r="DS222" s="180"/>
      <c r="DT222" s="180"/>
      <c r="DU222" s="180"/>
    </row>
    <row r="223" spans="1:125" s="54" customFormat="1" hidden="1">
      <c r="A223" s="135">
        <f t="shared" si="22"/>
        <v>0</v>
      </c>
      <c r="B223" s="178" t="str">
        <f t="shared" si="23"/>
        <v/>
      </c>
      <c r="C223" s="178" t="str">
        <f>IFERROR(IF(INDEX('M04-S05'!$BH$18:$BH$199,2*(ROWS($C$214:C223)-1)+1)="","",INDEX('M04-S05'!$BH$18:$BH$199,2*(ROWS($C$214:C223)-1)+1)),"")</f>
        <v/>
      </c>
      <c r="D223" s="180" t="s">
        <v>144</v>
      </c>
      <c r="E223" s="178" t="str">
        <f>IFERROR(INDEX('M04-S05'!$AZ$18:$AZ$199,2*(ROWS(E$214:E223)-1)+1),"")</f>
        <v/>
      </c>
      <c r="F223" s="408"/>
      <c r="G223" s="325"/>
      <c r="H223" s="200" t="str">
        <f ca="1">IFERROR(IF(AC223&lt;&gt;"","",INDEX('M04-S05'!$AD$18:$AD$199,2*(ROWS(H$214:H223)-1)+1)),"")</f>
        <v/>
      </c>
      <c r="I223" s="200" t="str">
        <f ca="1">IFERROR(IF(AC223&lt;&gt;"","",INDEX('M04-S05'!$AF$18:$AF$199,2*(ROWS(I$214:I223)-1)+1)),"")</f>
        <v/>
      </c>
      <c r="J223" s="200" t="str">
        <f ca="1">IFERROR(IF(AC223&lt;&gt;"","",INDEX('M04-S05'!$AH$18:$AH$199,2*(ROWS(J$214:J223)-1)+1)),"")</f>
        <v/>
      </c>
      <c r="K223" s="178" t="str">
        <f ca="1">IFERROR(IF(AC223&lt;&gt;"","",INDEX('M04-S05'!$AB$18:$AB$199,2*(ROWS(J$214:J223)-1)+1)),"")</f>
        <v/>
      </c>
      <c r="L223" s="116" t="str">
        <f ca="1">IFERROR(IF(AC223&lt;&gt;"","",ROUND(INDEX('M04-S05'!$P$18:$P$199,2*(ROWS(L$214:L223)-1)+1),3)),"")</f>
        <v/>
      </c>
      <c r="M223" s="116" t="str">
        <f ca="1">IFERROR(IF(AC223&lt;&gt;"","",ROUND(INDEX('M04-S05'!$X$18:$X$199,2*(ROWS(M$214:M223)-1)+1),3)),"")</f>
        <v/>
      </c>
      <c r="N223" s="418"/>
      <c r="O223" s="415" t="str">
        <f ca="1">IFERROR(IF(AC223&lt;&gt;"","",INDEX('M04-S05'!$AK$18:$AK$199,2*(ROWS(O$214:O223)-1)+1)),"")</f>
        <v/>
      </c>
      <c r="P223" s="408"/>
      <c r="Q223" s="415" t="str">
        <f ca="1">IFERROR(IF(AC223&lt;&gt;"","",INDEX('M04-S05'!$BA$18:$BA$199,2*(ROWS(Q$214:Q223)-1)+1)),"")</f>
        <v/>
      </c>
      <c r="R223" s="200" t="str">
        <f ca="1">IFERROR(IF(AC223&lt;&gt;"","",INDEX('M04-S05'!$AN$18:$AN$199,2*(ROWS(R$214:R223)-1)+1)),"")</f>
        <v/>
      </c>
      <c r="S223" s="200">
        <f ca="1">IFERROR(IF(AC223&lt;&gt;"",INDEX('M04-S05'!$AD$18:$AD$199,2*(ROWS(S$214:S223)-1)+1),""),"")</f>
        <v>0</v>
      </c>
      <c r="T223" s="200" t="str">
        <f ca="1">IFERROR(IF(AC223&lt;&gt;"",INDEX('M04-S05'!$AF$18:$AF$199,2*(ROWS(T$214:T223)-1)+1),""),"")</f>
        <v/>
      </c>
      <c r="U223" s="200" t="str">
        <f ca="1">IFERROR(IF(AC223&lt;&gt;"",INDEX('M04-S05'!$AH$18:$AH$199,2*(ROWS(U$214:U223)-1)+1),""),"")</f>
        <v/>
      </c>
      <c r="V223" s="178" t="str">
        <f ca="1">IFERROR(IF(AC223&lt;&gt;"",INDEX('M04-S05'!$AB$18:$AB$199,2*(ROWS(V$214:V223)-1)+1),""),"")</f>
        <v/>
      </c>
      <c r="W223" s="116">
        <f ca="1">IFERROR(IF(AC223&lt;&gt;"",ROUND(INDEX('M04-S05'!$P$18:$P$199,2*(ROWS(W$214:W223)-1)+1),3),""),"")</f>
        <v>0</v>
      </c>
      <c r="X223" s="116">
        <f ca="1">IFERROR(IF(AC223&lt;&gt;"",ROUND(INDEX('M04-S05'!$Z$18:$Z$199,2*(ROWS(X$214:X223)-1)+1),3),""),"")</f>
        <v>0</v>
      </c>
      <c r="Y223" s="408"/>
      <c r="Z223" s="173" t="str">
        <f ca="1">IFERROR(IF(AC223&lt;&gt;"",INDEX('M04-S05'!$AK$18:$AK$199,2*(ROWS(Z$214:Z223)-1)+1),""),"")</f>
        <v/>
      </c>
      <c r="AA223" s="408"/>
      <c r="AB223" s="415" t="str">
        <f ca="1">IFERROR(IF(AC223&lt;&gt;"",INDEX('M04-S05'!$BA$18:$BA$199,2*(ROWS(AB$214:AB223)-1)+1),""),"")</f>
        <v/>
      </c>
      <c r="AC223" s="178" t="str">
        <f ca="1">IFERROR(INDEX('M04-S05'!$BJ$18:$BJ$199,2*(ROWS(AC$214:AC223)-1)+1),"")</f>
        <v>Submit for Review</v>
      </c>
      <c r="AD223" s="415" t="str">
        <f>IFERROR(INDEX('M04-S05'!$AW$18:$AW$199,2*(ROWS(AD$214:AD223)-1)+1),"")</f>
        <v/>
      </c>
      <c r="AE223" s="415" t="str">
        <f>IFERROR(INDEX('M04-S05'!$AX$18:$AX$199,2*(ROWS(AE$214:AE223)-1)+1),"")</f>
        <v/>
      </c>
      <c r="AF223" s="408"/>
      <c r="AG223" s="408"/>
      <c r="AH223" s="408"/>
      <c r="AI223" s="178">
        <f>IFERROR(INDEX('M04-S05'!$B$18:$B$199,2*(ROWS(AI$214:AI223)-1)+1),"")</f>
        <v>10</v>
      </c>
      <c r="AJ223" s="325"/>
      <c r="AK223" s="178">
        <f>IFERROR(INDEX('M04-S05'!$F$18:$F$199,2*(ROWS(AK$214:AK223)-1)+1),"")</f>
        <v>0</v>
      </c>
      <c r="AL223" s="178">
        <f>IFERROR(INDEX('M04-S05'!$L$18:$L$199,2*(ROWS(AL$214:AL223)-1)+1),"")</f>
        <v>0</v>
      </c>
      <c r="AM223" s="178">
        <f>IFERROR(INDEX('M04-S05'!$T$18:$T$199,2*(ROWS(AM$214:AM223)-1)+1),"")</f>
        <v>0</v>
      </c>
      <c r="AN223" s="200" t="str">
        <f>IFERROR(INDEX('M04-S05'!$AT$18:$AT$199,2*(ROWS(AN$214:AN223)-1)+1),"")</f>
        <v/>
      </c>
      <c r="AO223" s="200" t="str">
        <f>IFERROR(INDEX('M04-S05'!$AU$18:$AU$199,2*(ROWS(AO$214:AO223)-1)+1),"")</f>
        <v/>
      </c>
      <c r="AP223" s="178" t="str">
        <f>IFERROR(INDEX('M04-S05'!$AV$18:$AV$199,2*(ROWS(AP$214:AP223)-1)+1),"")</f>
        <v/>
      </c>
      <c r="AQ223" s="178" t="str">
        <f>IFERROR(INDEX('M04-S05'!$AY$18:$AY$199,2*(ROWS(AQ$214:AQ223)-1)+1),"")</f>
        <v/>
      </c>
      <c r="AR223" s="178" t="s">
        <v>1374</v>
      </c>
      <c r="AS223" s="178"/>
      <c r="AT223" s="278"/>
      <c r="AU223" s="278"/>
      <c r="AV223" s="278"/>
      <c r="AW223" s="278"/>
      <c r="AX223" s="278"/>
      <c r="AY223" s="278"/>
      <c r="AZ223" s="278"/>
      <c r="BA223" s="278"/>
      <c r="BB223" s="278"/>
      <c r="BC223" s="278"/>
      <c r="BD223" s="278"/>
      <c r="BE223" s="279"/>
      <c r="BL223" s="180"/>
      <c r="BP223" s="180"/>
      <c r="BQ223" s="180"/>
      <c r="BR223" s="180"/>
      <c r="CD223" s="180"/>
      <c r="CE223" s="180"/>
      <c r="CF223" s="180"/>
      <c r="CH223" s="180"/>
      <c r="CI223" s="180"/>
      <c r="CJ223" s="180"/>
      <c r="CK223" s="180"/>
      <c r="CL223" s="180"/>
      <c r="CM223" s="180"/>
      <c r="CN223" s="180"/>
      <c r="CQ223" s="180"/>
      <c r="CR223" s="180"/>
      <c r="CS223" s="180"/>
      <c r="DS223" s="180"/>
      <c r="DT223" s="180"/>
      <c r="DU223" s="180"/>
    </row>
    <row r="224" spans="1:125" s="54" customFormat="1" hidden="1">
      <c r="A224" s="135">
        <f t="shared" si="22"/>
        <v>0</v>
      </c>
      <c r="B224" s="178" t="str">
        <f t="shared" si="23"/>
        <v/>
      </c>
      <c r="C224" s="178" t="str">
        <f>IFERROR(IF(INDEX('M04-S05'!$BH$18:$BH$199,2*(ROWS($C$214:C224)-1)+1)="","",INDEX('M04-S05'!$BH$18:$BH$199,2*(ROWS($C$214:C224)-1)+1)),"")</f>
        <v/>
      </c>
      <c r="D224" s="180" t="s">
        <v>144</v>
      </c>
      <c r="E224" s="178">
        <f>IFERROR(INDEX('M04-S05'!$AZ$18:$AZ$199,2*(ROWS(E$214:E224)-1)+1),"")</f>
        <v>0</v>
      </c>
      <c r="F224" s="408"/>
      <c r="G224" s="325"/>
      <c r="H224" s="200" t="str">
        <f>IFERROR(IF(AC224&lt;&gt;"","",INDEX('M04-S05'!$AD$18:$AD$199,2*(ROWS(H$214:H224)-1)+1)),"")</f>
        <v/>
      </c>
      <c r="I224" s="200" t="str">
        <f>IFERROR(IF(AC224&lt;&gt;"","",INDEX('M04-S05'!$AF$18:$AF$199,2*(ROWS(I$214:I224)-1)+1)),"")</f>
        <v/>
      </c>
      <c r="J224" s="200" t="str">
        <f>IFERROR(IF(AC224&lt;&gt;"","",INDEX('M04-S05'!$AH$18:$AH$199,2*(ROWS(J$214:J224)-1)+1)),"")</f>
        <v/>
      </c>
      <c r="K224" s="178" t="str">
        <f>IFERROR(IF(AC224&lt;&gt;"","",INDEX('M04-S05'!$AB$18:$AB$199,2*(ROWS(J$214:J224)-1)+1)),"")</f>
        <v/>
      </c>
      <c r="L224" s="116" t="str">
        <f>IFERROR(IF(AC224&lt;&gt;"","",ROUND(INDEX('M04-S05'!$P$18:$P$199,2*(ROWS(L$214:L224)-1)+1),3)),"")</f>
        <v/>
      </c>
      <c r="M224" s="116" t="str">
        <f>IFERROR(IF(AC224&lt;&gt;"","",ROUND(INDEX('M04-S05'!$X$18:$X$199,2*(ROWS(M$214:M224)-1)+1),3)),"")</f>
        <v/>
      </c>
      <c r="N224" s="418"/>
      <c r="O224" s="415" t="str">
        <f>IFERROR(IF(AC224&lt;&gt;"","",INDEX('M04-S05'!$AK$18:$AK$199,2*(ROWS(O$214:O224)-1)+1)),"")</f>
        <v/>
      </c>
      <c r="P224" s="408"/>
      <c r="Q224" s="415" t="str">
        <f>IFERROR(IF(AC224&lt;&gt;"","",INDEX('M04-S05'!$BA$18:$BA$199,2*(ROWS(Q$214:Q224)-1)+1)),"")</f>
        <v/>
      </c>
      <c r="R224" s="200" t="str">
        <f>IFERROR(IF(AC224&lt;&gt;"","",INDEX('M04-S05'!$AN$18:$AN$199,2*(ROWS(R$214:R224)-1)+1)),"")</f>
        <v/>
      </c>
      <c r="S224" s="200">
        <f>IFERROR(IF(AC224&lt;&gt;"",INDEX('M04-S05'!$AD$18:$AD$199,2*(ROWS(S$214:S224)-1)+1),""),"")</f>
        <v>0</v>
      </c>
      <c r="T224" s="200">
        <f>IFERROR(IF(AC224&lt;&gt;"",INDEX('M04-S05'!$AF$18:$AF$199,2*(ROWS(T$214:T224)-1)+1),""),"")</f>
        <v>0</v>
      </c>
      <c r="U224" s="200">
        <f>IFERROR(IF(AC224&lt;&gt;"",INDEX('M04-S05'!$AH$18:$AH$199,2*(ROWS(U$214:U224)-1)+1),""),"")</f>
        <v>0</v>
      </c>
      <c r="V224" s="178">
        <f>IFERROR(IF(AC224&lt;&gt;"",INDEX('M04-S05'!$AB$18:$AB$199,2*(ROWS(V$214:V224)-1)+1),""),"")</f>
        <v>0</v>
      </c>
      <c r="W224" s="116">
        <f>IFERROR(IF(AC224&lt;&gt;"",ROUND(INDEX('M04-S05'!$P$18:$P$199,2*(ROWS(W$214:W224)-1)+1),3),""),"")</f>
        <v>0</v>
      </c>
      <c r="X224" s="116">
        <f>IFERROR(IF(AC224&lt;&gt;"",ROUND(INDEX('M04-S05'!$Z$18:$Z$199,2*(ROWS(X$214:X224)-1)+1),3),""),"")</f>
        <v>0</v>
      </c>
      <c r="Y224" s="408"/>
      <c r="Z224" s="173">
        <f>IFERROR(IF(AC224&lt;&gt;"",INDEX('M04-S05'!$AK$18:$AK$199,2*(ROWS(Z$214:Z224)-1)+1),""),"")</f>
        <v>0</v>
      </c>
      <c r="AA224" s="408"/>
      <c r="AB224" s="415">
        <f>IFERROR(IF(AC224&lt;&gt;"",INDEX('M04-S05'!$BA$18:$BA$199,2*(ROWS(AB$214:AB224)-1)+1),""),"")</f>
        <v>0</v>
      </c>
      <c r="AC224" s="178">
        <f>IFERROR(INDEX('M04-S05'!$BJ$18:$BJ$199,2*(ROWS(AC$214:AC224)-1)+1),"")</f>
        <v>0</v>
      </c>
      <c r="AD224" s="415">
        <f>IFERROR(INDEX('M04-S05'!$AW$18:$AW$199,2*(ROWS(AD$214:AD224)-1)+1),"")</f>
        <v>0</v>
      </c>
      <c r="AE224" s="415">
        <f>IFERROR(INDEX('M04-S05'!$AX$18:$AX$199,2*(ROWS(AE$214:AE224)-1)+1),"")</f>
        <v>0</v>
      </c>
      <c r="AF224" s="408"/>
      <c r="AG224" s="408"/>
      <c r="AH224" s="408"/>
      <c r="AI224" s="178">
        <f>IFERROR(INDEX('M04-S05'!$B$18:$B$199,2*(ROWS(AI$214:AI224)-1)+1),"")</f>
        <v>0</v>
      </c>
      <c r="AJ224" s="325"/>
      <c r="AK224" s="178">
        <f>IFERROR(INDEX('M04-S05'!$F$18:$F$199,2*(ROWS(AK$214:AK224)-1)+1),"")</f>
        <v>0</v>
      </c>
      <c r="AL224" s="178">
        <f>IFERROR(INDEX('M04-S05'!$L$18:$L$199,2*(ROWS(AL$214:AL224)-1)+1),"")</f>
        <v>0</v>
      </c>
      <c r="AM224" s="178">
        <f>IFERROR(INDEX('M04-S05'!$T$18:$T$199,2*(ROWS(AM$214:AM224)-1)+1),"")</f>
        <v>0</v>
      </c>
      <c r="AN224" s="200">
        <f>IFERROR(INDEX('M04-S05'!$AT$18:$AT$199,2*(ROWS(AN$214:AN224)-1)+1),"")</f>
        <v>0</v>
      </c>
      <c r="AO224" s="200">
        <f>IFERROR(INDEX('M04-S05'!$AU$18:$AU$199,2*(ROWS(AO$214:AO224)-1)+1),"")</f>
        <v>0</v>
      </c>
      <c r="AP224" s="178">
        <f>IFERROR(INDEX('M04-S05'!$AV$18:$AV$199,2*(ROWS(AP$214:AP224)-1)+1),"")</f>
        <v>0</v>
      </c>
      <c r="AQ224" s="178">
        <f>IFERROR(INDEX('M04-S05'!$AY$18:$AY$199,2*(ROWS(AQ$214:AQ224)-1)+1),"")</f>
        <v>0</v>
      </c>
      <c r="AR224" s="178" t="s">
        <v>1374</v>
      </c>
      <c r="AS224" s="178"/>
      <c r="AT224" s="278"/>
      <c r="AU224" s="278"/>
      <c r="AV224" s="278"/>
      <c r="AW224" s="278"/>
      <c r="AX224" s="278"/>
      <c r="AY224" s="278"/>
      <c r="AZ224" s="278"/>
      <c r="BA224" s="278"/>
      <c r="BB224" s="278"/>
      <c r="BC224" s="278"/>
      <c r="BD224" s="278"/>
      <c r="BE224" s="279"/>
      <c r="BL224" s="180"/>
      <c r="BP224" s="180"/>
      <c r="BQ224" s="180"/>
      <c r="BR224" s="180"/>
      <c r="CD224" s="180"/>
      <c r="CE224" s="180"/>
      <c r="CF224" s="180"/>
      <c r="CH224" s="180"/>
      <c r="CI224" s="180"/>
      <c r="CJ224" s="180"/>
      <c r="CK224" s="180"/>
      <c r="CL224" s="180"/>
      <c r="CM224" s="180"/>
      <c r="CN224" s="180"/>
      <c r="CQ224" s="180"/>
      <c r="CR224" s="180"/>
      <c r="CS224" s="180"/>
      <c r="DS224" s="180"/>
      <c r="DT224" s="180"/>
      <c r="DU224" s="180"/>
    </row>
    <row r="225" spans="1:125" s="54" customFormat="1" hidden="1">
      <c r="A225" s="135">
        <f t="shared" si="22"/>
        <v>0</v>
      </c>
      <c r="B225" s="178" t="str">
        <f t="shared" si="23"/>
        <v/>
      </c>
      <c r="C225" s="178" t="str">
        <f>IFERROR(IF(INDEX('M04-S05'!$BH$18:$BH$199,2*(ROWS($C$214:C225)-1)+1)="","",INDEX('M04-S05'!$BH$18:$BH$199,2*(ROWS($C$214:C225)-1)+1)),"")</f>
        <v/>
      </c>
      <c r="D225" s="180" t="s">
        <v>144</v>
      </c>
      <c r="E225" s="178">
        <f>IFERROR(INDEX('M04-S05'!$AZ$18:$AZ$199,2*(ROWS(E$214:E225)-1)+1),"")</f>
        <v>0</v>
      </c>
      <c r="F225" s="408"/>
      <c r="G225" s="325"/>
      <c r="H225" s="200" t="str">
        <f>IFERROR(IF(AC225&lt;&gt;"","",INDEX('M04-S05'!$AD$18:$AD$199,2*(ROWS(H$214:H225)-1)+1)),"")</f>
        <v/>
      </c>
      <c r="I225" s="200" t="str">
        <f>IFERROR(IF(AC225&lt;&gt;"","",INDEX('M04-S05'!$AF$18:$AF$199,2*(ROWS(I$214:I225)-1)+1)),"")</f>
        <v/>
      </c>
      <c r="J225" s="200" t="str">
        <f>IFERROR(IF(AC225&lt;&gt;"","",INDEX('M04-S05'!$AH$18:$AH$199,2*(ROWS(J$214:J225)-1)+1)),"")</f>
        <v/>
      </c>
      <c r="K225" s="178" t="str">
        <f>IFERROR(IF(AC225&lt;&gt;"","",INDEX('M04-S05'!$AB$18:$AB$199,2*(ROWS(J$214:J225)-1)+1)),"")</f>
        <v/>
      </c>
      <c r="L225" s="116" t="str">
        <f>IFERROR(IF(AC225&lt;&gt;"","",ROUND(INDEX('M04-S05'!$P$18:$P$199,2*(ROWS(L$214:L225)-1)+1),3)),"")</f>
        <v/>
      </c>
      <c r="M225" s="116" t="str">
        <f>IFERROR(IF(AC225&lt;&gt;"","",ROUND(INDEX('M04-S05'!$X$18:$X$199,2*(ROWS(M$214:M225)-1)+1),3)),"")</f>
        <v/>
      </c>
      <c r="N225" s="418"/>
      <c r="O225" s="415" t="str">
        <f>IFERROR(IF(AC225&lt;&gt;"","",INDEX('M04-S05'!$AK$18:$AK$199,2*(ROWS(O$214:O225)-1)+1)),"")</f>
        <v/>
      </c>
      <c r="P225" s="408"/>
      <c r="Q225" s="415" t="str">
        <f>IFERROR(IF(AC225&lt;&gt;"","",INDEX('M04-S05'!$BA$18:$BA$199,2*(ROWS(Q$214:Q225)-1)+1)),"")</f>
        <v/>
      </c>
      <c r="R225" s="200" t="str">
        <f>IFERROR(IF(AC225&lt;&gt;"","",INDEX('M04-S05'!$AN$18:$AN$199,2*(ROWS(R$214:R225)-1)+1)),"")</f>
        <v/>
      </c>
      <c r="S225" s="200">
        <f>IFERROR(IF(AC225&lt;&gt;"",INDEX('M04-S05'!$AD$18:$AD$199,2*(ROWS(S$214:S225)-1)+1),""),"")</f>
        <v>0</v>
      </c>
      <c r="T225" s="200">
        <f>IFERROR(IF(AC225&lt;&gt;"",INDEX('M04-S05'!$AF$18:$AF$199,2*(ROWS(T$214:T225)-1)+1),""),"")</f>
        <v>0</v>
      </c>
      <c r="U225" s="200">
        <f>IFERROR(IF(AC225&lt;&gt;"",INDEX('M04-S05'!$AH$18:$AH$199,2*(ROWS(U$214:U225)-1)+1),""),"")</f>
        <v>0</v>
      </c>
      <c r="V225" s="178">
        <f>IFERROR(IF(AC225&lt;&gt;"",INDEX('M04-S05'!$AB$18:$AB$199,2*(ROWS(V$214:V225)-1)+1),""),"")</f>
        <v>0</v>
      </c>
      <c r="W225" s="116">
        <f>IFERROR(IF(AC225&lt;&gt;"",ROUND(INDEX('M04-S05'!$P$18:$P$199,2*(ROWS(W$214:W225)-1)+1),3),""),"")</f>
        <v>0</v>
      </c>
      <c r="X225" s="116">
        <f>IFERROR(IF(AC225&lt;&gt;"",ROUND(INDEX('M04-S05'!$Z$18:$Z$199,2*(ROWS(X$214:X225)-1)+1),3),""),"")</f>
        <v>0</v>
      </c>
      <c r="Y225" s="408"/>
      <c r="Z225" s="173">
        <f>IFERROR(IF(AC225&lt;&gt;"",INDEX('M04-S05'!$AK$18:$AK$199,2*(ROWS(Z$214:Z225)-1)+1),""),"")</f>
        <v>0</v>
      </c>
      <c r="AA225" s="408"/>
      <c r="AB225" s="415">
        <f>IFERROR(IF(AC225&lt;&gt;"",INDEX('M04-S05'!$BA$18:$BA$199,2*(ROWS(AB$214:AB225)-1)+1),""),"")</f>
        <v>0</v>
      </c>
      <c r="AC225" s="178">
        <f>IFERROR(INDEX('M04-S05'!$BJ$18:$BJ$199,2*(ROWS(AC$214:AC225)-1)+1),"")</f>
        <v>0</v>
      </c>
      <c r="AD225" s="415">
        <f>IFERROR(INDEX('M04-S05'!$AW$18:$AW$199,2*(ROWS(AD$214:AD225)-1)+1),"")</f>
        <v>0</v>
      </c>
      <c r="AE225" s="415">
        <f>IFERROR(INDEX('M04-S05'!$AX$18:$AX$199,2*(ROWS(AE$214:AE225)-1)+1),"")</f>
        <v>0</v>
      </c>
      <c r="AF225" s="408"/>
      <c r="AG225" s="408"/>
      <c r="AH225" s="408"/>
      <c r="AI225" s="178">
        <f>IFERROR(INDEX('M04-S05'!$B$18:$B$199,2*(ROWS(AI$214:AI225)-1)+1),"")</f>
        <v>0</v>
      </c>
      <c r="AJ225" s="325"/>
      <c r="AK225" s="178">
        <f>IFERROR(INDEX('M04-S05'!$F$18:$F$199,2*(ROWS(AK$214:AK225)-1)+1),"")</f>
        <v>0</v>
      </c>
      <c r="AL225" s="178">
        <f>IFERROR(INDEX('M04-S05'!$L$18:$L$199,2*(ROWS(AL$214:AL225)-1)+1),"")</f>
        <v>0</v>
      </c>
      <c r="AM225" s="178">
        <f>IFERROR(INDEX('M04-S05'!$T$18:$T$199,2*(ROWS(AM$214:AM225)-1)+1),"")</f>
        <v>0</v>
      </c>
      <c r="AN225" s="200">
        <f>IFERROR(INDEX('M04-S05'!$AT$18:$AT$199,2*(ROWS(AN$214:AN225)-1)+1),"")</f>
        <v>0</v>
      </c>
      <c r="AO225" s="200">
        <f>IFERROR(INDEX('M04-S05'!$AU$18:$AU$199,2*(ROWS(AO$214:AO225)-1)+1),"")</f>
        <v>0</v>
      </c>
      <c r="AP225" s="178">
        <f>IFERROR(INDEX('M04-S05'!$AV$18:$AV$199,2*(ROWS(AP$214:AP225)-1)+1),"")</f>
        <v>0</v>
      </c>
      <c r="AQ225" s="178">
        <f>IFERROR(INDEX('M04-S05'!$AY$18:$AY$199,2*(ROWS(AQ$214:AQ225)-1)+1),"")</f>
        <v>0</v>
      </c>
      <c r="AR225" s="178" t="s">
        <v>1374</v>
      </c>
      <c r="AS225" s="178"/>
      <c r="AT225" s="278"/>
      <c r="AU225" s="278"/>
      <c r="AV225" s="278"/>
      <c r="AW225" s="278"/>
      <c r="AX225" s="278"/>
      <c r="AY225" s="278"/>
      <c r="AZ225" s="278"/>
      <c r="BA225" s="278"/>
      <c r="BB225" s="278"/>
      <c r="BC225" s="278"/>
      <c r="BD225" s="278"/>
      <c r="BE225" s="279"/>
      <c r="BL225" s="180"/>
      <c r="BP225" s="180"/>
      <c r="BQ225" s="180"/>
      <c r="BR225" s="180"/>
      <c r="CD225" s="180"/>
      <c r="CE225" s="180"/>
      <c r="CF225" s="180"/>
      <c r="CH225" s="180"/>
      <c r="CI225" s="180"/>
      <c r="CJ225" s="180"/>
      <c r="CK225" s="180"/>
      <c r="CL225" s="180"/>
      <c r="CM225" s="180"/>
      <c r="CN225" s="180"/>
      <c r="CQ225" s="180"/>
      <c r="CR225" s="180"/>
      <c r="CS225" s="180"/>
      <c r="DS225" s="180"/>
      <c r="DT225" s="180"/>
      <c r="DU225" s="180"/>
    </row>
    <row r="226" spans="1:125" s="54" customFormat="1" hidden="1">
      <c r="A226" s="135">
        <f t="shared" si="22"/>
        <v>0</v>
      </c>
      <c r="B226" s="178" t="str">
        <f t="shared" si="23"/>
        <v/>
      </c>
      <c r="C226" s="178" t="str">
        <f>IFERROR(IF(INDEX('M04-S05'!$BH$18:$BH$199,2*(ROWS($C$214:C226)-1)+1)="","",INDEX('M04-S05'!$BH$18:$BH$199,2*(ROWS($C$214:C226)-1)+1)),"")</f>
        <v/>
      </c>
      <c r="D226" s="180" t="s">
        <v>144</v>
      </c>
      <c r="E226" s="178">
        <f>IFERROR(INDEX('M04-S05'!$AZ$18:$AZ$199,2*(ROWS(E$214:E226)-1)+1),"")</f>
        <v>0</v>
      </c>
      <c r="F226" s="408"/>
      <c r="G226" s="325"/>
      <c r="H226" s="200" t="str">
        <f>IFERROR(IF(AC226&lt;&gt;"","",INDEX('M04-S05'!$AD$18:$AD$199,2*(ROWS(H$214:H226)-1)+1)),"")</f>
        <v/>
      </c>
      <c r="I226" s="200" t="str">
        <f>IFERROR(IF(AC226&lt;&gt;"","",INDEX('M04-S05'!$AF$18:$AF$199,2*(ROWS(I$214:I226)-1)+1)),"")</f>
        <v/>
      </c>
      <c r="J226" s="200" t="str">
        <f>IFERROR(IF(AC226&lt;&gt;"","",INDEX('M04-S05'!$AH$18:$AH$199,2*(ROWS(J$214:J226)-1)+1)),"")</f>
        <v/>
      </c>
      <c r="K226" s="178" t="str">
        <f>IFERROR(IF(AC226&lt;&gt;"","",INDEX('M04-S05'!$AB$18:$AB$199,2*(ROWS(J$214:J226)-1)+1)),"")</f>
        <v/>
      </c>
      <c r="L226" s="116" t="str">
        <f>IFERROR(IF(AC226&lt;&gt;"","",ROUND(INDEX('M04-S05'!$P$18:$P$199,2*(ROWS(L$214:L226)-1)+1),3)),"")</f>
        <v/>
      </c>
      <c r="M226" s="116" t="str">
        <f>IFERROR(IF(AC226&lt;&gt;"","",ROUND(INDEX('M04-S05'!$X$18:$X$199,2*(ROWS(M$214:M226)-1)+1),3)),"")</f>
        <v/>
      </c>
      <c r="N226" s="418"/>
      <c r="O226" s="415" t="str">
        <f>IFERROR(IF(AC226&lt;&gt;"","",INDEX('M04-S05'!$AK$18:$AK$199,2*(ROWS(O$214:O226)-1)+1)),"")</f>
        <v/>
      </c>
      <c r="P226" s="408"/>
      <c r="Q226" s="415" t="str">
        <f>IFERROR(IF(AC226&lt;&gt;"","",INDEX('M04-S05'!$BA$18:$BA$199,2*(ROWS(Q$214:Q226)-1)+1)),"")</f>
        <v/>
      </c>
      <c r="R226" s="200" t="str">
        <f>IFERROR(IF(AC226&lt;&gt;"","",INDEX('M04-S05'!$AN$18:$AN$199,2*(ROWS(R$214:R226)-1)+1)),"")</f>
        <v/>
      </c>
      <c r="S226" s="200">
        <f>IFERROR(IF(AC226&lt;&gt;"",INDEX('M04-S05'!$AD$18:$AD$199,2*(ROWS(S$214:S226)-1)+1),""),"")</f>
        <v>0</v>
      </c>
      <c r="T226" s="200">
        <f>IFERROR(IF(AC226&lt;&gt;"",INDEX('M04-S05'!$AF$18:$AF$199,2*(ROWS(T$214:T226)-1)+1),""),"")</f>
        <v>0</v>
      </c>
      <c r="U226" s="200">
        <f>IFERROR(IF(AC226&lt;&gt;"",INDEX('M04-S05'!$AH$18:$AH$199,2*(ROWS(U$214:U226)-1)+1),""),"")</f>
        <v>0</v>
      </c>
      <c r="V226" s="178">
        <f>IFERROR(IF(AC226&lt;&gt;"",INDEX('M04-S05'!$AB$18:$AB$199,2*(ROWS(V$214:V226)-1)+1),""),"")</f>
        <v>0</v>
      </c>
      <c r="W226" s="116">
        <f>IFERROR(IF(AC226&lt;&gt;"",ROUND(INDEX('M04-S05'!$P$18:$P$199,2*(ROWS(W$214:W226)-1)+1),3),""),"")</f>
        <v>0</v>
      </c>
      <c r="X226" s="116">
        <f>IFERROR(IF(AC226&lt;&gt;"",ROUND(INDEX('M04-S05'!$Z$18:$Z$199,2*(ROWS(X$214:X226)-1)+1),3),""),"")</f>
        <v>0</v>
      </c>
      <c r="Y226" s="408"/>
      <c r="Z226" s="173">
        <f>IFERROR(IF(AC226&lt;&gt;"",INDEX('M04-S05'!$AK$18:$AK$199,2*(ROWS(Z$214:Z226)-1)+1),""),"")</f>
        <v>0</v>
      </c>
      <c r="AA226" s="408"/>
      <c r="AB226" s="415">
        <f>IFERROR(IF(AC226&lt;&gt;"",INDEX('M04-S05'!$BA$18:$BA$199,2*(ROWS(AB$214:AB226)-1)+1),""),"")</f>
        <v>0</v>
      </c>
      <c r="AC226" s="178">
        <f>IFERROR(INDEX('M04-S05'!$BJ$18:$BJ$199,2*(ROWS(AC$214:AC226)-1)+1),"")</f>
        <v>0</v>
      </c>
      <c r="AD226" s="415">
        <f>IFERROR(INDEX('M04-S05'!$AW$18:$AW$199,2*(ROWS(AD$214:AD226)-1)+1),"")</f>
        <v>0</v>
      </c>
      <c r="AE226" s="415">
        <f>IFERROR(INDEX('M04-S05'!$AX$18:$AX$199,2*(ROWS(AE$214:AE226)-1)+1),"")</f>
        <v>0</v>
      </c>
      <c r="AF226" s="408"/>
      <c r="AG226" s="408"/>
      <c r="AH226" s="408"/>
      <c r="AI226" s="178">
        <f>IFERROR(INDEX('M04-S05'!$B$18:$B$199,2*(ROWS(AI$214:AI226)-1)+1),"")</f>
        <v>0</v>
      </c>
      <c r="AJ226" s="325"/>
      <c r="AK226" s="178">
        <f>IFERROR(INDEX('M04-S05'!$F$18:$F$199,2*(ROWS(AK$214:AK226)-1)+1),"")</f>
        <v>0</v>
      </c>
      <c r="AL226" s="178">
        <f>IFERROR(INDEX('M04-S05'!$L$18:$L$199,2*(ROWS(AL$214:AL226)-1)+1),"")</f>
        <v>0</v>
      </c>
      <c r="AM226" s="178">
        <f>IFERROR(INDEX('M04-S05'!$T$18:$T$199,2*(ROWS(AM$214:AM226)-1)+1),"")</f>
        <v>0</v>
      </c>
      <c r="AN226" s="200">
        <f>IFERROR(INDEX('M04-S05'!$AT$18:$AT$199,2*(ROWS(AN$214:AN226)-1)+1),"")</f>
        <v>0</v>
      </c>
      <c r="AO226" s="200">
        <f>IFERROR(INDEX('M04-S05'!$AU$18:$AU$199,2*(ROWS(AO$214:AO226)-1)+1),"")</f>
        <v>0</v>
      </c>
      <c r="AP226" s="178">
        <f>IFERROR(INDEX('M04-S05'!$AV$18:$AV$199,2*(ROWS(AP$214:AP226)-1)+1),"")</f>
        <v>0</v>
      </c>
      <c r="AQ226" s="178">
        <f>IFERROR(INDEX('M04-S05'!$AY$18:$AY$199,2*(ROWS(AQ$214:AQ226)-1)+1),"")</f>
        <v>0</v>
      </c>
      <c r="AR226" s="178" t="s">
        <v>1374</v>
      </c>
      <c r="AS226" s="178"/>
      <c r="AT226" s="278"/>
      <c r="AU226" s="278"/>
      <c r="AV226" s="278"/>
      <c r="AW226" s="278"/>
      <c r="AX226" s="278"/>
      <c r="AY226" s="278"/>
      <c r="AZ226" s="278"/>
      <c r="BA226" s="278"/>
      <c r="BB226" s="278"/>
      <c r="BC226" s="278"/>
      <c r="BD226" s="278"/>
      <c r="BE226" s="279"/>
      <c r="BL226" s="180"/>
      <c r="BP226" s="180"/>
      <c r="BQ226" s="180"/>
      <c r="BR226" s="180"/>
      <c r="CD226" s="180"/>
      <c r="CE226" s="180"/>
      <c r="CF226" s="180"/>
      <c r="CH226" s="180"/>
      <c r="CI226" s="180"/>
      <c r="CJ226" s="180"/>
      <c r="CK226" s="180"/>
      <c r="CL226" s="180"/>
      <c r="CM226" s="180"/>
      <c r="CN226" s="180"/>
      <c r="CQ226" s="180"/>
      <c r="CR226" s="180"/>
      <c r="CS226" s="180"/>
      <c r="DS226" s="180"/>
      <c r="DT226" s="180"/>
      <c r="DU226" s="180"/>
    </row>
    <row r="227" spans="1:125" s="54" customFormat="1" hidden="1">
      <c r="A227" s="135">
        <f t="shared" si="22"/>
        <v>0</v>
      </c>
      <c r="B227" s="178" t="str">
        <f t="shared" si="23"/>
        <v/>
      </c>
      <c r="C227" s="178" t="str">
        <f>IFERROR(IF(INDEX('M04-S05'!$BH$18:$BH$199,2*(ROWS($C$214:C227)-1)+1)="","",INDEX('M04-S05'!$BH$18:$BH$199,2*(ROWS($C$214:C227)-1)+1)),"")</f>
        <v/>
      </c>
      <c r="D227" s="180" t="s">
        <v>144</v>
      </c>
      <c r="E227" s="178">
        <f>IFERROR(INDEX('M04-S05'!$AZ$18:$AZ$199,2*(ROWS(E$214:E227)-1)+1),"")</f>
        <v>0</v>
      </c>
      <c r="F227" s="408"/>
      <c r="G227" s="325"/>
      <c r="H227" s="200" t="str">
        <f>IFERROR(IF(AC227&lt;&gt;"","",INDEX('M04-S05'!$AD$18:$AD$199,2*(ROWS(H$214:H227)-1)+1)),"")</f>
        <v/>
      </c>
      <c r="I227" s="200" t="str">
        <f>IFERROR(IF(AC227&lt;&gt;"","",INDEX('M04-S05'!$AF$18:$AF$199,2*(ROWS(I$214:I227)-1)+1)),"")</f>
        <v/>
      </c>
      <c r="J227" s="200" t="str">
        <f>IFERROR(IF(AC227&lt;&gt;"","",INDEX('M04-S05'!$AH$18:$AH$199,2*(ROWS(J$214:J227)-1)+1)),"")</f>
        <v/>
      </c>
      <c r="K227" s="178" t="str">
        <f>IFERROR(IF(AC227&lt;&gt;"","",INDEX('M04-S05'!$AB$18:$AB$199,2*(ROWS(J$214:J227)-1)+1)),"")</f>
        <v/>
      </c>
      <c r="L227" s="116" t="str">
        <f>IFERROR(IF(AC227&lt;&gt;"","",ROUND(INDEX('M04-S05'!$P$18:$P$199,2*(ROWS(L$214:L227)-1)+1),3)),"")</f>
        <v/>
      </c>
      <c r="M227" s="116" t="str">
        <f>IFERROR(IF(AC227&lt;&gt;"","",ROUND(INDEX('M04-S05'!$X$18:$X$199,2*(ROWS(M$214:M227)-1)+1),3)),"")</f>
        <v/>
      </c>
      <c r="N227" s="418"/>
      <c r="O227" s="415" t="str">
        <f>IFERROR(IF(AC227&lt;&gt;"","",INDEX('M04-S05'!$AK$18:$AK$199,2*(ROWS(O$214:O227)-1)+1)),"")</f>
        <v/>
      </c>
      <c r="P227" s="408"/>
      <c r="Q227" s="415" t="str">
        <f>IFERROR(IF(AC227&lt;&gt;"","",INDEX('M04-S05'!$BA$18:$BA$199,2*(ROWS(Q$214:Q227)-1)+1)),"")</f>
        <v/>
      </c>
      <c r="R227" s="200" t="str">
        <f>IFERROR(IF(AC227&lt;&gt;"","",INDEX('M04-S05'!$AN$18:$AN$199,2*(ROWS(R$214:R227)-1)+1)),"")</f>
        <v/>
      </c>
      <c r="S227" s="200">
        <f>IFERROR(IF(AC227&lt;&gt;"",INDEX('M04-S05'!$AD$18:$AD$199,2*(ROWS(S$214:S227)-1)+1),""),"")</f>
        <v>0</v>
      </c>
      <c r="T227" s="200">
        <f>IFERROR(IF(AC227&lt;&gt;"",INDEX('M04-S05'!$AF$18:$AF$199,2*(ROWS(T$214:T227)-1)+1),""),"")</f>
        <v>0</v>
      </c>
      <c r="U227" s="200">
        <f>IFERROR(IF(AC227&lt;&gt;"",INDEX('M04-S05'!$AH$18:$AH$199,2*(ROWS(U$214:U227)-1)+1),""),"")</f>
        <v>0</v>
      </c>
      <c r="V227" s="178">
        <f>IFERROR(IF(AC227&lt;&gt;"",INDEX('M04-S05'!$AB$18:$AB$199,2*(ROWS(V$214:V227)-1)+1),""),"")</f>
        <v>0</v>
      </c>
      <c r="W227" s="116">
        <f>IFERROR(IF(AC227&lt;&gt;"",ROUND(INDEX('M04-S05'!$P$18:$P$199,2*(ROWS(W$214:W227)-1)+1),3),""),"")</f>
        <v>0</v>
      </c>
      <c r="X227" s="116">
        <f>IFERROR(IF(AC227&lt;&gt;"",ROUND(INDEX('M04-S05'!$Z$18:$Z$199,2*(ROWS(X$214:X227)-1)+1),3),""),"")</f>
        <v>0</v>
      </c>
      <c r="Y227" s="408"/>
      <c r="Z227" s="173">
        <f>IFERROR(IF(AC227&lt;&gt;"",INDEX('M04-S05'!$AK$18:$AK$199,2*(ROWS(Z$214:Z227)-1)+1),""),"")</f>
        <v>0</v>
      </c>
      <c r="AA227" s="408"/>
      <c r="AB227" s="415">
        <f>IFERROR(IF(AC227&lt;&gt;"",INDEX('M04-S05'!$BA$18:$BA$199,2*(ROWS(AB$214:AB227)-1)+1),""),"")</f>
        <v>0</v>
      </c>
      <c r="AC227" s="178">
        <f>IFERROR(INDEX('M04-S05'!$BJ$18:$BJ$199,2*(ROWS(AC$214:AC227)-1)+1),"")</f>
        <v>0</v>
      </c>
      <c r="AD227" s="415">
        <f>IFERROR(INDEX('M04-S05'!$AW$18:$AW$199,2*(ROWS(AD$214:AD227)-1)+1),"")</f>
        <v>0</v>
      </c>
      <c r="AE227" s="415">
        <f>IFERROR(INDEX('M04-S05'!$AX$18:$AX$199,2*(ROWS(AE$214:AE227)-1)+1),"")</f>
        <v>0</v>
      </c>
      <c r="AF227" s="408"/>
      <c r="AG227" s="408"/>
      <c r="AH227" s="408"/>
      <c r="AI227" s="178">
        <f>IFERROR(INDEX('M04-S05'!$B$18:$B$199,2*(ROWS(AI$214:AI227)-1)+1),"")</f>
        <v>0</v>
      </c>
      <c r="AJ227" s="325"/>
      <c r="AK227" s="178">
        <f>IFERROR(INDEX('M04-S05'!$F$18:$F$199,2*(ROWS(AK$214:AK227)-1)+1),"")</f>
        <v>0</v>
      </c>
      <c r="AL227" s="178">
        <f>IFERROR(INDEX('M04-S05'!$L$18:$L$199,2*(ROWS(AL$214:AL227)-1)+1),"")</f>
        <v>0</v>
      </c>
      <c r="AM227" s="178">
        <f>IFERROR(INDEX('M04-S05'!$T$18:$T$199,2*(ROWS(AM$214:AM227)-1)+1),"")</f>
        <v>0</v>
      </c>
      <c r="AN227" s="200">
        <f>IFERROR(INDEX('M04-S05'!$AT$18:$AT$199,2*(ROWS(AN$214:AN227)-1)+1),"")</f>
        <v>0</v>
      </c>
      <c r="AO227" s="200">
        <f>IFERROR(INDEX('M04-S05'!$AU$18:$AU$199,2*(ROWS(AO$214:AO227)-1)+1),"")</f>
        <v>0</v>
      </c>
      <c r="AP227" s="178">
        <f>IFERROR(INDEX('M04-S05'!$AV$18:$AV$199,2*(ROWS(AP$214:AP227)-1)+1),"")</f>
        <v>0</v>
      </c>
      <c r="AQ227" s="178">
        <f>IFERROR(INDEX('M04-S05'!$AY$18:$AY$199,2*(ROWS(AQ$214:AQ227)-1)+1),"")</f>
        <v>0</v>
      </c>
      <c r="AR227" s="178" t="s">
        <v>1374</v>
      </c>
      <c r="AS227" s="178"/>
      <c r="AT227" s="278"/>
      <c r="AU227" s="278"/>
      <c r="AV227" s="278"/>
      <c r="AW227" s="278"/>
      <c r="AX227" s="278"/>
      <c r="AY227" s="278"/>
      <c r="AZ227" s="278"/>
      <c r="BA227" s="278"/>
      <c r="BB227" s="278"/>
      <c r="BC227" s="278"/>
      <c r="BD227" s="278"/>
      <c r="BE227" s="279"/>
      <c r="BL227" s="180"/>
      <c r="BP227" s="180"/>
      <c r="BQ227" s="180"/>
      <c r="BR227" s="180"/>
      <c r="CD227" s="180"/>
      <c r="CE227" s="180"/>
      <c r="CF227" s="180"/>
      <c r="CH227" s="180"/>
      <c r="CI227" s="180"/>
      <c r="CJ227" s="180"/>
      <c r="CK227" s="180"/>
      <c r="CL227" s="180"/>
      <c r="CM227" s="180"/>
      <c r="CN227" s="180"/>
      <c r="CQ227" s="180"/>
      <c r="CR227" s="180"/>
      <c r="CS227" s="180"/>
      <c r="DS227" s="180"/>
      <c r="DT227" s="180"/>
      <c r="DU227" s="180"/>
    </row>
    <row r="228" spans="1:125" s="54" customFormat="1" hidden="1">
      <c r="A228" s="135">
        <f t="shared" si="22"/>
        <v>0</v>
      </c>
      <c r="B228" s="178" t="str">
        <f t="shared" si="23"/>
        <v/>
      </c>
      <c r="C228" s="178" t="str">
        <f>IFERROR(IF(INDEX('M04-S05'!$BH$18:$BH$199,2*(ROWS($C$214:C228)-1)+1)="","",INDEX('M04-S05'!$BH$18:$BH$199,2*(ROWS($C$214:C228)-1)+1)),"")</f>
        <v/>
      </c>
      <c r="D228" s="180" t="s">
        <v>144</v>
      </c>
      <c r="E228" s="178">
        <f>IFERROR(INDEX('M04-S05'!$AZ$18:$AZ$199,2*(ROWS(E$214:E228)-1)+1),"")</f>
        <v>0</v>
      </c>
      <c r="F228" s="408"/>
      <c r="G228" s="325"/>
      <c r="H228" s="200" t="str">
        <f>IFERROR(IF(AC228&lt;&gt;"","",INDEX('M04-S05'!$AD$18:$AD$199,2*(ROWS(H$214:H228)-1)+1)),"")</f>
        <v/>
      </c>
      <c r="I228" s="200" t="str">
        <f>IFERROR(IF(AC228&lt;&gt;"","",INDEX('M04-S05'!$AF$18:$AF$199,2*(ROWS(I$214:I228)-1)+1)),"")</f>
        <v/>
      </c>
      <c r="J228" s="200" t="str">
        <f>IFERROR(IF(AC228&lt;&gt;"","",INDEX('M04-S05'!$AH$18:$AH$199,2*(ROWS(J$214:J228)-1)+1)),"")</f>
        <v/>
      </c>
      <c r="K228" s="178" t="str">
        <f>IFERROR(IF(AC228&lt;&gt;"","",INDEX('M04-S05'!$AB$18:$AB$199,2*(ROWS(J$214:J228)-1)+1)),"")</f>
        <v/>
      </c>
      <c r="L228" s="116" t="str">
        <f>IFERROR(IF(AC228&lt;&gt;"","",ROUND(INDEX('M04-S05'!$P$18:$P$199,2*(ROWS(L$214:L228)-1)+1),3)),"")</f>
        <v/>
      </c>
      <c r="M228" s="116" t="str">
        <f>IFERROR(IF(AC228&lt;&gt;"","",ROUND(INDEX('M04-S05'!$X$18:$X$199,2*(ROWS(M$214:M228)-1)+1),3)),"")</f>
        <v/>
      </c>
      <c r="N228" s="418"/>
      <c r="O228" s="415" t="str">
        <f>IFERROR(IF(AC228&lt;&gt;"","",INDEX('M04-S05'!$AK$18:$AK$199,2*(ROWS(O$214:O228)-1)+1)),"")</f>
        <v/>
      </c>
      <c r="P228" s="408"/>
      <c r="Q228" s="415" t="str">
        <f>IFERROR(IF(AC228&lt;&gt;"","",INDEX('M04-S05'!$BA$18:$BA$199,2*(ROWS(Q$214:Q228)-1)+1)),"")</f>
        <v/>
      </c>
      <c r="R228" s="200" t="str">
        <f>IFERROR(IF(AC228&lt;&gt;"","",INDEX('M04-S05'!$AN$18:$AN$199,2*(ROWS(R$214:R228)-1)+1)),"")</f>
        <v/>
      </c>
      <c r="S228" s="200">
        <f>IFERROR(IF(AC228&lt;&gt;"",INDEX('M04-S05'!$AD$18:$AD$199,2*(ROWS(S$214:S228)-1)+1),""),"")</f>
        <v>0</v>
      </c>
      <c r="T228" s="200">
        <f>IFERROR(IF(AC228&lt;&gt;"",INDEX('M04-S05'!$AF$18:$AF$199,2*(ROWS(T$214:T228)-1)+1),""),"")</f>
        <v>0</v>
      </c>
      <c r="U228" s="200">
        <f>IFERROR(IF(AC228&lt;&gt;"",INDEX('M04-S05'!$AH$18:$AH$199,2*(ROWS(U$214:U228)-1)+1),""),"")</f>
        <v>0</v>
      </c>
      <c r="V228" s="178">
        <f>IFERROR(IF(AC228&lt;&gt;"",INDEX('M04-S05'!$AB$18:$AB$199,2*(ROWS(V$214:V228)-1)+1),""),"")</f>
        <v>0</v>
      </c>
      <c r="W228" s="116">
        <f>IFERROR(IF(AC228&lt;&gt;"",ROUND(INDEX('M04-S05'!$P$18:$P$199,2*(ROWS(W$214:W228)-1)+1),3),""),"")</f>
        <v>0</v>
      </c>
      <c r="X228" s="116">
        <f>IFERROR(IF(AC228&lt;&gt;"",ROUND(INDEX('M04-S05'!$Z$18:$Z$199,2*(ROWS(X$214:X228)-1)+1),3),""),"")</f>
        <v>0</v>
      </c>
      <c r="Y228" s="408"/>
      <c r="Z228" s="173">
        <f>IFERROR(IF(AC228&lt;&gt;"",INDEX('M04-S05'!$AK$18:$AK$199,2*(ROWS(Z$214:Z228)-1)+1),""),"")</f>
        <v>0</v>
      </c>
      <c r="AA228" s="408"/>
      <c r="AB228" s="415">
        <f>IFERROR(IF(AC228&lt;&gt;"",INDEX('M04-S05'!$BA$18:$BA$199,2*(ROWS(AB$214:AB228)-1)+1),""),"")</f>
        <v>0</v>
      </c>
      <c r="AC228" s="178">
        <f>IFERROR(INDEX('M04-S05'!$BJ$18:$BJ$199,2*(ROWS(AC$214:AC228)-1)+1),"")</f>
        <v>0</v>
      </c>
      <c r="AD228" s="415">
        <f>IFERROR(INDEX('M04-S05'!$AW$18:$AW$199,2*(ROWS(AD$214:AD228)-1)+1),"")</f>
        <v>0</v>
      </c>
      <c r="AE228" s="415">
        <f>IFERROR(INDEX('M04-S05'!$AX$18:$AX$199,2*(ROWS(AE$214:AE228)-1)+1),"")</f>
        <v>0</v>
      </c>
      <c r="AF228" s="408"/>
      <c r="AG228" s="408"/>
      <c r="AH228" s="408"/>
      <c r="AI228" s="178">
        <f>IFERROR(INDEX('M04-S05'!$B$18:$B$199,2*(ROWS(AI$214:AI228)-1)+1),"")</f>
        <v>0</v>
      </c>
      <c r="AJ228" s="325"/>
      <c r="AK228" s="178">
        <f>IFERROR(INDEX('M04-S05'!$F$18:$F$199,2*(ROWS(AK$214:AK228)-1)+1),"")</f>
        <v>0</v>
      </c>
      <c r="AL228" s="178">
        <f>IFERROR(INDEX('M04-S05'!$L$18:$L$199,2*(ROWS(AL$214:AL228)-1)+1),"")</f>
        <v>0</v>
      </c>
      <c r="AM228" s="178">
        <f>IFERROR(INDEX('M04-S05'!$T$18:$T$199,2*(ROWS(AM$214:AM228)-1)+1),"")</f>
        <v>0</v>
      </c>
      <c r="AN228" s="200">
        <f>IFERROR(INDEX('M04-S05'!$AT$18:$AT$199,2*(ROWS(AN$214:AN228)-1)+1),"")</f>
        <v>0</v>
      </c>
      <c r="AO228" s="200">
        <f>IFERROR(INDEX('M04-S05'!$AU$18:$AU$199,2*(ROWS(AO$214:AO228)-1)+1),"")</f>
        <v>0</v>
      </c>
      <c r="AP228" s="178">
        <f>IFERROR(INDEX('M04-S05'!$AV$18:$AV$199,2*(ROWS(AP$214:AP228)-1)+1),"")</f>
        <v>0</v>
      </c>
      <c r="AQ228" s="178">
        <f>IFERROR(INDEX('M04-S05'!$AY$18:$AY$199,2*(ROWS(AQ$214:AQ228)-1)+1),"")</f>
        <v>0</v>
      </c>
      <c r="AR228" s="178" t="s">
        <v>1374</v>
      </c>
      <c r="AS228" s="178"/>
      <c r="AT228" s="278"/>
      <c r="AU228" s="278"/>
      <c r="AV228" s="278"/>
      <c r="AW228" s="278"/>
      <c r="AX228" s="278"/>
      <c r="AY228" s="278"/>
      <c r="AZ228" s="278"/>
      <c r="BA228" s="278"/>
      <c r="BB228" s="278"/>
      <c r="BC228" s="278"/>
      <c r="BD228" s="278"/>
      <c r="BE228" s="279"/>
      <c r="BL228" s="180"/>
      <c r="BP228" s="180"/>
      <c r="BQ228" s="180"/>
      <c r="BR228" s="180"/>
      <c r="CD228" s="180"/>
      <c r="CE228" s="180"/>
      <c r="CF228" s="180"/>
      <c r="CH228" s="180"/>
      <c r="CI228" s="180"/>
      <c r="CJ228" s="180"/>
      <c r="CK228" s="180"/>
      <c r="CL228" s="180"/>
      <c r="CM228" s="180"/>
      <c r="CN228" s="180"/>
      <c r="CQ228" s="180"/>
      <c r="CR228" s="180"/>
      <c r="CS228" s="180"/>
      <c r="DS228" s="180"/>
      <c r="DT228" s="180"/>
      <c r="DU228" s="180"/>
    </row>
    <row r="229" spans="1:125" s="180" customFormat="1">
      <c r="A229" s="430" t="str">
        <f>"Custom "&amp;M4S6</f>
        <v>Custom Compressed Air / Process</v>
      </c>
      <c r="B229" s="63"/>
      <c r="C229" s="63"/>
      <c r="D229" s="63"/>
      <c r="E229" s="63"/>
      <c r="F229" s="409"/>
      <c r="G229" s="63"/>
      <c r="H229" s="404"/>
      <c r="I229" s="404"/>
      <c r="J229" s="404"/>
      <c r="K229" s="63"/>
      <c r="L229" s="412"/>
      <c r="M229" s="412"/>
      <c r="N229" s="416"/>
      <c r="O229" s="416"/>
      <c r="P229" s="416"/>
      <c r="Q229" s="416"/>
      <c r="R229" s="404"/>
      <c r="S229" s="404"/>
      <c r="T229" s="404"/>
      <c r="U229" s="404"/>
      <c r="V229" s="63"/>
      <c r="W229" s="412"/>
      <c r="X229" s="412"/>
      <c r="Y229" s="409"/>
      <c r="Z229" s="409"/>
      <c r="AA229" s="416"/>
      <c r="AB229" s="416"/>
      <c r="AC229" s="63"/>
      <c r="AD229" s="416"/>
      <c r="AE229" s="416"/>
      <c r="AF229" s="409"/>
      <c r="AG229" s="409"/>
      <c r="AH229" s="409"/>
      <c r="AI229" s="63"/>
      <c r="AJ229" s="63"/>
      <c r="AK229" s="177"/>
      <c r="AL229" s="63"/>
      <c r="AM229" s="63"/>
      <c r="AN229" s="404"/>
      <c r="AO229" s="404"/>
      <c r="AP229" s="63"/>
      <c r="AQ229" s="63"/>
      <c r="AR229" s="63"/>
      <c r="AS229" s="63"/>
      <c r="AT229" s="63"/>
      <c r="AU229" s="278"/>
      <c r="AV229" s="278"/>
      <c r="AW229" s="278"/>
      <c r="AX229" s="278"/>
      <c r="AY229" s="278"/>
      <c r="AZ229" s="278"/>
      <c r="BA229" s="278"/>
      <c r="BB229" s="278"/>
      <c r="BC229" s="278"/>
      <c r="BD229" s="278"/>
      <c r="BE229" s="279"/>
      <c r="BP229"/>
      <c r="BQ229"/>
      <c r="BR229"/>
      <c r="CH229"/>
      <c r="CI229"/>
      <c r="CJ229"/>
      <c r="CK229"/>
      <c r="CL229"/>
      <c r="CM229"/>
      <c r="CN229"/>
    </row>
    <row r="230" spans="1:125" s="54" customFormat="1" hidden="1">
      <c r="A230" s="135">
        <f t="shared" ref="A230:A244" si="24">PROJID</f>
        <v>0</v>
      </c>
      <c r="B230" s="178" t="str">
        <f>IF(C230="","",CONCATENATE(ROW(),"-",C230))</f>
        <v/>
      </c>
      <c r="C230" s="178" t="str">
        <f>IFERROR(IF(INDEX('M04-S06'!$BH$18:$BH$199,2*(ROWS($C$230:C230)-1)+1)="","",INDEX('M04-S06'!$BH$18:$BH$199,2*(ROWS($C$230:C230)-1)+1)),"")</f>
        <v/>
      </c>
      <c r="D230" s="180" t="s">
        <v>144</v>
      </c>
      <c r="E230" s="178" t="str">
        <f>IFERROR(INDEX('M04-S06'!$AZ$18:$AZ$199,2*(ROWS(E$230:E230)-1)+1),"")</f>
        <v/>
      </c>
      <c r="F230" s="408"/>
      <c r="G230" s="325"/>
      <c r="H230" s="200" t="str">
        <f ca="1">IFERROR(IF(AC230&lt;&gt;"","",INDEX('M04-S06'!$AD$18:$AD$199,2*(ROWS(H$230:H230)-1)+1)),"")</f>
        <v/>
      </c>
      <c r="I230" s="200" t="str">
        <f ca="1">IFERROR(IF(AC230&lt;&gt;"","",INDEX('M04-S06'!$AF$18:$AF$199,2*(ROWS(I$230:I230)-1)+1)),"")</f>
        <v/>
      </c>
      <c r="J230" s="200" t="str">
        <f ca="1">IFERROR(IF(AC230&lt;&gt;"","",INDEX('M04-S06'!$AH$18:$AH$199,2*(ROWS(J$230:J230)-1)+1)),"")</f>
        <v/>
      </c>
      <c r="K230" s="178" t="str">
        <f ca="1">IFERROR(IF(AC230&lt;&gt;"","",INDEX('M04-S06'!$AB$18:$AB$199,2*(ROWS(J$230:J230)-1)+1)),"")</f>
        <v/>
      </c>
      <c r="L230" s="116" t="str">
        <f ca="1">IFERROR(IF(AC230&lt;&gt;"","",ROUND(INDEX('M04-S06'!$P$18:$P$199,2*(ROWS(L$230:L230)-1)+1),3)),"")</f>
        <v/>
      </c>
      <c r="M230" s="116" t="str">
        <f ca="1">IFERROR(IF(AC230&lt;&gt;"","",ROUND(INDEX('M04-S06'!$X$18:$X$199,2*(ROWS(M$230:M230)-1)+1),3)),"")</f>
        <v/>
      </c>
      <c r="N230" s="418"/>
      <c r="O230" s="415" t="str">
        <f ca="1">IFERROR(IF(AC230&lt;&gt;"","",INDEX('M04-S06'!$AK$18:$AK$199,2*(ROWS(O$230:O230)-1)+1)),"")</f>
        <v/>
      </c>
      <c r="P230" s="408"/>
      <c r="Q230" s="415" t="str">
        <f ca="1">IFERROR(IF(AC230&lt;&gt;"","",INDEX('M04-S06'!$BA$18:$BA$199,2*(ROWS(Q$230:Q230)-1)+1)),"")</f>
        <v/>
      </c>
      <c r="R230" s="200" t="str">
        <f ca="1">IFERROR(IF(AC230&lt;&gt;"","",INDEX('M04-S06'!$AN$18:$AN$199,2*(ROWS(R$230:R230)-1)+1)),"")</f>
        <v/>
      </c>
      <c r="S230" s="200">
        <f ca="1">IFERROR(IF(AC230&lt;&gt;"",INDEX('M04-S06'!$AD$18:$AD$199,2*(ROWS(S$230:S230)-1)+1),""),"")</f>
        <v>0</v>
      </c>
      <c r="T230" s="200" t="str">
        <f ca="1">IFERROR(IF(AC230&lt;&gt;"",INDEX('M04-S06'!$AF$18:$AF$199,2*(ROWS(T$230:T230)-1)+1),""),"")</f>
        <v/>
      </c>
      <c r="U230" s="200" t="str">
        <f ca="1">IFERROR(IF(AC230&lt;&gt;"",INDEX('M04-S06'!$AH$18:$AH$199,2*(ROWS(U$230:U230)-1)+1),""),"")</f>
        <v/>
      </c>
      <c r="V230" s="178" t="str">
        <f ca="1">IFERROR(IF(AC230&lt;&gt;"",INDEX('M04-S06'!$AB$18:$AB$199,2*(ROWS(V$230:V230)-1)+1),""),"")</f>
        <v/>
      </c>
      <c r="W230" s="116">
        <f ca="1">IFERROR(IF(AC230&lt;&gt;"",ROUND(INDEX('M04-S06'!$P$18:$P$199,2*(ROWS(W$230:W230)-1)+1),3),""),"")</f>
        <v>0</v>
      </c>
      <c r="X230" s="116">
        <f ca="1">IFERROR(IF(AC230&lt;&gt;"",ROUND(INDEX('M04-S06'!$Z$18:$Z$199,2*(ROWS(X$230:X230)-1)+1),3),""),"")</f>
        <v>0</v>
      </c>
      <c r="Y230" s="408"/>
      <c r="Z230" s="173" t="str">
        <f ca="1">IFERROR(IF(AC230&lt;&gt;"",INDEX('M04-S06'!$AK$18:$AK$199,2*(ROWS(Z$230:Z230)-1)+1),""),"")</f>
        <v/>
      </c>
      <c r="AA230" s="408"/>
      <c r="AB230" s="415" t="str">
        <f ca="1">IFERROR(IF(AC230&lt;&gt;"",INDEX('M04-S06'!$BA$18:$BA$199,2*(ROWS(AB$230:AB230)-1)+1),""),"")</f>
        <v/>
      </c>
      <c r="AC230" s="178" t="str">
        <f ca="1">IFERROR(INDEX('M04-S06'!$BJ$18:$BJ$199,2*(ROWS(AC$230:AC230)-1)+1),"")</f>
        <v>Submit for Review</v>
      </c>
      <c r="AD230" s="415" t="str">
        <f>IFERROR(INDEX('M04-S06'!$AW$18:$AW$199,2*(ROWS(AD$230:AD230)-1)+1),"")</f>
        <v/>
      </c>
      <c r="AE230" s="415" t="str">
        <f>IFERROR(INDEX('M04-S06'!$AX$18:$AX$199,2*(ROWS(AE$230:AE230)-1)+1),"")</f>
        <v/>
      </c>
      <c r="AF230" s="408"/>
      <c r="AG230" s="408"/>
      <c r="AH230" s="408"/>
      <c r="AI230" s="178">
        <f>IFERROR(INDEX('M04-S06'!$B$18:$B$199,2*(ROWS(AI$230:AI230)-1)+1),"")</f>
        <v>1</v>
      </c>
      <c r="AJ230" s="325"/>
      <c r="AK230" s="178">
        <f>IFERROR(INDEX('M04-S06'!$F$18:$F$199,2*(ROWS(AK$230:AK230)-1)+1),"")</f>
        <v>0</v>
      </c>
      <c r="AL230" s="178">
        <f>IFERROR(INDEX('M04-S06'!$L$18:$L$199,2*(ROWS(AL$230:AL230)-1)+1),"")</f>
        <v>0</v>
      </c>
      <c r="AM230" s="178">
        <f>IFERROR(INDEX('M04-S06'!$T$18:$T$199,2*(ROWS(AM$230:AM230)-1)+1),"")</f>
        <v>0</v>
      </c>
      <c r="AN230" s="200" t="str">
        <f>IFERROR(INDEX('M04-S06'!$AT$18:$AT$199,2*(ROWS(AN$230:AN230)-1)+1),"")</f>
        <v/>
      </c>
      <c r="AO230" s="200" t="str">
        <f>IFERROR(INDEX('M04-S06'!$AU$18:$AU$199,2*(ROWS(AO$230:AO230)-1)+1),"")</f>
        <v/>
      </c>
      <c r="AP230" s="178" t="str">
        <f>IFERROR(INDEX('M04-S06'!$AV$18:$AV$199,2*(ROWS(AP$230:AP230)-1)+1),"")</f>
        <v/>
      </c>
      <c r="AQ230" s="178" t="str">
        <f>IFERROR(INDEX('M04-S06'!$AY$18:$AY$199,2*(ROWS(AQ$230:AQ230)-1)+1),"")</f>
        <v/>
      </c>
      <c r="AR230" s="178" t="s">
        <v>1374</v>
      </c>
      <c r="AS230" s="178"/>
      <c r="AT230" s="278"/>
      <c r="AU230" s="278"/>
      <c r="AV230" s="278"/>
      <c r="AW230" s="278"/>
      <c r="AX230" s="278"/>
      <c r="AY230" s="278"/>
      <c r="AZ230" s="278"/>
      <c r="BA230" s="278"/>
      <c r="BB230" s="278"/>
      <c r="BC230" s="278"/>
      <c r="BD230" s="278"/>
      <c r="BE230" s="279"/>
      <c r="BL230" s="180"/>
      <c r="BP230" s="180"/>
      <c r="BQ230" s="180"/>
      <c r="BR230" s="180"/>
      <c r="CD230" s="180"/>
      <c r="CE230" s="180"/>
      <c r="CF230" s="180"/>
      <c r="CH230" s="180"/>
      <c r="CI230" s="180"/>
      <c r="CJ230" s="180"/>
      <c r="CK230" s="180"/>
      <c r="CL230" s="180"/>
      <c r="CM230" s="180"/>
      <c r="CN230" s="180"/>
      <c r="CQ230" s="180"/>
      <c r="CR230" s="180"/>
      <c r="CS230" s="180"/>
      <c r="DS230" s="180"/>
      <c r="DT230" s="180"/>
      <c r="DU230" s="180"/>
    </row>
    <row r="231" spans="1:125" s="54" customFormat="1" hidden="1">
      <c r="A231" s="135">
        <f t="shared" si="24"/>
        <v>0</v>
      </c>
      <c r="B231" s="178" t="str">
        <f t="shared" ref="B231:B244" si="25">IF(C231="","",CONCATENATE(ROW(),"-",C231))</f>
        <v/>
      </c>
      <c r="C231" s="178" t="str">
        <f>IFERROR(IF(INDEX('M04-S06'!$BH$18:$BH$199,2*(ROWS($C$230:C231)-1)+1)="","",INDEX('M04-S06'!$BH$18:$BH$199,2*(ROWS($C$230:C231)-1)+1)),"")</f>
        <v/>
      </c>
      <c r="D231" s="180" t="s">
        <v>144</v>
      </c>
      <c r="E231" s="178" t="str">
        <f>IFERROR(INDEX('M04-S06'!$AZ$18:$AZ$199,2*(ROWS(E$230:E231)-1)+1),"")</f>
        <v/>
      </c>
      <c r="F231" s="408"/>
      <c r="G231" s="325"/>
      <c r="H231" s="200" t="str">
        <f ca="1">IFERROR(IF(AC231&lt;&gt;"","",INDEX('M04-S06'!$AD$18:$AD$199,2*(ROWS(H$230:H231)-1)+1)),"")</f>
        <v/>
      </c>
      <c r="I231" s="200" t="str">
        <f ca="1">IFERROR(IF(AC231&lt;&gt;"","",INDEX('M04-S06'!$AF$18:$AF$199,2*(ROWS(I$230:I231)-1)+1)),"")</f>
        <v/>
      </c>
      <c r="J231" s="200" t="str">
        <f ca="1">IFERROR(IF(AC231&lt;&gt;"","",INDEX('M04-S06'!$AH$18:$AH$199,2*(ROWS(J$230:J231)-1)+1)),"")</f>
        <v/>
      </c>
      <c r="K231" s="178" t="str">
        <f ca="1">IFERROR(IF(AC231&lt;&gt;"","",INDEX('M04-S06'!$AB$18:$AB$199,2*(ROWS(J$230:J231)-1)+1)),"")</f>
        <v/>
      </c>
      <c r="L231" s="116" t="str">
        <f ca="1">IFERROR(IF(AC231&lt;&gt;"","",ROUND(INDEX('M04-S06'!$P$18:$P$199,2*(ROWS(L$230:L231)-1)+1),3)),"")</f>
        <v/>
      </c>
      <c r="M231" s="116" t="str">
        <f ca="1">IFERROR(IF(AC231&lt;&gt;"","",ROUND(INDEX('M04-S06'!$X$18:$X$199,2*(ROWS(M$230:M231)-1)+1),3)),"")</f>
        <v/>
      </c>
      <c r="N231" s="418"/>
      <c r="O231" s="415" t="str">
        <f ca="1">IFERROR(IF(AC231&lt;&gt;"","",INDEX('M04-S06'!$AK$18:$AK$199,2*(ROWS(O$230:O231)-1)+1)),"")</f>
        <v/>
      </c>
      <c r="P231" s="408"/>
      <c r="Q231" s="415" t="str">
        <f ca="1">IFERROR(IF(AC231&lt;&gt;"","",INDEX('M04-S06'!$BA$18:$BA$199,2*(ROWS(Q$230:Q231)-1)+1)),"")</f>
        <v/>
      </c>
      <c r="R231" s="200" t="str">
        <f ca="1">IFERROR(IF(AC231&lt;&gt;"","",INDEX('M04-S06'!$AN$18:$AN$199,2*(ROWS(R$230:R231)-1)+1)),"")</f>
        <v/>
      </c>
      <c r="S231" s="200">
        <f ca="1">IFERROR(IF(AC231&lt;&gt;"",INDEX('M04-S06'!$AD$18:$AD$199,2*(ROWS(S$230:S231)-1)+1),""),"")</f>
        <v>0</v>
      </c>
      <c r="T231" s="200" t="str">
        <f ca="1">IFERROR(IF(AC231&lt;&gt;"",INDEX('M04-S06'!$AF$18:$AF$199,2*(ROWS(T$230:T231)-1)+1),""),"")</f>
        <v/>
      </c>
      <c r="U231" s="200" t="str">
        <f ca="1">IFERROR(IF(AC231&lt;&gt;"",INDEX('M04-S06'!$AH$18:$AH$199,2*(ROWS(U$230:U231)-1)+1),""),"")</f>
        <v/>
      </c>
      <c r="V231" s="178" t="str">
        <f ca="1">IFERROR(IF(AC231&lt;&gt;"",INDEX('M04-S06'!$AB$18:$AB$199,2*(ROWS(V$230:V231)-1)+1),""),"")</f>
        <v/>
      </c>
      <c r="W231" s="116">
        <f ca="1">IFERROR(IF(AC231&lt;&gt;"",ROUND(INDEX('M04-S06'!$P$18:$P$199,2*(ROWS(W$230:W231)-1)+1),3),""),"")</f>
        <v>0</v>
      </c>
      <c r="X231" s="116">
        <f ca="1">IFERROR(IF(AC231&lt;&gt;"",ROUND(INDEX('M04-S06'!$Z$18:$Z$199,2*(ROWS(X$230:X231)-1)+1),3),""),"")</f>
        <v>0</v>
      </c>
      <c r="Y231" s="408"/>
      <c r="Z231" s="173" t="str">
        <f ca="1">IFERROR(IF(AC231&lt;&gt;"",INDEX('M04-S06'!$AK$18:$AK$199,2*(ROWS(Z$230:Z231)-1)+1),""),"")</f>
        <v/>
      </c>
      <c r="AA231" s="408"/>
      <c r="AB231" s="415" t="str">
        <f ca="1">IFERROR(IF(AC231&lt;&gt;"",INDEX('M04-S06'!$BA$18:$BA$199,2*(ROWS(AB$230:AB231)-1)+1),""),"")</f>
        <v/>
      </c>
      <c r="AC231" s="178" t="str">
        <f ca="1">IFERROR(INDEX('M04-S06'!$BJ$18:$BJ$199,2*(ROWS(AC$230:AC231)-1)+1),"")</f>
        <v>Submit for Review</v>
      </c>
      <c r="AD231" s="415" t="str">
        <f>IFERROR(INDEX('M04-S06'!$AW$18:$AW$199,2*(ROWS(AD$230:AD231)-1)+1),"")</f>
        <v/>
      </c>
      <c r="AE231" s="415" t="str">
        <f>IFERROR(INDEX('M04-S06'!$AX$18:$AX$199,2*(ROWS(AE$230:AE231)-1)+1),"")</f>
        <v/>
      </c>
      <c r="AF231" s="408"/>
      <c r="AG231" s="408"/>
      <c r="AH231" s="408"/>
      <c r="AI231" s="178">
        <f>IFERROR(INDEX('M04-S06'!$B$18:$B$199,2*(ROWS(AI$230:AI231)-1)+1),"")</f>
        <v>2</v>
      </c>
      <c r="AJ231" s="325"/>
      <c r="AK231" s="178">
        <f>IFERROR(INDEX('M04-S06'!$F$18:$F$199,2*(ROWS(AK$230:AK231)-1)+1),"")</f>
        <v>0</v>
      </c>
      <c r="AL231" s="178">
        <f>IFERROR(INDEX('M04-S06'!$L$18:$L$199,2*(ROWS(AL$230:AL231)-1)+1),"")</f>
        <v>0</v>
      </c>
      <c r="AM231" s="178">
        <f>IFERROR(INDEX('M04-S06'!$T$18:$T$199,2*(ROWS(AM$230:AM231)-1)+1),"")</f>
        <v>0</v>
      </c>
      <c r="AN231" s="200" t="str">
        <f>IFERROR(INDEX('M04-S06'!$AT$18:$AT$199,2*(ROWS(AN$230:AN231)-1)+1),"")</f>
        <v/>
      </c>
      <c r="AO231" s="200" t="str">
        <f>IFERROR(INDEX('M04-S06'!$AU$18:$AU$199,2*(ROWS(AO$230:AO231)-1)+1),"")</f>
        <v/>
      </c>
      <c r="AP231" s="178" t="str">
        <f>IFERROR(INDEX('M04-S06'!$AV$18:$AV$199,2*(ROWS(AP$230:AP231)-1)+1),"")</f>
        <v/>
      </c>
      <c r="AQ231" s="178" t="str">
        <f>IFERROR(INDEX('M04-S06'!$AY$18:$AY$199,2*(ROWS(AQ$230:AQ231)-1)+1),"")</f>
        <v/>
      </c>
      <c r="AR231" s="178" t="s">
        <v>1374</v>
      </c>
      <c r="AS231" s="178"/>
      <c r="AT231" s="278"/>
      <c r="AU231" s="278"/>
      <c r="AV231" s="278"/>
      <c r="AW231" s="278"/>
      <c r="AX231" s="278"/>
      <c r="AY231" s="278"/>
      <c r="AZ231" s="278"/>
      <c r="BA231" s="278"/>
      <c r="BB231" s="278"/>
      <c r="BC231" s="278"/>
      <c r="BD231" s="278"/>
      <c r="BE231" s="279"/>
      <c r="BL231" s="180"/>
      <c r="BP231" s="180"/>
      <c r="BQ231" s="180"/>
      <c r="BR231" s="180"/>
      <c r="CD231" s="180"/>
      <c r="CE231" s="180"/>
      <c r="CF231" s="180"/>
      <c r="CH231" s="180"/>
      <c r="CI231" s="180"/>
      <c r="CJ231" s="180"/>
      <c r="CK231" s="180"/>
      <c r="CL231" s="180"/>
      <c r="CM231" s="180"/>
      <c r="CN231" s="180"/>
      <c r="CQ231" s="180"/>
      <c r="CR231" s="180"/>
      <c r="CS231" s="180"/>
      <c r="DS231" s="180"/>
      <c r="DT231" s="180"/>
      <c r="DU231" s="180"/>
    </row>
    <row r="232" spans="1:125" s="54" customFormat="1" hidden="1">
      <c r="A232" s="135">
        <f t="shared" si="24"/>
        <v>0</v>
      </c>
      <c r="B232" s="178" t="str">
        <f t="shared" si="25"/>
        <v/>
      </c>
      <c r="C232" s="178" t="str">
        <f>IFERROR(IF(INDEX('M04-S06'!$BH$18:$BH$199,2*(ROWS($C$230:C232)-1)+1)="","",INDEX('M04-S06'!$BH$18:$BH$199,2*(ROWS($C$230:C232)-1)+1)),"")</f>
        <v/>
      </c>
      <c r="D232" s="180" t="s">
        <v>144</v>
      </c>
      <c r="E232" s="178" t="str">
        <f>IFERROR(INDEX('M04-S06'!$AZ$18:$AZ$199,2*(ROWS(E$230:E232)-1)+1),"")</f>
        <v/>
      </c>
      <c r="F232" s="408"/>
      <c r="G232" s="325"/>
      <c r="H232" s="200" t="str">
        <f ca="1">IFERROR(IF(AC232&lt;&gt;"","",INDEX('M04-S06'!$AD$18:$AD$199,2*(ROWS(H$230:H232)-1)+1)),"")</f>
        <v/>
      </c>
      <c r="I232" s="200" t="str">
        <f ca="1">IFERROR(IF(AC232&lt;&gt;"","",INDEX('M04-S06'!$AF$18:$AF$199,2*(ROWS(I$230:I232)-1)+1)),"")</f>
        <v/>
      </c>
      <c r="J232" s="200" t="str">
        <f ca="1">IFERROR(IF(AC232&lt;&gt;"","",INDEX('M04-S06'!$AH$18:$AH$199,2*(ROWS(J$230:J232)-1)+1)),"")</f>
        <v/>
      </c>
      <c r="K232" s="178" t="str">
        <f ca="1">IFERROR(IF(AC232&lt;&gt;"","",INDEX('M04-S06'!$AB$18:$AB$199,2*(ROWS(J$230:J232)-1)+1)),"")</f>
        <v/>
      </c>
      <c r="L232" s="116" t="str">
        <f ca="1">IFERROR(IF(AC232&lt;&gt;"","",ROUND(INDEX('M04-S06'!$P$18:$P$199,2*(ROWS(L$230:L232)-1)+1),3)),"")</f>
        <v/>
      </c>
      <c r="M232" s="116" t="str">
        <f ca="1">IFERROR(IF(AC232&lt;&gt;"","",ROUND(INDEX('M04-S06'!$X$18:$X$199,2*(ROWS(M$230:M232)-1)+1),3)),"")</f>
        <v/>
      </c>
      <c r="N232" s="418"/>
      <c r="O232" s="415" t="str">
        <f ca="1">IFERROR(IF(AC232&lt;&gt;"","",INDEX('M04-S06'!$AK$18:$AK$199,2*(ROWS(O$230:O232)-1)+1)),"")</f>
        <v/>
      </c>
      <c r="P232" s="408"/>
      <c r="Q232" s="415" t="str">
        <f ca="1">IFERROR(IF(AC232&lt;&gt;"","",INDEX('M04-S06'!$BA$18:$BA$199,2*(ROWS(Q$230:Q232)-1)+1)),"")</f>
        <v/>
      </c>
      <c r="R232" s="200" t="str">
        <f ca="1">IFERROR(IF(AC232&lt;&gt;"","",INDEX('M04-S06'!$AN$18:$AN$199,2*(ROWS(R$230:R232)-1)+1)),"")</f>
        <v/>
      </c>
      <c r="S232" s="200">
        <f ca="1">IFERROR(IF(AC232&lt;&gt;"",INDEX('M04-S06'!$AD$18:$AD$199,2*(ROWS(S$230:S232)-1)+1),""),"")</f>
        <v>0</v>
      </c>
      <c r="T232" s="200" t="str">
        <f ca="1">IFERROR(IF(AC232&lt;&gt;"",INDEX('M04-S06'!$AF$18:$AF$199,2*(ROWS(T$230:T232)-1)+1),""),"")</f>
        <v/>
      </c>
      <c r="U232" s="200" t="str">
        <f ca="1">IFERROR(IF(AC232&lt;&gt;"",INDEX('M04-S06'!$AH$18:$AH$199,2*(ROWS(U$230:U232)-1)+1),""),"")</f>
        <v/>
      </c>
      <c r="V232" s="178" t="str">
        <f ca="1">IFERROR(IF(AC232&lt;&gt;"",INDEX('M04-S06'!$AB$18:$AB$199,2*(ROWS(V$230:V232)-1)+1),""),"")</f>
        <v/>
      </c>
      <c r="W232" s="116">
        <f ca="1">IFERROR(IF(AC232&lt;&gt;"",ROUND(INDEX('M04-S06'!$P$18:$P$199,2*(ROWS(W$230:W232)-1)+1),3),""),"")</f>
        <v>0</v>
      </c>
      <c r="X232" s="116">
        <f ca="1">IFERROR(IF(AC232&lt;&gt;"",ROUND(INDEX('M04-S06'!$Z$18:$Z$199,2*(ROWS(X$230:X232)-1)+1),3),""),"")</f>
        <v>0</v>
      </c>
      <c r="Y232" s="408"/>
      <c r="Z232" s="173" t="str">
        <f ca="1">IFERROR(IF(AC232&lt;&gt;"",INDEX('M04-S06'!$AK$18:$AK$199,2*(ROWS(Z$230:Z232)-1)+1),""),"")</f>
        <v/>
      </c>
      <c r="AA232" s="408"/>
      <c r="AB232" s="415" t="str">
        <f ca="1">IFERROR(IF(AC232&lt;&gt;"",INDEX('M04-S06'!$BA$18:$BA$199,2*(ROWS(AB$230:AB232)-1)+1),""),"")</f>
        <v/>
      </c>
      <c r="AC232" s="178" t="str">
        <f ca="1">IFERROR(INDEX('M04-S06'!$BJ$18:$BJ$199,2*(ROWS(AC$230:AC232)-1)+1),"")</f>
        <v>Submit for Review</v>
      </c>
      <c r="AD232" s="415" t="str">
        <f>IFERROR(INDEX('M04-S06'!$AW$18:$AW$199,2*(ROWS(AD$230:AD232)-1)+1),"")</f>
        <v/>
      </c>
      <c r="AE232" s="415" t="str">
        <f>IFERROR(INDEX('M04-S06'!$AX$18:$AX$199,2*(ROWS(AE$230:AE232)-1)+1),"")</f>
        <v/>
      </c>
      <c r="AF232" s="408"/>
      <c r="AG232" s="408"/>
      <c r="AH232" s="408"/>
      <c r="AI232" s="178">
        <f>IFERROR(INDEX('M04-S06'!$B$18:$B$199,2*(ROWS(AI$230:AI232)-1)+1),"")</f>
        <v>3</v>
      </c>
      <c r="AJ232" s="325"/>
      <c r="AK232" s="178">
        <f>IFERROR(INDEX('M04-S06'!$F$18:$F$199,2*(ROWS(AK$230:AK232)-1)+1),"")</f>
        <v>0</v>
      </c>
      <c r="AL232" s="178">
        <f>IFERROR(INDEX('M04-S06'!$L$18:$L$199,2*(ROWS(AL$230:AL232)-1)+1),"")</f>
        <v>0</v>
      </c>
      <c r="AM232" s="178">
        <f>IFERROR(INDEX('M04-S06'!$T$18:$T$199,2*(ROWS(AM$230:AM232)-1)+1),"")</f>
        <v>0</v>
      </c>
      <c r="AN232" s="200" t="str">
        <f>IFERROR(INDEX('M04-S06'!$AT$18:$AT$199,2*(ROWS(AN$230:AN232)-1)+1),"")</f>
        <v/>
      </c>
      <c r="AO232" s="200" t="str">
        <f>IFERROR(INDEX('M04-S06'!$AU$18:$AU$199,2*(ROWS(AO$230:AO232)-1)+1),"")</f>
        <v/>
      </c>
      <c r="AP232" s="178" t="str">
        <f>IFERROR(INDEX('M04-S06'!$AV$18:$AV$199,2*(ROWS(AP$230:AP232)-1)+1),"")</f>
        <v/>
      </c>
      <c r="AQ232" s="178" t="str">
        <f>IFERROR(INDEX('M04-S06'!$AY$18:$AY$199,2*(ROWS(AQ$230:AQ232)-1)+1),"")</f>
        <v/>
      </c>
      <c r="AR232" s="178" t="s">
        <v>1374</v>
      </c>
      <c r="AS232" s="178"/>
      <c r="AT232" s="278"/>
      <c r="AU232" s="278"/>
      <c r="AV232" s="278"/>
      <c r="AW232" s="278"/>
      <c r="AX232" s="278"/>
      <c r="AY232" s="278"/>
      <c r="AZ232" s="278"/>
      <c r="BA232" s="278"/>
      <c r="BB232" s="278"/>
      <c r="BC232" s="278"/>
      <c r="BD232" s="278"/>
      <c r="BE232" s="279"/>
      <c r="BL232" s="180"/>
      <c r="BP232" s="180"/>
      <c r="BQ232" s="180"/>
      <c r="BR232" s="180"/>
      <c r="CD232" s="180"/>
      <c r="CE232" s="180"/>
      <c r="CF232" s="180"/>
      <c r="CH232" s="180"/>
      <c r="CI232" s="180"/>
      <c r="CJ232" s="180"/>
      <c r="CK232" s="180"/>
      <c r="CL232" s="180"/>
      <c r="CM232" s="180"/>
      <c r="CN232" s="180"/>
      <c r="CQ232" s="180"/>
      <c r="CR232" s="180"/>
      <c r="CS232" s="180"/>
      <c r="DS232" s="180"/>
      <c r="DT232" s="180"/>
      <c r="DU232" s="180"/>
    </row>
    <row r="233" spans="1:125" s="54" customFormat="1" hidden="1">
      <c r="A233" s="135">
        <f t="shared" si="24"/>
        <v>0</v>
      </c>
      <c r="B233" s="178" t="str">
        <f t="shared" si="25"/>
        <v/>
      </c>
      <c r="C233" s="178" t="str">
        <f>IFERROR(IF(INDEX('M04-S06'!$BH$18:$BH$199,2*(ROWS($C$230:C233)-1)+1)="","",INDEX('M04-S06'!$BH$18:$BH$199,2*(ROWS($C$230:C233)-1)+1)),"")</f>
        <v/>
      </c>
      <c r="D233" s="180" t="s">
        <v>144</v>
      </c>
      <c r="E233" s="178" t="str">
        <f>IFERROR(INDEX('M04-S06'!$AZ$18:$AZ$199,2*(ROWS(E$230:E233)-1)+1),"")</f>
        <v/>
      </c>
      <c r="F233" s="408"/>
      <c r="G233" s="325"/>
      <c r="H233" s="200" t="str">
        <f ca="1">IFERROR(IF(AC233&lt;&gt;"","",INDEX('M04-S06'!$AD$18:$AD$199,2*(ROWS(H$230:H233)-1)+1)),"")</f>
        <v/>
      </c>
      <c r="I233" s="200" t="str">
        <f ca="1">IFERROR(IF(AC233&lt;&gt;"","",INDEX('M04-S06'!$AF$18:$AF$199,2*(ROWS(I$230:I233)-1)+1)),"")</f>
        <v/>
      </c>
      <c r="J233" s="200" t="str">
        <f ca="1">IFERROR(IF(AC233&lt;&gt;"","",INDEX('M04-S06'!$AH$18:$AH$199,2*(ROWS(J$230:J233)-1)+1)),"")</f>
        <v/>
      </c>
      <c r="K233" s="178" t="str">
        <f ca="1">IFERROR(IF(AC233&lt;&gt;"","",INDEX('M04-S06'!$AB$18:$AB$199,2*(ROWS(J$230:J233)-1)+1)),"")</f>
        <v/>
      </c>
      <c r="L233" s="116" t="str">
        <f ca="1">IFERROR(IF(AC233&lt;&gt;"","",ROUND(INDEX('M04-S06'!$P$18:$P$199,2*(ROWS(L$230:L233)-1)+1),3)),"")</f>
        <v/>
      </c>
      <c r="M233" s="116" t="str">
        <f ca="1">IFERROR(IF(AC233&lt;&gt;"","",ROUND(INDEX('M04-S06'!$X$18:$X$199,2*(ROWS(M$230:M233)-1)+1),3)),"")</f>
        <v/>
      </c>
      <c r="N233" s="418"/>
      <c r="O233" s="415" t="str">
        <f ca="1">IFERROR(IF(AC233&lt;&gt;"","",INDEX('M04-S06'!$AK$18:$AK$199,2*(ROWS(O$230:O233)-1)+1)),"")</f>
        <v/>
      </c>
      <c r="P233" s="408"/>
      <c r="Q233" s="415" t="str">
        <f ca="1">IFERROR(IF(AC233&lt;&gt;"","",INDEX('M04-S06'!$BA$18:$BA$199,2*(ROWS(Q$230:Q233)-1)+1)),"")</f>
        <v/>
      </c>
      <c r="R233" s="200" t="str">
        <f ca="1">IFERROR(IF(AC233&lt;&gt;"","",INDEX('M04-S06'!$AN$18:$AN$199,2*(ROWS(R$230:R233)-1)+1)),"")</f>
        <v/>
      </c>
      <c r="S233" s="200">
        <f ca="1">IFERROR(IF(AC233&lt;&gt;"",INDEX('M04-S06'!$AD$18:$AD$199,2*(ROWS(S$230:S233)-1)+1),""),"")</f>
        <v>0</v>
      </c>
      <c r="T233" s="200" t="str">
        <f ca="1">IFERROR(IF(AC233&lt;&gt;"",INDEX('M04-S06'!$AF$18:$AF$199,2*(ROWS(T$230:T233)-1)+1),""),"")</f>
        <v/>
      </c>
      <c r="U233" s="200" t="str">
        <f ca="1">IFERROR(IF(AC233&lt;&gt;"",INDEX('M04-S06'!$AH$18:$AH$199,2*(ROWS(U$230:U233)-1)+1),""),"")</f>
        <v/>
      </c>
      <c r="V233" s="178" t="str">
        <f ca="1">IFERROR(IF(AC233&lt;&gt;"",INDEX('M04-S06'!$AB$18:$AB$199,2*(ROWS(V$230:V233)-1)+1),""),"")</f>
        <v/>
      </c>
      <c r="W233" s="116">
        <f ca="1">IFERROR(IF(AC233&lt;&gt;"",ROUND(INDEX('M04-S06'!$P$18:$P$199,2*(ROWS(W$230:W233)-1)+1),3),""),"")</f>
        <v>0</v>
      </c>
      <c r="X233" s="116">
        <f ca="1">IFERROR(IF(AC233&lt;&gt;"",ROUND(INDEX('M04-S06'!$Z$18:$Z$199,2*(ROWS(X$230:X233)-1)+1),3),""),"")</f>
        <v>0</v>
      </c>
      <c r="Y233" s="408"/>
      <c r="Z233" s="173" t="str">
        <f ca="1">IFERROR(IF(AC233&lt;&gt;"",INDEX('M04-S06'!$AK$18:$AK$199,2*(ROWS(Z$230:Z233)-1)+1),""),"")</f>
        <v/>
      </c>
      <c r="AA233" s="408"/>
      <c r="AB233" s="415" t="str">
        <f ca="1">IFERROR(IF(AC233&lt;&gt;"",INDEX('M04-S06'!$BA$18:$BA$199,2*(ROWS(AB$230:AB233)-1)+1),""),"")</f>
        <v/>
      </c>
      <c r="AC233" s="178" t="str">
        <f ca="1">IFERROR(INDEX('M04-S06'!$BJ$18:$BJ$199,2*(ROWS(AC$230:AC233)-1)+1),"")</f>
        <v>Submit for Review</v>
      </c>
      <c r="AD233" s="415" t="str">
        <f>IFERROR(INDEX('M04-S06'!$AW$18:$AW$199,2*(ROWS(AD$230:AD233)-1)+1),"")</f>
        <v/>
      </c>
      <c r="AE233" s="415" t="str">
        <f>IFERROR(INDEX('M04-S06'!$AX$18:$AX$199,2*(ROWS(AE$230:AE233)-1)+1),"")</f>
        <v/>
      </c>
      <c r="AF233" s="408"/>
      <c r="AG233" s="408"/>
      <c r="AH233" s="408"/>
      <c r="AI233" s="178">
        <f>IFERROR(INDEX('M04-S06'!$B$18:$B$199,2*(ROWS(AI$230:AI233)-1)+1),"")</f>
        <v>4</v>
      </c>
      <c r="AJ233" s="325"/>
      <c r="AK233" s="178">
        <f>IFERROR(INDEX('M04-S06'!$F$18:$F$199,2*(ROWS(AK$230:AK233)-1)+1),"")</f>
        <v>0</v>
      </c>
      <c r="AL233" s="178">
        <f>IFERROR(INDEX('M04-S06'!$L$18:$L$199,2*(ROWS(AL$230:AL233)-1)+1),"")</f>
        <v>0</v>
      </c>
      <c r="AM233" s="178">
        <f>IFERROR(INDEX('M04-S06'!$T$18:$T$199,2*(ROWS(AM$230:AM233)-1)+1),"")</f>
        <v>0</v>
      </c>
      <c r="AN233" s="200" t="str">
        <f>IFERROR(INDEX('M04-S06'!$AT$18:$AT$199,2*(ROWS(AN$230:AN233)-1)+1),"")</f>
        <v/>
      </c>
      <c r="AO233" s="200" t="str">
        <f>IFERROR(INDEX('M04-S06'!$AU$18:$AU$199,2*(ROWS(AO$230:AO233)-1)+1),"")</f>
        <v/>
      </c>
      <c r="AP233" s="178" t="str">
        <f>IFERROR(INDEX('M04-S06'!$AV$18:$AV$199,2*(ROWS(AP$230:AP233)-1)+1),"")</f>
        <v/>
      </c>
      <c r="AQ233" s="178" t="str">
        <f>IFERROR(INDEX('M04-S06'!$AY$18:$AY$199,2*(ROWS(AQ$230:AQ233)-1)+1),"")</f>
        <v/>
      </c>
      <c r="AR233" s="178" t="s">
        <v>1374</v>
      </c>
      <c r="AS233" s="178"/>
      <c r="AT233" s="278"/>
      <c r="AU233" s="278"/>
      <c r="AV233" s="278"/>
      <c r="AW233" s="278"/>
      <c r="AX233" s="278"/>
      <c r="AY233" s="278"/>
      <c r="AZ233" s="278"/>
      <c r="BA233" s="278"/>
      <c r="BB233" s="278"/>
      <c r="BC233" s="278"/>
      <c r="BD233" s="278"/>
      <c r="BE233" s="279"/>
      <c r="BL233" s="180"/>
      <c r="BP233" s="180"/>
      <c r="BQ233" s="180"/>
      <c r="BR233" s="180"/>
      <c r="CD233" s="180"/>
      <c r="CE233" s="180"/>
      <c r="CF233" s="180"/>
      <c r="CH233" s="180"/>
      <c r="CI233" s="180"/>
      <c r="CJ233" s="180"/>
      <c r="CK233" s="180"/>
      <c r="CL233" s="180"/>
      <c r="CM233" s="180"/>
      <c r="CN233" s="180"/>
      <c r="CQ233" s="180"/>
      <c r="CR233" s="180"/>
      <c r="CS233" s="180"/>
      <c r="DS233" s="180"/>
      <c r="DT233" s="180"/>
      <c r="DU233" s="180"/>
    </row>
    <row r="234" spans="1:125" s="54" customFormat="1" hidden="1">
      <c r="A234" s="135">
        <f t="shared" si="24"/>
        <v>0</v>
      </c>
      <c r="B234" s="178" t="str">
        <f t="shared" si="25"/>
        <v/>
      </c>
      <c r="C234" s="178" t="str">
        <f>IFERROR(IF(INDEX('M04-S06'!$BH$18:$BH$199,2*(ROWS($C$230:C234)-1)+1)="","",INDEX('M04-S06'!$BH$18:$BH$199,2*(ROWS($C$230:C234)-1)+1)),"")</f>
        <v/>
      </c>
      <c r="D234" s="180" t="s">
        <v>144</v>
      </c>
      <c r="E234" s="178" t="str">
        <f>IFERROR(INDEX('M04-S06'!$AZ$18:$AZ$199,2*(ROWS(E$230:E234)-1)+1),"")</f>
        <v/>
      </c>
      <c r="F234" s="408"/>
      <c r="G234" s="325"/>
      <c r="H234" s="200" t="str">
        <f ca="1">IFERROR(IF(AC234&lt;&gt;"","",INDEX('M04-S06'!$AD$18:$AD$199,2*(ROWS(H$230:H234)-1)+1)),"")</f>
        <v/>
      </c>
      <c r="I234" s="200" t="str">
        <f ca="1">IFERROR(IF(AC234&lt;&gt;"","",INDEX('M04-S06'!$AF$18:$AF$199,2*(ROWS(I$230:I234)-1)+1)),"")</f>
        <v/>
      </c>
      <c r="J234" s="200" t="str">
        <f ca="1">IFERROR(IF(AC234&lt;&gt;"","",INDEX('M04-S06'!$AH$18:$AH$199,2*(ROWS(J$230:J234)-1)+1)),"")</f>
        <v/>
      </c>
      <c r="K234" s="178" t="str">
        <f ca="1">IFERROR(IF(AC234&lt;&gt;"","",INDEX('M04-S06'!$AB$18:$AB$199,2*(ROWS(J$230:J234)-1)+1)),"")</f>
        <v/>
      </c>
      <c r="L234" s="116" t="str">
        <f ca="1">IFERROR(IF(AC234&lt;&gt;"","",ROUND(INDEX('M04-S06'!$P$18:$P$199,2*(ROWS(L$230:L234)-1)+1),3)),"")</f>
        <v/>
      </c>
      <c r="M234" s="116" t="str">
        <f ca="1">IFERROR(IF(AC234&lt;&gt;"","",ROUND(INDEX('M04-S06'!$X$18:$X$199,2*(ROWS(M$230:M234)-1)+1),3)),"")</f>
        <v/>
      </c>
      <c r="N234" s="418"/>
      <c r="O234" s="415" t="str">
        <f ca="1">IFERROR(IF(AC234&lt;&gt;"","",INDEX('M04-S06'!$AK$18:$AK$199,2*(ROWS(O$230:O234)-1)+1)),"")</f>
        <v/>
      </c>
      <c r="P234" s="408"/>
      <c r="Q234" s="415" t="str">
        <f ca="1">IFERROR(IF(AC234&lt;&gt;"","",INDEX('M04-S06'!$BA$18:$BA$199,2*(ROWS(Q$230:Q234)-1)+1)),"")</f>
        <v/>
      </c>
      <c r="R234" s="200" t="str">
        <f ca="1">IFERROR(IF(AC234&lt;&gt;"","",INDEX('M04-S06'!$AN$18:$AN$199,2*(ROWS(R$230:R234)-1)+1)),"")</f>
        <v/>
      </c>
      <c r="S234" s="200">
        <f ca="1">IFERROR(IF(AC234&lt;&gt;"",INDEX('M04-S06'!$AD$18:$AD$199,2*(ROWS(S$230:S234)-1)+1),""),"")</f>
        <v>0</v>
      </c>
      <c r="T234" s="200" t="str">
        <f ca="1">IFERROR(IF(AC234&lt;&gt;"",INDEX('M04-S06'!$AF$18:$AF$199,2*(ROWS(T$230:T234)-1)+1),""),"")</f>
        <v/>
      </c>
      <c r="U234" s="200" t="str">
        <f ca="1">IFERROR(IF(AC234&lt;&gt;"",INDEX('M04-S06'!$AH$18:$AH$199,2*(ROWS(U$230:U234)-1)+1),""),"")</f>
        <v/>
      </c>
      <c r="V234" s="178" t="str">
        <f ca="1">IFERROR(IF(AC234&lt;&gt;"",INDEX('M04-S06'!$AB$18:$AB$199,2*(ROWS(V$230:V234)-1)+1),""),"")</f>
        <v/>
      </c>
      <c r="W234" s="116">
        <f ca="1">IFERROR(IF(AC234&lt;&gt;"",ROUND(INDEX('M04-S06'!$P$18:$P$199,2*(ROWS(W$230:W234)-1)+1),3),""),"")</f>
        <v>0</v>
      </c>
      <c r="X234" s="116">
        <f ca="1">IFERROR(IF(AC234&lt;&gt;"",ROUND(INDEX('M04-S06'!$Z$18:$Z$199,2*(ROWS(X$230:X234)-1)+1),3),""),"")</f>
        <v>0</v>
      </c>
      <c r="Y234" s="408"/>
      <c r="Z234" s="173" t="str">
        <f ca="1">IFERROR(IF(AC234&lt;&gt;"",INDEX('M04-S06'!$AK$18:$AK$199,2*(ROWS(Z$230:Z234)-1)+1),""),"")</f>
        <v/>
      </c>
      <c r="AA234" s="408"/>
      <c r="AB234" s="415" t="str">
        <f ca="1">IFERROR(IF(AC234&lt;&gt;"",INDEX('M04-S06'!$BA$18:$BA$199,2*(ROWS(AB$230:AB234)-1)+1),""),"")</f>
        <v/>
      </c>
      <c r="AC234" s="178" t="str">
        <f ca="1">IFERROR(INDEX('M04-S06'!$BJ$18:$BJ$199,2*(ROWS(AC$230:AC234)-1)+1),"")</f>
        <v>Submit for Review</v>
      </c>
      <c r="AD234" s="415" t="str">
        <f>IFERROR(INDEX('M04-S06'!$AW$18:$AW$199,2*(ROWS(AD$230:AD234)-1)+1),"")</f>
        <v/>
      </c>
      <c r="AE234" s="415" t="str">
        <f>IFERROR(INDEX('M04-S06'!$AX$18:$AX$199,2*(ROWS(AE$230:AE234)-1)+1),"")</f>
        <v/>
      </c>
      <c r="AF234" s="408"/>
      <c r="AG234" s="408"/>
      <c r="AH234" s="408"/>
      <c r="AI234" s="178">
        <f>IFERROR(INDEX('M04-S06'!$B$18:$B$199,2*(ROWS(AI$230:AI234)-1)+1),"")</f>
        <v>5</v>
      </c>
      <c r="AJ234" s="325"/>
      <c r="AK234" s="178">
        <f>IFERROR(INDEX('M04-S06'!$F$18:$F$199,2*(ROWS(AK$230:AK234)-1)+1),"")</f>
        <v>0</v>
      </c>
      <c r="AL234" s="178">
        <f>IFERROR(INDEX('M04-S06'!$L$18:$L$199,2*(ROWS(AL$230:AL234)-1)+1),"")</f>
        <v>0</v>
      </c>
      <c r="AM234" s="178">
        <f>IFERROR(INDEX('M04-S06'!$T$18:$T$199,2*(ROWS(AM$230:AM234)-1)+1),"")</f>
        <v>0</v>
      </c>
      <c r="AN234" s="200" t="str">
        <f>IFERROR(INDEX('M04-S06'!$AT$18:$AT$199,2*(ROWS(AN$230:AN234)-1)+1),"")</f>
        <v/>
      </c>
      <c r="AO234" s="200" t="str">
        <f>IFERROR(INDEX('M04-S06'!$AU$18:$AU$199,2*(ROWS(AO$230:AO234)-1)+1),"")</f>
        <v/>
      </c>
      <c r="AP234" s="178" t="str">
        <f>IFERROR(INDEX('M04-S06'!$AV$18:$AV$199,2*(ROWS(AP$230:AP234)-1)+1),"")</f>
        <v/>
      </c>
      <c r="AQ234" s="178" t="str">
        <f>IFERROR(INDEX('M04-S06'!$AY$18:$AY$199,2*(ROWS(AQ$230:AQ234)-1)+1),"")</f>
        <v/>
      </c>
      <c r="AR234" s="178" t="s">
        <v>1374</v>
      </c>
      <c r="AS234" s="178"/>
      <c r="AT234" s="278"/>
      <c r="AU234" s="278"/>
      <c r="AV234" s="278"/>
      <c r="AW234" s="278"/>
      <c r="AX234" s="278"/>
      <c r="AY234" s="278"/>
      <c r="AZ234" s="278"/>
      <c r="BA234" s="278"/>
      <c r="BB234" s="278"/>
      <c r="BC234" s="278"/>
      <c r="BD234" s="278"/>
      <c r="BE234" s="279"/>
      <c r="BL234" s="180"/>
      <c r="BP234" s="180"/>
      <c r="BQ234" s="180"/>
      <c r="BR234" s="180"/>
      <c r="CD234" s="180"/>
      <c r="CE234" s="180"/>
      <c r="CF234" s="180"/>
      <c r="CH234" s="180"/>
      <c r="CI234" s="180"/>
      <c r="CJ234" s="180"/>
      <c r="CK234" s="180"/>
      <c r="CL234" s="180"/>
      <c r="CM234" s="180"/>
      <c r="CN234" s="180"/>
      <c r="CQ234" s="180"/>
      <c r="CR234" s="180"/>
      <c r="CS234" s="180"/>
      <c r="DS234" s="180"/>
      <c r="DT234" s="180"/>
      <c r="DU234" s="180"/>
    </row>
    <row r="235" spans="1:125" s="54" customFormat="1" hidden="1">
      <c r="A235" s="135">
        <f t="shared" si="24"/>
        <v>0</v>
      </c>
      <c r="B235" s="178" t="str">
        <f t="shared" si="25"/>
        <v/>
      </c>
      <c r="C235" s="178" t="str">
        <f>IFERROR(IF(INDEX('M04-S06'!$BH$18:$BH$199,2*(ROWS($C$230:C235)-1)+1)="","",INDEX('M04-S06'!$BH$18:$BH$199,2*(ROWS($C$230:C235)-1)+1)),"")</f>
        <v/>
      </c>
      <c r="D235" s="180" t="s">
        <v>144</v>
      </c>
      <c r="E235" s="178" t="str">
        <f>IFERROR(INDEX('M04-S06'!$AZ$18:$AZ$199,2*(ROWS(E$230:E235)-1)+1),"")</f>
        <v/>
      </c>
      <c r="F235" s="408"/>
      <c r="G235" s="325"/>
      <c r="H235" s="200" t="str">
        <f ca="1">IFERROR(IF(AC235&lt;&gt;"","",INDEX('M04-S06'!$AD$18:$AD$199,2*(ROWS(H$230:H235)-1)+1)),"")</f>
        <v/>
      </c>
      <c r="I235" s="200" t="str">
        <f ca="1">IFERROR(IF(AC235&lt;&gt;"","",INDEX('M04-S06'!$AF$18:$AF$199,2*(ROWS(I$230:I235)-1)+1)),"")</f>
        <v/>
      </c>
      <c r="J235" s="200" t="str">
        <f ca="1">IFERROR(IF(AC235&lt;&gt;"","",INDEX('M04-S06'!$AH$18:$AH$199,2*(ROWS(J$230:J235)-1)+1)),"")</f>
        <v/>
      </c>
      <c r="K235" s="178" t="str">
        <f ca="1">IFERROR(IF(AC235&lt;&gt;"","",INDEX('M04-S06'!$AB$18:$AB$199,2*(ROWS(J$230:J235)-1)+1)),"")</f>
        <v/>
      </c>
      <c r="L235" s="116" t="str">
        <f ca="1">IFERROR(IF(AC235&lt;&gt;"","",ROUND(INDEX('M04-S06'!$P$18:$P$199,2*(ROWS(L$230:L235)-1)+1),3)),"")</f>
        <v/>
      </c>
      <c r="M235" s="116" t="str">
        <f ca="1">IFERROR(IF(AC235&lt;&gt;"","",ROUND(INDEX('M04-S06'!$X$18:$X$199,2*(ROWS(M$230:M235)-1)+1),3)),"")</f>
        <v/>
      </c>
      <c r="N235" s="418"/>
      <c r="O235" s="415" t="str">
        <f ca="1">IFERROR(IF(AC235&lt;&gt;"","",INDEX('M04-S06'!$AK$18:$AK$199,2*(ROWS(O$230:O235)-1)+1)),"")</f>
        <v/>
      </c>
      <c r="P235" s="408"/>
      <c r="Q235" s="415" t="str">
        <f ca="1">IFERROR(IF(AC235&lt;&gt;"","",INDEX('M04-S06'!$BA$18:$BA$199,2*(ROWS(Q$230:Q235)-1)+1)),"")</f>
        <v/>
      </c>
      <c r="R235" s="200" t="str">
        <f ca="1">IFERROR(IF(AC235&lt;&gt;"","",INDEX('M04-S06'!$AN$18:$AN$199,2*(ROWS(R$230:R235)-1)+1)),"")</f>
        <v/>
      </c>
      <c r="S235" s="200">
        <f ca="1">IFERROR(IF(AC235&lt;&gt;"",INDEX('M04-S06'!$AD$18:$AD$199,2*(ROWS(S$230:S235)-1)+1),""),"")</f>
        <v>0</v>
      </c>
      <c r="T235" s="200" t="str">
        <f ca="1">IFERROR(IF(AC235&lt;&gt;"",INDEX('M04-S06'!$AF$18:$AF$199,2*(ROWS(T$230:T235)-1)+1),""),"")</f>
        <v/>
      </c>
      <c r="U235" s="200" t="str">
        <f ca="1">IFERROR(IF(AC235&lt;&gt;"",INDEX('M04-S06'!$AH$18:$AH$199,2*(ROWS(U$230:U235)-1)+1),""),"")</f>
        <v/>
      </c>
      <c r="V235" s="178" t="str">
        <f ca="1">IFERROR(IF(AC235&lt;&gt;"",INDEX('M04-S06'!$AB$18:$AB$199,2*(ROWS(V$230:V235)-1)+1),""),"")</f>
        <v/>
      </c>
      <c r="W235" s="116">
        <f ca="1">IFERROR(IF(AC235&lt;&gt;"",ROUND(INDEX('M04-S06'!$P$18:$P$199,2*(ROWS(W$230:W235)-1)+1),3),""),"")</f>
        <v>0</v>
      </c>
      <c r="X235" s="116">
        <f ca="1">IFERROR(IF(AC235&lt;&gt;"",ROUND(INDEX('M04-S06'!$Z$18:$Z$199,2*(ROWS(X$230:X235)-1)+1),3),""),"")</f>
        <v>0</v>
      </c>
      <c r="Y235" s="408"/>
      <c r="Z235" s="173" t="str">
        <f ca="1">IFERROR(IF(AC235&lt;&gt;"",INDEX('M04-S06'!$AK$18:$AK$199,2*(ROWS(Z$230:Z235)-1)+1),""),"")</f>
        <v/>
      </c>
      <c r="AA235" s="408"/>
      <c r="AB235" s="415" t="str">
        <f ca="1">IFERROR(IF(AC235&lt;&gt;"",INDEX('M04-S06'!$BA$18:$BA$199,2*(ROWS(AB$230:AB235)-1)+1),""),"")</f>
        <v/>
      </c>
      <c r="AC235" s="178" t="str">
        <f ca="1">IFERROR(INDEX('M04-S06'!$BJ$18:$BJ$199,2*(ROWS(AC$230:AC235)-1)+1),"")</f>
        <v>Submit for Review</v>
      </c>
      <c r="AD235" s="415" t="str">
        <f>IFERROR(INDEX('M04-S06'!$AW$18:$AW$199,2*(ROWS(AD$230:AD235)-1)+1),"")</f>
        <v/>
      </c>
      <c r="AE235" s="415" t="str">
        <f>IFERROR(INDEX('M04-S06'!$AX$18:$AX$199,2*(ROWS(AE$230:AE235)-1)+1),"")</f>
        <v/>
      </c>
      <c r="AF235" s="408"/>
      <c r="AG235" s="408"/>
      <c r="AH235" s="408"/>
      <c r="AI235" s="178">
        <f>IFERROR(INDEX('M04-S06'!$B$18:$B$199,2*(ROWS(AI$230:AI235)-1)+1),"")</f>
        <v>6</v>
      </c>
      <c r="AJ235" s="325"/>
      <c r="AK235" s="178">
        <f>IFERROR(INDEX('M04-S06'!$F$18:$F$199,2*(ROWS(AK$230:AK235)-1)+1),"")</f>
        <v>0</v>
      </c>
      <c r="AL235" s="178">
        <f>IFERROR(INDEX('M04-S06'!$L$18:$L$199,2*(ROWS(AL$230:AL235)-1)+1),"")</f>
        <v>0</v>
      </c>
      <c r="AM235" s="178">
        <f>IFERROR(INDEX('M04-S06'!$T$18:$T$199,2*(ROWS(AM$230:AM235)-1)+1),"")</f>
        <v>0</v>
      </c>
      <c r="AN235" s="200" t="str">
        <f>IFERROR(INDEX('M04-S06'!$AT$18:$AT$199,2*(ROWS(AN$230:AN235)-1)+1),"")</f>
        <v/>
      </c>
      <c r="AO235" s="200" t="str">
        <f>IFERROR(INDEX('M04-S06'!$AU$18:$AU$199,2*(ROWS(AO$230:AO235)-1)+1),"")</f>
        <v/>
      </c>
      <c r="AP235" s="178" t="str">
        <f>IFERROR(INDEX('M04-S06'!$AV$18:$AV$199,2*(ROWS(AP$230:AP235)-1)+1),"")</f>
        <v/>
      </c>
      <c r="AQ235" s="178" t="str">
        <f>IFERROR(INDEX('M04-S06'!$AY$18:$AY$199,2*(ROWS(AQ$230:AQ235)-1)+1),"")</f>
        <v/>
      </c>
      <c r="AR235" s="178" t="s">
        <v>1374</v>
      </c>
      <c r="AS235" s="178"/>
      <c r="AT235" s="278"/>
      <c r="AU235" s="278"/>
      <c r="AV235" s="278"/>
      <c r="AW235" s="278"/>
      <c r="AX235" s="278"/>
      <c r="AY235" s="278"/>
      <c r="AZ235" s="278"/>
      <c r="BA235" s="278"/>
      <c r="BB235" s="278"/>
      <c r="BC235" s="278"/>
      <c r="BD235" s="278"/>
      <c r="BE235" s="279"/>
      <c r="BL235" s="180"/>
      <c r="BP235" s="180"/>
      <c r="BQ235" s="180"/>
      <c r="BR235" s="180"/>
      <c r="CD235" s="180"/>
      <c r="CE235" s="180"/>
      <c r="CF235" s="180"/>
      <c r="CH235" s="180"/>
      <c r="CI235" s="180"/>
      <c r="CJ235" s="180"/>
      <c r="CK235" s="180"/>
      <c r="CL235" s="180"/>
      <c r="CM235" s="180"/>
      <c r="CN235" s="180"/>
      <c r="CQ235" s="180"/>
      <c r="CR235" s="180"/>
      <c r="CS235" s="180"/>
      <c r="DS235" s="180"/>
      <c r="DT235" s="180"/>
      <c r="DU235" s="180"/>
    </row>
    <row r="236" spans="1:125" s="54" customFormat="1" hidden="1">
      <c r="A236" s="135">
        <f t="shared" si="24"/>
        <v>0</v>
      </c>
      <c r="B236" s="178" t="str">
        <f t="shared" si="25"/>
        <v/>
      </c>
      <c r="C236" s="178" t="str">
        <f>IFERROR(IF(INDEX('M04-S06'!$BH$18:$BH$199,2*(ROWS($C$230:C236)-1)+1)="","",INDEX('M04-S06'!$BH$18:$BH$199,2*(ROWS($C$230:C236)-1)+1)),"")</f>
        <v/>
      </c>
      <c r="D236" s="180" t="s">
        <v>144</v>
      </c>
      <c r="E236" s="178" t="str">
        <f>IFERROR(INDEX('M04-S06'!$AZ$18:$AZ$199,2*(ROWS(E$230:E236)-1)+1),"")</f>
        <v/>
      </c>
      <c r="F236" s="408"/>
      <c r="G236" s="325"/>
      <c r="H236" s="200" t="str">
        <f ca="1">IFERROR(IF(AC236&lt;&gt;"","",INDEX('M04-S06'!$AD$18:$AD$199,2*(ROWS(H$230:H236)-1)+1)),"")</f>
        <v/>
      </c>
      <c r="I236" s="200" t="str">
        <f ca="1">IFERROR(IF(AC236&lt;&gt;"","",INDEX('M04-S06'!$AF$18:$AF$199,2*(ROWS(I$230:I236)-1)+1)),"")</f>
        <v/>
      </c>
      <c r="J236" s="200" t="str">
        <f ca="1">IFERROR(IF(AC236&lt;&gt;"","",INDEX('M04-S06'!$AH$18:$AH$199,2*(ROWS(J$230:J236)-1)+1)),"")</f>
        <v/>
      </c>
      <c r="K236" s="178" t="str">
        <f ca="1">IFERROR(IF(AC236&lt;&gt;"","",INDEX('M04-S06'!$AB$18:$AB$199,2*(ROWS(J$230:J236)-1)+1)),"")</f>
        <v/>
      </c>
      <c r="L236" s="116" t="str">
        <f ca="1">IFERROR(IF(AC236&lt;&gt;"","",ROUND(INDEX('M04-S06'!$P$18:$P$199,2*(ROWS(L$230:L236)-1)+1),3)),"")</f>
        <v/>
      </c>
      <c r="M236" s="116" t="str">
        <f ca="1">IFERROR(IF(AC236&lt;&gt;"","",ROUND(INDEX('M04-S06'!$X$18:$X$199,2*(ROWS(M$230:M236)-1)+1),3)),"")</f>
        <v/>
      </c>
      <c r="N236" s="418"/>
      <c r="O236" s="415" t="str">
        <f ca="1">IFERROR(IF(AC236&lt;&gt;"","",INDEX('M04-S06'!$AK$18:$AK$199,2*(ROWS(O$230:O236)-1)+1)),"")</f>
        <v/>
      </c>
      <c r="P236" s="408"/>
      <c r="Q236" s="415" t="str">
        <f ca="1">IFERROR(IF(AC236&lt;&gt;"","",INDEX('M04-S06'!$BA$18:$BA$199,2*(ROWS(Q$230:Q236)-1)+1)),"")</f>
        <v/>
      </c>
      <c r="R236" s="200" t="str">
        <f ca="1">IFERROR(IF(AC236&lt;&gt;"","",INDEX('M04-S06'!$AN$18:$AN$199,2*(ROWS(R$230:R236)-1)+1)),"")</f>
        <v/>
      </c>
      <c r="S236" s="200">
        <f ca="1">IFERROR(IF(AC236&lt;&gt;"",INDEX('M04-S06'!$AD$18:$AD$199,2*(ROWS(S$230:S236)-1)+1),""),"")</f>
        <v>0</v>
      </c>
      <c r="T236" s="200" t="str">
        <f ca="1">IFERROR(IF(AC236&lt;&gt;"",INDEX('M04-S06'!$AF$18:$AF$199,2*(ROWS(T$230:T236)-1)+1),""),"")</f>
        <v/>
      </c>
      <c r="U236" s="200" t="str">
        <f ca="1">IFERROR(IF(AC236&lt;&gt;"",INDEX('M04-S06'!$AH$18:$AH$199,2*(ROWS(U$230:U236)-1)+1),""),"")</f>
        <v/>
      </c>
      <c r="V236" s="178" t="str">
        <f ca="1">IFERROR(IF(AC236&lt;&gt;"",INDEX('M04-S06'!$AB$18:$AB$199,2*(ROWS(V$230:V236)-1)+1),""),"")</f>
        <v/>
      </c>
      <c r="W236" s="116">
        <f ca="1">IFERROR(IF(AC236&lt;&gt;"",ROUND(INDEX('M04-S06'!$P$18:$P$199,2*(ROWS(W$230:W236)-1)+1),3),""),"")</f>
        <v>0</v>
      </c>
      <c r="X236" s="116">
        <f ca="1">IFERROR(IF(AC236&lt;&gt;"",ROUND(INDEX('M04-S06'!$Z$18:$Z$199,2*(ROWS(X$230:X236)-1)+1),3),""),"")</f>
        <v>0</v>
      </c>
      <c r="Y236" s="408"/>
      <c r="Z236" s="173" t="str">
        <f ca="1">IFERROR(IF(AC236&lt;&gt;"",INDEX('M04-S06'!$AK$18:$AK$199,2*(ROWS(Z$230:Z236)-1)+1),""),"")</f>
        <v/>
      </c>
      <c r="AA236" s="408"/>
      <c r="AB236" s="415" t="str">
        <f ca="1">IFERROR(IF(AC236&lt;&gt;"",INDEX('M04-S06'!$BA$18:$BA$199,2*(ROWS(AB$230:AB236)-1)+1),""),"")</f>
        <v/>
      </c>
      <c r="AC236" s="178" t="str">
        <f ca="1">IFERROR(INDEX('M04-S06'!$BJ$18:$BJ$199,2*(ROWS(AC$230:AC236)-1)+1),"")</f>
        <v>Submit for Review</v>
      </c>
      <c r="AD236" s="415" t="str">
        <f>IFERROR(INDEX('M04-S06'!$AW$18:$AW$199,2*(ROWS(AD$230:AD236)-1)+1),"")</f>
        <v/>
      </c>
      <c r="AE236" s="415" t="str">
        <f>IFERROR(INDEX('M04-S06'!$AX$18:$AX$199,2*(ROWS(AE$230:AE236)-1)+1),"")</f>
        <v/>
      </c>
      <c r="AF236" s="408"/>
      <c r="AG236" s="408"/>
      <c r="AH236" s="408"/>
      <c r="AI236" s="178">
        <f>IFERROR(INDEX('M04-S06'!$B$18:$B$199,2*(ROWS(AI$230:AI236)-1)+1),"")</f>
        <v>7</v>
      </c>
      <c r="AJ236" s="325"/>
      <c r="AK236" s="178">
        <f>IFERROR(INDEX('M04-S06'!$F$18:$F$199,2*(ROWS(AK$230:AK236)-1)+1),"")</f>
        <v>0</v>
      </c>
      <c r="AL236" s="178">
        <f>IFERROR(INDEX('M04-S06'!$L$18:$L$199,2*(ROWS(AL$230:AL236)-1)+1),"")</f>
        <v>0</v>
      </c>
      <c r="AM236" s="178">
        <f>IFERROR(INDEX('M04-S06'!$T$18:$T$199,2*(ROWS(AM$230:AM236)-1)+1),"")</f>
        <v>0</v>
      </c>
      <c r="AN236" s="200" t="str">
        <f>IFERROR(INDEX('M04-S06'!$AT$18:$AT$199,2*(ROWS(AN$230:AN236)-1)+1),"")</f>
        <v/>
      </c>
      <c r="AO236" s="200" t="str">
        <f>IFERROR(INDEX('M04-S06'!$AU$18:$AU$199,2*(ROWS(AO$230:AO236)-1)+1),"")</f>
        <v/>
      </c>
      <c r="AP236" s="178" t="str">
        <f>IFERROR(INDEX('M04-S06'!$AV$18:$AV$199,2*(ROWS(AP$230:AP236)-1)+1),"")</f>
        <v/>
      </c>
      <c r="AQ236" s="178" t="str">
        <f>IFERROR(INDEX('M04-S06'!$AY$18:$AY$199,2*(ROWS(AQ$230:AQ236)-1)+1),"")</f>
        <v/>
      </c>
      <c r="AR236" s="178" t="s">
        <v>1374</v>
      </c>
      <c r="AS236" s="178"/>
      <c r="AT236" s="278"/>
      <c r="AU236" s="278"/>
      <c r="AV236" s="278"/>
      <c r="AW236" s="278"/>
      <c r="AX236" s="278"/>
      <c r="AY236" s="278"/>
      <c r="AZ236" s="278"/>
      <c r="BA236" s="278"/>
      <c r="BB236" s="278"/>
      <c r="BC236" s="278"/>
      <c r="BD236" s="278"/>
      <c r="BE236" s="279"/>
      <c r="BL236" s="180"/>
      <c r="BP236" s="180"/>
      <c r="BQ236" s="180"/>
      <c r="BR236" s="180"/>
      <c r="CD236" s="180"/>
      <c r="CE236" s="180"/>
      <c r="CF236" s="180"/>
      <c r="CH236" s="180"/>
      <c r="CI236" s="180"/>
      <c r="CJ236" s="180"/>
      <c r="CK236" s="180"/>
      <c r="CL236" s="180"/>
      <c r="CM236" s="180"/>
      <c r="CN236" s="180"/>
      <c r="CQ236" s="180"/>
      <c r="CR236" s="180"/>
      <c r="CS236" s="180"/>
      <c r="DS236" s="180"/>
      <c r="DT236" s="180"/>
      <c r="DU236" s="180"/>
    </row>
    <row r="237" spans="1:125" s="54" customFormat="1" hidden="1">
      <c r="A237" s="135">
        <f t="shared" si="24"/>
        <v>0</v>
      </c>
      <c r="B237" s="178" t="str">
        <f t="shared" si="25"/>
        <v/>
      </c>
      <c r="C237" s="178" t="str">
        <f>IFERROR(IF(INDEX('M04-S06'!$BH$18:$BH$199,2*(ROWS($C$230:C237)-1)+1)="","",INDEX('M04-S06'!$BH$18:$BH$199,2*(ROWS($C$230:C237)-1)+1)),"")</f>
        <v/>
      </c>
      <c r="D237" s="180" t="s">
        <v>144</v>
      </c>
      <c r="E237" s="178" t="str">
        <f>IFERROR(INDEX('M04-S06'!$AZ$18:$AZ$199,2*(ROWS(E$230:E237)-1)+1),"")</f>
        <v/>
      </c>
      <c r="F237" s="408"/>
      <c r="G237" s="325"/>
      <c r="H237" s="200" t="str">
        <f ca="1">IFERROR(IF(AC237&lt;&gt;"","",INDEX('M04-S06'!$AD$18:$AD$199,2*(ROWS(H$230:H237)-1)+1)),"")</f>
        <v/>
      </c>
      <c r="I237" s="200" t="str">
        <f ca="1">IFERROR(IF(AC237&lt;&gt;"","",INDEX('M04-S06'!$AF$18:$AF$199,2*(ROWS(I$230:I237)-1)+1)),"")</f>
        <v/>
      </c>
      <c r="J237" s="200" t="str">
        <f ca="1">IFERROR(IF(AC237&lt;&gt;"","",INDEX('M04-S06'!$AH$18:$AH$199,2*(ROWS(J$230:J237)-1)+1)),"")</f>
        <v/>
      </c>
      <c r="K237" s="178" t="str">
        <f ca="1">IFERROR(IF(AC237&lt;&gt;"","",INDEX('M04-S06'!$AB$18:$AB$199,2*(ROWS(J$230:J237)-1)+1)),"")</f>
        <v/>
      </c>
      <c r="L237" s="116" t="str">
        <f ca="1">IFERROR(IF(AC237&lt;&gt;"","",ROUND(INDEX('M04-S06'!$P$18:$P$199,2*(ROWS(L$230:L237)-1)+1),3)),"")</f>
        <v/>
      </c>
      <c r="M237" s="116" t="str">
        <f ca="1">IFERROR(IF(AC237&lt;&gt;"","",ROUND(INDEX('M04-S06'!$X$18:$X$199,2*(ROWS(M$230:M237)-1)+1),3)),"")</f>
        <v/>
      </c>
      <c r="N237" s="418"/>
      <c r="O237" s="415" t="str">
        <f ca="1">IFERROR(IF(AC237&lt;&gt;"","",INDEX('M04-S06'!$AK$18:$AK$199,2*(ROWS(O$230:O237)-1)+1)),"")</f>
        <v/>
      </c>
      <c r="P237" s="408"/>
      <c r="Q237" s="415" t="str">
        <f ca="1">IFERROR(IF(AC237&lt;&gt;"","",INDEX('M04-S06'!$BA$18:$BA$199,2*(ROWS(Q$230:Q237)-1)+1)),"")</f>
        <v/>
      </c>
      <c r="R237" s="200" t="str">
        <f ca="1">IFERROR(IF(AC237&lt;&gt;"","",INDEX('M04-S06'!$AN$18:$AN$199,2*(ROWS(R$230:R237)-1)+1)),"")</f>
        <v/>
      </c>
      <c r="S237" s="200">
        <f ca="1">IFERROR(IF(AC237&lt;&gt;"",INDEX('M04-S06'!$AD$18:$AD$199,2*(ROWS(S$230:S237)-1)+1),""),"")</f>
        <v>0</v>
      </c>
      <c r="T237" s="200" t="str">
        <f ca="1">IFERROR(IF(AC237&lt;&gt;"",INDEX('M04-S06'!$AF$18:$AF$199,2*(ROWS(T$230:T237)-1)+1),""),"")</f>
        <v/>
      </c>
      <c r="U237" s="200" t="str">
        <f ca="1">IFERROR(IF(AC237&lt;&gt;"",INDEX('M04-S06'!$AH$18:$AH$199,2*(ROWS(U$230:U237)-1)+1),""),"")</f>
        <v/>
      </c>
      <c r="V237" s="178" t="str">
        <f ca="1">IFERROR(IF(AC237&lt;&gt;"",INDEX('M04-S06'!$AB$18:$AB$199,2*(ROWS(V$230:V237)-1)+1),""),"")</f>
        <v/>
      </c>
      <c r="W237" s="116">
        <f ca="1">IFERROR(IF(AC237&lt;&gt;"",ROUND(INDEX('M04-S06'!$P$18:$P$199,2*(ROWS(W$230:W237)-1)+1),3),""),"")</f>
        <v>0</v>
      </c>
      <c r="X237" s="116">
        <f ca="1">IFERROR(IF(AC237&lt;&gt;"",ROUND(INDEX('M04-S06'!$Z$18:$Z$199,2*(ROWS(X$230:X237)-1)+1),3),""),"")</f>
        <v>0</v>
      </c>
      <c r="Y237" s="408"/>
      <c r="Z237" s="173" t="str">
        <f ca="1">IFERROR(IF(AC237&lt;&gt;"",INDEX('M04-S06'!$AK$18:$AK$199,2*(ROWS(Z$230:Z237)-1)+1),""),"")</f>
        <v/>
      </c>
      <c r="AA237" s="408"/>
      <c r="AB237" s="415" t="str">
        <f ca="1">IFERROR(IF(AC237&lt;&gt;"",INDEX('M04-S06'!$BA$18:$BA$199,2*(ROWS(AB$230:AB237)-1)+1),""),"")</f>
        <v/>
      </c>
      <c r="AC237" s="178" t="str">
        <f ca="1">IFERROR(INDEX('M04-S06'!$BJ$18:$BJ$199,2*(ROWS(AC$230:AC237)-1)+1),"")</f>
        <v>Submit for Review</v>
      </c>
      <c r="AD237" s="415" t="str">
        <f>IFERROR(INDEX('M04-S06'!$AW$18:$AW$199,2*(ROWS(AD$230:AD237)-1)+1),"")</f>
        <v/>
      </c>
      <c r="AE237" s="415" t="str">
        <f>IFERROR(INDEX('M04-S06'!$AX$18:$AX$199,2*(ROWS(AE$230:AE237)-1)+1),"")</f>
        <v/>
      </c>
      <c r="AF237" s="408"/>
      <c r="AG237" s="408"/>
      <c r="AH237" s="408"/>
      <c r="AI237" s="178">
        <f>IFERROR(INDEX('M04-S06'!$B$18:$B$199,2*(ROWS(AI$230:AI237)-1)+1),"")</f>
        <v>8</v>
      </c>
      <c r="AJ237" s="325"/>
      <c r="AK237" s="178">
        <f>IFERROR(INDEX('M04-S06'!$F$18:$F$199,2*(ROWS(AK$230:AK237)-1)+1),"")</f>
        <v>0</v>
      </c>
      <c r="AL237" s="178">
        <f>IFERROR(INDEX('M04-S06'!$L$18:$L$199,2*(ROWS(AL$230:AL237)-1)+1),"")</f>
        <v>0</v>
      </c>
      <c r="AM237" s="178">
        <f>IFERROR(INDEX('M04-S06'!$T$18:$T$199,2*(ROWS(AM$230:AM237)-1)+1),"")</f>
        <v>0</v>
      </c>
      <c r="AN237" s="200" t="str">
        <f>IFERROR(INDEX('M04-S06'!$AT$18:$AT$199,2*(ROWS(AN$230:AN237)-1)+1),"")</f>
        <v/>
      </c>
      <c r="AO237" s="200" t="str">
        <f>IFERROR(INDEX('M04-S06'!$AU$18:$AU$199,2*(ROWS(AO$230:AO237)-1)+1),"")</f>
        <v/>
      </c>
      <c r="AP237" s="178" t="str">
        <f>IFERROR(INDEX('M04-S06'!$AV$18:$AV$199,2*(ROWS(AP$230:AP237)-1)+1),"")</f>
        <v/>
      </c>
      <c r="AQ237" s="178" t="str">
        <f>IFERROR(INDEX('M04-S06'!$AY$18:$AY$199,2*(ROWS(AQ$230:AQ237)-1)+1),"")</f>
        <v/>
      </c>
      <c r="AR237" s="178" t="s">
        <v>1374</v>
      </c>
      <c r="AS237" s="178"/>
      <c r="AT237" s="278"/>
      <c r="AU237" s="278"/>
      <c r="AV237" s="278"/>
      <c r="AW237" s="278"/>
      <c r="AX237" s="278"/>
      <c r="AY237" s="278"/>
      <c r="AZ237" s="278"/>
      <c r="BA237" s="278"/>
      <c r="BB237" s="278"/>
      <c r="BC237" s="278"/>
      <c r="BD237" s="278"/>
      <c r="BE237" s="279"/>
      <c r="BL237" s="180"/>
      <c r="BP237" s="180"/>
      <c r="BQ237" s="180"/>
      <c r="BR237" s="180"/>
      <c r="CD237" s="180"/>
      <c r="CE237" s="180"/>
      <c r="CF237" s="180"/>
      <c r="CH237" s="180"/>
      <c r="CI237" s="180"/>
      <c r="CJ237" s="180"/>
      <c r="CK237" s="180"/>
      <c r="CL237" s="180"/>
      <c r="CM237" s="180"/>
      <c r="CN237" s="180"/>
      <c r="CQ237" s="180"/>
      <c r="CR237" s="180"/>
      <c r="CS237" s="180"/>
      <c r="DS237" s="180"/>
      <c r="DT237" s="180"/>
      <c r="DU237" s="180"/>
    </row>
    <row r="238" spans="1:125" s="54" customFormat="1" hidden="1">
      <c r="A238" s="135">
        <f t="shared" si="24"/>
        <v>0</v>
      </c>
      <c r="B238" s="178" t="str">
        <f t="shared" si="25"/>
        <v/>
      </c>
      <c r="C238" s="178" t="str">
        <f>IFERROR(IF(INDEX('M04-S06'!$BH$18:$BH$199,2*(ROWS($C$230:C238)-1)+1)="","",INDEX('M04-S06'!$BH$18:$BH$199,2*(ROWS($C$230:C238)-1)+1)),"")</f>
        <v/>
      </c>
      <c r="D238" s="180" t="s">
        <v>144</v>
      </c>
      <c r="E238" s="178" t="str">
        <f>IFERROR(INDEX('M04-S06'!$AZ$18:$AZ$199,2*(ROWS(E$230:E238)-1)+1),"")</f>
        <v/>
      </c>
      <c r="F238" s="408"/>
      <c r="G238" s="325"/>
      <c r="H238" s="200" t="str">
        <f ca="1">IFERROR(IF(AC238&lt;&gt;"","",INDEX('M04-S06'!$AD$18:$AD$199,2*(ROWS(H$230:H238)-1)+1)),"")</f>
        <v/>
      </c>
      <c r="I238" s="200" t="str">
        <f ca="1">IFERROR(IF(AC238&lt;&gt;"","",INDEX('M04-S06'!$AF$18:$AF$199,2*(ROWS(I$230:I238)-1)+1)),"")</f>
        <v/>
      </c>
      <c r="J238" s="200" t="str">
        <f ca="1">IFERROR(IF(AC238&lt;&gt;"","",INDEX('M04-S06'!$AH$18:$AH$199,2*(ROWS(J$230:J238)-1)+1)),"")</f>
        <v/>
      </c>
      <c r="K238" s="178" t="str">
        <f ca="1">IFERROR(IF(AC238&lt;&gt;"","",INDEX('M04-S06'!$AB$18:$AB$199,2*(ROWS(J$230:J238)-1)+1)),"")</f>
        <v/>
      </c>
      <c r="L238" s="116" t="str">
        <f ca="1">IFERROR(IF(AC238&lt;&gt;"","",ROUND(INDEX('M04-S06'!$P$18:$P$199,2*(ROWS(L$230:L238)-1)+1),3)),"")</f>
        <v/>
      </c>
      <c r="M238" s="116" t="str">
        <f ca="1">IFERROR(IF(AC238&lt;&gt;"","",ROUND(INDEX('M04-S06'!$X$18:$X$199,2*(ROWS(M$230:M238)-1)+1),3)),"")</f>
        <v/>
      </c>
      <c r="N238" s="418"/>
      <c r="O238" s="415" t="str">
        <f ca="1">IFERROR(IF(AC238&lt;&gt;"","",INDEX('M04-S06'!$AK$18:$AK$199,2*(ROWS(O$230:O238)-1)+1)),"")</f>
        <v/>
      </c>
      <c r="P238" s="408"/>
      <c r="Q238" s="415" t="str">
        <f ca="1">IFERROR(IF(AC238&lt;&gt;"","",INDEX('M04-S06'!$BA$18:$BA$199,2*(ROWS(Q$230:Q238)-1)+1)),"")</f>
        <v/>
      </c>
      <c r="R238" s="200" t="str">
        <f ca="1">IFERROR(IF(AC238&lt;&gt;"","",INDEX('M04-S06'!$AN$18:$AN$199,2*(ROWS(R$230:R238)-1)+1)),"")</f>
        <v/>
      </c>
      <c r="S238" s="200">
        <f ca="1">IFERROR(IF(AC238&lt;&gt;"",INDEX('M04-S06'!$AD$18:$AD$199,2*(ROWS(S$230:S238)-1)+1),""),"")</f>
        <v>0</v>
      </c>
      <c r="T238" s="200" t="str">
        <f ca="1">IFERROR(IF(AC238&lt;&gt;"",INDEX('M04-S06'!$AF$18:$AF$199,2*(ROWS(T$230:T238)-1)+1),""),"")</f>
        <v/>
      </c>
      <c r="U238" s="200" t="str">
        <f ca="1">IFERROR(IF(AC238&lt;&gt;"",INDEX('M04-S06'!$AH$18:$AH$199,2*(ROWS(U$230:U238)-1)+1),""),"")</f>
        <v/>
      </c>
      <c r="V238" s="178" t="str">
        <f ca="1">IFERROR(IF(AC238&lt;&gt;"",INDEX('M04-S06'!$AB$18:$AB$199,2*(ROWS(V$230:V238)-1)+1),""),"")</f>
        <v/>
      </c>
      <c r="W238" s="116">
        <f ca="1">IFERROR(IF(AC238&lt;&gt;"",ROUND(INDEX('M04-S06'!$P$18:$P$199,2*(ROWS(W$230:W238)-1)+1),3),""),"")</f>
        <v>0</v>
      </c>
      <c r="X238" s="116">
        <f ca="1">IFERROR(IF(AC238&lt;&gt;"",ROUND(INDEX('M04-S06'!$Z$18:$Z$199,2*(ROWS(X$230:X238)-1)+1),3),""),"")</f>
        <v>0</v>
      </c>
      <c r="Y238" s="408"/>
      <c r="Z238" s="173" t="str">
        <f ca="1">IFERROR(IF(AC238&lt;&gt;"",INDEX('M04-S06'!$AK$18:$AK$199,2*(ROWS(Z$230:Z238)-1)+1),""),"")</f>
        <v/>
      </c>
      <c r="AA238" s="408"/>
      <c r="AB238" s="415" t="str">
        <f ca="1">IFERROR(IF(AC238&lt;&gt;"",INDEX('M04-S06'!$BA$18:$BA$199,2*(ROWS(AB$230:AB238)-1)+1),""),"")</f>
        <v/>
      </c>
      <c r="AC238" s="178" t="str">
        <f ca="1">IFERROR(INDEX('M04-S06'!$BJ$18:$BJ$199,2*(ROWS(AC$230:AC238)-1)+1),"")</f>
        <v>Submit for Review</v>
      </c>
      <c r="AD238" s="415" t="str">
        <f>IFERROR(INDEX('M04-S06'!$AW$18:$AW$199,2*(ROWS(AD$230:AD238)-1)+1),"")</f>
        <v/>
      </c>
      <c r="AE238" s="415" t="str">
        <f>IFERROR(INDEX('M04-S06'!$AX$18:$AX$199,2*(ROWS(AE$230:AE238)-1)+1),"")</f>
        <v/>
      </c>
      <c r="AF238" s="408"/>
      <c r="AG238" s="408"/>
      <c r="AH238" s="408"/>
      <c r="AI238" s="178">
        <f>IFERROR(INDEX('M04-S06'!$B$18:$B$199,2*(ROWS(AI$230:AI238)-1)+1),"")</f>
        <v>9</v>
      </c>
      <c r="AJ238" s="325"/>
      <c r="AK238" s="178">
        <f>IFERROR(INDEX('M04-S06'!$F$18:$F$199,2*(ROWS(AK$230:AK238)-1)+1),"")</f>
        <v>0</v>
      </c>
      <c r="AL238" s="178">
        <f>IFERROR(INDEX('M04-S06'!$L$18:$L$199,2*(ROWS(AL$230:AL238)-1)+1),"")</f>
        <v>0</v>
      </c>
      <c r="AM238" s="178">
        <f>IFERROR(INDEX('M04-S06'!$T$18:$T$199,2*(ROWS(AM$230:AM238)-1)+1),"")</f>
        <v>0</v>
      </c>
      <c r="AN238" s="200" t="str">
        <f>IFERROR(INDEX('M04-S06'!$AT$18:$AT$199,2*(ROWS(AN$230:AN238)-1)+1),"")</f>
        <v/>
      </c>
      <c r="AO238" s="200" t="str">
        <f>IFERROR(INDEX('M04-S06'!$AU$18:$AU$199,2*(ROWS(AO$230:AO238)-1)+1),"")</f>
        <v/>
      </c>
      <c r="AP238" s="178" t="str">
        <f>IFERROR(INDEX('M04-S06'!$AV$18:$AV$199,2*(ROWS(AP$230:AP238)-1)+1),"")</f>
        <v/>
      </c>
      <c r="AQ238" s="178" t="str">
        <f>IFERROR(INDEX('M04-S06'!$AY$18:$AY$199,2*(ROWS(AQ$230:AQ238)-1)+1),"")</f>
        <v/>
      </c>
      <c r="AR238" s="178" t="s">
        <v>1374</v>
      </c>
      <c r="AS238" s="178"/>
      <c r="AT238" s="278"/>
      <c r="AU238" s="278"/>
      <c r="AV238" s="278"/>
      <c r="AW238" s="278"/>
      <c r="AX238" s="278"/>
      <c r="AY238" s="278"/>
      <c r="AZ238" s="278"/>
      <c r="BA238" s="278"/>
      <c r="BB238" s="278"/>
      <c r="BC238" s="278"/>
      <c r="BD238" s="278"/>
      <c r="BE238" s="279"/>
      <c r="BL238" s="180"/>
      <c r="BP238" s="180"/>
      <c r="BQ238" s="180"/>
      <c r="BR238" s="180"/>
      <c r="CD238" s="180"/>
      <c r="CE238" s="180"/>
      <c r="CF238" s="180"/>
      <c r="CH238" s="180"/>
      <c r="CI238" s="180"/>
      <c r="CJ238" s="180"/>
      <c r="CK238" s="180"/>
      <c r="CL238" s="180"/>
      <c r="CM238" s="180"/>
      <c r="CN238" s="180"/>
      <c r="CQ238" s="180"/>
      <c r="CR238" s="180"/>
      <c r="CS238" s="180"/>
      <c r="DS238" s="180"/>
      <c r="DT238" s="180"/>
      <c r="DU238" s="180"/>
    </row>
    <row r="239" spans="1:125" s="54" customFormat="1" hidden="1">
      <c r="A239" s="135">
        <f t="shared" si="24"/>
        <v>0</v>
      </c>
      <c r="B239" s="178" t="str">
        <f t="shared" si="25"/>
        <v/>
      </c>
      <c r="C239" s="178" t="str">
        <f>IFERROR(IF(INDEX('M04-S06'!$BH$18:$BH$199,2*(ROWS($C$230:C239)-1)+1)="","",INDEX('M04-S06'!$BH$18:$BH$199,2*(ROWS($C$230:C239)-1)+1)),"")</f>
        <v/>
      </c>
      <c r="D239" s="180" t="s">
        <v>144</v>
      </c>
      <c r="E239" s="178" t="str">
        <f>IFERROR(INDEX('M04-S06'!$AZ$18:$AZ$199,2*(ROWS(E$230:E239)-1)+1),"")</f>
        <v/>
      </c>
      <c r="F239" s="408"/>
      <c r="G239" s="325"/>
      <c r="H239" s="200" t="str">
        <f ca="1">IFERROR(IF(AC239&lt;&gt;"","",INDEX('M04-S06'!$AD$18:$AD$199,2*(ROWS(H$230:H239)-1)+1)),"")</f>
        <v/>
      </c>
      <c r="I239" s="200" t="str">
        <f ca="1">IFERROR(IF(AC239&lt;&gt;"","",INDEX('M04-S06'!$AF$18:$AF$199,2*(ROWS(I$230:I239)-1)+1)),"")</f>
        <v/>
      </c>
      <c r="J239" s="200" t="str">
        <f ca="1">IFERROR(IF(AC239&lt;&gt;"","",INDEX('M04-S06'!$AH$18:$AH$199,2*(ROWS(J$230:J239)-1)+1)),"")</f>
        <v/>
      </c>
      <c r="K239" s="178" t="str">
        <f ca="1">IFERROR(IF(AC239&lt;&gt;"","",INDEX('M04-S06'!$AB$18:$AB$199,2*(ROWS(J$230:J239)-1)+1)),"")</f>
        <v/>
      </c>
      <c r="L239" s="116" t="str">
        <f ca="1">IFERROR(IF(AC239&lt;&gt;"","",ROUND(INDEX('M04-S06'!$P$18:$P$199,2*(ROWS(L$230:L239)-1)+1),3)),"")</f>
        <v/>
      </c>
      <c r="M239" s="116" t="str">
        <f ca="1">IFERROR(IF(AC239&lt;&gt;"","",ROUND(INDEX('M04-S06'!$X$18:$X$199,2*(ROWS(M$230:M239)-1)+1),3)),"")</f>
        <v/>
      </c>
      <c r="N239" s="418"/>
      <c r="O239" s="415" t="str">
        <f ca="1">IFERROR(IF(AC239&lt;&gt;"","",INDEX('M04-S06'!$AK$18:$AK$199,2*(ROWS(O$230:O239)-1)+1)),"")</f>
        <v/>
      </c>
      <c r="P239" s="408"/>
      <c r="Q239" s="415" t="str">
        <f ca="1">IFERROR(IF(AC239&lt;&gt;"","",INDEX('M04-S06'!$BA$18:$BA$199,2*(ROWS(Q$230:Q239)-1)+1)),"")</f>
        <v/>
      </c>
      <c r="R239" s="200" t="str">
        <f ca="1">IFERROR(IF(AC239&lt;&gt;"","",INDEX('M04-S06'!$AN$18:$AN$199,2*(ROWS(R$230:R239)-1)+1)),"")</f>
        <v/>
      </c>
      <c r="S239" s="200">
        <f ca="1">IFERROR(IF(AC239&lt;&gt;"",INDEX('M04-S06'!$AD$18:$AD$199,2*(ROWS(S$230:S239)-1)+1),""),"")</f>
        <v>0</v>
      </c>
      <c r="T239" s="200" t="str">
        <f ca="1">IFERROR(IF(AC239&lt;&gt;"",INDEX('M04-S06'!$AF$18:$AF$199,2*(ROWS(T$230:T239)-1)+1),""),"")</f>
        <v/>
      </c>
      <c r="U239" s="200" t="str">
        <f ca="1">IFERROR(IF(AC239&lt;&gt;"",INDEX('M04-S06'!$AH$18:$AH$199,2*(ROWS(U$230:U239)-1)+1),""),"")</f>
        <v/>
      </c>
      <c r="V239" s="178" t="str">
        <f ca="1">IFERROR(IF(AC239&lt;&gt;"",INDEX('M04-S06'!$AB$18:$AB$199,2*(ROWS(V$230:V239)-1)+1),""),"")</f>
        <v/>
      </c>
      <c r="W239" s="116">
        <f ca="1">IFERROR(IF(AC239&lt;&gt;"",ROUND(INDEX('M04-S06'!$P$18:$P$199,2*(ROWS(W$230:W239)-1)+1),3),""),"")</f>
        <v>0</v>
      </c>
      <c r="X239" s="116">
        <f ca="1">IFERROR(IF(AC239&lt;&gt;"",ROUND(INDEX('M04-S06'!$Z$18:$Z$199,2*(ROWS(X$230:X239)-1)+1),3),""),"")</f>
        <v>0</v>
      </c>
      <c r="Y239" s="408"/>
      <c r="Z239" s="173" t="str">
        <f ca="1">IFERROR(IF(AC239&lt;&gt;"",INDEX('M04-S06'!$AK$18:$AK$199,2*(ROWS(Z$230:Z239)-1)+1),""),"")</f>
        <v/>
      </c>
      <c r="AA239" s="408"/>
      <c r="AB239" s="415" t="str">
        <f ca="1">IFERROR(IF(AC239&lt;&gt;"",INDEX('M04-S06'!$BA$18:$BA$199,2*(ROWS(AB$230:AB239)-1)+1),""),"")</f>
        <v/>
      </c>
      <c r="AC239" s="178" t="str">
        <f ca="1">IFERROR(INDEX('M04-S06'!$BJ$18:$BJ$199,2*(ROWS(AC$230:AC239)-1)+1),"")</f>
        <v>Submit for Review</v>
      </c>
      <c r="AD239" s="415" t="str">
        <f>IFERROR(INDEX('M04-S06'!$AW$18:$AW$199,2*(ROWS(AD$230:AD239)-1)+1),"")</f>
        <v/>
      </c>
      <c r="AE239" s="415" t="str">
        <f>IFERROR(INDEX('M04-S06'!$AX$18:$AX$199,2*(ROWS(AE$230:AE239)-1)+1),"")</f>
        <v/>
      </c>
      <c r="AF239" s="408"/>
      <c r="AG239" s="408"/>
      <c r="AH239" s="408"/>
      <c r="AI239" s="178">
        <f>IFERROR(INDEX('M04-S06'!$B$18:$B$199,2*(ROWS(AI$230:AI239)-1)+1),"")</f>
        <v>10</v>
      </c>
      <c r="AJ239" s="325"/>
      <c r="AK239" s="178">
        <f>IFERROR(INDEX('M04-S06'!$F$18:$F$199,2*(ROWS(AK$230:AK239)-1)+1),"")</f>
        <v>0</v>
      </c>
      <c r="AL239" s="178">
        <f>IFERROR(INDEX('M04-S06'!$L$18:$L$199,2*(ROWS(AL$230:AL239)-1)+1),"")</f>
        <v>0</v>
      </c>
      <c r="AM239" s="178">
        <f>IFERROR(INDEX('M04-S06'!$T$18:$T$199,2*(ROWS(AM$230:AM239)-1)+1),"")</f>
        <v>0</v>
      </c>
      <c r="AN239" s="200" t="str">
        <f>IFERROR(INDEX('M04-S06'!$AT$18:$AT$199,2*(ROWS(AN$230:AN239)-1)+1),"")</f>
        <v/>
      </c>
      <c r="AO239" s="200" t="str">
        <f>IFERROR(INDEX('M04-S06'!$AU$18:$AU$199,2*(ROWS(AO$230:AO239)-1)+1),"")</f>
        <v/>
      </c>
      <c r="AP239" s="178" t="str">
        <f>IFERROR(INDEX('M04-S06'!$AV$18:$AV$199,2*(ROWS(AP$230:AP239)-1)+1),"")</f>
        <v/>
      </c>
      <c r="AQ239" s="178" t="str">
        <f>IFERROR(INDEX('M04-S06'!$AY$18:$AY$199,2*(ROWS(AQ$230:AQ239)-1)+1),"")</f>
        <v/>
      </c>
      <c r="AR239" s="178" t="s">
        <v>1374</v>
      </c>
      <c r="AS239" s="178"/>
      <c r="AT239" s="278"/>
      <c r="AU239" s="278"/>
      <c r="AV239" s="278"/>
      <c r="AW239" s="278"/>
      <c r="AX239" s="278"/>
      <c r="AY239" s="278"/>
      <c r="AZ239" s="278"/>
      <c r="BA239" s="278"/>
      <c r="BB239" s="278"/>
      <c r="BC239" s="278"/>
      <c r="BD239" s="278"/>
      <c r="BE239" s="279"/>
      <c r="BL239" s="180"/>
      <c r="BP239" s="180"/>
      <c r="BQ239" s="180"/>
      <c r="BR239" s="180"/>
      <c r="CD239" s="180"/>
      <c r="CE239" s="180"/>
      <c r="CF239" s="180"/>
      <c r="CH239" s="180"/>
      <c r="CI239" s="180"/>
      <c r="CJ239" s="180"/>
      <c r="CK239" s="180"/>
      <c r="CL239" s="180"/>
      <c r="CM239" s="180"/>
      <c r="CN239" s="180"/>
      <c r="CQ239" s="180"/>
      <c r="CR239" s="180"/>
      <c r="CS239" s="180"/>
      <c r="DS239" s="180"/>
      <c r="DT239" s="180"/>
      <c r="DU239" s="180"/>
    </row>
    <row r="240" spans="1:125" s="54" customFormat="1" hidden="1">
      <c r="A240" s="135">
        <f t="shared" si="24"/>
        <v>0</v>
      </c>
      <c r="B240" s="178" t="str">
        <f t="shared" si="25"/>
        <v/>
      </c>
      <c r="C240" s="178" t="str">
        <f>IFERROR(IF(INDEX('M04-S06'!$BH$18:$BH$199,2*(ROWS($C$230:C240)-1)+1)="","",INDEX('M04-S06'!$BH$18:$BH$199,2*(ROWS($C$230:C240)-1)+1)),"")</f>
        <v/>
      </c>
      <c r="D240" s="180" t="s">
        <v>144</v>
      </c>
      <c r="E240" s="178">
        <f>IFERROR(INDEX('M04-S06'!$AZ$18:$AZ$199,2*(ROWS(E$230:E240)-1)+1),"")</f>
        <v>0</v>
      </c>
      <c r="F240" s="408"/>
      <c r="G240" s="325"/>
      <c r="H240" s="200" t="str">
        <f>IFERROR(IF(AC240&lt;&gt;"","",INDEX('M04-S06'!$AD$18:$AD$199,2*(ROWS(H$230:H240)-1)+1)),"")</f>
        <v/>
      </c>
      <c r="I240" s="200" t="str">
        <f>IFERROR(IF(AC240&lt;&gt;"","",INDEX('M04-S06'!$AF$18:$AF$199,2*(ROWS(I$230:I240)-1)+1)),"")</f>
        <v/>
      </c>
      <c r="J240" s="200" t="str">
        <f>IFERROR(IF(AC240&lt;&gt;"","",INDEX('M04-S06'!$AH$18:$AH$199,2*(ROWS(J$230:J240)-1)+1)),"")</f>
        <v/>
      </c>
      <c r="K240" s="178" t="str">
        <f>IFERROR(IF(AC240&lt;&gt;"","",INDEX('M04-S06'!$AB$18:$AB$199,2*(ROWS(J$230:J240)-1)+1)),"")</f>
        <v/>
      </c>
      <c r="L240" s="116" t="str">
        <f>IFERROR(IF(AC240&lt;&gt;"","",ROUND(INDEX('M04-S06'!$P$18:$P$199,2*(ROWS(L$230:L240)-1)+1),3)),"")</f>
        <v/>
      </c>
      <c r="M240" s="116" t="str">
        <f>IFERROR(IF(AC240&lt;&gt;"","",ROUND(INDEX('M04-S06'!$X$18:$X$199,2*(ROWS(M$230:M240)-1)+1),3)),"")</f>
        <v/>
      </c>
      <c r="N240" s="418"/>
      <c r="O240" s="415" t="str">
        <f>IFERROR(IF(AC240&lt;&gt;"","",INDEX('M04-S06'!$AK$18:$AK$199,2*(ROWS(O$230:O240)-1)+1)),"")</f>
        <v/>
      </c>
      <c r="P240" s="408"/>
      <c r="Q240" s="415" t="str">
        <f>IFERROR(IF(AC240&lt;&gt;"","",INDEX('M04-S06'!$BA$18:$BA$199,2*(ROWS(Q$230:Q240)-1)+1)),"")</f>
        <v/>
      </c>
      <c r="R240" s="200" t="str">
        <f>IFERROR(IF(AC240&lt;&gt;"","",INDEX('M04-S06'!$AN$18:$AN$199,2*(ROWS(R$230:R240)-1)+1)),"")</f>
        <v/>
      </c>
      <c r="S240" s="200">
        <f>IFERROR(IF(AC240&lt;&gt;"",INDEX('M04-S06'!$AD$18:$AD$199,2*(ROWS(S$230:S240)-1)+1),""),"")</f>
        <v>0</v>
      </c>
      <c r="T240" s="200">
        <f>IFERROR(IF(AC240&lt;&gt;"",INDEX('M04-S06'!$AF$18:$AF$199,2*(ROWS(T$230:T240)-1)+1),""),"")</f>
        <v>0</v>
      </c>
      <c r="U240" s="200">
        <f>IFERROR(IF(AC240&lt;&gt;"",INDEX('M04-S06'!$AH$18:$AH$199,2*(ROWS(U$230:U240)-1)+1),""),"")</f>
        <v>0</v>
      </c>
      <c r="V240" s="178">
        <f>IFERROR(IF(AC240&lt;&gt;"",INDEX('M04-S06'!$AB$18:$AB$199,2*(ROWS(V$230:V240)-1)+1),""),"")</f>
        <v>0</v>
      </c>
      <c r="W240" s="116">
        <f>IFERROR(IF(AC240&lt;&gt;"",ROUND(INDEX('M04-S06'!$P$18:$P$199,2*(ROWS(W$230:W240)-1)+1),3),""),"")</f>
        <v>0</v>
      </c>
      <c r="X240" s="116">
        <f>IFERROR(IF(AC240&lt;&gt;"",ROUND(INDEX('M04-S06'!$Z$18:$Z$199,2*(ROWS(X$230:X240)-1)+1),3),""),"")</f>
        <v>0</v>
      </c>
      <c r="Y240" s="408"/>
      <c r="Z240" s="173">
        <f>IFERROR(IF(AC240&lt;&gt;"",INDEX('M04-S06'!$AK$18:$AK$199,2*(ROWS(Z$230:Z240)-1)+1),""),"")</f>
        <v>0</v>
      </c>
      <c r="AA240" s="408"/>
      <c r="AB240" s="415">
        <f>IFERROR(IF(AC240&lt;&gt;"",INDEX('M04-S06'!$BA$18:$BA$199,2*(ROWS(AB$230:AB240)-1)+1),""),"")</f>
        <v>0</v>
      </c>
      <c r="AC240" s="178">
        <f>IFERROR(INDEX('M04-S06'!$BJ$18:$BJ$199,2*(ROWS(AC$230:AC240)-1)+1),"")</f>
        <v>0</v>
      </c>
      <c r="AD240" s="415">
        <f>IFERROR(INDEX('M04-S06'!$AW$18:$AW$199,2*(ROWS(AD$230:AD240)-1)+1),"")</f>
        <v>0</v>
      </c>
      <c r="AE240" s="415">
        <f>IFERROR(INDEX('M04-S06'!$AX$18:$AX$199,2*(ROWS(AE$230:AE240)-1)+1),"")</f>
        <v>0</v>
      </c>
      <c r="AF240" s="408"/>
      <c r="AG240" s="408"/>
      <c r="AH240" s="408"/>
      <c r="AI240" s="178">
        <f>IFERROR(INDEX('M04-S06'!$B$18:$B$199,2*(ROWS(AI$230:AI240)-1)+1),"")</f>
        <v>0</v>
      </c>
      <c r="AJ240" s="325"/>
      <c r="AK240" s="178">
        <f>IFERROR(INDEX('M04-S06'!$F$18:$F$199,2*(ROWS(AK$230:AK240)-1)+1),"")</f>
        <v>0</v>
      </c>
      <c r="AL240" s="178">
        <f>IFERROR(INDEX('M04-S06'!$L$18:$L$199,2*(ROWS(AL$230:AL240)-1)+1),"")</f>
        <v>0</v>
      </c>
      <c r="AM240" s="178">
        <f>IFERROR(INDEX('M04-S06'!$T$18:$T$199,2*(ROWS(AM$230:AM240)-1)+1),"")</f>
        <v>0</v>
      </c>
      <c r="AN240" s="200">
        <f>IFERROR(INDEX('M04-S06'!$AT$18:$AT$199,2*(ROWS(AN$230:AN240)-1)+1),"")</f>
        <v>0</v>
      </c>
      <c r="AO240" s="200">
        <f>IFERROR(INDEX('M04-S06'!$AU$18:$AU$199,2*(ROWS(AO$230:AO240)-1)+1),"")</f>
        <v>0</v>
      </c>
      <c r="AP240" s="178">
        <f>IFERROR(INDEX('M04-S06'!$AV$18:$AV$199,2*(ROWS(AP$230:AP240)-1)+1),"")</f>
        <v>0</v>
      </c>
      <c r="AQ240" s="178">
        <f>IFERROR(INDEX('M04-S06'!$AY$18:$AY$199,2*(ROWS(AQ$230:AQ240)-1)+1),"")</f>
        <v>0</v>
      </c>
      <c r="AR240" s="178" t="s">
        <v>1374</v>
      </c>
      <c r="AS240" s="178"/>
      <c r="AT240" s="278"/>
      <c r="AU240" s="278"/>
      <c r="AV240" s="278"/>
      <c r="AW240" s="278"/>
      <c r="AX240" s="278"/>
      <c r="AY240" s="278"/>
      <c r="AZ240" s="278"/>
      <c r="BA240" s="278"/>
      <c r="BB240" s="278"/>
      <c r="BC240" s="278"/>
      <c r="BD240" s="278"/>
      <c r="BE240" s="279"/>
      <c r="BL240" s="180"/>
      <c r="BP240" s="180"/>
      <c r="BQ240" s="180"/>
      <c r="BR240" s="180"/>
      <c r="CD240" s="180"/>
      <c r="CE240" s="180"/>
      <c r="CF240" s="180"/>
      <c r="CH240" s="180"/>
      <c r="CI240" s="180"/>
      <c r="CJ240" s="180"/>
      <c r="CK240" s="180"/>
      <c r="CL240" s="180"/>
      <c r="CM240" s="180"/>
      <c r="CN240" s="180"/>
      <c r="CQ240" s="180"/>
      <c r="CR240" s="180"/>
      <c r="CS240" s="180"/>
      <c r="DS240" s="180"/>
      <c r="DT240" s="180"/>
      <c r="DU240" s="180"/>
    </row>
    <row r="241" spans="1:125" s="54" customFormat="1" hidden="1">
      <c r="A241" s="135">
        <f t="shared" si="24"/>
        <v>0</v>
      </c>
      <c r="B241" s="178" t="str">
        <f t="shared" si="25"/>
        <v/>
      </c>
      <c r="C241" s="178" t="str">
        <f>IFERROR(IF(INDEX('M04-S06'!$BH$18:$BH$199,2*(ROWS($C$230:C241)-1)+1)="","",INDEX('M04-S06'!$BH$18:$BH$199,2*(ROWS($C$230:C241)-1)+1)),"")</f>
        <v/>
      </c>
      <c r="D241" s="180" t="s">
        <v>144</v>
      </c>
      <c r="E241" s="178">
        <f>IFERROR(INDEX('M04-S06'!$AZ$18:$AZ$199,2*(ROWS(E$230:E241)-1)+1),"")</f>
        <v>0</v>
      </c>
      <c r="F241" s="408"/>
      <c r="G241" s="325"/>
      <c r="H241" s="200" t="str">
        <f>IFERROR(IF(AC241&lt;&gt;"","",INDEX('M04-S06'!$AD$18:$AD$199,2*(ROWS(H$230:H241)-1)+1)),"")</f>
        <v/>
      </c>
      <c r="I241" s="200" t="str">
        <f>IFERROR(IF(AC241&lt;&gt;"","",INDEX('M04-S06'!$AF$18:$AF$199,2*(ROWS(I$230:I241)-1)+1)),"")</f>
        <v/>
      </c>
      <c r="J241" s="200" t="str">
        <f>IFERROR(IF(AC241&lt;&gt;"","",INDEX('M04-S06'!$AH$18:$AH$199,2*(ROWS(J$230:J241)-1)+1)),"")</f>
        <v/>
      </c>
      <c r="K241" s="178" t="str">
        <f>IFERROR(IF(AC241&lt;&gt;"","",INDEX('M04-S06'!$AB$18:$AB$199,2*(ROWS(J$230:J241)-1)+1)),"")</f>
        <v/>
      </c>
      <c r="L241" s="116" t="str">
        <f>IFERROR(IF(AC241&lt;&gt;"","",ROUND(INDEX('M04-S06'!$P$18:$P$199,2*(ROWS(L$230:L241)-1)+1),3)),"")</f>
        <v/>
      </c>
      <c r="M241" s="116" t="str">
        <f>IFERROR(IF(AC241&lt;&gt;"","",ROUND(INDEX('M04-S06'!$X$18:$X$199,2*(ROWS(M$230:M241)-1)+1),3)),"")</f>
        <v/>
      </c>
      <c r="N241" s="418"/>
      <c r="O241" s="415" t="str">
        <f>IFERROR(IF(AC241&lt;&gt;"","",INDEX('M04-S06'!$AK$18:$AK$199,2*(ROWS(O$230:O241)-1)+1)),"")</f>
        <v/>
      </c>
      <c r="P241" s="408"/>
      <c r="Q241" s="415" t="str">
        <f>IFERROR(IF(AC241&lt;&gt;"","",INDEX('M04-S06'!$BA$18:$BA$199,2*(ROWS(Q$230:Q241)-1)+1)),"")</f>
        <v/>
      </c>
      <c r="R241" s="200" t="str">
        <f>IFERROR(IF(AC241&lt;&gt;"","",INDEX('M04-S06'!$AN$18:$AN$199,2*(ROWS(R$230:R241)-1)+1)),"")</f>
        <v/>
      </c>
      <c r="S241" s="200">
        <f>IFERROR(IF(AC241&lt;&gt;"",INDEX('M04-S06'!$AD$18:$AD$199,2*(ROWS(S$230:S241)-1)+1),""),"")</f>
        <v>0</v>
      </c>
      <c r="T241" s="200">
        <f>IFERROR(IF(AC241&lt;&gt;"",INDEX('M04-S06'!$AF$18:$AF$199,2*(ROWS(T$230:T241)-1)+1),""),"")</f>
        <v>0</v>
      </c>
      <c r="U241" s="200">
        <f>IFERROR(IF(AC241&lt;&gt;"",INDEX('M04-S06'!$AH$18:$AH$199,2*(ROWS(U$230:U241)-1)+1),""),"")</f>
        <v>0</v>
      </c>
      <c r="V241" s="178">
        <f>IFERROR(IF(AC241&lt;&gt;"",INDEX('M04-S06'!$AB$18:$AB$199,2*(ROWS(V$230:V241)-1)+1),""),"")</f>
        <v>0</v>
      </c>
      <c r="W241" s="116">
        <f>IFERROR(IF(AC241&lt;&gt;"",ROUND(INDEX('M04-S06'!$P$18:$P$199,2*(ROWS(W$230:W241)-1)+1),3),""),"")</f>
        <v>0</v>
      </c>
      <c r="X241" s="116">
        <f>IFERROR(IF(AC241&lt;&gt;"",ROUND(INDEX('M04-S06'!$Z$18:$Z$199,2*(ROWS(X$230:X241)-1)+1),3),""),"")</f>
        <v>0</v>
      </c>
      <c r="Y241" s="408"/>
      <c r="Z241" s="173">
        <f>IFERROR(IF(AC241&lt;&gt;"",INDEX('M04-S06'!$AK$18:$AK$199,2*(ROWS(Z$230:Z241)-1)+1),""),"")</f>
        <v>0</v>
      </c>
      <c r="AA241" s="408"/>
      <c r="AB241" s="415">
        <f>IFERROR(IF(AC241&lt;&gt;"",INDEX('M04-S06'!$BA$18:$BA$199,2*(ROWS(AB$230:AB241)-1)+1),""),"")</f>
        <v>0</v>
      </c>
      <c r="AC241" s="178">
        <f>IFERROR(INDEX('M04-S06'!$BJ$18:$BJ$199,2*(ROWS(AC$230:AC241)-1)+1),"")</f>
        <v>0</v>
      </c>
      <c r="AD241" s="415">
        <f>IFERROR(INDEX('M04-S06'!$AW$18:$AW$199,2*(ROWS(AD$230:AD241)-1)+1),"")</f>
        <v>0</v>
      </c>
      <c r="AE241" s="415">
        <f>IFERROR(INDEX('M04-S06'!$AX$18:$AX$199,2*(ROWS(AE$230:AE241)-1)+1),"")</f>
        <v>0</v>
      </c>
      <c r="AF241" s="408"/>
      <c r="AG241" s="408"/>
      <c r="AH241" s="408"/>
      <c r="AI241" s="178">
        <f>IFERROR(INDEX('M04-S06'!$B$18:$B$199,2*(ROWS(AI$230:AI241)-1)+1),"")</f>
        <v>0</v>
      </c>
      <c r="AJ241" s="325"/>
      <c r="AK241" s="178">
        <f>IFERROR(INDEX('M04-S06'!$F$18:$F$199,2*(ROWS(AK$230:AK241)-1)+1),"")</f>
        <v>0</v>
      </c>
      <c r="AL241" s="178">
        <f>IFERROR(INDEX('M04-S06'!$L$18:$L$199,2*(ROWS(AL$230:AL241)-1)+1),"")</f>
        <v>0</v>
      </c>
      <c r="AM241" s="178">
        <f>IFERROR(INDEX('M04-S06'!$T$18:$T$199,2*(ROWS(AM$230:AM241)-1)+1),"")</f>
        <v>0</v>
      </c>
      <c r="AN241" s="200">
        <f>IFERROR(INDEX('M04-S06'!$AT$18:$AT$199,2*(ROWS(AN$230:AN241)-1)+1),"")</f>
        <v>0</v>
      </c>
      <c r="AO241" s="200">
        <f>IFERROR(INDEX('M04-S06'!$AU$18:$AU$199,2*(ROWS(AO$230:AO241)-1)+1),"")</f>
        <v>0</v>
      </c>
      <c r="AP241" s="178">
        <f>IFERROR(INDEX('M04-S06'!$AV$18:$AV$199,2*(ROWS(AP$230:AP241)-1)+1),"")</f>
        <v>0</v>
      </c>
      <c r="AQ241" s="178">
        <f>IFERROR(INDEX('M04-S06'!$AY$18:$AY$199,2*(ROWS(AQ$230:AQ241)-1)+1),"")</f>
        <v>0</v>
      </c>
      <c r="AR241" s="178" t="s">
        <v>1374</v>
      </c>
      <c r="AS241" s="178"/>
      <c r="AT241" s="278"/>
      <c r="AU241" s="278"/>
      <c r="AV241" s="278"/>
      <c r="AW241" s="278"/>
      <c r="AX241" s="278"/>
      <c r="AY241" s="278"/>
      <c r="AZ241" s="278"/>
      <c r="BA241" s="278"/>
      <c r="BB241" s="278"/>
      <c r="BC241" s="278"/>
      <c r="BD241" s="278"/>
      <c r="BE241" s="279"/>
      <c r="BL241" s="180"/>
      <c r="BP241" s="180"/>
      <c r="BQ241" s="180"/>
      <c r="BR241" s="180"/>
      <c r="CD241" s="180"/>
      <c r="CE241" s="180"/>
      <c r="CF241" s="180"/>
      <c r="CH241" s="180"/>
      <c r="CI241" s="180"/>
      <c r="CJ241" s="180"/>
      <c r="CK241" s="180"/>
      <c r="CL241" s="180"/>
      <c r="CM241" s="180"/>
      <c r="CN241" s="180"/>
      <c r="CQ241" s="180"/>
      <c r="CR241" s="180"/>
      <c r="CS241" s="180"/>
      <c r="DS241" s="180"/>
      <c r="DT241" s="180"/>
      <c r="DU241" s="180"/>
    </row>
    <row r="242" spans="1:125" s="54" customFormat="1" hidden="1">
      <c r="A242" s="135">
        <f t="shared" si="24"/>
        <v>0</v>
      </c>
      <c r="B242" s="178" t="str">
        <f t="shared" si="25"/>
        <v/>
      </c>
      <c r="C242" s="178" t="str">
        <f>IFERROR(IF(INDEX('M04-S06'!$BH$18:$BH$199,2*(ROWS($C$230:C242)-1)+1)="","",INDEX('M04-S06'!$BH$18:$BH$199,2*(ROWS($C$230:C242)-1)+1)),"")</f>
        <v/>
      </c>
      <c r="D242" s="180" t="s">
        <v>144</v>
      </c>
      <c r="E242" s="178">
        <f>IFERROR(INDEX('M04-S06'!$AZ$18:$AZ$199,2*(ROWS(E$230:E242)-1)+1),"")</f>
        <v>0</v>
      </c>
      <c r="F242" s="408"/>
      <c r="G242" s="325"/>
      <c r="H242" s="200" t="str">
        <f>IFERROR(IF(AC242&lt;&gt;"","",INDEX('M04-S06'!$AD$18:$AD$199,2*(ROWS(H$230:H242)-1)+1)),"")</f>
        <v/>
      </c>
      <c r="I242" s="200" t="str">
        <f>IFERROR(IF(AC242&lt;&gt;"","",INDEX('M04-S06'!$AF$18:$AF$199,2*(ROWS(I$230:I242)-1)+1)),"")</f>
        <v/>
      </c>
      <c r="J242" s="200" t="str">
        <f>IFERROR(IF(AC242&lt;&gt;"","",INDEX('M04-S06'!$AH$18:$AH$199,2*(ROWS(J$230:J242)-1)+1)),"")</f>
        <v/>
      </c>
      <c r="K242" s="178" t="str">
        <f>IFERROR(IF(AC242&lt;&gt;"","",INDEX('M04-S06'!$AB$18:$AB$199,2*(ROWS(J$230:J242)-1)+1)),"")</f>
        <v/>
      </c>
      <c r="L242" s="116" t="str">
        <f>IFERROR(IF(AC242&lt;&gt;"","",ROUND(INDEX('M04-S06'!$P$18:$P$199,2*(ROWS(L$230:L242)-1)+1),3)),"")</f>
        <v/>
      </c>
      <c r="M242" s="116" t="str">
        <f>IFERROR(IF(AC242&lt;&gt;"","",ROUND(INDEX('M04-S06'!$X$18:$X$199,2*(ROWS(M$230:M242)-1)+1),3)),"")</f>
        <v/>
      </c>
      <c r="N242" s="418"/>
      <c r="O242" s="415" t="str">
        <f>IFERROR(IF(AC242&lt;&gt;"","",INDEX('M04-S06'!$AK$18:$AK$199,2*(ROWS(O$230:O242)-1)+1)),"")</f>
        <v/>
      </c>
      <c r="P242" s="408"/>
      <c r="Q242" s="415" t="str">
        <f>IFERROR(IF(AC242&lt;&gt;"","",INDEX('M04-S06'!$BA$18:$BA$199,2*(ROWS(Q$230:Q242)-1)+1)),"")</f>
        <v/>
      </c>
      <c r="R242" s="200" t="str">
        <f>IFERROR(IF(AC242&lt;&gt;"","",INDEX('M04-S06'!$AN$18:$AN$199,2*(ROWS(R$230:R242)-1)+1)),"")</f>
        <v/>
      </c>
      <c r="S242" s="200">
        <f>IFERROR(IF(AC242&lt;&gt;"",INDEX('M04-S06'!$AD$18:$AD$199,2*(ROWS(S$230:S242)-1)+1),""),"")</f>
        <v>0</v>
      </c>
      <c r="T242" s="200">
        <f>IFERROR(IF(AC242&lt;&gt;"",INDEX('M04-S06'!$AF$18:$AF$199,2*(ROWS(T$230:T242)-1)+1),""),"")</f>
        <v>0</v>
      </c>
      <c r="U242" s="200">
        <f>IFERROR(IF(AC242&lt;&gt;"",INDEX('M04-S06'!$AH$18:$AH$199,2*(ROWS(U$230:U242)-1)+1),""),"")</f>
        <v>0</v>
      </c>
      <c r="V242" s="178">
        <f>IFERROR(IF(AC242&lt;&gt;"",INDEX('M04-S06'!$AB$18:$AB$199,2*(ROWS(V$230:V242)-1)+1),""),"")</f>
        <v>0</v>
      </c>
      <c r="W242" s="116">
        <f>IFERROR(IF(AC242&lt;&gt;"",ROUND(INDEX('M04-S06'!$P$18:$P$199,2*(ROWS(W$230:W242)-1)+1),3),""),"")</f>
        <v>0</v>
      </c>
      <c r="X242" s="116">
        <f>IFERROR(IF(AC242&lt;&gt;"",ROUND(INDEX('M04-S06'!$Z$18:$Z$199,2*(ROWS(X$230:X242)-1)+1),3),""),"")</f>
        <v>0</v>
      </c>
      <c r="Y242" s="408"/>
      <c r="Z242" s="173">
        <f>IFERROR(IF(AC242&lt;&gt;"",INDEX('M04-S06'!$AK$18:$AK$199,2*(ROWS(Z$230:Z242)-1)+1),""),"")</f>
        <v>0</v>
      </c>
      <c r="AA242" s="408"/>
      <c r="AB242" s="415">
        <f>IFERROR(IF(AC242&lt;&gt;"",INDEX('M04-S06'!$BA$18:$BA$199,2*(ROWS(AB$230:AB242)-1)+1),""),"")</f>
        <v>0</v>
      </c>
      <c r="AC242" s="178">
        <f>IFERROR(INDEX('M04-S06'!$BJ$18:$BJ$199,2*(ROWS(AC$230:AC242)-1)+1),"")</f>
        <v>0</v>
      </c>
      <c r="AD242" s="415">
        <f>IFERROR(INDEX('M04-S06'!$AW$18:$AW$199,2*(ROWS(AD$230:AD242)-1)+1),"")</f>
        <v>0</v>
      </c>
      <c r="AE242" s="415">
        <f>IFERROR(INDEX('M04-S06'!$AX$18:$AX$199,2*(ROWS(AE$230:AE242)-1)+1),"")</f>
        <v>0</v>
      </c>
      <c r="AF242" s="408"/>
      <c r="AG242" s="408"/>
      <c r="AH242" s="408"/>
      <c r="AI242" s="178">
        <f>IFERROR(INDEX('M04-S06'!$B$18:$B$199,2*(ROWS(AI$230:AI242)-1)+1),"")</f>
        <v>0</v>
      </c>
      <c r="AJ242" s="325"/>
      <c r="AK242" s="178">
        <f>IFERROR(INDEX('M04-S06'!$F$18:$F$199,2*(ROWS(AK$230:AK242)-1)+1),"")</f>
        <v>0</v>
      </c>
      <c r="AL242" s="178">
        <f>IFERROR(INDEX('M04-S06'!$L$18:$L$199,2*(ROWS(AL$230:AL242)-1)+1),"")</f>
        <v>0</v>
      </c>
      <c r="AM242" s="178">
        <f>IFERROR(INDEX('M04-S06'!$T$18:$T$199,2*(ROWS(AM$230:AM242)-1)+1),"")</f>
        <v>0</v>
      </c>
      <c r="AN242" s="200">
        <f>IFERROR(INDEX('M04-S06'!$AT$18:$AT$199,2*(ROWS(AN$230:AN242)-1)+1),"")</f>
        <v>0</v>
      </c>
      <c r="AO242" s="200">
        <f>IFERROR(INDEX('M04-S06'!$AU$18:$AU$199,2*(ROWS(AO$230:AO242)-1)+1),"")</f>
        <v>0</v>
      </c>
      <c r="AP242" s="178">
        <f>IFERROR(INDEX('M04-S06'!$AV$18:$AV$199,2*(ROWS(AP$230:AP242)-1)+1),"")</f>
        <v>0</v>
      </c>
      <c r="AQ242" s="178">
        <f>IFERROR(INDEX('M04-S06'!$AY$18:$AY$199,2*(ROWS(AQ$230:AQ242)-1)+1),"")</f>
        <v>0</v>
      </c>
      <c r="AR242" s="178" t="s">
        <v>1374</v>
      </c>
      <c r="AS242" s="178"/>
      <c r="AT242" s="278"/>
      <c r="AU242" s="278"/>
      <c r="AV242" s="278"/>
      <c r="AW242" s="278"/>
      <c r="AX242" s="278"/>
      <c r="AY242" s="278"/>
      <c r="AZ242" s="278"/>
      <c r="BA242" s="278"/>
      <c r="BB242" s="278"/>
      <c r="BC242" s="278"/>
      <c r="BD242" s="278"/>
      <c r="BE242" s="279"/>
      <c r="BL242" s="180"/>
      <c r="BP242" s="180"/>
      <c r="BQ242" s="180"/>
      <c r="BR242" s="180"/>
      <c r="CD242" s="180"/>
      <c r="CE242" s="180"/>
      <c r="CF242" s="180"/>
      <c r="CH242" s="180"/>
      <c r="CI242" s="180"/>
      <c r="CJ242" s="180"/>
      <c r="CK242" s="180"/>
      <c r="CL242" s="180"/>
      <c r="CM242" s="180"/>
      <c r="CN242" s="180"/>
      <c r="CQ242" s="180"/>
      <c r="CR242" s="180"/>
      <c r="CS242" s="180"/>
      <c r="DS242" s="180"/>
      <c r="DT242" s="180"/>
      <c r="DU242" s="180"/>
    </row>
    <row r="243" spans="1:125" s="54" customFormat="1" hidden="1">
      <c r="A243" s="135">
        <f t="shared" si="24"/>
        <v>0</v>
      </c>
      <c r="B243" s="178" t="str">
        <f t="shared" si="25"/>
        <v/>
      </c>
      <c r="C243" s="178" t="str">
        <f>IFERROR(IF(INDEX('M04-S06'!$BH$18:$BH$199,2*(ROWS($C$230:C243)-1)+1)="","",INDEX('M04-S06'!$BH$18:$BH$199,2*(ROWS($C$230:C243)-1)+1)),"")</f>
        <v/>
      </c>
      <c r="D243" s="180" t="s">
        <v>144</v>
      </c>
      <c r="E243" s="178">
        <f>IFERROR(INDEX('M04-S06'!$AZ$18:$AZ$199,2*(ROWS(E$230:E243)-1)+1),"")</f>
        <v>0</v>
      </c>
      <c r="F243" s="408"/>
      <c r="G243" s="325"/>
      <c r="H243" s="200" t="str">
        <f>IFERROR(IF(AC243&lt;&gt;"","",INDEX('M04-S06'!$AD$18:$AD$199,2*(ROWS(H$230:H243)-1)+1)),"")</f>
        <v/>
      </c>
      <c r="I243" s="200" t="str">
        <f>IFERROR(IF(AC243&lt;&gt;"","",INDEX('M04-S06'!$AF$18:$AF$199,2*(ROWS(I$230:I243)-1)+1)),"")</f>
        <v/>
      </c>
      <c r="J243" s="200" t="str">
        <f>IFERROR(IF(AC243&lt;&gt;"","",INDEX('M04-S06'!$AH$18:$AH$199,2*(ROWS(J$230:J243)-1)+1)),"")</f>
        <v/>
      </c>
      <c r="K243" s="178" t="str">
        <f>IFERROR(IF(AC243&lt;&gt;"","",INDEX('M04-S06'!$AB$18:$AB$199,2*(ROWS(J$230:J243)-1)+1)),"")</f>
        <v/>
      </c>
      <c r="L243" s="116" t="str">
        <f>IFERROR(IF(AC243&lt;&gt;"","",ROUND(INDEX('M04-S06'!$P$18:$P$199,2*(ROWS(L$230:L243)-1)+1),3)),"")</f>
        <v/>
      </c>
      <c r="M243" s="116" t="str">
        <f>IFERROR(IF(AC243&lt;&gt;"","",ROUND(INDEX('M04-S06'!$X$18:$X$199,2*(ROWS(M$230:M243)-1)+1),3)),"")</f>
        <v/>
      </c>
      <c r="N243" s="418"/>
      <c r="O243" s="415" t="str">
        <f>IFERROR(IF(AC243&lt;&gt;"","",INDEX('M04-S06'!$AK$18:$AK$199,2*(ROWS(O$230:O243)-1)+1)),"")</f>
        <v/>
      </c>
      <c r="P243" s="408"/>
      <c r="Q243" s="415" t="str">
        <f>IFERROR(IF(AC243&lt;&gt;"","",INDEX('M04-S06'!$BA$18:$BA$199,2*(ROWS(Q$230:Q243)-1)+1)),"")</f>
        <v/>
      </c>
      <c r="R243" s="200" t="str">
        <f>IFERROR(IF(AC243&lt;&gt;"","",INDEX('M04-S06'!$AN$18:$AN$199,2*(ROWS(R$230:R243)-1)+1)),"")</f>
        <v/>
      </c>
      <c r="S243" s="200">
        <f>IFERROR(IF(AC243&lt;&gt;"",INDEX('M04-S06'!$AD$18:$AD$199,2*(ROWS(S$230:S243)-1)+1),""),"")</f>
        <v>0</v>
      </c>
      <c r="T243" s="200">
        <f>IFERROR(IF(AC243&lt;&gt;"",INDEX('M04-S06'!$AF$18:$AF$199,2*(ROWS(T$230:T243)-1)+1),""),"")</f>
        <v>0</v>
      </c>
      <c r="U243" s="200">
        <f>IFERROR(IF(AC243&lt;&gt;"",INDEX('M04-S06'!$AH$18:$AH$199,2*(ROWS(U$230:U243)-1)+1),""),"")</f>
        <v>0</v>
      </c>
      <c r="V243" s="178">
        <f>IFERROR(IF(AC243&lt;&gt;"",INDEX('M04-S06'!$AB$18:$AB$199,2*(ROWS(V$230:V243)-1)+1),""),"")</f>
        <v>0</v>
      </c>
      <c r="W243" s="116">
        <f>IFERROR(IF(AC243&lt;&gt;"",ROUND(INDEX('M04-S06'!$P$18:$P$199,2*(ROWS(W$230:W243)-1)+1),3),""),"")</f>
        <v>0</v>
      </c>
      <c r="X243" s="116">
        <f>IFERROR(IF(AC243&lt;&gt;"",ROUND(INDEX('M04-S06'!$Z$18:$Z$199,2*(ROWS(X$230:X243)-1)+1),3),""),"")</f>
        <v>0</v>
      </c>
      <c r="Y243" s="408"/>
      <c r="Z243" s="173">
        <f>IFERROR(IF(AC243&lt;&gt;"",INDEX('M04-S06'!$AK$18:$AK$199,2*(ROWS(Z$230:Z243)-1)+1),""),"")</f>
        <v>0</v>
      </c>
      <c r="AA243" s="408"/>
      <c r="AB243" s="415">
        <f>IFERROR(IF(AC243&lt;&gt;"",INDEX('M04-S06'!$BA$18:$BA$199,2*(ROWS(AB$230:AB243)-1)+1),""),"")</f>
        <v>0</v>
      </c>
      <c r="AC243" s="178">
        <f>IFERROR(INDEX('M04-S06'!$BJ$18:$BJ$199,2*(ROWS(AC$230:AC243)-1)+1),"")</f>
        <v>0</v>
      </c>
      <c r="AD243" s="415">
        <f>IFERROR(INDEX('M04-S06'!$AW$18:$AW$199,2*(ROWS(AD$230:AD243)-1)+1),"")</f>
        <v>0</v>
      </c>
      <c r="AE243" s="415">
        <f>IFERROR(INDEX('M04-S06'!$AX$18:$AX$199,2*(ROWS(AE$230:AE243)-1)+1),"")</f>
        <v>0</v>
      </c>
      <c r="AF243" s="408"/>
      <c r="AG243" s="408"/>
      <c r="AH243" s="408"/>
      <c r="AI243" s="178">
        <f>IFERROR(INDEX('M04-S06'!$B$18:$B$199,2*(ROWS(AI$230:AI243)-1)+1),"")</f>
        <v>0</v>
      </c>
      <c r="AJ243" s="325"/>
      <c r="AK243" s="178">
        <f>IFERROR(INDEX('M04-S06'!$F$18:$F$199,2*(ROWS(AK$230:AK243)-1)+1),"")</f>
        <v>0</v>
      </c>
      <c r="AL243" s="178">
        <f>IFERROR(INDEX('M04-S06'!$L$18:$L$199,2*(ROWS(AL$230:AL243)-1)+1),"")</f>
        <v>0</v>
      </c>
      <c r="AM243" s="178">
        <f>IFERROR(INDEX('M04-S06'!$T$18:$T$199,2*(ROWS(AM$230:AM243)-1)+1),"")</f>
        <v>0</v>
      </c>
      <c r="AN243" s="200">
        <f>IFERROR(INDEX('M04-S06'!$AT$18:$AT$199,2*(ROWS(AN$230:AN243)-1)+1),"")</f>
        <v>0</v>
      </c>
      <c r="AO243" s="200">
        <f>IFERROR(INDEX('M04-S06'!$AU$18:$AU$199,2*(ROWS(AO$230:AO243)-1)+1),"")</f>
        <v>0</v>
      </c>
      <c r="AP243" s="178">
        <f>IFERROR(INDEX('M04-S06'!$AV$18:$AV$199,2*(ROWS(AP$230:AP243)-1)+1),"")</f>
        <v>0</v>
      </c>
      <c r="AQ243" s="178">
        <f>IFERROR(INDEX('M04-S06'!$AY$18:$AY$199,2*(ROWS(AQ$230:AQ243)-1)+1),"")</f>
        <v>0</v>
      </c>
      <c r="AR243" s="178" t="s">
        <v>1374</v>
      </c>
      <c r="AS243" s="178"/>
      <c r="AT243" s="278"/>
      <c r="AU243" s="278"/>
      <c r="AV243" s="278"/>
      <c r="AW243" s="278"/>
      <c r="AX243" s="278"/>
      <c r="AY243" s="278"/>
      <c r="AZ243" s="278"/>
      <c r="BA243" s="278"/>
      <c r="BB243" s="278"/>
      <c r="BC243" s="278"/>
      <c r="BD243" s="278"/>
      <c r="BE243" s="279"/>
      <c r="BL243" s="180"/>
      <c r="BP243" s="180"/>
      <c r="BQ243" s="180"/>
      <c r="BR243" s="180"/>
      <c r="CD243" s="180"/>
      <c r="CE243" s="180"/>
      <c r="CF243" s="180"/>
      <c r="CH243" s="180"/>
      <c r="CI243" s="180"/>
      <c r="CJ243" s="180"/>
      <c r="CK243" s="180"/>
      <c r="CL243" s="180"/>
      <c r="CM243" s="180"/>
      <c r="CN243" s="180"/>
      <c r="CQ243" s="180"/>
      <c r="CR243" s="180"/>
      <c r="CS243" s="180"/>
      <c r="DS243" s="180"/>
      <c r="DT243" s="180"/>
      <c r="DU243" s="180"/>
    </row>
    <row r="244" spans="1:125" s="54" customFormat="1" hidden="1">
      <c r="A244" s="135">
        <f t="shared" si="24"/>
        <v>0</v>
      </c>
      <c r="B244" s="178" t="str">
        <f t="shared" si="25"/>
        <v/>
      </c>
      <c r="C244" s="178" t="str">
        <f>IFERROR(IF(INDEX('M04-S06'!$BH$18:$BH$199,2*(ROWS($C$230:C244)-1)+1)="","",INDEX('M04-S06'!$BH$18:$BH$199,2*(ROWS($C$230:C244)-1)+1)),"")</f>
        <v/>
      </c>
      <c r="D244" s="180" t="s">
        <v>144</v>
      </c>
      <c r="E244" s="178">
        <f>IFERROR(INDEX('M04-S06'!$AZ$18:$AZ$199,2*(ROWS(E$230:E244)-1)+1),"")</f>
        <v>0</v>
      </c>
      <c r="F244" s="408"/>
      <c r="G244" s="325"/>
      <c r="H244" s="200" t="str">
        <f>IFERROR(IF(AC244&lt;&gt;"","",INDEX('M04-S06'!$AD$18:$AD$199,2*(ROWS(H$230:H244)-1)+1)),"")</f>
        <v/>
      </c>
      <c r="I244" s="200" t="str">
        <f>IFERROR(IF(AC244&lt;&gt;"","",INDEX('M04-S06'!$AF$18:$AF$199,2*(ROWS(I$230:I244)-1)+1)),"")</f>
        <v/>
      </c>
      <c r="J244" s="200" t="str">
        <f>IFERROR(IF(AC244&lt;&gt;"","",INDEX('M04-S06'!$AH$18:$AH$199,2*(ROWS(J$230:J244)-1)+1)),"")</f>
        <v/>
      </c>
      <c r="K244" s="178" t="str">
        <f>IFERROR(IF(AC244&lt;&gt;"","",INDEX('M04-S06'!$AB$18:$AB$199,2*(ROWS(J$230:J244)-1)+1)),"")</f>
        <v/>
      </c>
      <c r="L244" s="116" t="str">
        <f>IFERROR(IF(AC244&lt;&gt;"","",ROUND(INDEX('M04-S06'!$P$18:$P$199,2*(ROWS(L$230:L244)-1)+1),3)),"")</f>
        <v/>
      </c>
      <c r="M244" s="116" t="str">
        <f>IFERROR(IF(AC244&lt;&gt;"","",ROUND(INDEX('M04-S06'!$X$18:$X$199,2*(ROWS(M$230:M244)-1)+1),3)),"")</f>
        <v/>
      </c>
      <c r="N244" s="418"/>
      <c r="O244" s="415" t="str">
        <f>IFERROR(IF(AC244&lt;&gt;"","",INDEX('M04-S06'!$AK$18:$AK$199,2*(ROWS(O$230:O244)-1)+1)),"")</f>
        <v/>
      </c>
      <c r="P244" s="408"/>
      <c r="Q244" s="415" t="str">
        <f>IFERROR(IF(AC244&lt;&gt;"","",INDEX('M04-S06'!$BA$18:$BA$199,2*(ROWS(Q$230:Q244)-1)+1)),"")</f>
        <v/>
      </c>
      <c r="R244" s="200" t="str">
        <f>IFERROR(IF(AC244&lt;&gt;"","",INDEX('M04-S06'!$AN$18:$AN$199,2*(ROWS(R$230:R244)-1)+1)),"")</f>
        <v/>
      </c>
      <c r="S244" s="200">
        <f>IFERROR(IF(AC244&lt;&gt;"",INDEX('M04-S06'!$AD$18:$AD$199,2*(ROWS(S$230:S244)-1)+1),""),"")</f>
        <v>0</v>
      </c>
      <c r="T244" s="200">
        <f>IFERROR(IF(AC244&lt;&gt;"",INDEX('M04-S06'!$AF$18:$AF$199,2*(ROWS(T$230:T244)-1)+1),""),"")</f>
        <v>0</v>
      </c>
      <c r="U244" s="200">
        <f>IFERROR(IF(AC244&lt;&gt;"",INDEX('M04-S06'!$AH$18:$AH$199,2*(ROWS(U$230:U244)-1)+1),""),"")</f>
        <v>0</v>
      </c>
      <c r="V244" s="178">
        <f>IFERROR(IF(AC244&lt;&gt;"",INDEX('M04-S06'!$AB$18:$AB$199,2*(ROWS(V$230:V244)-1)+1),""),"")</f>
        <v>0</v>
      </c>
      <c r="W244" s="116">
        <f>IFERROR(IF(AC244&lt;&gt;"",ROUND(INDEX('M04-S06'!$P$18:$P$199,2*(ROWS(W$230:W244)-1)+1),3),""),"")</f>
        <v>0</v>
      </c>
      <c r="X244" s="116">
        <f>IFERROR(IF(AC244&lt;&gt;"",ROUND(INDEX('M04-S06'!$Z$18:$Z$199,2*(ROWS(X$230:X244)-1)+1),3),""),"")</f>
        <v>0</v>
      </c>
      <c r="Y244" s="408"/>
      <c r="Z244" s="173">
        <f>IFERROR(IF(AC244&lt;&gt;"",INDEX('M04-S06'!$AK$18:$AK$199,2*(ROWS(Z$230:Z244)-1)+1),""),"")</f>
        <v>0</v>
      </c>
      <c r="AA244" s="408"/>
      <c r="AB244" s="415">
        <f>IFERROR(IF(AC244&lt;&gt;"",INDEX('M04-S06'!$BA$18:$BA$199,2*(ROWS(AB$230:AB244)-1)+1),""),"")</f>
        <v>0</v>
      </c>
      <c r="AC244" s="178">
        <f>IFERROR(INDEX('M04-S06'!$BJ$18:$BJ$199,2*(ROWS(AC$230:AC244)-1)+1),"")</f>
        <v>0</v>
      </c>
      <c r="AD244" s="415">
        <f>IFERROR(INDEX('M04-S06'!$AW$18:$AW$199,2*(ROWS(AD$230:AD244)-1)+1),"")</f>
        <v>0</v>
      </c>
      <c r="AE244" s="415">
        <f>IFERROR(INDEX('M04-S06'!$AX$18:$AX$199,2*(ROWS(AE$230:AE244)-1)+1),"")</f>
        <v>0</v>
      </c>
      <c r="AF244" s="408"/>
      <c r="AG244" s="408"/>
      <c r="AH244" s="408"/>
      <c r="AI244" s="178">
        <f>IFERROR(INDEX('M04-S06'!$B$18:$B$199,2*(ROWS(AI$230:AI244)-1)+1),"")</f>
        <v>0</v>
      </c>
      <c r="AJ244" s="325"/>
      <c r="AK244" s="178">
        <f>IFERROR(INDEX('M04-S06'!$F$18:$F$199,2*(ROWS(AK$230:AK244)-1)+1),"")</f>
        <v>0</v>
      </c>
      <c r="AL244" s="178">
        <f>IFERROR(INDEX('M04-S06'!$L$18:$L$199,2*(ROWS(AL$230:AL244)-1)+1),"")</f>
        <v>0</v>
      </c>
      <c r="AM244" s="178">
        <f>IFERROR(INDEX('M04-S06'!$T$18:$T$199,2*(ROWS(AM$230:AM244)-1)+1),"")</f>
        <v>0</v>
      </c>
      <c r="AN244" s="200">
        <f>IFERROR(INDEX('M04-S06'!$AT$18:$AT$199,2*(ROWS(AN$230:AN244)-1)+1),"")</f>
        <v>0</v>
      </c>
      <c r="AO244" s="200">
        <f>IFERROR(INDEX('M04-S06'!$AU$18:$AU$199,2*(ROWS(AO$230:AO244)-1)+1),"")</f>
        <v>0</v>
      </c>
      <c r="AP244" s="178">
        <f>IFERROR(INDEX('M04-S06'!$AV$18:$AV$199,2*(ROWS(AP$230:AP244)-1)+1),"")</f>
        <v>0</v>
      </c>
      <c r="AQ244" s="178">
        <f>IFERROR(INDEX('M04-S06'!$AY$18:$AY$199,2*(ROWS(AQ$230:AQ244)-1)+1),"")</f>
        <v>0</v>
      </c>
      <c r="AR244" s="178" t="s">
        <v>1374</v>
      </c>
      <c r="AS244" s="178"/>
      <c r="AT244" s="278"/>
      <c r="AU244" s="278"/>
      <c r="AV244" s="278"/>
      <c r="AW244" s="278"/>
      <c r="AX244" s="278"/>
      <c r="AY244" s="278"/>
      <c r="AZ244" s="278"/>
      <c r="BA244" s="278"/>
      <c r="BB244" s="278"/>
      <c r="BC244" s="278"/>
      <c r="BD244" s="278"/>
      <c r="BE244" s="279"/>
      <c r="BL244" s="180"/>
      <c r="BP244" s="180"/>
      <c r="BQ244" s="180"/>
      <c r="BR244" s="180"/>
      <c r="CD244" s="180"/>
      <c r="CE244" s="180"/>
      <c r="CF244" s="180"/>
      <c r="CH244" s="180"/>
      <c r="CI244" s="180"/>
      <c r="CJ244" s="180"/>
      <c r="CK244" s="180"/>
      <c r="CL244" s="180"/>
      <c r="CM244" s="180"/>
      <c r="CN244" s="180"/>
      <c r="CQ244" s="180"/>
      <c r="CR244" s="180"/>
      <c r="CS244" s="180"/>
      <c r="DS244" s="180"/>
      <c r="DT244" s="180"/>
      <c r="DU244" s="180"/>
    </row>
    <row r="245" spans="1:125" s="180" customFormat="1">
      <c r="A245" s="430" t="str">
        <f>"Custom "&amp;M4S7</f>
        <v>Custom Water Heating / Food Services</v>
      </c>
      <c r="B245" s="63"/>
      <c r="C245" s="63"/>
      <c r="D245" s="63"/>
      <c r="E245" s="63"/>
      <c r="F245" s="409"/>
      <c r="G245" s="63"/>
      <c r="H245" s="404"/>
      <c r="I245" s="404"/>
      <c r="J245" s="404"/>
      <c r="K245" s="63"/>
      <c r="L245" s="412"/>
      <c r="M245" s="412"/>
      <c r="N245" s="416"/>
      <c r="O245" s="416"/>
      <c r="P245" s="416"/>
      <c r="Q245" s="416"/>
      <c r="R245" s="404"/>
      <c r="S245" s="404"/>
      <c r="T245" s="404"/>
      <c r="U245" s="404"/>
      <c r="V245" s="63"/>
      <c r="W245" s="412"/>
      <c r="X245" s="412"/>
      <c r="Y245" s="409"/>
      <c r="Z245" s="409"/>
      <c r="AA245" s="416"/>
      <c r="AB245" s="416"/>
      <c r="AC245" s="63"/>
      <c r="AD245" s="416"/>
      <c r="AE245" s="416"/>
      <c r="AF245" s="409"/>
      <c r="AG245" s="409"/>
      <c r="AH245" s="409"/>
      <c r="AI245" s="63"/>
      <c r="AJ245" s="63"/>
      <c r="AK245" s="177"/>
      <c r="AL245" s="63"/>
      <c r="AM245" s="63"/>
      <c r="AN245" s="404"/>
      <c r="AO245" s="404"/>
      <c r="AP245" s="63"/>
      <c r="AQ245" s="63"/>
      <c r="AR245" s="63"/>
      <c r="AS245" s="63"/>
      <c r="AT245" s="63"/>
      <c r="AU245" s="278"/>
      <c r="AV245" s="278"/>
      <c r="AW245" s="278"/>
      <c r="AX245" s="278"/>
      <c r="AY245" s="278"/>
      <c r="AZ245" s="278"/>
      <c r="BA245" s="278"/>
      <c r="BB245" s="278"/>
      <c r="BC245" s="278"/>
      <c r="BD245" s="278"/>
      <c r="BE245" s="279"/>
      <c r="BP245"/>
      <c r="BQ245"/>
      <c r="BR245"/>
      <c r="CH245"/>
      <c r="CI245"/>
      <c r="CJ245"/>
      <c r="CK245"/>
      <c r="CL245"/>
      <c r="CM245"/>
      <c r="CN245"/>
    </row>
    <row r="246" spans="1:125" s="54" customFormat="1" hidden="1">
      <c r="A246" s="135">
        <f t="shared" ref="A246:A260" si="26">PROJID</f>
        <v>0</v>
      </c>
      <c r="B246" s="178" t="str">
        <f>IF(C246="","",CONCATENATE(ROW(),"-",C246))</f>
        <v/>
      </c>
      <c r="C246" s="178" t="str">
        <f>IFERROR(IF(INDEX('M04-S07'!$BH$18:$BH$199,2*(ROWS($C$246:C246)-1)+1)="","",INDEX('M04-S07'!$BH$18:$BH$199,2*(ROWS($C$246:C246)-1)+1)),"")</f>
        <v/>
      </c>
      <c r="D246" s="180" t="s">
        <v>144</v>
      </c>
      <c r="E246" s="178" t="str">
        <f>IFERROR(INDEX('M04-S07'!$AZ$18:$AZ$199,2*(ROWS(E$246:E246)-1)+1),"")</f>
        <v/>
      </c>
      <c r="F246" s="408"/>
      <c r="G246" s="325"/>
      <c r="H246" s="200" t="str">
        <f ca="1">IFERROR(IF(AC246&lt;&gt;"","",INDEX('M04-S07'!$AD$18:$AD$199,2*(ROWS(H$246:H246)-1)+1)),"")</f>
        <v/>
      </c>
      <c r="I246" s="200" t="str">
        <f ca="1">IFERROR(IF(AC246&lt;&gt;"","",INDEX('M04-S07'!$AF$18:$AF$199,2*(ROWS(I$246:I246)-1)+1)),"")</f>
        <v/>
      </c>
      <c r="J246" s="200" t="str">
        <f ca="1">IFERROR(IF(AC246&lt;&gt;"","",INDEX('M04-S07'!$AH$18:$AH$199,2*(ROWS(J$246:J246)-1)+1)),"")</f>
        <v/>
      </c>
      <c r="K246" s="178" t="str">
        <f ca="1">IFERROR(IF(AC246&lt;&gt;"","",INDEX('M04-S07'!$AB$18:$AB$199,2*(ROWS(J$246:J246)-1)+1)),"")</f>
        <v/>
      </c>
      <c r="L246" s="116" t="str">
        <f ca="1">IFERROR(IF(AC246&lt;&gt;"","",ROUND(INDEX('M04-S07'!$P$18:$P$199,2*(ROWS(L$246:L246)-1)+1),3)),"")</f>
        <v/>
      </c>
      <c r="M246" s="116" t="str">
        <f ca="1">IFERROR(IF(AC246&lt;&gt;"","",ROUND(INDEX('M04-S07'!$X$18:$X$199,2*(ROWS(M$246:M246)-1)+1),3)),"")</f>
        <v/>
      </c>
      <c r="N246" s="418"/>
      <c r="O246" s="415" t="str">
        <f ca="1">IFERROR(IF(AC246&lt;&gt;"","",INDEX('M04-S07'!$AK$18:$AK$199,2*(ROWS(O$246:O246)-1)+1)),"")</f>
        <v/>
      </c>
      <c r="P246" s="408"/>
      <c r="Q246" s="415" t="str">
        <f ca="1">IFERROR(IF(AC246&lt;&gt;"","",INDEX('M04-S07'!$BA$18:$BA$199,2*(ROWS(Q$246:Q246)-1)+1)),"")</f>
        <v/>
      </c>
      <c r="R246" s="200" t="str">
        <f ca="1">IFERROR(IF(AC246&lt;&gt;"","",INDEX('M04-S07'!$AN$18:$AN$199,2*(ROWS(R$246:R246)-1)+1)),"")</f>
        <v/>
      </c>
      <c r="S246" s="200">
        <f ca="1">IFERROR(IF(AC246&lt;&gt;"",INDEX('M04-S07'!$AD$18:$AD$199,2*(ROWS(S$246:S246)-1)+1),""),"")</f>
        <v>0</v>
      </c>
      <c r="T246" s="200" t="str">
        <f ca="1">IFERROR(IF(AC246&lt;&gt;"",INDEX('M04-S07'!$AF$18:$AF$199,2*(ROWS(T$246:T246)-1)+1),""),"")</f>
        <v/>
      </c>
      <c r="U246" s="200" t="str">
        <f ca="1">IFERROR(IF(AC246&lt;&gt;"",INDEX('M04-S07'!$AH$18:$AH$199,2*(ROWS(U$246:U246)-1)+1),""),"")</f>
        <v/>
      </c>
      <c r="V246" s="178" t="str">
        <f ca="1">IFERROR(IF(AC246&lt;&gt;"",INDEX('M04-S07'!$AB$18:$AB$199,2*(ROWS(V$246:V246)-1)+1),""),"")</f>
        <v/>
      </c>
      <c r="W246" s="116">
        <f ca="1">IFERROR(IF(AC246&lt;&gt;"",ROUND(INDEX('M04-S07'!$P$18:$P$199,2*(ROWS(W$246:W246)-1)+1),3),""),"")</f>
        <v>0</v>
      </c>
      <c r="X246" s="116">
        <f ca="1">IFERROR(IF(AC246&lt;&gt;"",ROUND(INDEX('M04-S07'!$Z$18:$Z$199,2*(ROWS(X$246:X246)-1)+1),3),""),"")</f>
        <v>0</v>
      </c>
      <c r="Y246" s="408"/>
      <c r="Z246" s="173" t="str">
        <f ca="1">IFERROR(IF(AC246&lt;&gt;"",INDEX('M04-S07'!$AK$18:$AK$199,2*(ROWS(Z$246:Z246)-1)+1),""),"")</f>
        <v/>
      </c>
      <c r="AA246" s="408"/>
      <c r="AB246" s="415" t="str">
        <f ca="1">IFERROR(IF(AC246&lt;&gt;"",INDEX('M04-S07'!$BA$18:$BA$199,2*(ROWS(AB$246:AB246)-1)+1),""),"")</f>
        <v/>
      </c>
      <c r="AC246" s="178" t="str">
        <f ca="1">IFERROR(INDEX('M04-S07'!$BJ$18:$BJ$199,2*(ROWS(AC$246:AC246)-1)+1),"")</f>
        <v>Submit for Review</v>
      </c>
      <c r="AD246" s="415" t="str">
        <f>IFERROR(INDEX('M04-S07'!$AW$18:$AW$199,2*(ROWS(AD$246:AD246)-1)+1),"")</f>
        <v/>
      </c>
      <c r="AE246" s="415" t="str">
        <f>IFERROR(INDEX('M04-S07'!$AX$18:$AX$199,2*(ROWS(AE$246:AE246)-1)+1),"")</f>
        <v/>
      </c>
      <c r="AF246" s="408"/>
      <c r="AG246" s="408"/>
      <c r="AH246" s="408"/>
      <c r="AI246" s="178">
        <f>IFERROR(INDEX('M04-S07'!$B$18:$B$199,2*(ROWS(AI$246:AI246)-1)+1),"")</f>
        <v>1</v>
      </c>
      <c r="AJ246" s="325"/>
      <c r="AK246" s="178">
        <f>IFERROR(INDEX('M04-S07'!$F$18:$F$199,2*(ROWS(AK$246:AK246)-1)+1),"")</f>
        <v>0</v>
      </c>
      <c r="AL246" s="178">
        <f>IFERROR(INDEX('M04-S07'!$L$18:$L$199,2*(ROWS(AL$246:AL246)-1)+1),"")</f>
        <v>0</v>
      </c>
      <c r="AM246" s="178">
        <f>IFERROR(INDEX('M04-S07'!$T$18:$T$199,2*(ROWS(AM$246:AM246)-1)+1),"")</f>
        <v>0</v>
      </c>
      <c r="AN246" s="200" t="str">
        <f>IFERROR(INDEX('M04-S07'!$AT$18:$AT$199,2*(ROWS(AN$246:AN246)-1)+1),"")</f>
        <v/>
      </c>
      <c r="AO246" s="200" t="str">
        <f>IFERROR(INDEX('M04-S07'!$AU$18:$AU$199,2*(ROWS(AO$246:AO246)-1)+1),"")</f>
        <v/>
      </c>
      <c r="AP246" s="178" t="str">
        <f>IFERROR(INDEX('M04-S07'!$AV$18:$AV$199,2*(ROWS(AP$246:AP246)-1)+1),"")</f>
        <v/>
      </c>
      <c r="AQ246" s="178" t="str">
        <f>IFERROR(INDEX('M04-S07'!$AY$18:$AY$199,2*(ROWS(AQ$246:AQ246)-1)+1),"")</f>
        <v/>
      </c>
      <c r="AR246" s="178" t="s">
        <v>1374</v>
      </c>
      <c r="AS246" s="178"/>
      <c r="AT246" s="278"/>
      <c r="AU246" s="278"/>
      <c r="AV246" s="278"/>
      <c r="AW246" s="278"/>
      <c r="AX246" s="278"/>
      <c r="AY246" s="278"/>
      <c r="AZ246" s="278"/>
      <c r="BA246" s="278"/>
      <c r="BB246" s="278"/>
      <c r="BC246" s="278"/>
      <c r="BD246" s="278"/>
      <c r="BE246" s="279"/>
      <c r="BL246" s="180"/>
      <c r="BP246" s="180"/>
      <c r="BQ246" s="180"/>
      <c r="BR246" s="180"/>
      <c r="CD246" s="180"/>
      <c r="CE246" s="180"/>
      <c r="CF246" s="180"/>
      <c r="CH246" s="180"/>
      <c r="CI246" s="180"/>
      <c r="CJ246" s="180"/>
      <c r="CK246" s="180"/>
      <c r="CL246" s="180"/>
      <c r="CM246" s="180"/>
      <c r="CN246" s="180"/>
      <c r="CQ246" s="180"/>
      <c r="CR246" s="180"/>
      <c r="CS246" s="180"/>
      <c r="DS246" s="180"/>
      <c r="DT246" s="180"/>
      <c r="DU246" s="180"/>
    </row>
    <row r="247" spans="1:125" s="54" customFormat="1" hidden="1">
      <c r="A247" s="135">
        <f t="shared" si="26"/>
        <v>0</v>
      </c>
      <c r="B247" s="178" t="str">
        <f t="shared" ref="B247:B260" si="27">IF(C247="","",CONCATENATE(ROW(),"-",C247))</f>
        <v/>
      </c>
      <c r="C247" s="178" t="str">
        <f>IFERROR(IF(INDEX('M04-S07'!$BH$18:$BH$199,2*(ROWS($C$246:C247)-1)+1)="","",INDEX('M04-S07'!$BH$18:$BH$199,2*(ROWS($C$246:C247)-1)+1)),"")</f>
        <v/>
      </c>
      <c r="D247" s="180" t="s">
        <v>144</v>
      </c>
      <c r="E247" s="178" t="str">
        <f>IFERROR(INDEX('M04-S07'!$AZ$18:$AZ$199,2*(ROWS(E$246:E247)-1)+1),"")</f>
        <v/>
      </c>
      <c r="F247" s="408"/>
      <c r="G247" s="325"/>
      <c r="H247" s="200" t="str">
        <f ca="1">IFERROR(IF(AC247&lt;&gt;"","",INDEX('M04-S07'!$AD$18:$AD$199,2*(ROWS(H$246:H247)-1)+1)),"")</f>
        <v/>
      </c>
      <c r="I247" s="200" t="str">
        <f ca="1">IFERROR(IF(AC247&lt;&gt;"","",INDEX('M04-S07'!$AF$18:$AF$199,2*(ROWS(I$246:I247)-1)+1)),"")</f>
        <v/>
      </c>
      <c r="J247" s="200" t="str">
        <f ca="1">IFERROR(IF(AC247&lt;&gt;"","",INDEX('M04-S07'!$AH$18:$AH$199,2*(ROWS(J$246:J247)-1)+1)),"")</f>
        <v/>
      </c>
      <c r="K247" s="178" t="str">
        <f ca="1">IFERROR(IF(AC247&lt;&gt;"","",INDEX('M04-S07'!$AB$18:$AB$199,2*(ROWS(J$246:J247)-1)+1)),"")</f>
        <v/>
      </c>
      <c r="L247" s="116" t="str">
        <f ca="1">IFERROR(IF(AC247&lt;&gt;"","",ROUND(INDEX('M04-S07'!$P$18:$P$199,2*(ROWS(L$246:L247)-1)+1),3)),"")</f>
        <v/>
      </c>
      <c r="M247" s="116" t="str">
        <f ca="1">IFERROR(IF(AC247&lt;&gt;"","",ROUND(INDEX('M04-S07'!$X$18:$X$199,2*(ROWS(M$246:M247)-1)+1),3)),"")</f>
        <v/>
      </c>
      <c r="N247" s="418"/>
      <c r="O247" s="415" t="str">
        <f ca="1">IFERROR(IF(AC247&lt;&gt;"","",INDEX('M04-S07'!$AK$18:$AK$199,2*(ROWS(O$246:O247)-1)+1)),"")</f>
        <v/>
      </c>
      <c r="P247" s="408"/>
      <c r="Q247" s="415" t="str">
        <f ca="1">IFERROR(IF(AC247&lt;&gt;"","",INDEX('M04-S07'!$BA$18:$BA$199,2*(ROWS(Q$246:Q247)-1)+1)),"")</f>
        <v/>
      </c>
      <c r="R247" s="200" t="str">
        <f ca="1">IFERROR(IF(AC247&lt;&gt;"","",INDEX('M04-S07'!$AN$18:$AN$199,2*(ROWS(R$246:R247)-1)+1)),"")</f>
        <v/>
      </c>
      <c r="S247" s="200">
        <f ca="1">IFERROR(IF(AC247&lt;&gt;"",INDEX('M04-S07'!$AD$18:$AD$199,2*(ROWS(S$246:S247)-1)+1),""),"")</f>
        <v>0</v>
      </c>
      <c r="T247" s="200" t="str">
        <f ca="1">IFERROR(IF(AC247&lt;&gt;"",INDEX('M04-S07'!$AF$18:$AF$199,2*(ROWS(T$246:T247)-1)+1),""),"")</f>
        <v/>
      </c>
      <c r="U247" s="200" t="str">
        <f ca="1">IFERROR(IF(AC247&lt;&gt;"",INDEX('M04-S07'!$AH$18:$AH$199,2*(ROWS(U$246:U247)-1)+1),""),"")</f>
        <v/>
      </c>
      <c r="V247" s="178" t="str">
        <f ca="1">IFERROR(IF(AC247&lt;&gt;"",INDEX('M04-S07'!$AB$18:$AB$199,2*(ROWS(V$246:V247)-1)+1),""),"")</f>
        <v/>
      </c>
      <c r="W247" s="116">
        <f ca="1">IFERROR(IF(AC247&lt;&gt;"",ROUND(INDEX('M04-S07'!$P$18:$P$199,2*(ROWS(W$246:W247)-1)+1),3),""),"")</f>
        <v>0</v>
      </c>
      <c r="X247" s="116">
        <f ca="1">IFERROR(IF(AC247&lt;&gt;"",ROUND(INDEX('M04-S07'!$Z$18:$Z$199,2*(ROWS(X$246:X247)-1)+1),3),""),"")</f>
        <v>0</v>
      </c>
      <c r="Y247" s="408"/>
      <c r="Z247" s="173" t="str">
        <f ca="1">IFERROR(IF(AC247&lt;&gt;"",INDEX('M04-S07'!$AK$18:$AK$199,2*(ROWS(Z$246:Z247)-1)+1),""),"")</f>
        <v/>
      </c>
      <c r="AA247" s="408"/>
      <c r="AB247" s="415" t="str">
        <f ca="1">IFERROR(IF(AC247&lt;&gt;"",INDEX('M04-S07'!$BA$18:$BA$199,2*(ROWS(AB$246:AB247)-1)+1),""),"")</f>
        <v/>
      </c>
      <c r="AC247" s="178" t="str">
        <f ca="1">IFERROR(INDEX('M04-S07'!$BJ$18:$BJ$199,2*(ROWS(AC$246:AC247)-1)+1),"")</f>
        <v>Submit for Review</v>
      </c>
      <c r="AD247" s="415" t="str">
        <f>IFERROR(INDEX('M04-S07'!$AW$18:$AW$199,2*(ROWS(AD$246:AD247)-1)+1),"")</f>
        <v/>
      </c>
      <c r="AE247" s="415" t="str">
        <f>IFERROR(INDEX('M04-S07'!$AX$18:$AX$199,2*(ROWS(AE$246:AE247)-1)+1),"")</f>
        <v/>
      </c>
      <c r="AF247" s="408"/>
      <c r="AG247" s="408"/>
      <c r="AH247" s="408"/>
      <c r="AI247" s="178">
        <f>IFERROR(INDEX('M04-S07'!$B$18:$B$199,2*(ROWS(AI$246:AI247)-1)+1),"")</f>
        <v>2</v>
      </c>
      <c r="AJ247" s="325"/>
      <c r="AK247" s="178">
        <f>IFERROR(INDEX('M04-S07'!$F$18:$F$199,2*(ROWS(AK$246:AK247)-1)+1),"")</f>
        <v>0</v>
      </c>
      <c r="AL247" s="178">
        <f>IFERROR(INDEX('M04-S07'!$L$18:$L$199,2*(ROWS(AL$246:AL247)-1)+1),"")</f>
        <v>0</v>
      </c>
      <c r="AM247" s="178">
        <f>IFERROR(INDEX('M04-S07'!$T$18:$T$199,2*(ROWS(AM$246:AM247)-1)+1),"")</f>
        <v>0</v>
      </c>
      <c r="AN247" s="200" t="str">
        <f>IFERROR(INDEX('M04-S07'!$AT$18:$AT$199,2*(ROWS(AN$246:AN247)-1)+1),"")</f>
        <v/>
      </c>
      <c r="AO247" s="200" t="str">
        <f>IFERROR(INDEX('M04-S07'!$AU$18:$AU$199,2*(ROWS(AO$246:AO247)-1)+1),"")</f>
        <v/>
      </c>
      <c r="AP247" s="178" t="str">
        <f>IFERROR(INDEX('M04-S07'!$AV$18:$AV$199,2*(ROWS(AP$246:AP247)-1)+1),"")</f>
        <v/>
      </c>
      <c r="AQ247" s="178" t="str">
        <f>IFERROR(INDEX('M04-S07'!$AY$18:$AY$199,2*(ROWS(AQ$246:AQ247)-1)+1),"")</f>
        <v/>
      </c>
      <c r="AR247" s="178" t="s">
        <v>1374</v>
      </c>
      <c r="AS247" s="178"/>
      <c r="AT247" s="278"/>
      <c r="AU247" s="278"/>
      <c r="AV247" s="278"/>
      <c r="AW247" s="278"/>
      <c r="AX247" s="278"/>
      <c r="AY247" s="278"/>
      <c r="AZ247" s="278"/>
      <c r="BA247" s="278"/>
      <c r="BB247" s="278"/>
      <c r="BC247" s="278"/>
      <c r="BD247" s="278"/>
      <c r="BE247" s="279"/>
      <c r="BL247" s="180"/>
      <c r="BP247" s="180"/>
      <c r="BQ247" s="180"/>
      <c r="BR247" s="180"/>
      <c r="CD247" s="180"/>
      <c r="CE247" s="180"/>
      <c r="CF247" s="180"/>
      <c r="CH247" s="180"/>
      <c r="CI247" s="180"/>
      <c r="CJ247" s="180"/>
      <c r="CK247" s="180"/>
      <c r="CL247" s="180"/>
      <c r="CM247" s="180"/>
      <c r="CN247" s="180"/>
      <c r="CQ247" s="180"/>
      <c r="CR247" s="180"/>
      <c r="CS247" s="180"/>
      <c r="DS247" s="180"/>
      <c r="DT247" s="180"/>
      <c r="DU247" s="180"/>
    </row>
    <row r="248" spans="1:125" s="54" customFormat="1" hidden="1">
      <c r="A248" s="135">
        <f t="shared" si="26"/>
        <v>0</v>
      </c>
      <c r="B248" s="178" t="str">
        <f t="shared" si="27"/>
        <v/>
      </c>
      <c r="C248" s="178" t="str">
        <f>IFERROR(IF(INDEX('M04-S07'!$BH$18:$BH$199,2*(ROWS($C$246:C248)-1)+1)="","",INDEX('M04-S07'!$BH$18:$BH$199,2*(ROWS($C$246:C248)-1)+1)),"")</f>
        <v/>
      </c>
      <c r="D248" s="180" t="s">
        <v>144</v>
      </c>
      <c r="E248" s="178" t="str">
        <f>IFERROR(INDEX('M04-S07'!$AZ$18:$AZ$199,2*(ROWS(E$246:E248)-1)+1),"")</f>
        <v/>
      </c>
      <c r="F248" s="408"/>
      <c r="G248" s="325"/>
      <c r="H248" s="200" t="str">
        <f ca="1">IFERROR(IF(AC248&lt;&gt;"","",INDEX('M04-S07'!$AD$18:$AD$199,2*(ROWS(H$246:H248)-1)+1)),"")</f>
        <v/>
      </c>
      <c r="I248" s="200" t="str">
        <f ca="1">IFERROR(IF(AC248&lt;&gt;"","",INDEX('M04-S07'!$AF$18:$AF$199,2*(ROWS(I$246:I248)-1)+1)),"")</f>
        <v/>
      </c>
      <c r="J248" s="200" t="str">
        <f ca="1">IFERROR(IF(AC248&lt;&gt;"","",INDEX('M04-S07'!$AH$18:$AH$199,2*(ROWS(J$246:J248)-1)+1)),"")</f>
        <v/>
      </c>
      <c r="K248" s="178" t="str">
        <f ca="1">IFERROR(IF(AC248&lt;&gt;"","",INDEX('M04-S07'!$AB$18:$AB$199,2*(ROWS(J$246:J248)-1)+1)),"")</f>
        <v/>
      </c>
      <c r="L248" s="116" t="str">
        <f ca="1">IFERROR(IF(AC248&lt;&gt;"","",ROUND(INDEX('M04-S07'!$P$18:$P$199,2*(ROWS(L$246:L248)-1)+1),3)),"")</f>
        <v/>
      </c>
      <c r="M248" s="116" t="str">
        <f ca="1">IFERROR(IF(AC248&lt;&gt;"","",ROUND(INDEX('M04-S07'!$X$18:$X$199,2*(ROWS(M$246:M248)-1)+1),3)),"")</f>
        <v/>
      </c>
      <c r="N248" s="418"/>
      <c r="O248" s="415" t="str">
        <f ca="1">IFERROR(IF(AC248&lt;&gt;"","",INDEX('M04-S07'!$AK$18:$AK$199,2*(ROWS(O$246:O248)-1)+1)),"")</f>
        <v/>
      </c>
      <c r="P248" s="408"/>
      <c r="Q248" s="415" t="str">
        <f ca="1">IFERROR(IF(AC248&lt;&gt;"","",INDEX('M04-S07'!$BA$18:$BA$199,2*(ROWS(Q$246:Q248)-1)+1)),"")</f>
        <v/>
      </c>
      <c r="R248" s="200" t="str">
        <f ca="1">IFERROR(IF(AC248&lt;&gt;"","",INDEX('M04-S07'!$AN$18:$AN$199,2*(ROWS(R$246:R248)-1)+1)),"")</f>
        <v/>
      </c>
      <c r="S248" s="200">
        <f ca="1">IFERROR(IF(AC248&lt;&gt;"",INDEX('M04-S07'!$AD$18:$AD$199,2*(ROWS(S$246:S248)-1)+1),""),"")</f>
        <v>0</v>
      </c>
      <c r="T248" s="200" t="str">
        <f ca="1">IFERROR(IF(AC248&lt;&gt;"",INDEX('M04-S07'!$AF$18:$AF$199,2*(ROWS(T$246:T248)-1)+1),""),"")</f>
        <v/>
      </c>
      <c r="U248" s="200" t="str">
        <f ca="1">IFERROR(IF(AC248&lt;&gt;"",INDEX('M04-S07'!$AH$18:$AH$199,2*(ROWS(U$246:U248)-1)+1),""),"")</f>
        <v/>
      </c>
      <c r="V248" s="178" t="str">
        <f ca="1">IFERROR(IF(AC248&lt;&gt;"",INDEX('M04-S07'!$AB$18:$AB$199,2*(ROWS(V$246:V248)-1)+1),""),"")</f>
        <v/>
      </c>
      <c r="W248" s="116">
        <f ca="1">IFERROR(IF(AC248&lt;&gt;"",ROUND(INDEX('M04-S07'!$P$18:$P$199,2*(ROWS(W$246:W248)-1)+1),3),""),"")</f>
        <v>0</v>
      </c>
      <c r="X248" s="116">
        <f ca="1">IFERROR(IF(AC248&lt;&gt;"",ROUND(INDEX('M04-S07'!$Z$18:$Z$199,2*(ROWS(X$246:X248)-1)+1),3),""),"")</f>
        <v>0</v>
      </c>
      <c r="Y248" s="408"/>
      <c r="Z248" s="173" t="str">
        <f ca="1">IFERROR(IF(AC248&lt;&gt;"",INDEX('M04-S07'!$AK$18:$AK$199,2*(ROWS(Z$246:Z248)-1)+1),""),"")</f>
        <v/>
      </c>
      <c r="AA248" s="408"/>
      <c r="AB248" s="415" t="str">
        <f ca="1">IFERROR(IF(AC248&lt;&gt;"",INDEX('M04-S07'!$BA$18:$BA$199,2*(ROWS(AB$246:AB248)-1)+1),""),"")</f>
        <v/>
      </c>
      <c r="AC248" s="178" t="str">
        <f ca="1">IFERROR(INDEX('M04-S07'!$BJ$18:$BJ$199,2*(ROWS(AC$246:AC248)-1)+1),"")</f>
        <v>Submit for Review</v>
      </c>
      <c r="AD248" s="415" t="str">
        <f>IFERROR(INDEX('M04-S07'!$AW$18:$AW$199,2*(ROWS(AD$246:AD248)-1)+1),"")</f>
        <v/>
      </c>
      <c r="AE248" s="415" t="str">
        <f>IFERROR(INDEX('M04-S07'!$AX$18:$AX$199,2*(ROWS(AE$246:AE248)-1)+1),"")</f>
        <v/>
      </c>
      <c r="AF248" s="408"/>
      <c r="AG248" s="408"/>
      <c r="AH248" s="408"/>
      <c r="AI248" s="178">
        <f>IFERROR(INDEX('M04-S07'!$B$18:$B$199,2*(ROWS(AI$246:AI248)-1)+1),"")</f>
        <v>3</v>
      </c>
      <c r="AJ248" s="325"/>
      <c r="AK248" s="178">
        <f>IFERROR(INDEX('M04-S07'!$F$18:$F$199,2*(ROWS(AK$246:AK248)-1)+1),"")</f>
        <v>0</v>
      </c>
      <c r="AL248" s="178">
        <f>IFERROR(INDEX('M04-S07'!$L$18:$L$199,2*(ROWS(AL$246:AL248)-1)+1),"")</f>
        <v>0</v>
      </c>
      <c r="AM248" s="178">
        <f>IFERROR(INDEX('M04-S07'!$T$18:$T$199,2*(ROWS(AM$246:AM248)-1)+1),"")</f>
        <v>0</v>
      </c>
      <c r="AN248" s="200" t="str">
        <f>IFERROR(INDEX('M04-S07'!$AT$18:$AT$199,2*(ROWS(AN$246:AN248)-1)+1),"")</f>
        <v/>
      </c>
      <c r="AO248" s="200" t="str">
        <f>IFERROR(INDEX('M04-S07'!$AU$18:$AU$199,2*(ROWS(AO$246:AO248)-1)+1),"")</f>
        <v/>
      </c>
      <c r="AP248" s="178" t="str">
        <f>IFERROR(INDEX('M04-S07'!$AV$18:$AV$199,2*(ROWS(AP$246:AP248)-1)+1),"")</f>
        <v/>
      </c>
      <c r="AQ248" s="178" t="str">
        <f>IFERROR(INDEX('M04-S07'!$AY$18:$AY$199,2*(ROWS(AQ$246:AQ248)-1)+1),"")</f>
        <v/>
      </c>
      <c r="AR248" s="178" t="s">
        <v>1374</v>
      </c>
      <c r="AS248" s="178"/>
      <c r="AT248" s="278"/>
      <c r="AU248" s="278"/>
      <c r="AV248" s="278"/>
      <c r="AW248" s="278"/>
      <c r="AX248" s="278"/>
      <c r="AY248" s="278"/>
      <c r="AZ248" s="278"/>
      <c r="BA248" s="278"/>
      <c r="BB248" s="278"/>
      <c r="BC248" s="278"/>
      <c r="BD248" s="278"/>
      <c r="BE248" s="279"/>
      <c r="BL248" s="180"/>
      <c r="BP248" s="180"/>
      <c r="BQ248" s="180"/>
      <c r="BR248" s="180"/>
      <c r="CD248" s="180"/>
      <c r="CE248" s="180"/>
      <c r="CF248" s="180"/>
      <c r="CH248" s="180"/>
      <c r="CI248" s="180"/>
      <c r="CJ248" s="180"/>
      <c r="CK248" s="180"/>
      <c r="CL248" s="180"/>
      <c r="CM248" s="180"/>
      <c r="CN248" s="180"/>
      <c r="CQ248" s="180"/>
      <c r="CR248" s="180"/>
      <c r="CS248" s="180"/>
      <c r="DS248" s="180"/>
      <c r="DT248" s="180"/>
      <c r="DU248" s="180"/>
    </row>
    <row r="249" spans="1:125" s="54" customFormat="1" hidden="1">
      <c r="A249" s="135">
        <f t="shared" si="26"/>
        <v>0</v>
      </c>
      <c r="B249" s="178" t="str">
        <f t="shared" si="27"/>
        <v/>
      </c>
      <c r="C249" s="178" t="str">
        <f>IFERROR(IF(INDEX('M04-S07'!$BH$18:$BH$199,2*(ROWS($C$246:C249)-1)+1)="","",INDEX('M04-S07'!$BH$18:$BH$199,2*(ROWS($C$246:C249)-1)+1)),"")</f>
        <v/>
      </c>
      <c r="D249" s="180" t="s">
        <v>144</v>
      </c>
      <c r="E249" s="178" t="str">
        <f>IFERROR(INDEX('M04-S07'!$AZ$18:$AZ$199,2*(ROWS(E$246:E249)-1)+1),"")</f>
        <v/>
      </c>
      <c r="F249" s="408"/>
      <c r="G249" s="325"/>
      <c r="H249" s="200" t="str">
        <f ca="1">IFERROR(IF(AC249&lt;&gt;"","",INDEX('M04-S07'!$AD$18:$AD$199,2*(ROWS(H$246:H249)-1)+1)),"")</f>
        <v/>
      </c>
      <c r="I249" s="200" t="str">
        <f ca="1">IFERROR(IF(AC249&lt;&gt;"","",INDEX('M04-S07'!$AF$18:$AF$199,2*(ROWS(I$246:I249)-1)+1)),"")</f>
        <v/>
      </c>
      <c r="J249" s="200" t="str">
        <f ca="1">IFERROR(IF(AC249&lt;&gt;"","",INDEX('M04-S07'!$AH$18:$AH$199,2*(ROWS(J$246:J249)-1)+1)),"")</f>
        <v/>
      </c>
      <c r="K249" s="178" t="str">
        <f ca="1">IFERROR(IF(AC249&lt;&gt;"","",INDEX('M04-S07'!$AB$18:$AB$199,2*(ROWS(J$246:J249)-1)+1)),"")</f>
        <v/>
      </c>
      <c r="L249" s="116" t="str">
        <f ca="1">IFERROR(IF(AC249&lt;&gt;"","",ROUND(INDEX('M04-S07'!$P$18:$P$199,2*(ROWS(L$246:L249)-1)+1),3)),"")</f>
        <v/>
      </c>
      <c r="M249" s="116" t="str">
        <f ca="1">IFERROR(IF(AC249&lt;&gt;"","",ROUND(INDEX('M04-S07'!$X$18:$X$199,2*(ROWS(M$246:M249)-1)+1),3)),"")</f>
        <v/>
      </c>
      <c r="N249" s="418"/>
      <c r="O249" s="415" t="str">
        <f ca="1">IFERROR(IF(AC249&lt;&gt;"","",INDEX('M04-S07'!$AK$18:$AK$199,2*(ROWS(O$246:O249)-1)+1)),"")</f>
        <v/>
      </c>
      <c r="P249" s="408"/>
      <c r="Q249" s="415" t="str">
        <f ca="1">IFERROR(IF(AC249&lt;&gt;"","",INDEX('M04-S07'!$BA$18:$BA$199,2*(ROWS(Q$246:Q249)-1)+1)),"")</f>
        <v/>
      </c>
      <c r="R249" s="200" t="str">
        <f ca="1">IFERROR(IF(AC249&lt;&gt;"","",INDEX('M04-S07'!$AN$18:$AN$199,2*(ROWS(R$246:R249)-1)+1)),"")</f>
        <v/>
      </c>
      <c r="S249" s="200">
        <f ca="1">IFERROR(IF(AC249&lt;&gt;"",INDEX('M04-S07'!$AD$18:$AD$199,2*(ROWS(S$246:S249)-1)+1),""),"")</f>
        <v>0</v>
      </c>
      <c r="T249" s="200" t="str">
        <f ca="1">IFERROR(IF(AC249&lt;&gt;"",INDEX('M04-S07'!$AF$18:$AF$199,2*(ROWS(T$246:T249)-1)+1),""),"")</f>
        <v/>
      </c>
      <c r="U249" s="200" t="str">
        <f ca="1">IFERROR(IF(AC249&lt;&gt;"",INDEX('M04-S07'!$AH$18:$AH$199,2*(ROWS(U$246:U249)-1)+1),""),"")</f>
        <v/>
      </c>
      <c r="V249" s="178" t="str">
        <f ca="1">IFERROR(IF(AC249&lt;&gt;"",INDEX('M04-S07'!$AB$18:$AB$199,2*(ROWS(V$246:V249)-1)+1),""),"")</f>
        <v/>
      </c>
      <c r="W249" s="116">
        <f ca="1">IFERROR(IF(AC249&lt;&gt;"",ROUND(INDEX('M04-S07'!$P$18:$P$199,2*(ROWS(W$246:W249)-1)+1),3),""),"")</f>
        <v>0</v>
      </c>
      <c r="X249" s="116">
        <f ca="1">IFERROR(IF(AC249&lt;&gt;"",ROUND(INDEX('M04-S07'!$Z$18:$Z$199,2*(ROWS(X$246:X249)-1)+1),3),""),"")</f>
        <v>0</v>
      </c>
      <c r="Y249" s="408"/>
      <c r="Z249" s="173" t="str">
        <f ca="1">IFERROR(IF(AC249&lt;&gt;"",INDEX('M04-S07'!$AK$18:$AK$199,2*(ROWS(Z$246:Z249)-1)+1),""),"")</f>
        <v/>
      </c>
      <c r="AA249" s="408"/>
      <c r="AB249" s="415" t="str">
        <f ca="1">IFERROR(IF(AC249&lt;&gt;"",INDEX('M04-S07'!$BA$18:$BA$199,2*(ROWS(AB$246:AB249)-1)+1),""),"")</f>
        <v/>
      </c>
      <c r="AC249" s="178" t="str">
        <f ca="1">IFERROR(INDEX('M04-S07'!$BJ$18:$BJ$199,2*(ROWS(AC$246:AC249)-1)+1),"")</f>
        <v>Submit for Review</v>
      </c>
      <c r="AD249" s="415" t="str">
        <f>IFERROR(INDEX('M04-S07'!$AW$18:$AW$199,2*(ROWS(AD$246:AD249)-1)+1),"")</f>
        <v/>
      </c>
      <c r="AE249" s="415" t="str">
        <f>IFERROR(INDEX('M04-S07'!$AX$18:$AX$199,2*(ROWS(AE$246:AE249)-1)+1),"")</f>
        <v/>
      </c>
      <c r="AF249" s="408"/>
      <c r="AG249" s="408"/>
      <c r="AH249" s="408"/>
      <c r="AI249" s="178">
        <f>IFERROR(INDEX('M04-S07'!$B$18:$B$199,2*(ROWS(AI$246:AI249)-1)+1),"")</f>
        <v>4</v>
      </c>
      <c r="AJ249" s="325"/>
      <c r="AK249" s="178">
        <f>IFERROR(INDEX('M04-S07'!$F$18:$F$199,2*(ROWS(AK$246:AK249)-1)+1),"")</f>
        <v>0</v>
      </c>
      <c r="AL249" s="178">
        <f>IFERROR(INDEX('M04-S07'!$L$18:$L$199,2*(ROWS(AL$246:AL249)-1)+1),"")</f>
        <v>0</v>
      </c>
      <c r="AM249" s="178">
        <f>IFERROR(INDEX('M04-S07'!$T$18:$T$199,2*(ROWS(AM$246:AM249)-1)+1),"")</f>
        <v>0</v>
      </c>
      <c r="AN249" s="200" t="str">
        <f>IFERROR(INDEX('M04-S07'!$AT$18:$AT$199,2*(ROWS(AN$246:AN249)-1)+1),"")</f>
        <v/>
      </c>
      <c r="AO249" s="200" t="str">
        <f>IFERROR(INDEX('M04-S07'!$AU$18:$AU$199,2*(ROWS(AO$246:AO249)-1)+1),"")</f>
        <v/>
      </c>
      <c r="AP249" s="178" t="str">
        <f>IFERROR(INDEX('M04-S07'!$AV$18:$AV$199,2*(ROWS(AP$246:AP249)-1)+1),"")</f>
        <v/>
      </c>
      <c r="AQ249" s="178" t="str">
        <f>IFERROR(INDEX('M04-S07'!$AY$18:$AY$199,2*(ROWS(AQ$246:AQ249)-1)+1),"")</f>
        <v/>
      </c>
      <c r="AR249" s="178" t="s">
        <v>1374</v>
      </c>
      <c r="AS249" s="178"/>
      <c r="AT249" s="278"/>
      <c r="AU249" s="278"/>
      <c r="AV249" s="278"/>
      <c r="AW249" s="278"/>
      <c r="AX249" s="278"/>
      <c r="AY249" s="278"/>
      <c r="AZ249" s="278"/>
      <c r="BA249" s="278"/>
      <c r="BB249" s="278"/>
      <c r="BC249" s="278"/>
      <c r="BD249" s="278"/>
      <c r="BE249" s="279"/>
      <c r="BL249" s="180"/>
      <c r="BP249" s="180"/>
      <c r="BQ249" s="180"/>
      <c r="BR249" s="180"/>
      <c r="CD249" s="180"/>
      <c r="CE249" s="180"/>
      <c r="CF249" s="180"/>
      <c r="CH249" s="180"/>
      <c r="CI249" s="180"/>
      <c r="CJ249" s="180"/>
      <c r="CK249" s="180"/>
      <c r="CL249" s="180"/>
      <c r="CM249" s="180"/>
      <c r="CN249" s="180"/>
      <c r="CQ249" s="180"/>
      <c r="CR249" s="180"/>
      <c r="CS249" s="180"/>
      <c r="DS249" s="180"/>
      <c r="DT249" s="180"/>
      <c r="DU249" s="180"/>
    </row>
    <row r="250" spans="1:125" s="54" customFormat="1" hidden="1">
      <c r="A250" s="135">
        <f t="shared" si="26"/>
        <v>0</v>
      </c>
      <c r="B250" s="178" t="str">
        <f t="shared" si="27"/>
        <v/>
      </c>
      <c r="C250" s="178" t="str">
        <f>IFERROR(IF(INDEX('M04-S07'!$BH$18:$BH$199,2*(ROWS($C$246:C250)-1)+1)="","",INDEX('M04-S07'!$BH$18:$BH$199,2*(ROWS($C$246:C250)-1)+1)),"")</f>
        <v/>
      </c>
      <c r="D250" s="180" t="s">
        <v>144</v>
      </c>
      <c r="E250" s="178" t="str">
        <f>IFERROR(INDEX('M04-S07'!$AZ$18:$AZ$199,2*(ROWS(E$246:E250)-1)+1),"")</f>
        <v/>
      </c>
      <c r="F250" s="408"/>
      <c r="G250" s="325"/>
      <c r="H250" s="200" t="str">
        <f ca="1">IFERROR(IF(AC250&lt;&gt;"","",INDEX('M04-S07'!$AD$18:$AD$199,2*(ROWS(H$246:H250)-1)+1)),"")</f>
        <v/>
      </c>
      <c r="I250" s="200" t="str">
        <f ca="1">IFERROR(IF(AC250&lt;&gt;"","",INDEX('M04-S07'!$AF$18:$AF$199,2*(ROWS(I$246:I250)-1)+1)),"")</f>
        <v/>
      </c>
      <c r="J250" s="200" t="str">
        <f ca="1">IFERROR(IF(AC250&lt;&gt;"","",INDEX('M04-S07'!$AH$18:$AH$199,2*(ROWS(J$246:J250)-1)+1)),"")</f>
        <v/>
      </c>
      <c r="K250" s="178" t="str">
        <f ca="1">IFERROR(IF(AC250&lt;&gt;"","",INDEX('M04-S07'!$AB$18:$AB$199,2*(ROWS(J$246:J250)-1)+1)),"")</f>
        <v/>
      </c>
      <c r="L250" s="116" t="str">
        <f ca="1">IFERROR(IF(AC250&lt;&gt;"","",ROUND(INDEX('M04-S07'!$P$18:$P$199,2*(ROWS(L$246:L250)-1)+1),3)),"")</f>
        <v/>
      </c>
      <c r="M250" s="116" t="str">
        <f ca="1">IFERROR(IF(AC250&lt;&gt;"","",ROUND(INDEX('M04-S07'!$X$18:$X$199,2*(ROWS(M$246:M250)-1)+1),3)),"")</f>
        <v/>
      </c>
      <c r="N250" s="418"/>
      <c r="O250" s="415" t="str">
        <f ca="1">IFERROR(IF(AC250&lt;&gt;"","",INDEX('M04-S07'!$AK$18:$AK$199,2*(ROWS(O$246:O250)-1)+1)),"")</f>
        <v/>
      </c>
      <c r="P250" s="408"/>
      <c r="Q250" s="415" t="str">
        <f ca="1">IFERROR(IF(AC250&lt;&gt;"","",INDEX('M04-S07'!$BA$18:$BA$199,2*(ROWS(Q$246:Q250)-1)+1)),"")</f>
        <v/>
      </c>
      <c r="R250" s="200" t="str">
        <f ca="1">IFERROR(IF(AC250&lt;&gt;"","",INDEX('M04-S07'!$AN$18:$AN$199,2*(ROWS(R$246:R250)-1)+1)),"")</f>
        <v/>
      </c>
      <c r="S250" s="200">
        <f ca="1">IFERROR(IF(AC250&lt;&gt;"",INDEX('M04-S07'!$AD$18:$AD$199,2*(ROWS(S$246:S250)-1)+1),""),"")</f>
        <v>0</v>
      </c>
      <c r="T250" s="200" t="str">
        <f ca="1">IFERROR(IF(AC250&lt;&gt;"",INDEX('M04-S07'!$AF$18:$AF$199,2*(ROWS(T$246:T250)-1)+1),""),"")</f>
        <v/>
      </c>
      <c r="U250" s="200" t="str">
        <f ca="1">IFERROR(IF(AC250&lt;&gt;"",INDEX('M04-S07'!$AH$18:$AH$199,2*(ROWS(U$246:U250)-1)+1),""),"")</f>
        <v/>
      </c>
      <c r="V250" s="178" t="str">
        <f ca="1">IFERROR(IF(AC250&lt;&gt;"",INDEX('M04-S07'!$AB$18:$AB$199,2*(ROWS(V$246:V250)-1)+1),""),"")</f>
        <v/>
      </c>
      <c r="W250" s="116">
        <f ca="1">IFERROR(IF(AC250&lt;&gt;"",ROUND(INDEX('M04-S07'!$P$18:$P$199,2*(ROWS(W$246:W250)-1)+1),3),""),"")</f>
        <v>0</v>
      </c>
      <c r="X250" s="116">
        <f ca="1">IFERROR(IF(AC250&lt;&gt;"",ROUND(INDEX('M04-S07'!$Z$18:$Z$199,2*(ROWS(X$246:X250)-1)+1),3),""),"")</f>
        <v>0</v>
      </c>
      <c r="Y250" s="408"/>
      <c r="Z250" s="173" t="str">
        <f ca="1">IFERROR(IF(AC250&lt;&gt;"",INDEX('M04-S07'!$AK$18:$AK$199,2*(ROWS(Z$246:Z250)-1)+1),""),"")</f>
        <v/>
      </c>
      <c r="AA250" s="408"/>
      <c r="AB250" s="415" t="str">
        <f ca="1">IFERROR(IF(AC250&lt;&gt;"",INDEX('M04-S07'!$BA$18:$BA$199,2*(ROWS(AB$246:AB250)-1)+1),""),"")</f>
        <v/>
      </c>
      <c r="AC250" s="178" t="str">
        <f ca="1">IFERROR(INDEX('M04-S07'!$BJ$18:$BJ$199,2*(ROWS(AC$246:AC250)-1)+1),"")</f>
        <v>Submit for Review</v>
      </c>
      <c r="AD250" s="415" t="str">
        <f>IFERROR(INDEX('M04-S07'!$AW$18:$AW$199,2*(ROWS(AD$246:AD250)-1)+1),"")</f>
        <v/>
      </c>
      <c r="AE250" s="415" t="str">
        <f>IFERROR(INDEX('M04-S07'!$AX$18:$AX$199,2*(ROWS(AE$246:AE250)-1)+1),"")</f>
        <v/>
      </c>
      <c r="AF250" s="408"/>
      <c r="AG250" s="408"/>
      <c r="AH250" s="408"/>
      <c r="AI250" s="178">
        <f>IFERROR(INDEX('M04-S07'!$B$18:$B$199,2*(ROWS(AI$246:AI250)-1)+1),"")</f>
        <v>5</v>
      </c>
      <c r="AJ250" s="325"/>
      <c r="AK250" s="178">
        <f>IFERROR(INDEX('M04-S07'!$F$18:$F$199,2*(ROWS(AK$246:AK250)-1)+1),"")</f>
        <v>0</v>
      </c>
      <c r="AL250" s="178">
        <f>IFERROR(INDEX('M04-S07'!$L$18:$L$199,2*(ROWS(AL$246:AL250)-1)+1),"")</f>
        <v>0</v>
      </c>
      <c r="AM250" s="178">
        <f>IFERROR(INDEX('M04-S07'!$T$18:$T$199,2*(ROWS(AM$246:AM250)-1)+1),"")</f>
        <v>0</v>
      </c>
      <c r="AN250" s="200" t="str">
        <f>IFERROR(INDEX('M04-S07'!$AT$18:$AT$199,2*(ROWS(AN$246:AN250)-1)+1),"")</f>
        <v/>
      </c>
      <c r="AO250" s="200" t="str">
        <f>IFERROR(INDEX('M04-S07'!$AU$18:$AU$199,2*(ROWS(AO$246:AO250)-1)+1),"")</f>
        <v/>
      </c>
      <c r="AP250" s="178" t="str">
        <f>IFERROR(INDEX('M04-S07'!$AV$18:$AV$199,2*(ROWS(AP$246:AP250)-1)+1),"")</f>
        <v/>
      </c>
      <c r="AQ250" s="178" t="str">
        <f>IFERROR(INDEX('M04-S07'!$AY$18:$AY$199,2*(ROWS(AQ$246:AQ250)-1)+1),"")</f>
        <v/>
      </c>
      <c r="AR250" s="178" t="s">
        <v>1374</v>
      </c>
      <c r="AS250" s="178"/>
      <c r="AT250" s="278"/>
      <c r="AU250" s="278"/>
      <c r="AV250" s="278"/>
      <c r="AW250" s="278"/>
      <c r="AX250" s="278"/>
      <c r="AY250" s="278"/>
      <c r="AZ250" s="278"/>
      <c r="BA250" s="278"/>
      <c r="BB250" s="278"/>
      <c r="BC250" s="278"/>
      <c r="BD250" s="278"/>
      <c r="BE250" s="279"/>
      <c r="BL250" s="180"/>
      <c r="BP250" s="180"/>
      <c r="BQ250" s="180"/>
      <c r="BR250" s="180"/>
      <c r="CD250" s="180"/>
      <c r="CE250" s="180"/>
      <c r="CF250" s="180"/>
      <c r="CH250" s="180"/>
      <c r="CI250" s="180"/>
      <c r="CJ250" s="180"/>
      <c r="CK250" s="180"/>
      <c r="CL250" s="180"/>
      <c r="CM250" s="180"/>
      <c r="CN250" s="180"/>
      <c r="CQ250" s="180"/>
      <c r="CR250" s="180"/>
      <c r="CS250" s="180"/>
      <c r="DS250" s="180"/>
      <c r="DT250" s="180"/>
      <c r="DU250" s="180"/>
    </row>
    <row r="251" spans="1:125" s="54" customFormat="1" hidden="1">
      <c r="A251" s="135">
        <f t="shared" si="26"/>
        <v>0</v>
      </c>
      <c r="B251" s="178" t="str">
        <f t="shared" si="27"/>
        <v/>
      </c>
      <c r="C251" s="178" t="str">
        <f>IFERROR(IF(INDEX('M04-S07'!$BH$18:$BH$199,2*(ROWS($C$246:C251)-1)+1)="","",INDEX('M04-S07'!$BH$18:$BH$199,2*(ROWS($C$246:C251)-1)+1)),"")</f>
        <v/>
      </c>
      <c r="D251" s="180" t="s">
        <v>144</v>
      </c>
      <c r="E251" s="178" t="str">
        <f>IFERROR(INDEX('M04-S07'!$AZ$18:$AZ$199,2*(ROWS(E$246:E251)-1)+1),"")</f>
        <v/>
      </c>
      <c r="F251" s="408"/>
      <c r="G251" s="325"/>
      <c r="H251" s="200" t="str">
        <f ca="1">IFERROR(IF(AC251&lt;&gt;"","",INDEX('M04-S07'!$AD$18:$AD$199,2*(ROWS(H$246:H251)-1)+1)),"")</f>
        <v/>
      </c>
      <c r="I251" s="200" t="str">
        <f ca="1">IFERROR(IF(AC251&lt;&gt;"","",INDEX('M04-S07'!$AF$18:$AF$199,2*(ROWS(I$246:I251)-1)+1)),"")</f>
        <v/>
      </c>
      <c r="J251" s="200" t="str">
        <f ca="1">IFERROR(IF(AC251&lt;&gt;"","",INDEX('M04-S07'!$AH$18:$AH$199,2*(ROWS(J$246:J251)-1)+1)),"")</f>
        <v/>
      </c>
      <c r="K251" s="178" t="str">
        <f ca="1">IFERROR(IF(AC251&lt;&gt;"","",INDEX('M04-S07'!$AB$18:$AB$199,2*(ROWS(J$246:J251)-1)+1)),"")</f>
        <v/>
      </c>
      <c r="L251" s="116" t="str">
        <f ca="1">IFERROR(IF(AC251&lt;&gt;"","",ROUND(INDEX('M04-S07'!$P$18:$P$199,2*(ROWS(L$246:L251)-1)+1),3)),"")</f>
        <v/>
      </c>
      <c r="M251" s="116" t="str">
        <f ca="1">IFERROR(IF(AC251&lt;&gt;"","",ROUND(INDEX('M04-S07'!$X$18:$X$199,2*(ROWS(M$246:M251)-1)+1),3)),"")</f>
        <v/>
      </c>
      <c r="N251" s="418"/>
      <c r="O251" s="415" t="str">
        <f ca="1">IFERROR(IF(AC251&lt;&gt;"","",INDEX('M04-S07'!$AK$18:$AK$199,2*(ROWS(O$246:O251)-1)+1)),"")</f>
        <v/>
      </c>
      <c r="P251" s="408"/>
      <c r="Q251" s="415" t="str">
        <f ca="1">IFERROR(IF(AC251&lt;&gt;"","",INDEX('M04-S07'!$BA$18:$BA$199,2*(ROWS(Q$246:Q251)-1)+1)),"")</f>
        <v/>
      </c>
      <c r="R251" s="200" t="str">
        <f ca="1">IFERROR(IF(AC251&lt;&gt;"","",INDEX('M04-S07'!$AN$18:$AN$199,2*(ROWS(R$246:R251)-1)+1)),"")</f>
        <v/>
      </c>
      <c r="S251" s="200">
        <f ca="1">IFERROR(IF(AC251&lt;&gt;"",INDEX('M04-S07'!$AD$18:$AD$199,2*(ROWS(S$246:S251)-1)+1),""),"")</f>
        <v>0</v>
      </c>
      <c r="T251" s="200" t="str">
        <f ca="1">IFERROR(IF(AC251&lt;&gt;"",INDEX('M04-S07'!$AF$18:$AF$199,2*(ROWS(T$246:T251)-1)+1),""),"")</f>
        <v/>
      </c>
      <c r="U251" s="200" t="str">
        <f ca="1">IFERROR(IF(AC251&lt;&gt;"",INDEX('M04-S07'!$AH$18:$AH$199,2*(ROWS(U$246:U251)-1)+1),""),"")</f>
        <v/>
      </c>
      <c r="V251" s="178" t="str">
        <f ca="1">IFERROR(IF(AC251&lt;&gt;"",INDEX('M04-S07'!$AB$18:$AB$199,2*(ROWS(V$246:V251)-1)+1),""),"")</f>
        <v/>
      </c>
      <c r="W251" s="116">
        <f ca="1">IFERROR(IF(AC251&lt;&gt;"",ROUND(INDEX('M04-S07'!$P$18:$P$199,2*(ROWS(W$246:W251)-1)+1),3),""),"")</f>
        <v>0</v>
      </c>
      <c r="X251" s="116">
        <f ca="1">IFERROR(IF(AC251&lt;&gt;"",ROUND(INDEX('M04-S07'!$Z$18:$Z$199,2*(ROWS(X$246:X251)-1)+1),3),""),"")</f>
        <v>0</v>
      </c>
      <c r="Y251" s="408"/>
      <c r="Z251" s="173" t="str">
        <f ca="1">IFERROR(IF(AC251&lt;&gt;"",INDEX('M04-S07'!$AK$18:$AK$199,2*(ROWS(Z$246:Z251)-1)+1),""),"")</f>
        <v/>
      </c>
      <c r="AA251" s="408"/>
      <c r="AB251" s="415" t="str">
        <f ca="1">IFERROR(IF(AC251&lt;&gt;"",INDEX('M04-S07'!$BA$18:$BA$199,2*(ROWS(AB$246:AB251)-1)+1),""),"")</f>
        <v/>
      </c>
      <c r="AC251" s="178" t="str">
        <f ca="1">IFERROR(INDEX('M04-S07'!$BJ$18:$BJ$199,2*(ROWS(AC$246:AC251)-1)+1),"")</f>
        <v>Submit for Review</v>
      </c>
      <c r="AD251" s="415" t="str">
        <f>IFERROR(INDEX('M04-S07'!$AW$18:$AW$199,2*(ROWS(AD$246:AD251)-1)+1),"")</f>
        <v/>
      </c>
      <c r="AE251" s="415" t="str">
        <f>IFERROR(INDEX('M04-S07'!$AX$18:$AX$199,2*(ROWS(AE$246:AE251)-1)+1),"")</f>
        <v/>
      </c>
      <c r="AF251" s="408"/>
      <c r="AG251" s="408"/>
      <c r="AH251" s="408"/>
      <c r="AI251" s="178">
        <f>IFERROR(INDEX('M04-S07'!$B$18:$B$199,2*(ROWS(AI$246:AI251)-1)+1),"")</f>
        <v>6</v>
      </c>
      <c r="AJ251" s="325"/>
      <c r="AK251" s="178">
        <f>IFERROR(INDEX('M04-S07'!$F$18:$F$199,2*(ROWS(AK$246:AK251)-1)+1),"")</f>
        <v>0</v>
      </c>
      <c r="AL251" s="178">
        <f>IFERROR(INDEX('M04-S07'!$L$18:$L$199,2*(ROWS(AL$246:AL251)-1)+1),"")</f>
        <v>0</v>
      </c>
      <c r="AM251" s="178">
        <f>IFERROR(INDEX('M04-S07'!$T$18:$T$199,2*(ROWS(AM$246:AM251)-1)+1),"")</f>
        <v>0</v>
      </c>
      <c r="AN251" s="200" t="str">
        <f>IFERROR(INDEX('M04-S07'!$AT$18:$AT$199,2*(ROWS(AN$246:AN251)-1)+1),"")</f>
        <v/>
      </c>
      <c r="AO251" s="200" t="str">
        <f>IFERROR(INDEX('M04-S07'!$AU$18:$AU$199,2*(ROWS(AO$246:AO251)-1)+1),"")</f>
        <v/>
      </c>
      <c r="AP251" s="178" t="str">
        <f>IFERROR(INDEX('M04-S07'!$AV$18:$AV$199,2*(ROWS(AP$246:AP251)-1)+1),"")</f>
        <v/>
      </c>
      <c r="AQ251" s="178" t="str">
        <f>IFERROR(INDEX('M04-S07'!$AY$18:$AY$199,2*(ROWS(AQ$246:AQ251)-1)+1),"")</f>
        <v/>
      </c>
      <c r="AR251" s="178" t="s">
        <v>1374</v>
      </c>
      <c r="AS251" s="178"/>
      <c r="AT251" s="278"/>
      <c r="AU251" s="278"/>
      <c r="AV251" s="278"/>
      <c r="AW251" s="278"/>
      <c r="AX251" s="278"/>
      <c r="AY251" s="278"/>
      <c r="AZ251" s="278"/>
      <c r="BA251" s="278"/>
      <c r="BB251" s="278"/>
      <c r="BC251" s="278"/>
      <c r="BD251" s="278"/>
      <c r="BE251" s="279"/>
      <c r="BL251" s="180"/>
      <c r="BP251" s="180"/>
      <c r="BQ251" s="180"/>
      <c r="BR251" s="180"/>
      <c r="CD251" s="180"/>
      <c r="CE251" s="180"/>
      <c r="CF251" s="180"/>
      <c r="CH251" s="180"/>
      <c r="CI251" s="180"/>
      <c r="CJ251" s="180"/>
      <c r="CK251" s="180"/>
      <c r="CL251" s="180"/>
      <c r="CM251" s="180"/>
      <c r="CN251" s="180"/>
      <c r="CQ251" s="180"/>
      <c r="CR251" s="180"/>
      <c r="CS251" s="180"/>
      <c r="DS251" s="180"/>
      <c r="DT251" s="180"/>
      <c r="DU251" s="180"/>
    </row>
    <row r="252" spans="1:125" s="54" customFormat="1" hidden="1">
      <c r="A252" s="135">
        <f t="shared" si="26"/>
        <v>0</v>
      </c>
      <c r="B252" s="178" t="str">
        <f t="shared" si="27"/>
        <v/>
      </c>
      <c r="C252" s="178" t="str">
        <f>IFERROR(IF(INDEX('M04-S07'!$BH$18:$BH$199,2*(ROWS($C$246:C252)-1)+1)="","",INDEX('M04-S07'!$BH$18:$BH$199,2*(ROWS($C$246:C252)-1)+1)),"")</f>
        <v/>
      </c>
      <c r="D252" s="180" t="s">
        <v>144</v>
      </c>
      <c r="E252" s="178" t="str">
        <f>IFERROR(INDEX('M04-S07'!$AZ$18:$AZ$199,2*(ROWS(E$246:E252)-1)+1),"")</f>
        <v/>
      </c>
      <c r="F252" s="408"/>
      <c r="G252" s="325"/>
      <c r="H252" s="200" t="str">
        <f ca="1">IFERROR(IF(AC252&lt;&gt;"","",INDEX('M04-S07'!$AD$18:$AD$199,2*(ROWS(H$246:H252)-1)+1)),"")</f>
        <v/>
      </c>
      <c r="I252" s="200" t="str">
        <f ca="1">IFERROR(IF(AC252&lt;&gt;"","",INDEX('M04-S07'!$AF$18:$AF$199,2*(ROWS(I$246:I252)-1)+1)),"")</f>
        <v/>
      </c>
      <c r="J252" s="200" t="str">
        <f ca="1">IFERROR(IF(AC252&lt;&gt;"","",INDEX('M04-S07'!$AH$18:$AH$199,2*(ROWS(J$246:J252)-1)+1)),"")</f>
        <v/>
      </c>
      <c r="K252" s="178" t="str">
        <f ca="1">IFERROR(IF(AC252&lt;&gt;"","",INDEX('M04-S07'!$AB$18:$AB$199,2*(ROWS(J$246:J252)-1)+1)),"")</f>
        <v/>
      </c>
      <c r="L252" s="116" t="str">
        <f ca="1">IFERROR(IF(AC252&lt;&gt;"","",ROUND(INDEX('M04-S07'!$P$18:$P$199,2*(ROWS(L$246:L252)-1)+1),3)),"")</f>
        <v/>
      </c>
      <c r="M252" s="116" t="str">
        <f ca="1">IFERROR(IF(AC252&lt;&gt;"","",ROUND(INDEX('M04-S07'!$X$18:$X$199,2*(ROWS(M$246:M252)-1)+1),3)),"")</f>
        <v/>
      </c>
      <c r="N252" s="418"/>
      <c r="O252" s="415" t="str">
        <f ca="1">IFERROR(IF(AC252&lt;&gt;"","",INDEX('M04-S07'!$AK$18:$AK$199,2*(ROWS(O$246:O252)-1)+1)),"")</f>
        <v/>
      </c>
      <c r="P252" s="408"/>
      <c r="Q252" s="415" t="str">
        <f ca="1">IFERROR(IF(AC252&lt;&gt;"","",INDEX('M04-S07'!$BA$18:$BA$199,2*(ROWS(Q$246:Q252)-1)+1)),"")</f>
        <v/>
      </c>
      <c r="R252" s="200" t="str">
        <f ca="1">IFERROR(IF(AC252&lt;&gt;"","",INDEX('M04-S07'!$AN$18:$AN$199,2*(ROWS(R$246:R252)-1)+1)),"")</f>
        <v/>
      </c>
      <c r="S252" s="200">
        <f ca="1">IFERROR(IF(AC252&lt;&gt;"",INDEX('M04-S07'!$AD$18:$AD$199,2*(ROWS(S$246:S252)-1)+1),""),"")</f>
        <v>0</v>
      </c>
      <c r="T252" s="200" t="str">
        <f ca="1">IFERROR(IF(AC252&lt;&gt;"",INDEX('M04-S07'!$AF$18:$AF$199,2*(ROWS(T$246:T252)-1)+1),""),"")</f>
        <v/>
      </c>
      <c r="U252" s="200" t="str">
        <f ca="1">IFERROR(IF(AC252&lt;&gt;"",INDEX('M04-S07'!$AH$18:$AH$199,2*(ROWS(U$246:U252)-1)+1),""),"")</f>
        <v/>
      </c>
      <c r="V252" s="178" t="str">
        <f ca="1">IFERROR(IF(AC252&lt;&gt;"",INDEX('M04-S07'!$AB$18:$AB$199,2*(ROWS(V$246:V252)-1)+1),""),"")</f>
        <v/>
      </c>
      <c r="W252" s="116">
        <f ca="1">IFERROR(IF(AC252&lt;&gt;"",ROUND(INDEX('M04-S07'!$P$18:$P$199,2*(ROWS(W$246:W252)-1)+1),3),""),"")</f>
        <v>0</v>
      </c>
      <c r="X252" s="116">
        <f ca="1">IFERROR(IF(AC252&lt;&gt;"",ROUND(INDEX('M04-S07'!$Z$18:$Z$199,2*(ROWS(X$246:X252)-1)+1),3),""),"")</f>
        <v>0</v>
      </c>
      <c r="Y252" s="408"/>
      <c r="Z252" s="173" t="str">
        <f ca="1">IFERROR(IF(AC252&lt;&gt;"",INDEX('M04-S07'!$AK$18:$AK$199,2*(ROWS(Z$246:Z252)-1)+1),""),"")</f>
        <v/>
      </c>
      <c r="AA252" s="408"/>
      <c r="AB252" s="415" t="str">
        <f ca="1">IFERROR(IF(AC252&lt;&gt;"",INDEX('M04-S07'!$BA$18:$BA$199,2*(ROWS(AB$246:AB252)-1)+1),""),"")</f>
        <v/>
      </c>
      <c r="AC252" s="178" t="str">
        <f ca="1">IFERROR(INDEX('M04-S07'!$BJ$18:$BJ$199,2*(ROWS(AC$246:AC252)-1)+1),"")</f>
        <v>Submit for Review</v>
      </c>
      <c r="AD252" s="415" t="str">
        <f>IFERROR(INDEX('M04-S07'!$AW$18:$AW$199,2*(ROWS(AD$246:AD252)-1)+1),"")</f>
        <v/>
      </c>
      <c r="AE252" s="415" t="str">
        <f>IFERROR(INDEX('M04-S07'!$AX$18:$AX$199,2*(ROWS(AE$246:AE252)-1)+1),"")</f>
        <v/>
      </c>
      <c r="AF252" s="408"/>
      <c r="AG252" s="408"/>
      <c r="AH252" s="408"/>
      <c r="AI252" s="178">
        <f>IFERROR(INDEX('M04-S07'!$B$18:$B$199,2*(ROWS(AI$246:AI252)-1)+1),"")</f>
        <v>7</v>
      </c>
      <c r="AJ252" s="325"/>
      <c r="AK252" s="178">
        <f>IFERROR(INDEX('M04-S07'!$F$18:$F$199,2*(ROWS(AK$246:AK252)-1)+1),"")</f>
        <v>0</v>
      </c>
      <c r="AL252" s="178">
        <f>IFERROR(INDEX('M04-S07'!$L$18:$L$199,2*(ROWS(AL$246:AL252)-1)+1),"")</f>
        <v>0</v>
      </c>
      <c r="AM252" s="178">
        <f>IFERROR(INDEX('M04-S07'!$T$18:$T$199,2*(ROWS(AM$246:AM252)-1)+1),"")</f>
        <v>0</v>
      </c>
      <c r="AN252" s="200" t="str">
        <f>IFERROR(INDEX('M04-S07'!$AT$18:$AT$199,2*(ROWS(AN$246:AN252)-1)+1),"")</f>
        <v/>
      </c>
      <c r="AO252" s="200" t="str">
        <f>IFERROR(INDEX('M04-S07'!$AU$18:$AU$199,2*(ROWS(AO$246:AO252)-1)+1),"")</f>
        <v/>
      </c>
      <c r="AP252" s="178" t="str">
        <f>IFERROR(INDEX('M04-S07'!$AV$18:$AV$199,2*(ROWS(AP$246:AP252)-1)+1),"")</f>
        <v/>
      </c>
      <c r="AQ252" s="178" t="str">
        <f>IFERROR(INDEX('M04-S07'!$AY$18:$AY$199,2*(ROWS(AQ$246:AQ252)-1)+1),"")</f>
        <v/>
      </c>
      <c r="AR252" s="178" t="s">
        <v>1374</v>
      </c>
      <c r="AS252" s="178"/>
      <c r="AT252" s="278"/>
      <c r="AU252" s="278"/>
      <c r="AV252" s="278"/>
      <c r="AW252" s="278"/>
      <c r="AX252" s="278"/>
      <c r="AY252" s="278"/>
      <c r="AZ252" s="278"/>
      <c r="BA252" s="278"/>
      <c r="BB252" s="278"/>
      <c r="BC252" s="278"/>
      <c r="BD252" s="278"/>
      <c r="BE252" s="279"/>
      <c r="BL252" s="180"/>
      <c r="BP252" s="180"/>
      <c r="BQ252" s="180"/>
      <c r="BR252" s="180"/>
      <c r="CD252" s="180"/>
      <c r="CE252" s="180"/>
      <c r="CF252" s="180"/>
      <c r="CH252" s="180"/>
      <c r="CI252" s="180"/>
      <c r="CJ252" s="180"/>
      <c r="CK252" s="180"/>
      <c r="CL252" s="180"/>
      <c r="CM252" s="180"/>
      <c r="CN252" s="180"/>
      <c r="CQ252" s="180"/>
      <c r="CR252" s="180"/>
      <c r="CS252" s="180"/>
      <c r="DS252" s="180"/>
      <c r="DT252" s="180"/>
      <c r="DU252" s="180"/>
    </row>
    <row r="253" spans="1:125" s="54" customFormat="1" hidden="1">
      <c r="A253" s="135">
        <f t="shared" si="26"/>
        <v>0</v>
      </c>
      <c r="B253" s="178" t="str">
        <f t="shared" si="27"/>
        <v/>
      </c>
      <c r="C253" s="178" t="str">
        <f>IFERROR(IF(INDEX('M04-S07'!$BH$18:$BH$199,2*(ROWS($C$246:C253)-1)+1)="","",INDEX('M04-S07'!$BH$18:$BH$199,2*(ROWS($C$246:C253)-1)+1)),"")</f>
        <v/>
      </c>
      <c r="D253" s="180" t="s">
        <v>144</v>
      </c>
      <c r="E253" s="178" t="str">
        <f>IFERROR(INDEX('M04-S07'!$AZ$18:$AZ$199,2*(ROWS(E$246:E253)-1)+1),"")</f>
        <v/>
      </c>
      <c r="F253" s="408"/>
      <c r="G253" s="325"/>
      <c r="H253" s="200" t="str">
        <f ca="1">IFERROR(IF(AC253&lt;&gt;"","",INDEX('M04-S07'!$AD$18:$AD$199,2*(ROWS(H$246:H253)-1)+1)),"")</f>
        <v/>
      </c>
      <c r="I253" s="200" t="str">
        <f ca="1">IFERROR(IF(AC253&lt;&gt;"","",INDEX('M04-S07'!$AF$18:$AF$199,2*(ROWS(I$246:I253)-1)+1)),"")</f>
        <v/>
      </c>
      <c r="J253" s="200" t="str">
        <f ca="1">IFERROR(IF(AC253&lt;&gt;"","",INDEX('M04-S07'!$AH$18:$AH$199,2*(ROWS(J$246:J253)-1)+1)),"")</f>
        <v/>
      </c>
      <c r="K253" s="178" t="str">
        <f ca="1">IFERROR(IF(AC253&lt;&gt;"","",INDEX('M04-S07'!$AB$18:$AB$199,2*(ROWS(J$246:J253)-1)+1)),"")</f>
        <v/>
      </c>
      <c r="L253" s="116" t="str">
        <f ca="1">IFERROR(IF(AC253&lt;&gt;"","",ROUND(INDEX('M04-S07'!$P$18:$P$199,2*(ROWS(L$246:L253)-1)+1),3)),"")</f>
        <v/>
      </c>
      <c r="M253" s="116" t="str">
        <f ca="1">IFERROR(IF(AC253&lt;&gt;"","",ROUND(INDEX('M04-S07'!$X$18:$X$199,2*(ROWS(M$246:M253)-1)+1),3)),"")</f>
        <v/>
      </c>
      <c r="N253" s="418"/>
      <c r="O253" s="415" t="str">
        <f ca="1">IFERROR(IF(AC253&lt;&gt;"","",INDEX('M04-S07'!$AK$18:$AK$199,2*(ROWS(O$246:O253)-1)+1)),"")</f>
        <v/>
      </c>
      <c r="P253" s="408"/>
      <c r="Q253" s="415" t="str">
        <f ca="1">IFERROR(IF(AC253&lt;&gt;"","",INDEX('M04-S07'!$BA$18:$BA$199,2*(ROWS(Q$246:Q253)-1)+1)),"")</f>
        <v/>
      </c>
      <c r="R253" s="200" t="str">
        <f ca="1">IFERROR(IF(AC253&lt;&gt;"","",INDEX('M04-S07'!$AN$18:$AN$199,2*(ROWS(R$246:R253)-1)+1)),"")</f>
        <v/>
      </c>
      <c r="S253" s="200">
        <f ca="1">IFERROR(IF(AC253&lt;&gt;"",INDEX('M04-S07'!$AD$18:$AD$199,2*(ROWS(S$246:S253)-1)+1),""),"")</f>
        <v>0</v>
      </c>
      <c r="T253" s="200" t="str">
        <f ca="1">IFERROR(IF(AC253&lt;&gt;"",INDEX('M04-S07'!$AF$18:$AF$199,2*(ROWS(T$246:T253)-1)+1),""),"")</f>
        <v/>
      </c>
      <c r="U253" s="200" t="str">
        <f ca="1">IFERROR(IF(AC253&lt;&gt;"",INDEX('M04-S07'!$AH$18:$AH$199,2*(ROWS(U$246:U253)-1)+1),""),"")</f>
        <v/>
      </c>
      <c r="V253" s="178" t="str">
        <f ca="1">IFERROR(IF(AC253&lt;&gt;"",INDEX('M04-S07'!$AB$18:$AB$199,2*(ROWS(V$246:V253)-1)+1),""),"")</f>
        <v/>
      </c>
      <c r="W253" s="116">
        <f ca="1">IFERROR(IF(AC253&lt;&gt;"",ROUND(INDEX('M04-S07'!$P$18:$P$199,2*(ROWS(W$246:W253)-1)+1),3),""),"")</f>
        <v>0</v>
      </c>
      <c r="X253" s="116">
        <f ca="1">IFERROR(IF(AC253&lt;&gt;"",ROUND(INDEX('M04-S07'!$Z$18:$Z$199,2*(ROWS(X$246:X253)-1)+1),3),""),"")</f>
        <v>0</v>
      </c>
      <c r="Y253" s="408"/>
      <c r="Z253" s="173" t="str">
        <f ca="1">IFERROR(IF(AC253&lt;&gt;"",INDEX('M04-S07'!$AK$18:$AK$199,2*(ROWS(Z$246:Z253)-1)+1),""),"")</f>
        <v/>
      </c>
      <c r="AA253" s="408"/>
      <c r="AB253" s="415" t="str">
        <f ca="1">IFERROR(IF(AC253&lt;&gt;"",INDEX('M04-S07'!$BA$18:$BA$199,2*(ROWS(AB$246:AB253)-1)+1),""),"")</f>
        <v/>
      </c>
      <c r="AC253" s="178" t="str">
        <f ca="1">IFERROR(INDEX('M04-S07'!$BJ$18:$BJ$199,2*(ROWS(AC$246:AC253)-1)+1),"")</f>
        <v>Submit for Review</v>
      </c>
      <c r="AD253" s="415" t="str">
        <f>IFERROR(INDEX('M04-S07'!$AW$18:$AW$199,2*(ROWS(AD$246:AD253)-1)+1),"")</f>
        <v/>
      </c>
      <c r="AE253" s="415" t="str">
        <f>IFERROR(INDEX('M04-S07'!$AX$18:$AX$199,2*(ROWS(AE$246:AE253)-1)+1),"")</f>
        <v/>
      </c>
      <c r="AF253" s="408"/>
      <c r="AG253" s="408"/>
      <c r="AH253" s="408"/>
      <c r="AI253" s="178">
        <f>IFERROR(INDEX('M04-S07'!$B$18:$B$199,2*(ROWS(AI$246:AI253)-1)+1),"")</f>
        <v>8</v>
      </c>
      <c r="AJ253" s="325"/>
      <c r="AK253" s="178">
        <f>IFERROR(INDEX('M04-S07'!$F$18:$F$199,2*(ROWS(AK$246:AK253)-1)+1),"")</f>
        <v>0</v>
      </c>
      <c r="AL253" s="178">
        <f>IFERROR(INDEX('M04-S07'!$L$18:$L$199,2*(ROWS(AL$246:AL253)-1)+1),"")</f>
        <v>0</v>
      </c>
      <c r="AM253" s="178">
        <f>IFERROR(INDEX('M04-S07'!$T$18:$T$199,2*(ROWS(AM$246:AM253)-1)+1),"")</f>
        <v>0</v>
      </c>
      <c r="AN253" s="200" t="str">
        <f>IFERROR(INDEX('M04-S07'!$AT$18:$AT$199,2*(ROWS(AN$246:AN253)-1)+1),"")</f>
        <v/>
      </c>
      <c r="AO253" s="200" t="str">
        <f>IFERROR(INDEX('M04-S07'!$AU$18:$AU$199,2*(ROWS(AO$246:AO253)-1)+1),"")</f>
        <v/>
      </c>
      <c r="AP253" s="178" t="str">
        <f>IFERROR(INDEX('M04-S07'!$AV$18:$AV$199,2*(ROWS(AP$246:AP253)-1)+1),"")</f>
        <v/>
      </c>
      <c r="AQ253" s="178" t="str">
        <f>IFERROR(INDEX('M04-S07'!$AY$18:$AY$199,2*(ROWS(AQ$246:AQ253)-1)+1),"")</f>
        <v/>
      </c>
      <c r="AR253" s="178" t="s">
        <v>1374</v>
      </c>
      <c r="AS253" s="178"/>
      <c r="AT253" s="278"/>
      <c r="AU253" s="278"/>
      <c r="AV253" s="278"/>
      <c r="AW253" s="278"/>
      <c r="AX253" s="278"/>
      <c r="AY253" s="278"/>
      <c r="AZ253" s="278"/>
      <c r="BA253" s="278"/>
      <c r="BB253" s="278"/>
      <c r="BC253" s="278"/>
      <c r="BD253" s="278"/>
      <c r="BE253" s="279"/>
      <c r="BL253" s="180"/>
      <c r="BP253" s="180"/>
      <c r="BQ253" s="180"/>
      <c r="BR253" s="180"/>
      <c r="CD253" s="180"/>
      <c r="CE253" s="180"/>
      <c r="CF253" s="180"/>
      <c r="CH253" s="180"/>
      <c r="CI253" s="180"/>
      <c r="CJ253" s="180"/>
      <c r="CK253" s="180"/>
      <c r="CL253" s="180"/>
      <c r="CM253" s="180"/>
      <c r="CN253" s="180"/>
      <c r="CQ253" s="180"/>
      <c r="CR253" s="180"/>
      <c r="CS253" s="180"/>
      <c r="DS253" s="180"/>
      <c r="DT253" s="180"/>
      <c r="DU253" s="180"/>
    </row>
    <row r="254" spans="1:125" s="54" customFormat="1" hidden="1">
      <c r="A254" s="135">
        <f t="shared" si="26"/>
        <v>0</v>
      </c>
      <c r="B254" s="178" t="str">
        <f t="shared" si="27"/>
        <v/>
      </c>
      <c r="C254" s="178" t="str">
        <f>IFERROR(IF(INDEX('M04-S07'!$BH$18:$BH$199,2*(ROWS($C$246:C254)-1)+1)="","",INDEX('M04-S07'!$BH$18:$BH$199,2*(ROWS($C$246:C254)-1)+1)),"")</f>
        <v/>
      </c>
      <c r="D254" s="180" t="s">
        <v>144</v>
      </c>
      <c r="E254" s="178" t="str">
        <f>IFERROR(INDEX('M04-S07'!$AZ$18:$AZ$199,2*(ROWS(E$246:E254)-1)+1),"")</f>
        <v/>
      </c>
      <c r="F254" s="408"/>
      <c r="G254" s="325"/>
      <c r="H254" s="200" t="str">
        <f ca="1">IFERROR(IF(AC254&lt;&gt;"","",INDEX('M04-S07'!$AD$18:$AD$199,2*(ROWS(H$246:H254)-1)+1)),"")</f>
        <v/>
      </c>
      <c r="I254" s="200" t="str">
        <f ca="1">IFERROR(IF(AC254&lt;&gt;"","",INDEX('M04-S07'!$AF$18:$AF$199,2*(ROWS(I$246:I254)-1)+1)),"")</f>
        <v/>
      </c>
      <c r="J254" s="200" t="str">
        <f ca="1">IFERROR(IF(AC254&lt;&gt;"","",INDEX('M04-S07'!$AH$18:$AH$199,2*(ROWS(J$246:J254)-1)+1)),"")</f>
        <v/>
      </c>
      <c r="K254" s="178" t="str">
        <f ca="1">IFERROR(IF(AC254&lt;&gt;"","",INDEX('M04-S07'!$AB$18:$AB$199,2*(ROWS(J$246:J254)-1)+1)),"")</f>
        <v/>
      </c>
      <c r="L254" s="116" t="str">
        <f ca="1">IFERROR(IF(AC254&lt;&gt;"","",ROUND(INDEX('M04-S07'!$P$18:$P$199,2*(ROWS(L$246:L254)-1)+1),3)),"")</f>
        <v/>
      </c>
      <c r="M254" s="116" t="str">
        <f ca="1">IFERROR(IF(AC254&lt;&gt;"","",ROUND(INDEX('M04-S07'!$X$18:$X$199,2*(ROWS(M$246:M254)-1)+1),3)),"")</f>
        <v/>
      </c>
      <c r="N254" s="418"/>
      <c r="O254" s="415" t="str">
        <f ca="1">IFERROR(IF(AC254&lt;&gt;"","",INDEX('M04-S07'!$AK$18:$AK$199,2*(ROWS(O$246:O254)-1)+1)),"")</f>
        <v/>
      </c>
      <c r="P254" s="408"/>
      <c r="Q254" s="415" t="str">
        <f ca="1">IFERROR(IF(AC254&lt;&gt;"","",INDEX('M04-S07'!$BA$18:$BA$199,2*(ROWS(Q$246:Q254)-1)+1)),"")</f>
        <v/>
      </c>
      <c r="R254" s="200" t="str">
        <f ca="1">IFERROR(IF(AC254&lt;&gt;"","",INDEX('M04-S07'!$AN$18:$AN$199,2*(ROWS(R$246:R254)-1)+1)),"")</f>
        <v/>
      </c>
      <c r="S254" s="200">
        <f ca="1">IFERROR(IF(AC254&lt;&gt;"",INDEX('M04-S07'!$AD$18:$AD$199,2*(ROWS(S$246:S254)-1)+1),""),"")</f>
        <v>0</v>
      </c>
      <c r="T254" s="200" t="str">
        <f ca="1">IFERROR(IF(AC254&lt;&gt;"",INDEX('M04-S07'!$AF$18:$AF$199,2*(ROWS(T$246:T254)-1)+1),""),"")</f>
        <v/>
      </c>
      <c r="U254" s="200" t="str">
        <f ca="1">IFERROR(IF(AC254&lt;&gt;"",INDEX('M04-S07'!$AH$18:$AH$199,2*(ROWS(U$246:U254)-1)+1),""),"")</f>
        <v/>
      </c>
      <c r="V254" s="178" t="str">
        <f ca="1">IFERROR(IF(AC254&lt;&gt;"",INDEX('M04-S07'!$AB$18:$AB$199,2*(ROWS(V$246:V254)-1)+1),""),"")</f>
        <v/>
      </c>
      <c r="W254" s="116">
        <f ca="1">IFERROR(IF(AC254&lt;&gt;"",ROUND(INDEX('M04-S07'!$P$18:$P$199,2*(ROWS(W$246:W254)-1)+1),3),""),"")</f>
        <v>0</v>
      </c>
      <c r="X254" s="116">
        <f ca="1">IFERROR(IF(AC254&lt;&gt;"",ROUND(INDEX('M04-S07'!$Z$18:$Z$199,2*(ROWS(X$246:X254)-1)+1),3),""),"")</f>
        <v>0</v>
      </c>
      <c r="Y254" s="408"/>
      <c r="Z254" s="173" t="str">
        <f ca="1">IFERROR(IF(AC254&lt;&gt;"",INDEX('M04-S07'!$AK$18:$AK$199,2*(ROWS(Z$246:Z254)-1)+1),""),"")</f>
        <v/>
      </c>
      <c r="AA254" s="408"/>
      <c r="AB254" s="415" t="str">
        <f ca="1">IFERROR(IF(AC254&lt;&gt;"",INDEX('M04-S07'!$BA$18:$BA$199,2*(ROWS(AB$246:AB254)-1)+1),""),"")</f>
        <v/>
      </c>
      <c r="AC254" s="178" t="str">
        <f ca="1">IFERROR(INDEX('M04-S07'!$BJ$18:$BJ$199,2*(ROWS(AC$246:AC254)-1)+1),"")</f>
        <v>Submit for Review</v>
      </c>
      <c r="AD254" s="415" t="str">
        <f>IFERROR(INDEX('M04-S07'!$AW$18:$AW$199,2*(ROWS(AD$246:AD254)-1)+1),"")</f>
        <v/>
      </c>
      <c r="AE254" s="415" t="str">
        <f>IFERROR(INDEX('M04-S07'!$AX$18:$AX$199,2*(ROWS(AE$246:AE254)-1)+1),"")</f>
        <v/>
      </c>
      <c r="AF254" s="408"/>
      <c r="AG254" s="408"/>
      <c r="AH254" s="408"/>
      <c r="AI254" s="178">
        <f>IFERROR(INDEX('M04-S07'!$B$18:$B$199,2*(ROWS(AI$246:AI254)-1)+1),"")</f>
        <v>9</v>
      </c>
      <c r="AJ254" s="325"/>
      <c r="AK254" s="178">
        <f>IFERROR(INDEX('M04-S07'!$F$18:$F$199,2*(ROWS(AK$246:AK254)-1)+1),"")</f>
        <v>0</v>
      </c>
      <c r="AL254" s="178">
        <f>IFERROR(INDEX('M04-S07'!$L$18:$L$199,2*(ROWS(AL$246:AL254)-1)+1),"")</f>
        <v>0</v>
      </c>
      <c r="AM254" s="178">
        <f>IFERROR(INDEX('M04-S07'!$T$18:$T$199,2*(ROWS(AM$246:AM254)-1)+1),"")</f>
        <v>0</v>
      </c>
      <c r="AN254" s="200" t="str">
        <f>IFERROR(INDEX('M04-S07'!$AT$18:$AT$199,2*(ROWS(AN$246:AN254)-1)+1),"")</f>
        <v/>
      </c>
      <c r="AO254" s="200" t="str">
        <f>IFERROR(INDEX('M04-S07'!$AU$18:$AU$199,2*(ROWS(AO$246:AO254)-1)+1),"")</f>
        <v/>
      </c>
      <c r="AP254" s="178" t="str">
        <f>IFERROR(INDEX('M04-S07'!$AV$18:$AV$199,2*(ROWS(AP$246:AP254)-1)+1),"")</f>
        <v/>
      </c>
      <c r="AQ254" s="178" t="str">
        <f>IFERROR(INDEX('M04-S07'!$AY$18:$AY$199,2*(ROWS(AQ$246:AQ254)-1)+1),"")</f>
        <v/>
      </c>
      <c r="AR254" s="178" t="s">
        <v>1374</v>
      </c>
      <c r="AS254" s="178"/>
      <c r="AT254" s="278"/>
      <c r="AU254" s="278"/>
      <c r="AV254" s="278"/>
      <c r="AW254" s="278"/>
      <c r="AX254" s="278"/>
      <c r="AY254" s="278"/>
      <c r="AZ254" s="278"/>
      <c r="BA254" s="278"/>
      <c r="BB254" s="278"/>
      <c r="BC254" s="278"/>
      <c r="BD254" s="278"/>
      <c r="BE254" s="279"/>
      <c r="BL254" s="180"/>
      <c r="BP254" s="180"/>
      <c r="BQ254" s="180"/>
      <c r="BR254" s="180"/>
      <c r="CD254" s="180"/>
      <c r="CE254" s="180"/>
      <c r="CF254" s="180"/>
      <c r="CH254" s="180"/>
      <c r="CI254" s="180"/>
      <c r="CJ254" s="180"/>
      <c r="CK254" s="180"/>
      <c r="CL254" s="180"/>
      <c r="CM254" s="180"/>
      <c r="CN254" s="180"/>
      <c r="CQ254" s="180"/>
      <c r="CR254" s="180"/>
      <c r="CS254" s="180"/>
      <c r="DS254" s="180"/>
      <c r="DT254" s="180"/>
      <c r="DU254" s="180"/>
    </row>
    <row r="255" spans="1:125" s="54" customFormat="1" hidden="1">
      <c r="A255" s="135">
        <f t="shared" si="26"/>
        <v>0</v>
      </c>
      <c r="B255" s="178" t="str">
        <f t="shared" si="27"/>
        <v/>
      </c>
      <c r="C255" s="178" t="str">
        <f>IFERROR(IF(INDEX('M04-S07'!$BH$18:$BH$199,2*(ROWS($C$246:C255)-1)+1)="","",INDEX('M04-S07'!$BH$18:$BH$199,2*(ROWS($C$246:C255)-1)+1)),"")</f>
        <v/>
      </c>
      <c r="D255" s="180" t="s">
        <v>144</v>
      </c>
      <c r="E255" s="178" t="str">
        <f>IFERROR(INDEX('M04-S07'!$AZ$18:$AZ$199,2*(ROWS(E$246:E255)-1)+1),"")</f>
        <v/>
      </c>
      <c r="F255" s="408"/>
      <c r="G255" s="325"/>
      <c r="H255" s="200" t="str">
        <f ca="1">IFERROR(IF(AC255&lt;&gt;"","",INDEX('M04-S07'!$AD$18:$AD$199,2*(ROWS(H$246:H255)-1)+1)),"")</f>
        <v/>
      </c>
      <c r="I255" s="200" t="str">
        <f ca="1">IFERROR(IF(AC255&lt;&gt;"","",INDEX('M04-S07'!$AF$18:$AF$199,2*(ROWS(I$246:I255)-1)+1)),"")</f>
        <v/>
      </c>
      <c r="J255" s="200" t="str">
        <f ca="1">IFERROR(IF(AC255&lt;&gt;"","",INDEX('M04-S07'!$AH$18:$AH$199,2*(ROWS(J$246:J255)-1)+1)),"")</f>
        <v/>
      </c>
      <c r="K255" s="178" t="str">
        <f ca="1">IFERROR(IF(AC255&lt;&gt;"","",INDEX('M04-S07'!$AB$18:$AB$199,2*(ROWS(J$246:J255)-1)+1)),"")</f>
        <v/>
      </c>
      <c r="L255" s="116" t="str">
        <f ca="1">IFERROR(IF(AC255&lt;&gt;"","",ROUND(INDEX('M04-S07'!$P$18:$P$199,2*(ROWS(L$246:L255)-1)+1),3)),"")</f>
        <v/>
      </c>
      <c r="M255" s="116" t="str">
        <f ca="1">IFERROR(IF(AC255&lt;&gt;"","",ROUND(INDEX('M04-S07'!$X$18:$X$199,2*(ROWS(M$246:M255)-1)+1),3)),"")</f>
        <v/>
      </c>
      <c r="N255" s="418"/>
      <c r="O255" s="415" t="str">
        <f ca="1">IFERROR(IF(AC255&lt;&gt;"","",INDEX('M04-S07'!$AK$18:$AK$199,2*(ROWS(O$246:O255)-1)+1)),"")</f>
        <v/>
      </c>
      <c r="P255" s="408"/>
      <c r="Q255" s="415" t="str">
        <f ca="1">IFERROR(IF(AC255&lt;&gt;"","",INDEX('M04-S07'!$BA$18:$BA$199,2*(ROWS(Q$246:Q255)-1)+1)),"")</f>
        <v/>
      </c>
      <c r="R255" s="200" t="str">
        <f ca="1">IFERROR(IF(AC255&lt;&gt;"","",INDEX('M04-S07'!$AN$18:$AN$199,2*(ROWS(R$246:R255)-1)+1)),"")</f>
        <v/>
      </c>
      <c r="S255" s="200">
        <f ca="1">IFERROR(IF(AC255&lt;&gt;"",INDEX('M04-S07'!$AD$18:$AD$199,2*(ROWS(S$246:S255)-1)+1),""),"")</f>
        <v>0</v>
      </c>
      <c r="T255" s="200" t="str">
        <f ca="1">IFERROR(IF(AC255&lt;&gt;"",INDEX('M04-S07'!$AF$18:$AF$199,2*(ROWS(T$246:T255)-1)+1),""),"")</f>
        <v/>
      </c>
      <c r="U255" s="200" t="str">
        <f ca="1">IFERROR(IF(AC255&lt;&gt;"",INDEX('M04-S07'!$AH$18:$AH$199,2*(ROWS(U$246:U255)-1)+1),""),"")</f>
        <v/>
      </c>
      <c r="V255" s="178" t="str">
        <f ca="1">IFERROR(IF(AC255&lt;&gt;"",INDEX('M04-S07'!$AB$18:$AB$199,2*(ROWS(V$246:V255)-1)+1),""),"")</f>
        <v/>
      </c>
      <c r="W255" s="116">
        <f ca="1">IFERROR(IF(AC255&lt;&gt;"",ROUND(INDEX('M04-S07'!$P$18:$P$199,2*(ROWS(W$246:W255)-1)+1),3),""),"")</f>
        <v>0</v>
      </c>
      <c r="X255" s="116">
        <f ca="1">IFERROR(IF(AC255&lt;&gt;"",ROUND(INDEX('M04-S07'!$Z$18:$Z$199,2*(ROWS(X$246:X255)-1)+1),3),""),"")</f>
        <v>0</v>
      </c>
      <c r="Y255" s="408"/>
      <c r="Z255" s="173" t="str">
        <f ca="1">IFERROR(IF(AC255&lt;&gt;"",INDEX('M04-S07'!$AK$18:$AK$199,2*(ROWS(Z$246:Z255)-1)+1),""),"")</f>
        <v/>
      </c>
      <c r="AA255" s="408"/>
      <c r="AB255" s="415" t="str">
        <f ca="1">IFERROR(IF(AC255&lt;&gt;"",INDEX('M04-S07'!$BA$18:$BA$199,2*(ROWS(AB$246:AB255)-1)+1),""),"")</f>
        <v/>
      </c>
      <c r="AC255" s="178" t="str">
        <f ca="1">IFERROR(INDEX('M04-S07'!$BJ$18:$BJ$199,2*(ROWS(AC$246:AC255)-1)+1),"")</f>
        <v>Submit for Review</v>
      </c>
      <c r="AD255" s="415" t="str">
        <f>IFERROR(INDEX('M04-S07'!$AW$18:$AW$199,2*(ROWS(AD$246:AD255)-1)+1),"")</f>
        <v/>
      </c>
      <c r="AE255" s="415" t="str">
        <f>IFERROR(INDEX('M04-S07'!$AX$18:$AX$199,2*(ROWS(AE$246:AE255)-1)+1),"")</f>
        <v/>
      </c>
      <c r="AF255" s="408"/>
      <c r="AG255" s="408"/>
      <c r="AH255" s="408"/>
      <c r="AI255" s="178">
        <f>IFERROR(INDEX('M04-S07'!$B$18:$B$199,2*(ROWS(AI$246:AI255)-1)+1),"")</f>
        <v>10</v>
      </c>
      <c r="AJ255" s="325"/>
      <c r="AK255" s="178">
        <f>IFERROR(INDEX('M04-S07'!$F$18:$F$199,2*(ROWS(AK$246:AK255)-1)+1),"")</f>
        <v>0</v>
      </c>
      <c r="AL255" s="178">
        <f>IFERROR(INDEX('M04-S07'!$L$18:$L$199,2*(ROWS(AL$246:AL255)-1)+1),"")</f>
        <v>0</v>
      </c>
      <c r="AM255" s="178">
        <f>IFERROR(INDEX('M04-S07'!$T$18:$T$199,2*(ROWS(AM$246:AM255)-1)+1),"")</f>
        <v>0</v>
      </c>
      <c r="AN255" s="200" t="str">
        <f>IFERROR(INDEX('M04-S07'!$AT$18:$AT$199,2*(ROWS(AN$246:AN255)-1)+1),"")</f>
        <v/>
      </c>
      <c r="AO255" s="200" t="str">
        <f>IFERROR(INDEX('M04-S07'!$AU$18:$AU$199,2*(ROWS(AO$246:AO255)-1)+1),"")</f>
        <v/>
      </c>
      <c r="AP255" s="178" t="str">
        <f>IFERROR(INDEX('M04-S07'!$AV$18:$AV$199,2*(ROWS(AP$246:AP255)-1)+1),"")</f>
        <v/>
      </c>
      <c r="AQ255" s="178" t="str">
        <f>IFERROR(INDEX('M04-S07'!$AY$18:$AY$199,2*(ROWS(AQ$246:AQ255)-1)+1),"")</f>
        <v/>
      </c>
      <c r="AR255" s="178" t="s">
        <v>1374</v>
      </c>
      <c r="AS255" s="178"/>
      <c r="AT255" s="278"/>
      <c r="AU255" s="278"/>
      <c r="AV255" s="278"/>
      <c r="AW255" s="278"/>
      <c r="AX255" s="278"/>
      <c r="AY255" s="278"/>
      <c r="AZ255" s="278"/>
      <c r="BA255" s="278"/>
      <c r="BB255" s="278"/>
      <c r="BC255" s="278"/>
      <c r="BD255" s="278"/>
      <c r="BE255" s="279"/>
      <c r="BL255" s="180"/>
      <c r="BP255" s="180"/>
      <c r="BQ255" s="180"/>
      <c r="BR255" s="180"/>
      <c r="CD255" s="180"/>
      <c r="CE255" s="180"/>
      <c r="CF255" s="180"/>
      <c r="CH255" s="180"/>
      <c r="CI255" s="180"/>
      <c r="CJ255" s="180"/>
      <c r="CK255" s="180"/>
      <c r="CL255" s="180"/>
      <c r="CM255" s="180"/>
      <c r="CN255" s="180"/>
      <c r="CQ255" s="180"/>
      <c r="CR255" s="180"/>
      <c r="CS255" s="180"/>
      <c r="DS255" s="180"/>
      <c r="DT255" s="180"/>
      <c r="DU255" s="180"/>
    </row>
    <row r="256" spans="1:125" s="54" customFormat="1" hidden="1">
      <c r="A256" s="135">
        <f t="shared" si="26"/>
        <v>0</v>
      </c>
      <c r="B256" s="178" t="str">
        <f t="shared" si="27"/>
        <v/>
      </c>
      <c r="C256" s="178" t="str">
        <f>IFERROR(IF(INDEX('M04-S07'!$BH$18:$BH$199,2*(ROWS($C$246:C256)-1)+1)="","",INDEX('M04-S07'!$BH$18:$BH$199,2*(ROWS($C$246:C256)-1)+1)),"")</f>
        <v/>
      </c>
      <c r="D256" s="180" t="s">
        <v>144</v>
      </c>
      <c r="E256" s="178">
        <f>IFERROR(INDEX('M04-S07'!$AZ$18:$AZ$199,2*(ROWS(E$246:E256)-1)+1),"")</f>
        <v>0</v>
      </c>
      <c r="F256" s="408"/>
      <c r="G256" s="325"/>
      <c r="H256" s="200" t="str">
        <f>IFERROR(IF(AC256&lt;&gt;"","",INDEX('M04-S07'!$AD$18:$AD$199,2*(ROWS(H$246:H256)-1)+1)),"")</f>
        <v/>
      </c>
      <c r="I256" s="200" t="str">
        <f>IFERROR(IF(AC256&lt;&gt;"","",INDEX('M04-S07'!$AF$18:$AF$199,2*(ROWS(I$246:I256)-1)+1)),"")</f>
        <v/>
      </c>
      <c r="J256" s="200" t="str">
        <f>IFERROR(IF(AC256&lt;&gt;"","",INDEX('M04-S07'!$AH$18:$AH$199,2*(ROWS(J$246:J256)-1)+1)),"")</f>
        <v/>
      </c>
      <c r="K256" s="178" t="str">
        <f>IFERROR(IF(AC256&lt;&gt;"","",INDEX('M04-S07'!$AB$18:$AB$199,2*(ROWS(J$246:J256)-1)+1)),"")</f>
        <v/>
      </c>
      <c r="L256" s="116" t="str">
        <f>IFERROR(IF(AC256&lt;&gt;"","",ROUND(INDEX('M04-S07'!$P$18:$P$199,2*(ROWS(L$246:L256)-1)+1),3)),"")</f>
        <v/>
      </c>
      <c r="M256" s="116" t="str">
        <f>IFERROR(IF(AC256&lt;&gt;"","",ROUND(INDEX('M04-S07'!$X$18:$X$199,2*(ROWS(M$246:M256)-1)+1),3)),"")</f>
        <v/>
      </c>
      <c r="N256" s="418"/>
      <c r="O256" s="415" t="str">
        <f>IFERROR(IF(AC256&lt;&gt;"","",INDEX('M04-S07'!$AK$18:$AK$199,2*(ROWS(O$246:O256)-1)+1)),"")</f>
        <v/>
      </c>
      <c r="P256" s="408"/>
      <c r="Q256" s="415" t="str">
        <f>IFERROR(IF(AC256&lt;&gt;"","",INDEX('M04-S07'!$BA$18:$BA$199,2*(ROWS(Q$246:Q256)-1)+1)),"")</f>
        <v/>
      </c>
      <c r="R256" s="200" t="str">
        <f>IFERROR(IF(AC256&lt;&gt;"","",INDEX('M04-S07'!$AN$18:$AN$199,2*(ROWS(R$246:R256)-1)+1)),"")</f>
        <v/>
      </c>
      <c r="S256" s="200">
        <f>IFERROR(IF(AC256&lt;&gt;"",INDEX('M04-S07'!$AD$18:$AD$199,2*(ROWS(S$246:S256)-1)+1),""),"")</f>
        <v>0</v>
      </c>
      <c r="T256" s="200">
        <f>IFERROR(IF(AC256&lt;&gt;"",INDEX('M04-S07'!$AF$18:$AF$199,2*(ROWS(T$246:T256)-1)+1),""),"")</f>
        <v>0</v>
      </c>
      <c r="U256" s="200">
        <f>IFERROR(IF(AC256&lt;&gt;"",INDEX('M04-S07'!$AH$18:$AH$199,2*(ROWS(U$246:U256)-1)+1),""),"")</f>
        <v>0</v>
      </c>
      <c r="V256" s="178">
        <f>IFERROR(IF(AC256&lt;&gt;"",INDEX('M04-S07'!$AB$18:$AB$199,2*(ROWS(V$246:V256)-1)+1),""),"")</f>
        <v>0</v>
      </c>
      <c r="W256" s="116">
        <f>IFERROR(IF(AC256&lt;&gt;"",ROUND(INDEX('M04-S07'!$P$18:$P$199,2*(ROWS(W$246:W256)-1)+1),3),""),"")</f>
        <v>0</v>
      </c>
      <c r="X256" s="116">
        <f>IFERROR(IF(AC256&lt;&gt;"",ROUND(INDEX('M04-S07'!$Z$18:$Z$199,2*(ROWS(X$246:X256)-1)+1),3),""),"")</f>
        <v>0</v>
      </c>
      <c r="Y256" s="408"/>
      <c r="Z256" s="173">
        <f>IFERROR(IF(AC256&lt;&gt;"",INDEX('M04-S07'!$AK$18:$AK$199,2*(ROWS(Z$246:Z256)-1)+1),""),"")</f>
        <v>0</v>
      </c>
      <c r="AA256" s="408"/>
      <c r="AB256" s="415">
        <f>IFERROR(IF(AC256&lt;&gt;"",INDEX('M04-S07'!$BA$18:$BA$199,2*(ROWS(AB$246:AB256)-1)+1),""),"")</f>
        <v>0</v>
      </c>
      <c r="AC256" s="178">
        <f>IFERROR(INDEX('M04-S07'!$BJ$18:$BJ$199,2*(ROWS(AC$246:AC256)-1)+1),"")</f>
        <v>0</v>
      </c>
      <c r="AD256" s="415">
        <f>IFERROR(INDEX('M04-S07'!$AW$18:$AW$199,2*(ROWS(AD$246:AD256)-1)+1),"")</f>
        <v>0</v>
      </c>
      <c r="AE256" s="415">
        <f>IFERROR(INDEX('M04-S07'!$AX$18:$AX$199,2*(ROWS(AE$246:AE256)-1)+1),"")</f>
        <v>0</v>
      </c>
      <c r="AF256" s="408"/>
      <c r="AG256" s="408"/>
      <c r="AH256" s="408"/>
      <c r="AI256" s="178">
        <f>IFERROR(INDEX('M04-S07'!$B$18:$B$199,2*(ROWS(AI$246:AI256)-1)+1),"")</f>
        <v>0</v>
      </c>
      <c r="AJ256" s="325"/>
      <c r="AK256" s="178">
        <f>IFERROR(INDEX('M04-S07'!$F$18:$F$199,2*(ROWS(AK$246:AK256)-1)+1),"")</f>
        <v>0</v>
      </c>
      <c r="AL256" s="178">
        <f>IFERROR(INDEX('M04-S07'!$L$18:$L$199,2*(ROWS(AL$246:AL256)-1)+1),"")</f>
        <v>0</v>
      </c>
      <c r="AM256" s="178">
        <f>IFERROR(INDEX('M04-S07'!$T$18:$T$199,2*(ROWS(AM$246:AM256)-1)+1),"")</f>
        <v>0</v>
      </c>
      <c r="AN256" s="200">
        <f>IFERROR(INDEX('M04-S07'!$AT$18:$AT$199,2*(ROWS(AN$246:AN256)-1)+1),"")</f>
        <v>0</v>
      </c>
      <c r="AO256" s="200">
        <f>IFERROR(INDEX('M04-S07'!$AU$18:$AU$199,2*(ROWS(AO$246:AO256)-1)+1),"")</f>
        <v>0</v>
      </c>
      <c r="AP256" s="178">
        <f>IFERROR(INDEX('M04-S07'!$AV$18:$AV$199,2*(ROWS(AP$246:AP256)-1)+1),"")</f>
        <v>0</v>
      </c>
      <c r="AQ256" s="178">
        <f>IFERROR(INDEX('M04-S07'!$AY$18:$AY$199,2*(ROWS(AQ$246:AQ256)-1)+1),"")</f>
        <v>0</v>
      </c>
      <c r="AR256" s="178" t="s">
        <v>1374</v>
      </c>
      <c r="AS256" s="178"/>
      <c r="AT256" s="278"/>
      <c r="AU256" s="278"/>
      <c r="AV256" s="278"/>
      <c r="AW256" s="278"/>
      <c r="AX256" s="278"/>
      <c r="AY256" s="278"/>
      <c r="AZ256" s="278"/>
      <c r="BA256" s="278"/>
      <c r="BB256" s="278"/>
      <c r="BC256" s="278"/>
      <c r="BD256" s="278"/>
      <c r="BE256" s="279"/>
      <c r="BL256" s="180"/>
      <c r="BP256" s="180"/>
      <c r="BQ256" s="180"/>
      <c r="BR256" s="180"/>
      <c r="CD256" s="180"/>
      <c r="CE256" s="180"/>
      <c r="CF256" s="180"/>
      <c r="CH256" s="180"/>
      <c r="CI256" s="180"/>
      <c r="CJ256" s="180"/>
      <c r="CK256" s="180"/>
      <c r="CL256" s="180"/>
      <c r="CM256" s="180"/>
      <c r="CN256" s="180"/>
      <c r="CQ256" s="180"/>
      <c r="CR256" s="180"/>
      <c r="CS256" s="180"/>
      <c r="DS256" s="180"/>
      <c r="DT256" s="180"/>
      <c r="DU256" s="180"/>
    </row>
    <row r="257" spans="1:125" s="54" customFormat="1" hidden="1">
      <c r="A257" s="135">
        <f t="shared" si="26"/>
        <v>0</v>
      </c>
      <c r="B257" s="178" t="str">
        <f t="shared" si="27"/>
        <v/>
      </c>
      <c r="C257" s="178" t="str">
        <f>IFERROR(IF(INDEX('M04-S07'!$BH$18:$BH$199,2*(ROWS($C$246:C257)-1)+1)="","",INDEX('M04-S07'!$BH$18:$BH$199,2*(ROWS($C$246:C257)-1)+1)),"")</f>
        <v/>
      </c>
      <c r="D257" s="180" t="s">
        <v>144</v>
      </c>
      <c r="E257" s="178">
        <f>IFERROR(INDEX('M04-S07'!$AZ$18:$AZ$199,2*(ROWS(E$246:E257)-1)+1),"")</f>
        <v>0</v>
      </c>
      <c r="F257" s="408"/>
      <c r="G257" s="325"/>
      <c r="H257" s="200" t="str">
        <f>IFERROR(IF(AC257&lt;&gt;"","",INDEX('M04-S07'!$AD$18:$AD$199,2*(ROWS(H$246:H257)-1)+1)),"")</f>
        <v/>
      </c>
      <c r="I257" s="200" t="str">
        <f>IFERROR(IF(AC257&lt;&gt;"","",INDEX('M04-S07'!$AF$18:$AF$199,2*(ROWS(I$246:I257)-1)+1)),"")</f>
        <v/>
      </c>
      <c r="J257" s="200" t="str">
        <f>IFERROR(IF(AC257&lt;&gt;"","",INDEX('M04-S07'!$AH$18:$AH$199,2*(ROWS(J$246:J257)-1)+1)),"")</f>
        <v/>
      </c>
      <c r="K257" s="178" t="str">
        <f>IFERROR(IF(AC257&lt;&gt;"","",INDEX('M04-S07'!$AB$18:$AB$199,2*(ROWS(J$246:J257)-1)+1)),"")</f>
        <v/>
      </c>
      <c r="L257" s="116" t="str">
        <f>IFERROR(IF(AC257&lt;&gt;"","",ROUND(INDEX('M04-S07'!$P$18:$P$199,2*(ROWS(L$246:L257)-1)+1),3)),"")</f>
        <v/>
      </c>
      <c r="M257" s="116" t="str">
        <f>IFERROR(IF(AC257&lt;&gt;"","",ROUND(INDEX('M04-S07'!$X$18:$X$199,2*(ROWS(M$246:M257)-1)+1),3)),"")</f>
        <v/>
      </c>
      <c r="N257" s="418"/>
      <c r="O257" s="415" t="str">
        <f>IFERROR(IF(AC257&lt;&gt;"","",INDEX('M04-S07'!$AK$18:$AK$199,2*(ROWS(O$246:O257)-1)+1)),"")</f>
        <v/>
      </c>
      <c r="P257" s="408"/>
      <c r="Q257" s="415" t="str">
        <f>IFERROR(IF(AC257&lt;&gt;"","",INDEX('M04-S07'!$BA$18:$BA$199,2*(ROWS(Q$246:Q257)-1)+1)),"")</f>
        <v/>
      </c>
      <c r="R257" s="200" t="str">
        <f>IFERROR(IF(AC257&lt;&gt;"","",INDEX('M04-S07'!$AN$18:$AN$199,2*(ROWS(R$246:R257)-1)+1)),"")</f>
        <v/>
      </c>
      <c r="S257" s="200">
        <f>IFERROR(IF(AC257&lt;&gt;"",INDEX('M04-S07'!$AD$18:$AD$199,2*(ROWS(S$246:S257)-1)+1),""),"")</f>
        <v>0</v>
      </c>
      <c r="T257" s="200">
        <f>IFERROR(IF(AC257&lt;&gt;"",INDEX('M04-S07'!$AF$18:$AF$199,2*(ROWS(T$246:T257)-1)+1),""),"")</f>
        <v>0</v>
      </c>
      <c r="U257" s="200">
        <f>IFERROR(IF(AC257&lt;&gt;"",INDEX('M04-S07'!$AH$18:$AH$199,2*(ROWS(U$246:U257)-1)+1),""),"")</f>
        <v>0</v>
      </c>
      <c r="V257" s="178">
        <f>IFERROR(IF(AC257&lt;&gt;"",INDEX('M04-S07'!$AB$18:$AB$199,2*(ROWS(V$246:V257)-1)+1),""),"")</f>
        <v>0</v>
      </c>
      <c r="W257" s="116">
        <f>IFERROR(IF(AC257&lt;&gt;"",ROUND(INDEX('M04-S07'!$P$18:$P$199,2*(ROWS(W$246:W257)-1)+1),3),""),"")</f>
        <v>0</v>
      </c>
      <c r="X257" s="116">
        <f>IFERROR(IF(AC257&lt;&gt;"",ROUND(INDEX('M04-S07'!$Z$18:$Z$199,2*(ROWS(X$246:X257)-1)+1),3),""),"")</f>
        <v>0</v>
      </c>
      <c r="Y257" s="408"/>
      <c r="Z257" s="173">
        <f>IFERROR(IF(AC257&lt;&gt;"",INDEX('M04-S07'!$AK$18:$AK$199,2*(ROWS(Z$246:Z257)-1)+1),""),"")</f>
        <v>0</v>
      </c>
      <c r="AA257" s="408"/>
      <c r="AB257" s="415">
        <f>IFERROR(IF(AC257&lt;&gt;"",INDEX('M04-S07'!$BA$18:$BA$199,2*(ROWS(AB$246:AB257)-1)+1),""),"")</f>
        <v>0</v>
      </c>
      <c r="AC257" s="178">
        <f>IFERROR(INDEX('M04-S07'!$BJ$18:$BJ$199,2*(ROWS(AC$246:AC257)-1)+1),"")</f>
        <v>0</v>
      </c>
      <c r="AD257" s="415">
        <f>IFERROR(INDEX('M04-S07'!$AW$18:$AW$199,2*(ROWS(AD$246:AD257)-1)+1),"")</f>
        <v>0</v>
      </c>
      <c r="AE257" s="415">
        <f>IFERROR(INDEX('M04-S07'!$AX$18:$AX$199,2*(ROWS(AE$246:AE257)-1)+1),"")</f>
        <v>0</v>
      </c>
      <c r="AF257" s="408"/>
      <c r="AG257" s="408"/>
      <c r="AH257" s="408"/>
      <c r="AI257" s="178">
        <f>IFERROR(INDEX('M04-S07'!$B$18:$B$199,2*(ROWS(AI$246:AI257)-1)+1),"")</f>
        <v>0</v>
      </c>
      <c r="AJ257" s="325"/>
      <c r="AK257" s="178">
        <f>IFERROR(INDEX('M04-S07'!$F$18:$F$199,2*(ROWS(AK$246:AK257)-1)+1),"")</f>
        <v>0</v>
      </c>
      <c r="AL257" s="178">
        <f>IFERROR(INDEX('M04-S07'!$L$18:$L$199,2*(ROWS(AL$246:AL257)-1)+1),"")</f>
        <v>0</v>
      </c>
      <c r="AM257" s="178">
        <f>IFERROR(INDEX('M04-S07'!$T$18:$T$199,2*(ROWS(AM$246:AM257)-1)+1),"")</f>
        <v>0</v>
      </c>
      <c r="AN257" s="200">
        <f>IFERROR(INDEX('M04-S07'!$AT$18:$AT$199,2*(ROWS(AN$246:AN257)-1)+1),"")</f>
        <v>0</v>
      </c>
      <c r="AO257" s="200">
        <f>IFERROR(INDEX('M04-S07'!$AU$18:$AU$199,2*(ROWS(AO$246:AO257)-1)+1),"")</f>
        <v>0</v>
      </c>
      <c r="AP257" s="178">
        <f>IFERROR(INDEX('M04-S07'!$AV$18:$AV$199,2*(ROWS(AP$246:AP257)-1)+1),"")</f>
        <v>0</v>
      </c>
      <c r="AQ257" s="178">
        <f>IFERROR(INDEX('M04-S07'!$AY$18:$AY$199,2*(ROWS(AQ$246:AQ257)-1)+1),"")</f>
        <v>0</v>
      </c>
      <c r="AR257" s="178" t="s">
        <v>1374</v>
      </c>
      <c r="AS257" s="178"/>
      <c r="AT257" s="278"/>
      <c r="AU257" s="278"/>
      <c r="AV257" s="278"/>
      <c r="AW257" s="278"/>
      <c r="AX257" s="278"/>
      <c r="AY257" s="278"/>
      <c r="AZ257" s="278"/>
      <c r="BA257" s="278"/>
      <c r="BB257" s="278"/>
      <c r="BC257" s="278"/>
      <c r="BD257" s="278"/>
      <c r="BE257" s="279"/>
      <c r="BL257" s="180"/>
      <c r="BP257" s="180"/>
      <c r="BQ257" s="180"/>
      <c r="BR257" s="180"/>
      <c r="CD257" s="180"/>
      <c r="CE257" s="180"/>
      <c r="CF257" s="180"/>
      <c r="CH257" s="180"/>
      <c r="CI257" s="180"/>
      <c r="CJ257" s="180"/>
      <c r="CK257" s="180"/>
      <c r="CL257" s="180"/>
      <c r="CM257" s="180"/>
      <c r="CN257" s="180"/>
      <c r="CQ257" s="180"/>
      <c r="CR257" s="180"/>
      <c r="CS257" s="180"/>
      <c r="DS257" s="180"/>
      <c r="DT257" s="180"/>
      <c r="DU257" s="180"/>
    </row>
    <row r="258" spans="1:125" s="54" customFormat="1" hidden="1">
      <c r="A258" s="135">
        <f t="shared" si="26"/>
        <v>0</v>
      </c>
      <c r="B258" s="178" t="str">
        <f t="shared" si="27"/>
        <v/>
      </c>
      <c r="C258" s="178" t="str">
        <f>IFERROR(IF(INDEX('M04-S07'!$BH$18:$BH$199,2*(ROWS($C$246:C258)-1)+1)="","",INDEX('M04-S07'!$BH$18:$BH$199,2*(ROWS($C$246:C258)-1)+1)),"")</f>
        <v/>
      </c>
      <c r="D258" s="180" t="s">
        <v>144</v>
      </c>
      <c r="E258" s="178">
        <f>IFERROR(INDEX('M04-S07'!$AZ$18:$AZ$199,2*(ROWS(E$246:E258)-1)+1),"")</f>
        <v>0</v>
      </c>
      <c r="F258" s="408"/>
      <c r="G258" s="325"/>
      <c r="H258" s="200" t="str">
        <f>IFERROR(IF(AC258&lt;&gt;"","",INDEX('M04-S07'!$AD$18:$AD$199,2*(ROWS(H$246:H258)-1)+1)),"")</f>
        <v/>
      </c>
      <c r="I258" s="200" t="str">
        <f>IFERROR(IF(AC258&lt;&gt;"","",INDEX('M04-S07'!$AF$18:$AF$199,2*(ROWS(I$246:I258)-1)+1)),"")</f>
        <v/>
      </c>
      <c r="J258" s="200" t="str">
        <f>IFERROR(IF(AC258&lt;&gt;"","",INDEX('M04-S07'!$AH$18:$AH$199,2*(ROWS(J$246:J258)-1)+1)),"")</f>
        <v/>
      </c>
      <c r="K258" s="178" t="str">
        <f>IFERROR(IF(AC258&lt;&gt;"","",INDEX('M04-S07'!$AB$18:$AB$199,2*(ROWS(J$246:J258)-1)+1)),"")</f>
        <v/>
      </c>
      <c r="L258" s="116" t="str">
        <f>IFERROR(IF(AC258&lt;&gt;"","",ROUND(INDEX('M04-S07'!$P$18:$P$199,2*(ROWS(L$246:L258)-1)+1),3)),"")</f>
        <v/>
      </c>
      <c r="M258" s="116" t="str">
        <f>IFERROR(IF(AC258&lt;&gt;"","",ROUND(INDEX('M04-S07'!$X$18:$X$199,2*(ROWS(M$246:M258)-1)+1),3)),"")</f>
        <v/>
      </c>
      <c r="N258" s="418"/>
      <c r="O258" s="415" t="str">
        <f>IFERROR(IF(AC258&lt;&gt;"","",INDEX('M04-S07'!$AK$18:$AK$199,2*(ROWS(O$246:O258)-1)+1)),"")</f>
        <v/>
      </c>
      <c r="P258" s="408"/>
      <c r="Q258" s="415" t="str">
        <f>IFERROR(IF(AC258&lt;&gt;"","",INDEX('M04-S07'!$BA$18:$BA$199,2*(ROWS(Q$246:Q258)-1)+1)),"")</f>
        <v/>
      </c>
      <c r="R258" s="200" t="str">
        <f>IFERROR(IF(AC258&lt;&gt;"","",INDEX('M04-S07'!$AN$18:$AN$199,2*(ROWS(R$246:R258)-1)+1)),"")</f>
        <v/>
      </c>
      <c r="S258" s="200">
        <f>IFERROR(IF(AC258&lt;&gt;"",INDEX('M04-S07'!$AD$18:$AD$199,2*(ROWS(S$246:S258)-1)+1),""),"")</f>
        <v>0</v>
      </c>
      <c r="T258" s="200">
        <f>IFERROR(IF(AC258&lt;&gt;"",INDEX('M04-S07'!$AF$18:$AF$199,2*(ROWS(T$246:T258)-1)+1),""),"")</f>
        <v>0</v>
      </c>
      <c r="U258" s="200">
        <f>IFERROR(IF(AC258&lt;&gt;"",INDEX('M04-S07'!$AH$18:$AH$199,2*(ROWS(U$246:U258)-1)+1),""),"")</f>
        <v>0</v>
      </c>
      <c r="V258" s="178">
        <f>IFERROR(IF(AC258&lt;&gt;"",INDEX('M04-S07'!$AB$18:$AB$199,2*(ROWS(V$246:V258)-1)+1),""),"")</f>
        <v>0</v>
      </c>
      <c r="W258" s="116">
        <f>IFERROR(IF(AC258&lt;&gt;"",ROUND(INDEX('M04-S07'!$P$18:$P$199,2*(ROWS(W$246:W258)-1)+1),3),""),"")</f>
        <v>0</v>
      </c>
      <c r="X258" s="116">
        <f>IFERROR(IF(AC258&lt;&gt;"",ROUND(INDEX('M04-S07'!$Z$18:$Z$199,2*(ROWS(X$246:X258)-1)+1),3),""),"")</f>
        <v>0</v>
      </c>
      <c r="Y258" s="408"/>
      <c r="Z258" s="173">
        <f>IFERROR(IF(AC258&lt;&gt;"",INDEX('M04-S07'!$AK$18:$AK$199,2*(ROWS(Z$246:Z258)-1)+1),""),"")</f>
        <v>0</v>
      </c>
      <c r="AA258" s="408"/>
      <c r="AB258" s="415">
        <f>IFERROR(IF(AC258&lt;&gt;"",INDEX('M04-S07'!$BA$18:$BA$199,2*(ROWS(AB$246:AB258)-1)+1),""),"")</f>
        <v>0</v>
      </c>
      <c r="AC258" s="178">
        <f>IFERROR(INDEX('M04-S07'!$BJ$18:$BJ$199,2*(ROWS(AC$246:AC258)-1)+1),"")</f>
        <v>0</v>
      </c>
      <c r="AD258" s="415">
        <f>IFERROR(INDEX('M04-S07'!$AW$18:$AW$199,2*(ROWS(AD$246:AD258)-1)+1),"")</f>
        <v>0</v>
      </c>
      <c r="AE258" s="415">
        <f>IFERROR(INDEX('M04-S07'!$AX$18:$AX$199,2*(ROWS(AE$246:AE258)-1)+1),"")</f>
        <v>0</v>
      </c>
      <c r="AF258" s="408"/>
      <c r="AG258" s="408"/>
      <c r="AH258" s="408"/>
      <c r="AI258" s="178">
        <f>IFERROR(INDEX('M04-S07'!$B$18:$B$199,2*(ROWS(AI$246:AI258)-1)+1),"")</f>
        <v>0</v>
      </c>
      <c r="AJ258" s="325"/>
      <c r="AK258" s="178">
        <f>IFERROR(INDEX('M04-S07'!$F$18:$F$199,2*(ROWS(AK$246:AK258)-1)+1),"")</f>
        <v>0</v>
      </c>
      <c r="AL258" s="178">
        <f>IFERROR(INDEX('M04-S07'!$L$18:$L$199,2*(ROWS(AL$246:AL258)-1)+1),"")</f>
        <v>0</v>
      </c>
      <c r="AM258" s="178">
        <f>IFERROR(INDEX('M04-S07'!$T$18:$T$199,2*(ROWS(AM$246:AM258)-1)+1),"")</f>
        <v>0</v>
      </c>
      <c r="AN258" s="200">
        <f>IFERROR(INDEX('M04-S07'!$AT$18:$AT$199,2*(ROWS(AN$246:AN258)-1)+1),"")</f>
        <v>0</v>
      </c>
      <c r="AO258" s="200">
        <f>IFERROR(INDEX('M04-S07'!$AU$18:$AU$199,2*(ROWS(AO$246:AO258)-1)+1),"")</f>
        <v>0</v>
      </c>
      <c r="AP258" s="178">
        <f>IFERROR(INDEX('M04-S07'!$AV$18:$AV$199,2*(ROWS(AP$246:AP258)-1)+1),"")</f>
        <v>0</v>
      </c>
      <c r="AQ258" s="178">
        <f>IFERROR(INDEX('M04-S07'!$AY$18:$AY$199,2*(ROWS(AQ$246:AQ258)-1)+1),"")</f>
        <v>0</v>
      </c>
      <c r="AR258" s="178" t="s">
        <v>1374</v>
      </c>
      <c r="AS258" s="178"/>
      <c r="AT258" s="278"/>
      <c r="AU258" s="278"/>
      <c r="AV258" s="278"/>
      <c r="AW258" s="278"/>
      <c r="AX258" s="278"/>
      <c r="AY258" s="278"/>
      <c r="AZ258" s="278"/>
      <c r="BA258" s="278"/>
      <c r="BB258" s="278"/>
      <c r="BC258" s="278"/>
      <c r="BD258" s="278"/>
      <c r="BE258" s="279"/>
      <c r="BL258" s="180"/>
      <c r="BP258" s="180"/>
      <c r="BQ258" s="180"/>
      <c r="BR258" s="180"/>
      <c r="CD258" s="180"/>
      <c r="CE258" s="180"/>
      <c r="CF258" s="180"/>
      <c r="CH258" s="180"/>
      <c r="CI258" s="180"/>
      <c r="CJ258" s="180"/>
      <c r="CK258" s="180"/>
      <c r="CL258" s="180"/>
      <c r="CM258" s="180"/>
      <c r="CN258" s="180"/>
      <c r="CQ258" s="180"/>
      <c r="CR258" s="180"/>
      <c r="CS258" s="180"/>
      <c r="DS258" s="180"/>
      <c r="DT258" s="180"/>
      <c r="DU258" s="180"/>
    </row>
    <row r="259" spans="1:125" s="54" customFormat="1" hidden="1">
      <c r="A259" s="135">
        <f t="shared" si="26"/>
        <v>0</v>
      </c>
      <c r="B259" s="178" t="str">
        <f t="shared" si="27"/>
        <v/>
      </c>
      <c r="C259" s="178" t="str">
        <f>IFERROR(IF(INDEX('M04-S07'!$BH$18:$BH$199,2*(ROWS($C$246:C259)-1)+1)="","",INDEX('M04-S07'!$BH$18:$BH$199,2*(ROWS($C$246:C259)-1)+1)),"")</f>
        <v/>
      </c>
      <c r="D259" s="180" t="s">
        <v>144</v>
      </c>
      <c r="E259" s="178">
        <f>IFERROR(INDEX('M04-S07'!$AZ$18:$AZ$199,2*(ROWS(E$246:E259)-1)+1),"")</f>
        <v>0</v>
      </c>
      <c r="F259" s="408"/>
      <c r="G259" s="325"/>
      <c r="H259" s="200" t="str">
        <f>IFERROR(IF(AC259&lt;&gt;"","",INDEX('M04-S07'!$AD$18:$AD$199,2*(ROWS(H$246:H259)-1)+1)),"")</f>
        <v/>
      </c>
      <c r="I259" s="200" t="str">
        <f>IFERROR(IF(AC259&lt;&gt;"","",INDEX('M04-S07'!$AF$18:$AF$199,2*(ROWS(I$246:I259)-1)+1)),"")</f>
        <v/>
      </c>
      <c r="J259" s="200" t="str">
        <f>IFERROR(IF(AC259&lt;&gt;"","",INDEX('M04-S07'!$AH$18:$AH$199,2*(ROWS(J$246:J259)-1)+1)),"")</f>
        <v/>
      </c>
      <c r="K259" s="178" t="str">
        <f>IFERROR(IF(AC259&lt;&gt;"","",INDEX('M04-S07'!$AB$18:$AB$199,2*(ROWS(J$246:J259)-1)+1)),"")</f>
        <v/>
      </c>
      <c r="L259" s="116" t="str">
        <f>IFERROR(IF(AC259&lt;&gt;"","",ROUND(INDEX('M04-S07'!$P$18:$P$199,2*(ROWS(L$246:L259)-1)+1),3)),"")</f>
        <v/>
      </c>
      <c r="M259" s="116" t="str">
        <f>IFERROR(IF(AC259&lt;&gt;"","",ROUND(INDEX('M04-S07'!$X$18:$X$199,2*(ROWS(M$246:M259)-1)+1),3)),"")</f>
        <v/>
      </c>
      <c r="N259" s="418"/>
      <c r="O259" s="415" t="str">
        <f>IFERROR(IF(AC259&lt;&gt;"","",INDEX('M04-S07'!$AK$18:$AK$199,2*(ROWS(O$246:O259)-1)+1)),"")</f>
        <v/>
      </c>
      <c r="P259" s="408"/>
      <c r="Q259" s="415" t="str">
        <f>IFERROR(IF(AC259&lt;&gt;"","",INDEX('M04-S07'!$BA$18:$BA$199,2*(ROWS(Q$246:Q259)-1)+1)),"")</f>
        <v/>
      </c>
      <c r="R259" s="200" t="str">
        <f>IFERROR(IF(AC259&lt;&gt;"","",INDEX('M04-S07'!$AN$18:$AN$199,2*(ROWS(R$246:R259)-1)+1)),"")</f>
        <v/>
      </c>
      <c r="S259" s="200">
        <f>IFERROR(IF(AC259&lt;&gt;"",INDEX('M04-S07'!$AD$18:$AD$199,2*(ROWS(S$246:S259)-1)+1),""),"")</f>
        <v>0</v>
      </c>
      <c r="T259" s="200">
        <f>IFERROR(IF(AC259&lt;&gt;"",INDEX('M04-S07'!$AF$18:$AF$199,2*(ROWS(T$246:T259)-1)+1),""),"")</f>
        <v>0</v>
      </c>
      <c r="U259" s="200">
        <f>IFERROR(IF(AC259&lt;&gt;"",INDEX('M04-S07'!$AH$18:$AH$199,2*(ROWS(U$246:U259)-1)+1),""),"")</f>
        <v>0</v>
      </c>
      <c r="V259" s="178">
        <f>IFERROR(IF(AC259&lt;&gt;"",INDEX('M04-S07'!$AB$18:$AB$199,2*(ROWS(V$246:V259)-1)+1),""),"")</f>
        <v>0</v>
      </c>
      <c r="W259" s="116">
        <f>IFERROR(IF(AC259&lt;&gt;"",ROUND(INDEX('M04-S07'!$P$18:$P$199,2*(ROWS(W$246:W259)-1)+1),3),""),"")</f>
        <v>0</v>
      </c>
      <c r="X259" s="116">
        <f>IFERROR(IF(AC259&lt;&gt;"",ROUND(INDEX('M04-S07'!$Z$18:$Z$199,2*(ROWS(X$246:X259)-1)+1),3),""),"")</f>
        <v>0</v>
      </c>
      <c r="Y259" s="408"/>
      <c r="Z259" s="173">
        <f>IFERROR(IF(AC259&lt;&gt;"",INDEX('M04-S07'!$AK$18:$AK$199,2*(ROWS(Z$246:Z259)-1)+1),""),"")</f>
        <v>0</v>
      </c>
      <c r="AA259" s="408"/>
      <c r="AB259" s="415">
        <f>IFERROR(IF(AC259&lt;&gt;"",INDEX('M04-S07'!$BA$18:$BA$199,2*(ROWS(AB$246:AB259)-1)+1),""),"")</f>
        <v>0</v>
      </c>
      <c r="AC259" s="178">
        <f>IFERROR(INDEX('M04-S07'!$BJ$18:$BJ$199,2*(ROWS(AC$246:AC259)-1)+1),"")</f>
        <v>0</v>
      </c>
      <c r="AD259" s="415">
        <f>IFERROR(INDEX('M04-S07'!$AW$18:$AW$199,2*(ROWS(AD$246:AD259)-1)+1),"")</f>
        <v>0</v>
      </c>
      <c r="AE259" s="415">
        <f>IFERROR(INDEX('M04-S07'!$AX$18:$AX$199,2*(ROWS(AE$246:AE259)-1)+1),"")</f>
        <v>0</v>
      </c>
      <c r="AF259" s="408"/>
      <c r="AG259" s="408"/>
      <c r="AH259" s="408"/>
      <c r="AI259" s="178">
        <f>IFERROR(INDEX('M04-S07'!$B$18:$B$199,2*(ROWS(AI$246:AI259)-1)+1),"")</f>
        <v>0</v>
      </c>
      <c r="AJ259" s="325"/>
      <c r="AK259" s="178">
        <f>IFERROR(INDEX('M04-S07'!$F$18:$F$199,2*(ROWS(AK$246:AK259)-1)+1),"")</f>
        <v>0</v>
      </c>
      <c r="AL259" s="178">
        <f>IFERROR(INDEX('M04-S07'!$L$18:$L$199,2*(ROWS(AL$246:AL259)-1)+1),"")</f>
        <v>0</v>
      </c>
      <c r="AM259" s="178">
        <f>IFERROR(INDEX('M04-S07'!$T$18:$T$199,2*(ROWS(AM$246:AM259)-1)+1),"")</f>
        <v>0</v>
      </c>
      <c r="AN259" s="200">
        <f>IFERROR(INDEX('M04-S07'!$AT$18:$AT$199,2*(ROWS(AN$246:AN259)-1)+1),"")</f>
        <v>0</v>
      </c>
      <c r="AO259" s="200">
        <f>IFERROR(INDEX('M04-S07'!$AU$18:$AU$199,2*(ROWS(AO$246:AO259)-1)+1),"")</f>
        <v>0</v>
      </c>
      <c r="AP259" s="178">
        <f>IFERROR(INDEX('M04-S07'!$AV$18:$AV$199,2*(ROWS(AP$246:AP259)-1)+1),"")</f>
        <v>0</v>
      </c>
      <c r="AQ259" s="178">
        <f>IFERROR(INDEX('M04-S07'!$AY$18:$AY$199,2*(ROWS(AQ$246:AQ259)-1)+1),"")</f>
        <v>0</v>
      </c>
      <c r="AR259" s="178" t="s">
        <v>1374</v>
      </c>
      <c r="AS259" s="178"/>
      <c r="AT259" s="278"/>
      <c r="AU259" s="278"/>
      <c r="AV259" s="278"/>
      <c r="AW259" s="278"/>
      <c r="AX259" s="278"/>
      <c r="AY259" s="278"/>
      <c r="AZ259" s="278"/>
      <c r="BA259" s="278"/>
      <c r="BB259" s="278"/>
      <c r="BC259" s="278"/>
      <c r="BD259" s="278"/>
      <c r="BE259" s="279"/>
      <c r="BL259" s="180"/>
      <c r="BP259" s="180"/>
      <c r="BQ259" s="180"/>
      <c r="BR259" s="180"/>
      <c r="CD259" s="180"/>
      <c r="CE259" s="180"/>
      <c r="CF259" s="180"/>
      <c r="CH259" s="180"/>
      <c r="CI259" s="180"/>
      <c r="CJ259" s="180"/>
      <c r="CK259" s="180"/>
      <c r="CL259" s="180"/>
      <c r="CM259" s="180"/>
      <c r="CN259" s="180"/>
      <c r="CQ259" s="180"/>
      <c r="CR259" s="180"/>
      <c r="CS259" s="180"/>
      <c r="DS259" s="180"/>
      <c r="DT259" s="180"/>
      <c r="DU259" s="180"/>
    </row>
    <row r="260" spans="1:125" s="54" customFormat="1" hidden="1">
      <c r="A260" s="135">
        <f t="shared" si="26"/>
        <v>0</v>
      </c>
      <c r="B260" s="178" t="str">
        <f t="shared" si="27"/>
        <v/>
      </c>
      <c r="C260" s="178" t="str">
        <f>IFERROR(IF(INDEX('M04-S07'!$BH$18:$BH$199,2*(ROWS($C$246:C260)-1)+1)="","",INDEX('M04-S07'!$BH$18:$BH$199,2*(ROWS($C$246:C260)-1)+1)),"")</f>
        <v/>
      </c>
      <c r="D260" s="180" t="s">
        <v>144</v>
      </c>
      <c r="E260" s="178">
        <f>IFERROR(INDEX('M04-S07'!$AZ$18:$AZ$199,2*(ROWS(E$246:E260)-1)+1),"")</f>
        <v>0</v>
      </c>
      <c r="F260" s="408"/>
      <c r="G260" s="325"/>
      <c r="H260" s="200" t="str">
        <f>IFERROR(IF(AC260&lt;&gt;"","",INDEX('M04-S07'!$AD$18:$AD$199,2*(ROWS(H$246:H260)-1)+1)),"")</f>
        <v/>
      </c>
      <c r="I260" s="200" t="str">
        <f>IFERROR(IF(AC260&lt;&gt;"","",INDEX('M04-S07'!$AF$18:$AF$199,2*(ROWS(I$246:I260)-1)+1)),"")</f>
        <v/>
      </c>
      <c r="J260" s="200" t="str">
        <f>IFERROR(IF(AC260&lt;&gt;"","",INDEX('M04-S07'!$AH$18:$AH$199,2*(ROWS(J$246:J260)-1)+1)),"")</f>
        <v/>
      </c>
      <c r="K260" s="178" t="str">
        <f>IFERROR(IF(AC260&lt;&gt;"","",INDEX('M04-S07'!$AB$18:$AB$199,2*(ROWS(J$246:J260)-1)+1)),"")</f>
        <v/>
      </c>
      <c r="L260" s="116" t="str">
        <f>IFERROR(IF(AC260&lt;&gt;"","",ROUND(INDEX('M04-S07'!$P$18:$P$199,2*(ROWS(L$246:L260)-1)+1),3)),"")</f>
        <v/>
      </c>
      <c r="M260" s="116" t="str">
        <f>IFERROR(IF(AC260&lt;&gt;"","",ROUND(INDEX('M04-S07'!$X$18:$X$199,2*(ROWS(M$246:M260)-1)+1),3)),"")</f>
        <v/>
      </c>
      <c r="N260" s="418"/>
      <c r="O260" s="415" t="str">
        <f>IFERROR(IF(AC260&lt;&gt;"","",INDEX('M04-S07'!$AK$18:$AK$199,2*(ROWS(O$246:O260)-1)+1)),"")</f>
        <v/>
      </c>
      <c r="P260" s="408"/>
      <c r="Q260" s="415" t="str">
        <f>IFERROR(IF(AC260&lt;&gt;"","",INDEX('M04-S07'!$BA$18:$BA$199,2*(ROWS(Q$246:Q260)-1)+1)),"")</f>
        <v/>
      </c>
      <c r="R260" s="200" t="str">
        <f>IFERROR(IF(AC260&lt;&gt;"","",INDEX('M04-S07'!$AN$18:$AN$199,2*(ROWS(R$246:R260)-1)+1)),"")</f>
        <v/>
      </c>
      <c r="S260" s="200">
        <f>IFERROR(IF(AC260&lt;&gt;"",INDEX('M04-S07'!$AD$18:$AD$199,2*(ROWS(S$246:S260)-1)+1),""),"")</f>
        <v>0</v>
      </c>
      <c r="T260" s="200">
        <f>IFERROR(IF(AC260&lt;&gt;"",INDEX('M04-S07'!$AF$18:$AF$199,2*(ROWS(T$246:T260)-1)+1),""),"")</f>
        <v>0</v>
      </c>
      <c r="U260" s="200">
        <f>IFERROR(IF(AC260&lt;&gt;"",INDEX('M04-S07'!$AH$18:$AH$199,2*(ROWS(U$246:U260)-1)+1),""),"")</f>
        <v>0</v>
      </c>
      <c r="V260" s="178">
        <f>IFERROR(IF(AC260&lt;&gt;"",INDEX('M04-S07'!$AB$18:$AB$199,2*(ROWS(V$246:V260)-1)+1),""),"")</f>
        <v>0</v>
      </c>
      <c r="W260" s="116">
        <f>IFERROR(IF(AC260&lt;&gt;"",ROUND(INDEX('M04-S07'!$P$18:$P$199,2*(ROWS(W$246:W260)-1)+1),3),""),"")</f>
        <v>0</v>
      </c>
      <c r="X260" s="116">
        <f>IFERROR(IF(AC260&lt;&gt;"",ROUND(INDEX('M04-S07'!$Z$18:$Z$199,2*(ROWS(X$246:X260)-1)+1),3),""),"")</f>
        <v>0</v>
      </c>
      <c r="Y260" s="408"/>
      <c r="Z260" s="173">
        <f>IFERROR(IF(AC260&lt;&gt;"",INDEX('M04-S07'!$AK$18:$AK$199,2*(ROWS(Z$246:Z260)-1)+1),""),"")</f>
        <v>0</v>
      </c>
      <c r="AA260" s="408"/>
      <c r="AB260" s="415">
        <f>IFERROR(IF(AC260&lt;&gt;"",INDEX('M04-S07'!$BA$18:$BA$199,2*(ROWS(AB$246:AB260)-1)+1),""),"")</f>
        <v>0</v>
      </c>
      <c r="AC260" s="178">
        <f>IFERROR(INDEX('M04-S07'!$BJ$18:$BJ$199,2*(ROWS(AC$246:AC260)-1)+1),"")</f>
        <v>0</v>
      </c>
      <c r="AD260" s="415">
        <f>IFERROR(INDEX('M04-S07'!$AW$18:$AW$199,2*(ROWS(AD$246:AD260)-1)+1),"")</f>
        <v>0</v>
      </c>
      <c r="AE260" s="415">
        <f>IFERROR(INDEX('M04-S07'!$AX$18:$AX$199,2*(ROWS(AE$246:AE260)-1)+1),"")</f>
        <v>0</v>
      </c>
      <c r="AF260" s="408"/>
      <c r="AG260" s="408"/>
      <c r="AH260" s="408"/>
      <c r="AI260" s="178">
        <f>IFERROR(INDEX('M04-S07'!$B$18:$B$199,2*(ROWS(AI$246:AI260)-1)+1),"")</f>
        <v>0</v>
      </c>
      <c r="AJ260" s="325"/>
      <c r="AK260" s="178">
        <f>IFERROR(INDEX('M04-S07'!$F$18:$F$199,2*(ROWS(AK$246:AK260)-1)+1),"")</f>
        <v>0</v>
      </c>
      <c r="AL260" s="178">
        <f>IFERROR(INDEX('M04-S07'!$L$18:$L$199,2*(ROWS(AL$246:AL260)-1)+1),"")</f>
        <v>0</v>
      </c>
      <c r="AM260" s="178">
        <f>IFERROR(INDEX('M04-S07'!$T$18:$T$199,2*(ROWS(AM$246:AM260)-1)+1),"")</f>
        <v>0</v>
      </c>
      <c r="AN260" s="200">
        <f>IFERROR(INDEX('M04-S07'!$AT$18:$AT$199,2*(ROWS(AN$246:AN260)-1)+1),"")</f>
        <v>0</v>
      </c>
      <c r="AO260" s="200">
        <f>IFERROR(INDEX('M04-S07'!$AU$18:$AU$199,2*(ROWS(AO$246:AO260)-1)+1),"")</f>
        <v>0</v>
      </c>
      <c r="AP260" s="178">
        <f>IFERROR(INDEX('M04-S07'!$AV$18:$AV$199,2*(ROWS(AP$246:AP260)-1)+1),"")</f>
        <v>0</v>
      </c>
      <c r="AQ260" s="178">
        <f>IFERROR(INDEX('M04-S07'!$AY$18:$AY$199,2*(ROWS(AQ$246:AQ260)-1)+1),"")</f>
        <v>0</v>
      </c>
      <c r="AR260" s="178" t="s">
        <v>1374</v>
      </c>
      <c r="AS260" s="178"/>
      <c r="AT260" s="278"/>
      <c r="AU260" s="278"/>
      <c r="AV260" s="278"/>
      <c r="AW260" s="278"/>
      <c r="AX260" s="278"/>
      <c r="AY260" s="278"/>
      <c r="AZ260" s="278"/>
      <c r="BA260" s="278"/>
      <c r="BB260" s="278"/>
      <c r="BC260" s="278"/>
      <c r="BD260" s="278"/>
      <c r="BE260" s="279"/>
      <c r="BL260" s="180"/>
      <c r="BP260" s="180"/>
      <c r="BQ260" s="180"/>
      <c r="BR260" s="180"/>
      <c r="CD260" s="180"/>
      <c r="CE260" s="180"/>
      <c r="CF260" s="180"/>
      <c r="CH260" s="180"/>
      <c r="CI260" s="180"/>
      <c r="CJ260" s="180"/>
      <c r="CK260" s="180"/>
      <c r="CL260" s="180"/>
      <c r="CM260" s="180"/>
      <c r="CN260" s="180"/>
      <c r="CQ260" s="180"/>
      <c r="CR260" s="180"/>
      <c r="CS260" s="180"/>
      <c r="DS260" s="180"/>
      <c r="DT260" s="180"/>
      <c r="DU260" s="180"/>
    </row>
    <row r="261" spans="1:125" hidden="1">
      <c r="AD261" s="64"/>
      <c r="AE261" s="64"/>
    </row>
    <row r="262" spans="1:125" hidden="1">
      <c r="AD262" s="64"/>
      <c r="AE262" s="64"/>
    </row>
    <row r="263" spans="1:125" s="54" customFormat="1" hidden="1">
      <c r="A263" s="135">
        <f t="shared" ref="A263:A276" si="28">PROJID</f>
        <v>0</v>
      </c>
      <c r="B263" s="178" t="str">
        <f t="shared" ref="B263:B276" si="29">IF(C263="","",CONCATENATE(ROW(),"-",C263))</f>
        <v/>
      </c>
      <c r="C263" s="178" t="str">
        <f>IFERROR(IF(INDEX('M04-S08'!$BH$18:$BH$199,2*(ROWS($C$263:C263)-1)+1)="","",INDEX('M04-S08'!$BH$18:$BH$199,2*(ROWS($C$263:C263)-1)+1)),"")</f>
        <v/>
      </c>
      <c r="D263" s="180" t="s">
        <v>144</v>
      </c>
      <c r="E263" s="178" t="str">
        <f>IFERROR(INDEX('M04-S08'!$AZ$18:$AZ$199,2*(ROWS(E$263:E263)-1)+1),"")</f>
        <v/>
      </c>
      <c r="F263" s="408"/>
      <c r="G263" s="325"/>
      <c r="H263" s="200" t="str">
        <f ca="1">IFERROR(IF(AC263&lt;&gt;"","",INDEX('M04-S08'!$AD$18:$AD$199,2*(ROWS(H$263:H263)-1)+1)),"")</f>
        <v/>
      </c>
      <c r="I263" s="200" t="str">
        <f ca="1">IFERROR(IF(AC263&lt;&gt;"","",INDEX('M04-S08'!$AF$18:$AF$199,2*(ROWS(I$263:I263)-1)+1)),"")</f>
        <v/>
      </c>
      <c r="J263" s="200" t="str">
        <f ca="1">IFERROR(IF(AC263&lt;&gt;"","",INDEX('M04-S08'!$AH$18:$AH$199,2*(ROWS(J$263:J263)-1)+1)),"")</f>
        <v/>
      </c>
      <c r="K263" s="178" t="str">
        <f ca="1">IFERROR(IF(AC263&lt;&gt;"","",INDEX('M04-S08'!$AB$18:$AB$199,2*(ROWS(J$263:J263)-1)+1)),"")</f>
        <v/>
      </c>
      <c r="L263" s="116" t="str">
        <f ca="1">IFERROR(IF(AC263&lt;&gt;"","",ROUND(INDEX('M04-S08'!$P$18:$P$199,2*(ROWS(L$263:L263)-1)+1),3)),"")</f>
        <v/>
      </c>
      <c r="M263" s="116" t="str">
        <f ca="1">IFERROR(IF(AC263&lt;&gt;"","",ROUND(INDEX('M04-S08'!$X$18:$X$199,2*(ROWS(M$263:M263)-1)+1),3)),"")</f>
        <v/>
      </c>
      <c r="N263" s="408"/>
      <c r="O263" s="173" t="str">
        <f ca="1">IFERROR(IF(AC263&lt;&gt;"","",INDEX('M04-S08'!$AK$18:$AK$199,2*(ROWS(O$263:O263)-1)+1)),"")</f>
        <v/>
      </c>
      <c r="P263" s="408"/>
      <c r="Q263" s="415" t="str">
        <f ca="1">IFERROR(IF(AC263&lt;&gt;"","",INDEX('M04-S08'!$BA$18:$BA$199,2*(ROWS(Q$263:Q263)-1)+1)),"")</f>
        <v/>
      </c>
      <c r="R263" s="200" t="str">
        <f ca="1">IFERROR(IF(AC263&lt;&gt;"","",INDEX('M04-S08'!$AN$18:$AN$199,2*(ROWS(R$263:R263)-1)+1)),"")</f>
        <v/>
      </c>
      <c r="S263" s="200">
        <f ca="1">IFERROR(IF(AC263&lt;&gt;"",INDEX('M04-S08'!$AD$18:$AD$199,2*(ROWS(S$263:S263)-1)+1),""),"")</f>
        <v>0</v>
      </c>
      <c r="T263" s="200" t="str">
        <f ca="1">IFERROR(IF(AC263&lt;&gt;"",INDEX('M04-S08'!$AF$18:$AF$199,2*(ROWS(T$263:T263)-1)+1),""),"")</f>
        <v/>
      </c>
      <c r="U263" s="200" t="str">
        <f ca="1">IFERROR(IF(AC263&lt;&gt;"",INDEX('M04-S08'!$AH$18:$AH$199,2*(ROWS(U$263:U263)-1)+1),""),"")</f>
        <v/>
      </c>
      <c r="V263" s="178" t="str">
        <f ca="1">IFERROR(IF(AC263&lt;&gt;"",INDEX('M04-S08'!$AB$18:$AB$199,2*(ROWS(V$263:V263)-1)+1),""),"")</f>
        <v/>
      </c>
      <c r="W263" s="116">
        <f ca="1">IFERROR(IF(AC263&lt;&gt;"",ROUND(INDEX('M04-S08'!$P$18:$P$199,2*(ROWS(W$263:W263)-1)+1),3),""),"")</f>
        <v>0</v>
      </c>
      <c r="X263" s="116">
        <f ca="1">IFERROR(IF(AC263&lt;&gt;"",ROUND(INDEX('M04-S08'!$Z$18:$Z$199,2*(ROWS(X$263:X263)-1)+1),3),""),"")</f>
        <v>0</v>
      </c>
      <c r="Y263" s="408"/>
      <c r="Z263" s="173" t="str">
        <f ca="1">IFERROR(IF(AC263&lt;&gt;"",INDEX('M04-S08'!$AK$18:$AK$199,2*(ROWS(Z$263:Z263)-1)+1),""),"")</f>
        <v/>
      </c>
      <c r="AA263" s="408"/>
      <c r="AB263" s="415" t="str">
        <f ca="1">IFERROR(IF(AC263&lt;&gt;"",INDEX('M04-S08'!$BA$18:$BA$199,2*(ROWS(AB$263:AB263)-1)+1),""),"")</f>
        <v/>
      </c>
      <c r="AC263" s="178" t="str">
        <f ca="1">IFERROR(INDEX('M04-S08'!$BJ$18:$BJ$199,2*(ROWS(AC$263:AC263)-1)+1),"")</f>
        <v>Submit for Review</v>
      </c>
      <c r="AD263" s="415" t="str">
        <f>IFERROR(INDEX('M04-S08'!$AW$18:$AW$199,2*(ROWS(AD$263:AD263)-1)+1),"")</f>
        <v/>
      </c>
      <c r="AE263" s="415" t="str">
        <f>IFERROR(INDEX('M04-S08'!$AX$18:$AX$199,2*(ROWS(AE$263:AE263)-1)+1),"")</f>
        <v/>
      </c>
      <c r="AF263" s="408"/>
      <c r="AG263" s="408"/>
      <c r="AH263" s="408"/>
      <c r="AI263" s="178">
        <f>IFERROR(INDEX('M04-S08'!$B$18:$B$199,2*(ROWS(AI$263:AI263)-1)+1),"")</f>
        <v>1</v>
      </c>
      <c r="AJ263" s="325"/>
      <c r="AK263" s="178">
        <f>IFERROR(INDEX('M04-S08'!$F$18:$F$199,2*(ROWS(AK$263:AK263)-1)+1),"")</f>
        <v>0</v>
      </c>
      <c r="AL263" s="178">
        <f>IFERROR(INDEX('M04-S08'!$L$18:$L$199,2*(ROWS(AL$263:AL263)-1)+1),"")</f>
        <v>0</v>
      </c>
      <c r="AM263" s="178">
        <f>IFERROR(INDEX('M04-S08'!$T$18:$T$199,2*(ROWS(AM$263:AM263)-1)+1),"")</f>
        <v>0</v>
      </c>
      <c r="AN263" s="200" t="str">
        <f>IFERROR(INDEX('M04-S08'!$AT$18:$AT$199,2*(ROWS(AN$263:AN263)-1)+1),"")</f>
        <v/>
      </c>
      <c r="AO263" s="200" t="str">
        <f>IFERROR(INDEX('M04-S08'!$AU$18:$AU$199,2*(ROWS(AO$263:AO263)-1)+1),"")</f>
        <v/>
      </c>
      <c r="AP263" s="178" t="str">
        <f>IFERROR(INDEX('M04-S08'!$AV$18:$AV$199,2*(ROWS(AP$263:AP263)-1)+1),"")</f>
        <v/>
      </c>
      <c r="AQ263" s="178" t="str">
        <f>IFERROR(INDEX('M04-S08'!$AY$18:$AY$199,2*(ROWS(AQ$263:AQ263)-1)+1),"")</f>
        <v/>
      </c>
      <c r="AR263" s="178" t="s">
        <v>1374</v>
      </c>
      <c r="AS263" s="178"/>
      <c r="AT263" s="278"/>
      <c r="AU263" s="278"/>
      <c r="AV263" s="278"/>
      <c r="AW263" s="278"/>
      <c r="AX263" s="278"/>
      <c r="AY263" s="278"/>
      <c r="AZ263" s="278"/>
      <c r="BA263" s="278"/>
      <c r="BB263" s="278"/>
      <c r="BC263" s="278"/>
      <c r="BD263" s="278"/>
      <c r="BE263" s="279"/>
      <c r="BL263" s="180"/>
      <c r="BP263" s="180"/>
      <c r="BQ263" s="180"/>
      <c r="BR263" s="180"/>
      <c r="CD263" s="180"/>
      <c r="CE263" s="180"/>
      <c r="CF263" s="180"/>
      <c r="CH263" s="180"/>
      <c r="CI263" s="180"/>
      <c r="CJ263" s="180"/>
      <c r="CK263" s="180"/>
      <c r="CL263" s="180"/>
      <c r="CM263" s="180"/>
      <c r="CN263" s="180"/>
      <c r="CQ263" s="180"/>
      <c r="CR263" s="180"/>
      <c r="CS263" s="180"/>
      <c r="DS263" s="180"/>
      <c r="DT263" s="180"/>
      <c r="DU263" s="180"/>
    </row>
    <row r="264" spans="1:125" s="54" customFormat="1" hidden="1">
      <c r="A264" s="135">
        <f t="shared" si="28"/>
        <v>0</v>
      </c>
      <c r="B264" s="178" t="str">
        <f t="shared" si="29"/>
        <v/>
      </c>
      <c r="C264" s="178" t="str">
        <f>IFERROR(IF(INDEX('M04-S08'!$BH$18:$BH$199,2*(ROWS($C$263:C264)-1)+1)="","",INDEX('M04-S08'!$BH$18:$BH$199,2*(ROWS($C$263:C264)-1)+1)),"")</f>
        <v/>
      </c>
      <c r="D264" s="180" t="s">
        <v>144</v>
      </c>
      <c r="E264" s="178" t="str">
        <f>IFERROR(INDEX('M04-S08'!$AZ$18:$AZ$199,2*(ROWS(E$263:E264)-1)+1),"")</f>
        <v/>
      </c>
      <c r="F264" s="408"/>
      <c r="G264" s="325"/>
      <c r="H264" s="200" t="str">
        <f ca="1">IFERROR(IF(AC264&lt;&gt;"","",INDEX('M04-S08'!$AD$18:$AD$199,2*(ROWS(H$263:H264)-1)+1)),"")</f>
        <v/>
      </c>
      <c r="I264" s="200" t="str">
        <f ca="1">IFERROR(IF(AC264&lt;&gt;"","",INDEX('M04-S08'!$AF$18:$AF$199,2*(ROWS(I$263:I264)-1)+1)),"")</f>
        <v/>
      </c>
      <c r="J264" s="200" t="str">
        <f ca="1">IFERROR(IF(AC264&lt;&gt;"","",INDEX('M04-S08'!$AH$18:$AH$199,2*(ROWS(J$263:J264)-1)+1)),"")</f>
        <v/>
      </c>
      <c r="K264" s="178" t="str">
        <f ca="1">IFERROR(IF(AC264&lt;&gt;"","",INDEX('M04-S08'!$AB$18:$AB$199,2*(ROWS(J$263:J264)-1)+1)),"")</f>
        <v/>
      </c>
      <c r="L264" s="116" t="str">
        <f ca="1">IFERROR(IF(AC264&lt;&gt;"","",ROUND(INDEX('M04-S08'!$P$18:$P$199,2*(ROWS(L$263:L264)-1)+1),3)),"")</f>
        <v/>
      </c>
      <c r="M264" s="116" t="str">
        <f ca="1">IFERROR(IF(AC264&lt;&gt;"","",ROUND(INDEX('M04-S08'!$X$18:$X$199,2*(ROWS(M$263:M264)-1)+1),3)),"")</f>
        <v/>
      </c>
      <c r="N264" s="408"/>
      <c r="O264" s="173" t="str">
        <f ca="1">IFERROR(IF(AC264&lt;&gt;"","",INDEX('M04-S08'!$AK$18:$AK$199,2*(ROWS(O$263:O264)-1)+1)),"")</f>
        <v/>
      </c>
      <c r="P264" s="408"/>
      <c r="Q264" s="415" t="str">
        <f ca="1">IFERROR(IF(AC264&lt;&gt;"","",INDEX('M04-S08'!$BA$18:$BA$199,2*(ROWS(Q$263:Q264)-1)+1)),"")</f>
        <v/>
      </c>
      <c r="R264" s="200" t="str">
        <f ca="1">IFERROR(IF(AC264&lt;&gt;"","",INDEX('M04-S08'!$AN$18:$AN$199,2*(ROWS(R$263:R264)-1)+1)),"")</f>
        <v/>
      </c>
      <c r="S264" s="200">
        <f ca="1">IFERROR(IF(AC264&lt;&gt;"",INDEX('M04-S08'!$AD$18:$AD$199,2*(ROWS(S$263:S264)-1)+1),""),"")</f>
        <v>0</v>
      </c>
      <c r="T264" s="200" t="str">
        <f ca="1">IFERROR(IF(AC264&lt;&gt;"",INDEX('M04-S08'!$AF$18:$AF$199,2*(ROWS(T$263:T264)-1)+1),""),"")</f>
        <v/>
      </c>
      <c r="U264" s="200" t="str">
        <f ca="1">IFERROR(IF(AC264&lt;&gt;"",INDEX('M04-S08'!$AH$18:$AH$199,2*(ROWS(U$263:U264)-1)+1),""),"")</f>
        <v/>
      </c>
      <c r="V264" s="178" t="str">
        <f ca="1">IFERROR(IF(AC264&lt;&gt;"",INDEX('M04-S08'!$AB$18:$AB$199,2*(ROWS(V$263:V264)-1)+1),""),"")</f>
        <v/>
      </c>
      <c r="W264" s="116">
        <f ca="1">IFERROR(IF(AC264&lt;&gt;"",ROUND(INDEX('M04-S08'!$P$18:$P$199,2*(ROWS(W$263:W264)-1)+1),3),""),"")</f>
        <v>0</v>
      </c>
      <c r="X264" s="116">
        <f ca="1">IFERROR(IF(AC264&lt;&gt;"",ROUND(INDEX('M04-S08'!$Z$18:$Z$199,2*(ROWS(X$263:X264)-1)+1),3),""),"")</f>
        <v>0</v>
      </c>
      <c r="Y264" s="408"/>
      <c r="Z264" s="173" t="str">
        <f ca="1">IFERROR(IF(AC264&lt;&gt;"",INDEX('M04-S08'!$AK$18:$AK$199,2*(ROWS(Z$263:Z264)-1)+1),""),"")</f>
        <v/>
      </c>
      <c r="AA264" s="408"/>
      <c r="AB264" s="415" t="str">
        <f ca="1">IFERROR(IF(AC264&lt;&gt;"",INDEX('M04-S08'!$BA$18:$BA$199,2*(ROWS(AB$263:AB264)-1)+1),""),"")</f>
        <v/>
      </c>
      <c r="AC264" s="178" t="str">
        <f ca="1">IFERROR(INDEX('M04-S08'!$BJ$18:$BJ$199,2*(ROWS(AC$263:AC264)-1)+1),"")</f>
        <v>Submit for Review</v>
      </c>
      <c r="AD264" s="415" t="str">
        <f>IFERROR(INDEX('M04-S08'!$AW$18:$AW$199,2*(ROWS(AD$263:AD264)-1)+1),"")</f>
        <v/>
      </c>
      <c r="AE264" s="415" t="str">
        <f>IFERROR(INDEX('M04-S08'!$AX$18:$AX$199,2*(ROWS(AE$263:AE264)-1)+1),"")</f>
        <v/>
      </c>
      <c r="AF264" s="408"/>
      <c r="AG264" s="408"/>
      <c r="AH264" s="408"/>
      <c r="AI264" s="178">
        <f>IFERROR(INDEX('M04-S08'!$B$18:$B$199,2*(ROWS(AI$263:AI264)-1)+1),"")</f>
        <v>2</v>
      </c>
      <c r="AJ264" s="325"/>
      <c r="AK264" s="178">
        <f>IFERROR(INDEX('M04-S08'!$F$18:$F$199,2*(ROWS(AK$263:AK264)-1)+1),"")</f>
        <v>0</v>
      </c>
      <c r="AL264" s="178">
        <f>IFERROR(INDEX('M04-S08'!$L$18:$L$199,2*(ROWS(AL$263:AL264)-1)+1),"")</f>
        <v>0</v>
      </c>
      <c r="AM264" s="178">
        <f>IFERROR(INDEX('M04-S08'!$T$18:$T$199,2*(ROWS(AM$263:AM264)-1)+1),"")</f>
        <v>0</v>
      </c>
      <c r="AN264" s="200" t="str">
        <f>IFERROR(INDEX('M04-S08'!$AT$18:$AT$199,2*(ROWS(AN$263:AN264)-1)+1),"")</f>
        <v/>
      </c>
      <c r="AO264" s="200" t="str">
        <f>IFERROR(INDEX('M04-S08'!$AU$18:$AU$199,2*(ROWS(AO$263:AO264)-1)+1),"")</f>
        <v/>
      </c>
      <c r="AP264" s="178" t="str">
        <f>IFERROR(INDEX('M04-S08'!$AV$18:$AV$199,2*(ROWS(AP$263:AP264)-1)+1),"")</f>
        <v/>
      </c>
      <c r="AQ264" s="178" t="str">
        <f>IFERROR(INDEX('M04-S08'!$AY$18:$AY$199,2*(ROWS(AQ$263:AQ264)-1)+1),"")</f>
        <v/>
      </c>
      <c r="AR264" s="178" t="s">
        <v>1374</v>
      </c>
      <c r="AS264" s="178"/>
      <c r="AT264" s="278"/>
      <c r="AU264" s="278"/>
      <c r="AV264" s="278"/>
      <c r="AW264" s="278"/>
      <c r="AX264" s="278"/>
      <c r="AY264" s="278"/>
      <c r="AZ264" s="278"/>
      <c r="BA264" s="278"/>
      <c r="BB264" s="278"/>
      <c r="BC264" s="278"/>
      <c r="BD264" s="278"/>
      <c r="BE264" s="279"/>
      <c r="BL264" s="180"/>
      <c r="BP264" s="180"/>
      <c r="BQ264" s="180"/>
      <c r="BR264" s="180"/>
      <c r="CD264" s="180"/>
      <c r="CE264" s="180"/>
      <c r="CF264" s="180"/>
      <c r="CH264" s="180"/>
      <c r="CI264" s="180"/>
      <c r="CJ264" s="180"/>
      <c r="CK264" s="180"/>
      <c r="CL264" s="180"/>
      <c r="CM264" s="180"/>
      <c r="CN264" s="180"/>
      <c r="CQ264" s="180"/>
      <c r="CR264" s="180"/>
      <c r="CS264" s="180"/>
      <c r="DS264" s="180"/>
      <c r="DT264" s="180"/>
      <c r="DU264" s="180"/>
    </row>
    <row r="265" spans="1:125" s="54" customFormat="1" hidden="1">
      <c r="A265" s="135">
        <f t="shared" si="28"/>
        <v>0</v>
      </c>
      <c r="B265" s="178" t="str">
        <f t="shared" si="29"/>
        <v/>
      </c>
      <c r="C265" s="178" t="str">
        <f>IFERROR(IF(INDEX('M04-S08'!$BH$18:$BH$199,2*(ROWS($C$263:C265)-1)+1)="","",INDEX('M04-S08'!$BH$18:$BH$199,2*(ROWS($C$263:C265)-1)+1)),"")</f>
        <v/>
      </c>
      <c r="D265" s="180" t="s">
        <v>144</v>
      </c>
      <c r="E265" s="178" t="str">
        <f>IFERROR(INDEX('M04-S08'!$AZ$18:$AZ$199,2*(ROWS(E$263:E265)-1)+1),"")</f>
        <v/>
      </c>
      <c r="F265" s="408"/>
      <c r="G265" s="325"/>
      <c r="H265" s="200" t="str">
        <f ca="1">IFERROR(IF(AC265&lt;&gt;"","",INDEX('M04-S08'!$AD$18:$AD$199,2*(ROWS(H$263:H265)-1)+1)),"")</f>
        <v/>
      </c>
      <c r="I265" s="200" t="str">
        <f ca="1">IFERROR(IF(AC265&lt;&gt;"","",INDEX('M04-S08'!$AF$18:$AF$199,2*(ROWS(I$263:I265)-1)+1)),"")</f>
        <v/>
      </c>
      <c r="J265" s="200" t="str">
        <f ca="1">IFERROR(IF(AC265&lt;&gt;"","",INDEX('M04-S08'!$AH$18:$AH$199,2*(ROWS(J$263:J265)-1)+1)),"")</f>
        <v/>
      </c>
      <c r="K265" s="178" t="str">
        <f ca="1">IFERROR(IF(AC265&lt;&gt;"","",INDEX('M04-S08'!$AB$18:$AB$199,2*(ROWS(J$263:J265)-1)+1)),"")</f>
        <v/>
      </c>
      <c r="L265" s="116" t="str">
        <f ca="1">IFERROR(IF(AC265&lt;&gt;"","",ROUND(INDEX('M04-S08'!$P$18:$P$199,2*(ROWS(L$263:L265)-1)+1),3)),"")</f>
        <v/>
      </c>
      <c r="M265" s="116" t="str">
        <f ca="1">IFERROR(IF(AC265&lt;&gt;"","",ROUND(INDEX('M04-S08'!$X$18:$X$199,2*(ROWS(M$263:M265)-1)+1),3)),"")</f>
        <v/>
      </c>
      <c r="N265" s="408"/>
      <c r="O265" s="173" t="str">
        <f ca="1">IFERROR(IF(AC265&lt;&gt;"","",INDEX('M04-S08'!$AK$18:$AK$199,2*(ROWS(O$263:O265)-1)+1)),"")</f>
        <v/>
      </c>
      <c r="P265" s="408"/>
      <c r="Q265" s="415" t="str">
        <f ca="1">IFERROR(IF(AC265&lt;&gt;"","",INDEX('M04-S08'!$BA$18:$BA$199,2*(ROWS(Q$263:Q265)-1)+1)),"")</f>
        <v/>
      </c>
      <c r="R265" s="200" t="str">
        <f ca="1">IFERROR(IF(AC265&lt;&gt;"","",INDEX('M04-S08'!$AN$18:$AN$199,2*(ROWS(R$263:R265)-1)+1)),"")</f>
        <v/>
      </c>
      <c r="S265" s="200">
        <f ca="1">IFERROR(IF(AC265&lt;&gt;"",INDEX('M04-S08'!$AD$18:$AD$199,2*(ROWS(S$263:S265)-1)+1),""),"")</f>
        <v>0</v>
      </c>
      <c r="T265" s="200" t="str">
        <f ca="1">IFERROR(IF(AC265&lt;&gt;"",INDEX('M04-S08'!$AF$18:$AF$199,2*(ROWS(T$263:T265)-1)+1),""),"")</f>
        <v/>
      </c>
      <c r="U265" s="200" t="str">
        <f ca="1">IFERROR(IF(AC265&lt;&gt;"",INDEX('M04-S08'!$AH$18:$AH$199,2*(ROWS(U$263:U265)-1)+1),""),"")</f>
        <v/>
      </c>
      <c r="V265" s="178" t="str">
        <f ca="1">IFERROR(IF(AC265&lt;&gt;"",INDEX('M04-S08'!$AB$18:$AB$199,2*(ROWS(V$263:V265)-1)+1),""),"")</f>
        <v/>
      </c>
      <c r="W265" s="116">
        <f ca="1">IFERROR(IF(AC265&lt;&gt;"",ROUND(INDEX('M04-S08'!$P$18:$P$199,2*(ROWS(W$263:W265)-1)+1),3),""),"")</f>
        <v>0</v>
      </c>
      <c r="X265" s="116">
        <f ca="1">IFERROR(IF(AC265&lt;&gt;"",ROUND(INDEX('M04-S08'!$Z$18:$Z$199,2*(ROWS(X$263:X265)-1)+1),3),""),"")</f>
        <v>0</v>
      </c>
      <c r="Y265" s="408"/>
      <c r="Z265" s="173" t="str">
        <f ca="1">IFERROR(IF(AC265&lt;&gt;"",INDEX('M04-S08'!$AK$18:$AK$199,2*(ROWS(Z$263:Z265)-1)+1),""),"")</f>
        <v/>
      </c>
      <c r="AA265" s="408"/>
      <c r="AB265" s="415" t="str">
        <f ca="1">IFERROR(IF(AC265&lt;&gt;"",INDEX('M04-S08'!$BA$18:$BA$199,2*(ROWS(AB$263:AB265)-1)+1),""),"")</f>
        <v/>
      </c>
      <c r="AC265" s="178" t="str">
        <f ca="1">IFERROR(INDEX('M04-S08'!$BJ$18:$BJ$199,2*(ROWS(AC$263:AC265)-1)+1),"")</f>
        <v>Submit for Review</v>
      </c>
      <c r="AD265" s="415" t="str">
        <f>IFERROR(INDEX('M04-S08'!$AW$18:$AW$199,2*(ROWS(AD$263:AD265)-1)+1),"")</f>
        <v/>
      </c>
      <c r="AE265" s="415" t="str">
        <f>IFERROR(INDEX('M04-S08'!$AX$18:$AX$199,2*(ROWS(AE$263:AE265)-1)+1),"")</f>
        <v/>
      </c>
      <c r="AF265" s="408"/>
      <c r="AG265" s="408"/>
      <c r="AH265" s="408"/>
      <c r="AI265" s="178">
        <f>IFERROR(INDEX('M04-S08'!$B$18:$B$199,2*(ROWS(AI$263:AI265)-1)+1),"")</f>
        <v>3</v>
      </c>
      <c r="AJ265" s="325"/>
      <c r="AK265" s="178">
        <f>IFERROR(INDEX('M04-S08'!$F$18:$F$199,2*(ROWS(AK$263:AK265)-1)+1),"")</f>
        <v>0</v>
      </c>
      <c r="AL265" s="178">
        <f>IFERROR(INDEX('M04-S08'!$L$18:$L$199,2*(ROWS(AL$263:AL265)-1)+1),"")</f>
        <v>0</v>
      </c>
      <c r="AM265" s="178">
        <f>IFERROR(INDEX('M04-S08'!$T$18:$T$199,2*(ROWS(AM$263:AM265)-1)+1),"")</f>
        <v>0</v>
      </c>
      <c r="AN265" s="200" t="str">
        <f>IFERROR(INDEX('M04-S08'!$AT$18:$AT$199,2*(ROWS(AN$263:AN265)-1)+1),"")</f>
        <v/>
      </c>
      <c r="AO265" s="200" t="str">
        <f>IFERROR(INDEX('M04-S08'!$AU$18:$AU$199,2*(ROWS(AO$263:AO265)-1)+1),"")</f>
        <v/>
      </c>
      <c r="AP265" s="178" t="str">
        <f>IFERROR(INDEX('M04-S08'!$AV$18:$AV$199,2*(ROWS(AP$263:AP265)-1)+1),"")</f>
        <v/>
      </c>
      <c r="AQ265" s="178" t="str">
        <f>IFERROR(INDEX('M04-S08'!$AY$18:$AY$199,2*(ROWS(AQ$263:AQ265)-1)+1),"")</f>
        <v/>
      </c>
      <c r="AR265" s="178" t="s">
        <v>1374</v>
      </c>
      <c r="AS265" s="178"/>
      <c r="AT265" s="278"/>
      <c r="AU265" s="278"/>
      <c r="AV265" s="278"/>
      <c r="AW265" s="278"/>
      <c r="AX265" s="278"/>
      <c r="AY265" s="278"/>
      <c r="AZ265" s="278"/>
      <c r="BA265" s="278"/>
      <c r="BB265" s="278"/>
      <c r="BC265" s="278"/>
      <c r="BD265" s="278"/>
      <c r="BE265" s="279"/>
      <c r="BL265" s="180"/>
      <c r="BP265" s="180"/>
      <c r="BQ265" s="180"/>
      <c r="BR265" s="180"/>
      <c r="CD265" s="180"/>
      <c r="CE265" s="180"/>
      <c r="CF265" s="180"/>
      <c r="CH265" s="180"/>
      <c r="CI265" s="180"/>
      <c r="CJ265" s="180"/>
      <c r="CK265" s="180"/>
      <c r="CL265" s="180"/>
      <c r="CM265" s="180"/>
      <c r="CN265" s="180"/>
      <c r="CQ265" s="180"/>
      <c r="CR265" s="180"/>
      <c r="CS265" s="180"/>
      <c r="DS265" s="180"/>
      <c r="DT265" s="180"/>
      <c r="DU265" s="180"/>
    </row>
    <row r="266" spans="1:125" s="54" customFormat="1" hidden="1">
      <c r="A266" s="135">
        <f t="shared" si="28"/>
        <v>0</v>
      </c>
      <c r="B266" s="178" t="str">
        <f t="shared" si="29"/>
        <v/>
      </c>
      <c r="C266" s="178" t="str">
        <f>IFERROR(IF(INDEX('M04-S08'!$BH$18:$BH$199,2*(ROWS($C$263:C266)-1)+1)="","",INDEX('M04-S08'!$BH$18:$BH$199,2*(ROWS($C$263:C266)-1)+1)),"")</f>
        <v/>
      </c>
      <c r="D266" s="180" t="s">
        <v>144</v>
      </c>
      <c r="E266" s="178" t="str">
        <f>IFERROR(INDEX('M04-S08'!$AZ$18:$AZ$199,2*(ROWS(E$263:E266)-1)+1),"")</f>
        <v/>
      </c>
      <c r="F266" s="408"/>
      <c r="G266" s="325"/>
      <c r="H266" s="200" t="str">
        <f ca="1">IFERROR(IF(AC266&lt;&gt;"","",INDEX('M04-S08'!$AD$18:$AD$199,2*(ROWS(H$263:H266)-1)+1)),"")</f>
        <v/>
      </c>
      <c r="I266" s="200" t="str">
        <f ca="1">IFERROR(IF(AC266&lt;&gt;"","",INDEX('M04-S08'!$AF$18:$AF$199,2*(ROWS(I$263:I266)-1)+1)),"")</f>
        <v/>
      </c>
      <c r="J266" s="200" t="str">
        <f ca="1">IFERROR(IF(AC266&lt;&gt;"","",INDEX('M04-S08'!$AH$18:$AH$199,2*(ROWS(J$263:J266)-1)+1)),"")</f>
        <v/>
      </c>
      <c r="K266" s="178" t="str">
        <f ca="1">IFERROR(IF(AC266&lt;&gt;"","",INDEX('M04-S08'!$AB$18:$AB$199,2*(ROWS(J$263:J266)-1)+1)),"")</f>
        <v/>
      </c>
      <c r="L266" s="116" t="str">
        <f ca="1">IFERROR(IF(AC266&lt;&gt;"","",ROUND(INDEX('M04-S08'!$P$18:$P$199,2*(ROWS(L$263:L266)-1)+1),3)),"")</f>
        <v/>
      </c>
      <c r="M266" s="116" t="str">
        <f ca="1">IFERROR(IF(AC266&lt;&gt;"","",ROUND(INDEX('M04-S08'!$X$18:$X$199,2*(ROWS(M$263:M266)-1)+1),3)),"")</f>
        <v/>
      </c>
      <c r="N266" s="408"/>
      <c r="O266" s="173" t="str">
        <f ca="1">IFERROR(IF(AC266&lt;&gt;"","",INDEX('M04-S08'!$AK$18:$AK$199,2*(ROWS(O$263:O266)-1)+1)),"")</f>
        <v/>
      </c>
      <c r="P266" s="408"/>
      <c r="Q266" s="415" t="str">
        <f ca="1">IFERROR(IF(AC266&lt;&gt;"","",INDEX('M04-S08'!$BA$18:$BA$199,2*(ROWS(Q$263:Q266)-1)+1)),"")</f>
        <v/>
      </c>
      <c r="R266" s="200" t="str">
        <f ca="1">IFERROR(IF(AC266&lt;&gt;"","",INDEX('M04-S08'!$AN$18:$AN$199,2*(ROWS(R$263:R266)-1)+1)),"")</f>
        <v/>
      </c>
      <c r="S266" s="200">
        <f ca="1">IFERROR(IF(AC266&lt;&gt;"",INDEX('M04-S08'!$AD$18:$AD$199,2*(ROWS(S$263:S266)-1)+1),""),"")</f>
        <v>0</v>
      </c>
      <c r="T266" s="200" t="str">
        <f ca="1">IFERROR(IF(AC266&lt;&gt;"",INDEX('M04-S08'!$AF$18:$AF$199,2*(ROWS(T$263:T266)-1)+1),""),"")</f>
        <v/>
      </c>
      <c r="U266" s="200" t="str">
        <f ca="1">IFERROR(IF(AC266&lt;&gt;"",INDEX('M04-S08'!$AH$18:$AH$199,2*(ROWS(U$263:U266)-1)+1),""),"")</f>
        <v/>
      </c>
      <c r="V266" s="178" t="str">
        <f ca="1">IFERROR(IF(AC266&lt;&gt;"",INDEX('M04-S08'!$AB$18:$AB$199,2*(ROWS(V$263:V266)-1)+1),""),"")</f>
        <v/>
      </c>
      <c r="W266" s="116">
        <f ca="1">IFERROR(IF(AC266&lt;&gt;"",ROUND(INDEX('M04-S08'!$P$18:$P$199,2*(ROWS(W$263:W266)-1)+1),3),""),"")</f>
        <v>0</v>
      </c>
      <c r="X266" s="116">
        <f ca="1">IFERROR(IF(AC266&lt;&gt;"",ROUND(INDEX('M04-S08'!$Z$18:$Z$199,2*(ROWS(X$263:X266)-1)+1),3),""),"")</f>
        <v>0</v>
      </c>
      <c r="Y266" s="408"/>
      <c r="Z266" s="173" t="str">
        <f ca="1">IFERROR(IF(AC266&lt;&gt;"",INDEX('M04-S08'!$AK$18:$AK$199,2*(ROWS(Z$263:Z266)-1)+1),""),"")</f>
        <v/>
      </c>
      <c r="AA266" s="408"/>
      <c r="AB266" s="415" t="str">
        <f ca="1">IFERROR(IF(AC266&lt;&gt;"",INDEX('M04-S08'!$BA$18:$BA$199,2*(ROWS(AB$263:AB266)-1)+1),""),"")</f>
        <v/>
      </c>
      <c r="AC266" s="178" t="str">
        <f ca="1">IFERROR(INDEX('M04-S08'!$BJ$18:$BJ$199,2*(ROWS(AC$263:AC266)-1)+1),"")</f>
        <v>Submit for Review</v>
      </c>
      <c r="AD266" s="415" t="str">
        <f>IFERROR(INDEX('M04-S08'!$AW$18:$AW$199,2*(ROWS(AD$263:AD266)-1)+1),"")</f>
        <v/>
      </c>
      <c r="AE266" s="415" t="str">
        <f>IFERROR(INDEX('M04-S08'!$AX$18:$AX$199,2*(ROWS(AE$263:AE266)-1)+1),"")</f>
        <v/>
      </c>
      <c r="AF266" s="408"/>
      <c r="AG266" s="408"/>
      <c r="AH266" s="408"/>
      <c r="AI266" s="178">
        <f>IFERROR(INDEX('M04-S08'!$B$18:$B$199,2*(ROWS(AI$263:AI266)-1)+1),"")</f>
        <v>4</v>
      </c>
      <c r="AJ266" s="325"/>
      <c r="AK266" s="178">
        <f>IFERROR(INDEX('M04-S08'!$F$18:$F$199,2*(ROWS(AK$263:AK266)-1)+1),"")</f>
        <v>0</v>
      </c>
      <c r="AL266" s="178">
        <f>IFERROR(INDEX('M04-S08'!$L$18:$L$199,2*(ROWS(AL$263:AL266)-1)+1),"")</f>
        <v>0</v>
      </c>
      <c r="AM266" s="178">
        <f>IFERROR(INDEX('M04-S08'!$T$18:$T$199,2*(ROWS(AM$263:AM266)-1)+1),"")</f>
        <v>0</v>
      </c>
      <c r="AN266" s="200" t="str">
        <f>IFERROR(INDEX('M04-S08'!$AT$18:$AT$199,2*(ROWS(AN$263:AN266)-1)+1),"")</f>
        <v/>
      </c>
      <c r="AO266" s="200" t="str">
        <f>IFERROR(INDEX('M04-S08'!$AU$18:$AU$199,2*(ROWS(AO$263:AO266)-1)+1),"")</f>
        <v/>
      </c>
      <c r="AP266" s="178" t="str">
        <f>IFERROR(INDEX('M04-S08'!$AV$18:$AV$199,2*(ROWS(AP$263:AP266)-1)+1),"")</f>
        <v/>
      </c>
      <c r="AQ266" s="178" t="str">
        <f>IFERROR(INDEX('M04-S08'!$AY$18:$AY$199,2*(ROWS(AQ$263:AQ266)-1)+1),"")</f>
        <v/>
      </c>
      <c r="AR266" s="178" t="s">
        <v>1374</v>
      </c>
      <c r="AS266" s="178"/>
      <c r="AT266" s="278"/>
      <c r="AU266" s="278"/>
      <c r="AV266" s="278"/>
      <c r="AW266" s="278"/>
      <c r="AX266" s="278"/>
      <c r="AY266" s="278"/>
      <c r="AZ266" s="278"/>
      <c r="BA266" s="278"/>
      <c r="BB266" s="278"/>
      <c r="BC266" s="278"/>
      <c r="BD266" s="278"/>
      <c r="BE266" s="279"/>
      <c r="BL266" s="180"/>
      <c r="BP266" s="180"/>
      <c r="BQ266" s="180"/>
      <c r="BR266" s="180"/>
      <c r="CD266" s="180"/>
      <c r="CE266" s="180"/>
      <c r="CF266" s="180"/>
      <c r="CH266" s="180"/>
      <c r="CI266" s="180"/>
      <c r="CJ266" s="180"/>
      <c r="CK266" s="180"/>
      <c r="CL266" s="180"/>
      <c r="CM266" s="180"/>
      <c r="CN266" s="180"/>
      <c r="CQ266" s="180"/>
      <c r="CR266" s="180"/>
      <c r="CS266" s="180"/>
      <c r="DS266" s="180"/>
      <c r="DT266" s="180"/>
      <c r="DU266" s="180"/>
    </row>
    <row r="267" spans="1:125" s="54" customFormat="1" hidden="1">
      <c r="A267" s="135">
        <f t="shared" si="28"/>
        <v>0</v>
      </c>
      <c r="B267" s="178" t="str">
        <f t="shared" si="29"/>
        <v/>
      </c>
      <c r="C267" s="178" t="str">
        <f>IFERROR(IF(INDEX('M04-S08'!$BH$18:$BH$199,2*(ROWS($C$263:C267)-1)+1)="","",INDEX('M04-S08'!$BH$18:$BH$199,2*(ROWS($C$263:C267)-1)+1)),"")</f>
        <v/>
      </c>
      <c r="D267" s="180" t="s">
        <v>144</v>
      </c>
      <c r="E267" s="178" t="str">
        <f>IFERROR(INDEX('M04-S08'!$AZ$18:$AZ$199,2*(ROWS(E$263:E267)-1)+1),"")</f>
        <v/>
      </c>
      <c r="F267" s="408"/>
      <c r="G267" s="325"/>
      <c r="H267" s="200" t="str">
        <f ca="1">IFERROR(IF(AC267&lt;&gt;"","",INDEX('M04-S08'!$AD$18:$AD$199,2*(ROWS(H$263:H267)-1)+1)),"")</f>
        <v/>
      </c>
      <c r="I267" s="200" t="str">
        <f ca="1">IFERROR(IF(AC267&lt;&gt;"","",INDEX('M04-S08'!$AF$18:$AF$199,2*(ROWS(I$263:I267)-1)+1)),"")</f>
        <v/>
      </c>
      <c r="J267" s="200" t="str">
        <f ca="1">IFERROR(IF(AC267&lt;&gt;"","",INDEX('M04-S08'!$AH$18:$AH$199,2*(ROWS(J$263:J267)-1)+1)),"")</f>
        <v/>
      </c>
      <c r="K267" s="178" t="str">
        <f ca="1">IFERROR(IF(AC267&lt;&gt;"","",INDEX('M04-S08'!$AB$18:$AB$199,2*(ROWS(J$263:J267)-1)+1)),"")</f>
        <v/>
      </c>
      <c r="L267" s="116" t="str">
        <f ca="1">IFERROR(IF(AC267&lt;&gt;"","",ROUND(INDEX('M04-S08'!$P$18:$P$199,2*(ROWS(L$263:L267)-1)+1),3)),"")</f>
        <v/>
      </c>
      <c r="M267" s="116" t="str">
        <f ca="1">IFERROR(IF(AC267&lt;&gt;"","",ROUND(INDEX('M04-S08'!$X$18:$X$199,2*(ROWS(M$263:M267)-1)+1),3)),"")</f>
        <v/>
      </c>
      <c r="N267" s="408"/>
      <c r="O267" s="173" t="str">
        <f ca="1">IFERROR(IF(AC267&lt;&gt;"","",INDEX('M04-S08'!$AK$18:$AK$199,2*(ROWS(O$263:O267)-1)+1)),"")</f>
        <v/>
      </c>
      <c r="P267" s="408"/>
      <c r="Q267" s="415" t="str">
        <f ca="1">IFERROR(IF(AC267&lt;&gt;"","",INDEX('M04-S08'!$BA$18:$BA$199,2*(ROWS(Q$263:Q267)-1)+1)),"")</f>
        <v/>
      </c>
      <c r="R267" s="200" t="str">
        <f ca="1">IFERROR(IF(AC267&lt;&gt;"","",INDEX('M04-S08'!$AN$18:$AN$199,2*(ROWS(R$263:R267)-1)+1)),"")</f>
        <v/>
      </c>
      <c r="S267" s="200">
        <f ca="1">IFERROR(IF(AC267&lt;&gt;"",INDEX('M04-S08'!$AD$18:$AD$199,2*(ROWS(S$263:S267)-1)+1),""),"")</f>
        <v>0</v>
      </c>
      <c r="T267" s="200" t="str">
        <f ca="1">IFERROR(IF(AC267&lt;&gt;"",INDEX('M04-S08'!$AF$18:$AF$199,2*(ROWS(T$263:T267)-1)+1),""),"")</f>
        <v/>
      </c>
      <c r="U267" s="200" t="str">
        <f ca="1">IFERROR(IF(AC267&lt;&gt;"",INDEX('M04-S08'!$AH$18:$AH$199,2*(ROWS(U$263:U267)-1)+1),""),"")</f>
        <v/>
      </c>
      <c r="V267" s="178" t="str">
        <f ca="1">IFERROR(IF(AC267&lt;&gt;"",INDEX('M04-S08'!$AB$18:$AB$199,2*(ROWS(V$263:V267)-1)+1),""),"")</f>
        <v/>
      </c>
      <c r="W267" s="116">
        <f ca="1">IFERROR(IF(AC267&lt;&gt;"",ROUND(INDEX('M04-S08'!$P$18:$P$199,2*(ROWS(W$263:W267)-1)+1),3),""),"")</f>
        <v>0</v>
      </c>
      <c r="X267" s="116">
        <f ca="1">IFERROR(IF(AC267&lt;&gt;"",ROUND(INDEX('M04-S08'!$Z$18:$Z$199,2*(ROWS(X$263:X267)-1)+1),3),""),"")</f>
        <v>0</v>
      </c>
      <c r="Y267" s="408"/>
      <c r="Z267" s="173" t="str">
        <f ca="1">IFERROR(IF(AC267&lt;&gt;"",INDEX('M04-S08'!$AK$18:$AK$199,2*(ROWS(Z$263:Z267)-1)+1),""),"")</f>
        <v/>
      </c>
      <c r="AA267" s="408"/>
      <c r="AB267" s="415" t="str">
        <f ca="1">IFERROR(IF(AC267&lt;&gt;"",INDEX('M04-S08'!$BA$18:$BA$199,2*(ROWS(AB$263:AB267)-1)+1),""),"")</f>
        <v/>
      </c>
      <c r="AC267" s="178" t="str">
        <f ca="1">IFERROR(INDEX('M04-S08'!$BJ$18:$BJ$199,2*(ROWS(AC$263:AC267)-1)+1),"")</f>
        <v>Submit for Review</v>
      </c>
      <c r="AD267" s="415" t="str">
        <f>IFERROR(INDEX('M04-S08'!$AW$18:$AW$199,2*(ROWS(AD$263:AD267)-1)+1),"")</f>
        <v/>
      </c>
      <c r="AE267" s="415" t="str">
        <f>IFERROR(INDEX('M04-S08'!$AX$18:$AX$199,2*(ROWS(AE$263:AE267)-1)+1),"")</f>
        <v/>
      </c>
      <c r="AF267" s="408"/>
      <c r="AG267" s="408"/>
      <c r="AH267" s="408"/>
      <c r="AI267" s="178">
        <f>IFERROR(INDEX('M04-S08'!$B$18:$B$199,2*(ROWS(AI$263:AI267)-1)+1),"")</f>
        <v>5</v>
      </c>
      <c r="AJ267" s="325"/>
      <c r="AK267" s="178">
        <f>IFERROR(INDEX('M04-S08'!$F$18:$F$199,2*(ROWS(AK$263:AK267)-1)+1),"")</f>
        <v>0</v>
      </c>
      <c r="AL267" s="178">
        <f>IFERROR(INDEX('M04-S08'!$L$18:$L$199,2*(ROWS(AL$263:AL267)-1)+1),"")</f>
        <v>0</v>
      </c>
      <c r="AM267" s="178">
        <f>IFERROR(INDEX('M04-S08'!$T$18:$T$199,2*(ROWS(AM$263:AM267)-1)+1),"")</f>
        <v>0</v>
      </c>
      <c r="AN267" s="200" t="str">
        <f>IFERROR(INDEX('M04-S08'!$AT$18:$AT$199,2*(ROWS(AN$263:AN267)-1)+1),"")</f>
        <v/>
      </c>
      <c r="AO267" s="200" t="str">
        <f>IFERROR(INDEX('M04-S08'!$AU$18:$AU$199,2*(ROWS(AO$263:AO267)-1)+1),"")</f>
        <v/>
      </c>
      <c r="AP267" s="178" t="str">
        <f>IFERROR(INDEX('M04-S08'!$AV$18:$AV$199,2*(ROWS(AP$263:AP267)-1)+1),"")</f>
        <v/>
      </c>
      <c r="AQ267" s="178" t="str">
        <f>IFERROR(INDEX('M04-S08'!$AY$18:$AY$199,2*(ROWS(AQ$263:AQ267)-1)+1),"")</f>
        <v/>
      </c>
      <c r="AR267" s="178" t="s">
        <v>1374</v>
      </c>
      <c r="AS267" s="178"/>
      <c r="AT267" s="278"/>
      <c r="AU267" s="278"/>
      <c r="AV267" s="278"/>
      <c r="AW267" s="278"/>
      <c r="AX267" s="278"/>
      <c r="AY267" s="278"/>
      <c r="AZ267" s="278"/>
      <c r="BA267" s="278"/>
      <c r="BB267" s="278"/>
      <c r="BC267" s="278"/>
      <c r="BD267" s="278"/>
      <c r="BE267" s="279"/>
      <c r="BL267" s="180"/>
      <c r="BP267" s="180"/>
      <c r="BQ267" s="180"/>
      <c r="BR267" s="180"/>
      <c r="CD267" s="180"/>
      <c r="CE267" s="180"/>
      <c r="CF267" s="180"/>
      <c r="CH267" s="180"/>
      <c r="CI267" s="180"/>
      <c r="CJ267" s="180"/>
      <c r="CK267" s="180"/>
      <c r="CL267" s="180"/>
      <c r="CM267" s="180"/>
      <c r="CN267" s="180"/>
      <c r="CQ267" s="180"/>
      <c r="CR267" s="180"/>
      <c r="CS267" s="180"/>
      <c r="DS267" s="180"/>
      <c r="DT267" s="180"/>
      <c r="DU267" s="180"/>
    </row>
    <row r="268" spans="1:125" s="54" customFormat="1" hidden="1">
      <c r="A268" s="135">
        <f t="shared" si="28"/>
        <v>0</v>
      </c>
      <c r="B268" s="178" t="str">
        <f t="shared" si="29"/>
        <v/>
      </c>
      <c r="C268" s="178" t="str">
        <f>IFERROR(IF(INDEX('M04-S08'!$BH$18:$BH$199,2*(ROWS($C$263:C268)-1)+1)="","",INDEX('M04-S08'!$BH$18:$BH$199,2*(ROWS($C$263:C268)-1)+1)),"")</f>
        <v/>
      </c>
      <c r="D268" s="180" t="s">
        <v>144</v>
      </c>
      <c r="E268" s="178" t="str">
        <f>IFERROR(INDEX('M04-S08'!$AZ$18:$AZ$199,2*(ROWS(E$263:E268)-1)+1),"")</f>
        <v/>
      </c>
      <c r="F268" s="408"/>
      <c r="G268" s="325"/>
      <c r="H268" s="200" t="str">
        <f ca="1">IFERROR(IF(AC268&lt;&gt;"","",INDEX('M04-S08'!$AD$18:$AD$199,2*(ROWS(H$263:H268)-1)+1)),"")</f>
        <v/>
      </c>
      <c r="I268" s="200" t="str">
        <f ca="1">IFERROR(IF(AC268&lt;&gt;"","",INDEX('M04-S08'!$AF$18:$AF$199,2*(ROWS(I$263:I268)-1)+1)),"")</f>
        <v/>
      </c>
      <c r="J268" s="200" t="str">
        <f ca="1">IFERROR(IF(AC268&lt;&gt;"","",INDEX('M04-S08'!$AH$18:$AH$199,2*(ROWS(J$263:J268)-1)+1)),"")</f>
        <v/>
      </c>
      <c r="K268" s="178" t="str">
        <f ca="1">IFERROR(IF(AC268&lt;&gt;"","",INDEX('M04-S08'!$AB$18:$AB$199,2*(ROWS(J$263:J268)-1)+1)),"")</f>
        <v/>
      </c>
      <c r="L268" s="116" t="str">
        <f ca="1">IFERROR(IF(AC268&lt;&gt;"","",ROUND(INDEX('M04-S08'!$P$18:$P$199,2*(ROWS(L$263:L268)-1)+1),3)),"")</f>
        <v/>
      </c>
      <c r="M268" s="116" t="str">
        <f ca="1">IFERROR(IF(AC268&lt;&gt;"","",ROUND(INDEX('M04-S08'!$X$18:$X$199,2*(ROWS(M$263:M268)-1)+1),3)),"")</f>
        <v/>
      </c>
      <c r="N268" s="408"/>
      <c r="O268" s="173" t="str">
        <f ca="1">IFERROR(IF(AC268&lt;&gt;"","",INDEX('M04-S08'!$AK$18:$AK$199,2*(ROWS(O$263:O268)-1)+1)),"")</f>
        <v/>
      </c>
      <c r="P268" s="408"/>
      <c r="Q268" s="415" t="str">
        <f ca="1">IFERROR(IF(AC268&lt;&gt;"","",INDEX('M04-S08'!$BA$18:$BA$199,2*(ROWS(Q$263:Q268)-1)+1)),"")</f>
        <v/>
      </c>
      <c r="R268" s="200" t="str">
        <f ca="1">IFERROR(IF(AC268&lt;&gt;"","",INDEX('M04-S08'!$AN$18:$AN$199,2*(ROWS(R$263:R268)-1)+1)),"")</f>
        <v/>
      </c>
      <c r="S268" s="200">
        <f ca="1">IFERROR(IF(AC268&lt;&gt;"",INDEX('M04-S08'!$AD$18:$AD$199,2*(ROWS(S$263:S268)-1)+1),""),"")</f>
        <v>0</v>
      </c>
      <c r="T268" s="200" t="str">
        <f ca="1">IFERROR(IF(AC268&lt;&gt;"",INDEX('M04-S08'!$AF$18:$AF$199,2*(ROWS(T$263:T268)-1)+1),""),"")</f>
        <v/>
      </c>
      <c r="U268" s="200" t="str">
        <f ca="1">IFERROR(IF(AC268&lt;&gt;"",INDEX('M04-S08'!$AH$18:$AH$199,2*(ROWS(U$263:U268)-1)+1),""),"")</f>
        <v/>
      </c>
      <c r="V268" s="178" t="str">
        <f ca="1">IFERROR(IF(AC268&lt;&gt;"",INDEX('M04-S08'!$AB$18:$AB$199,2*(ROWS(V$263:V268)-1)+1),""),"")</f>
        <v/>
      </c>
      <c r="W268" s="116">
        <f ca="1">IFERROR(IF(AC268&lt;&gt;"",ROUND(INDEX('M04-S08'!$P$18:$P$199,2*(ROWS(W$263:W268)-1)+1),3),""),"")</f>
        <v>0</v>
      </c>
      <c r="X268" s="116">
        <f ca="1">IFERROR(IF(AC268&lt;&gt;"",ROUND(INDEX('M04-S08'!$Z$18:$Z$199,2*(ROWS(X$263:X268)-1)+1),3),""),"")</f>
        <v>0</v>
      </c>
      <c r="Y268" s="408"/>
      <c r="Z268" s="173" t="str">
        <f ca="1">IFERROR(IF(AC268&lt;&gt;"",INDEX('M04-S08'!$AK$18:$AK$199,2*(ROWS(Z$263:Z268)-1)+1),""),"")</f>
        <v/>
      </c>
      <c r="AA268" s="408"/>
      <c r="AB268" s="415" t="str">
        <f ca="1">IFERROR(IF(AC268&lt;&gt;"",INDEX('M04-S08'!$BA$18:$BA$199,2*(ROWS(AB$263:AB268)-1)+1),""),"")</f>
        <v/>
      </c>
      <c r="AC268" s="178" t="str">
        <f ca="1">IFERROR(INDEX('M04-S08'!$BJ$18:$BJ$199,2*(ROWS(AC$263:AC268)-1)+1),"")</f>
        <v>Submit for Review</v>
      </c>
      <c r="AD268" s="415" t="str">
        <f>IFERROR(INDEX('M04-S08'!$AW$18:$AW$199,2*(ROWS(AD$263:AD268)-1)+1),"")</f>
        <v/>
      </c>
      <c r="AE268" s="415" t="str">
        <f>IFERROR(INDEX('M04-S08'!$AX$18:$AX$199,2*(ROWS(AE$263:AE268)-1)+1),"")</f>
        <v/>
      </c>
      <c r="AF268" s="408"/>
      <c r="AG268" s="408"/>
      <c r="AH268" s="408"/>
      <c r="AI268" s="178">
        <f>IFERROR(INDEX('M04-S08'!$B$18:$B$199,2*(ROWS(AI$263:AI268)-1)+1),"")</f>
        <v>6</v>
      </c>
      <c r="AJ268" s="325"/>
      <c r="AK268" s="178">
        <f>IFERROR(INDEX('M04-S08'!$F$18:$F$199,2*(ROWS(AK$263:AK268)-1)+1),"")</f>
        <v>0</v>
      </c>
      <c r="AL268" s="178">
        <f>IFERROR(INDEX('M04-S08'!$L$18:$L$199,2*(ROWS(AL$263:AL268)-1)+1),"")</f>
        <v>0</v>
      </c>
      <c r="AM268" s="178">
        <f>IFERROR(INDEX('M04-S08'!$T$18:$T$199,2*(ROWS(AM$263:AM268)-1)+1),"")</f>
        <v>0</v>
      </c>
      <c r="AN268" s="200" t="str">
        <f>IFERROR(INDEX('M04-S08'!$AT$18:$AT$199,2*(ROWS(AN$263:AN268)-1)+1),"")</f>
        <v/>
      </c>
      <c r="AO268" s="200" t="str">
        <f>IFERROR(INDEX('M04-S08'!$AU$18:$AU$199,2*(ROWS(AO$263:AO268)-1)+1),"")</f>
        <v/>
      </c>
      <c r="AP268" s="178" t="str">
        <f>IFERROR(INDEX('M04-S08'!$AV$18:$AV$199,2*(ROWS(AP$263:AP268)-1)+1),"")</f>
        <v/>
      </c>
      <c r="AQ268" s="178" t="str">
        <f>IFERROR(INDEX('M04-S08'!$AY$18:$AY$199,2*(ROWS(AQ$263:AQ268)-1)+1),"")</f>
        <v/>
      </c>
      <c r="AR268" s="178" t="s">
        <v>1374</v>
      </c>
      <c r="AS268" s="178"/>
      <c r="AT268" s="278"/>
      <c r="AU268" s="278"/>
      <c r="AV268" s="278"/>
      <c r="AW268" s="278"/>
      <c r="AX268" s="278"/>
      <c r="AY268" s="278"/>
      <c r="AZ268" s="278"/>
      <c r="BA268" s="278"/>
      <c r="BB268" s="278"/>
      <c r="BC268" s="278"/>
      <c r="BD268" s="278"/>
      <c r="BE268" s="279"/>
      <c r="BL268" s="180"/>
      <c r="BP268" s="180"/>
      <c r="BQ268" s="180"/>
      <c r="BR268" s="180"/>
      <c r="CD268" s="180"/>
      <c r="CE268" s="180"/>
      <c r="CF268" s="180"/>
      <c r="CH268" s="180"/>
      <c r="CI268" s="180"/>
      <c r="CJ268" s="180"/>
      <c r="CK268" s="180"/>
      <c r="CL268" s="180"/>
      <c r="CM268" s="180"/>
      <c r="CN268" s="180"/>
      <c r="CQ268" s="180"/>
      <c r="CR268" s="180"/>
      <c r="CS268" s="180"/>
      <c r="DS268" s="180"/>
      <c r="DT268" s="180"/>
      <c r="DU268" s="180"/>
    </row>
    <row r="269" spans="1:125" s="54" customFormat="1" hidden="1">
      <c r="A269" s="135">
        <f t="shared" si="28"/>
        <v>0</v>
      </c>
      <c r="B269" s="178" t="str">
        <f t="shared" si="29"/>
        <v/>
      </c>
      <c r="C269" s="178" t="str">
        <f>IFERROR(IF(INDEX('M04-S08'!$BH$18:$BH$199,2*(ROWS($C$263:C269)-1)+1)="","",INDEX('M04-S08'!$BH$18:$BH$199,2*(ROWS($C$263:C269)-1)+1)),"")</f>
        <v/>
      </c>
      <c r="D269" s="180" t="s">
        <v>144</v>
      </c>
      <c r="E269" s="178" t="str">
        <f>IFERROR(INDEX('M04-S08'!$AZ$18:$AZ$199,2*(ROWS(E$263:E269)-1)+1),"")</f>
        <v/>
      </c>
      <c r="F269" s="408"/>
      <c r="G269" s="325"/>
      <c r="H269" s="200" t="str">
        <f ca="1">IFERROR(IF(AC269&lt;&gt;"","",INDEX('M04-S08'!$AD$18:$AD$199,2*(ROWS(H$263:H269)-1)+1)),"")</f>
        <v/>
      </c>
      <c r="I269" s="200" t="str">
        <f ca="1">IFERROR(IF(AC269&lt;&gt;"","",INDEX('M04-S08'!$AF$18:$AF$199,2*(ROWS(I$263:I269)-1)+1)),"")</f>
        <v/>
      </c>
      <c r="J269" s="200" t="str">
        <f ca="1">IFERROR(IF(AC269&lt;&gt;"","",INDEX('M04-S08'!$AH$18:$AH$199,2*(ROWS(J$263:J269)-1)+1)),"")</f>
        <v/>
      </c>
      <c r="K269" s="178" t="str">
        <f ca="1">IFERROR(IF(AC269&lt;&gt;"","",INDEX('M04-S08'!$AB$18:$AB$199,2*(ROWS(J$263:J269)-1)+1)),"")</f>
        <v/>
      </c>
      <c r="L269" s="116" t="str">
        <f ca="1">IFERROR(IF(AC269&lt;&gt;"","",ROUND(INDEX('M04-S08'!$P$18:$P$199,2*(ROWS(L$263:L269)-1)+1),3)),"")</f>
        <v/>
      </c>
      <c r="M269" s="116" t="str">
        <f ca="1">IFERROR(IF(AC269&lt;&gt;"","",ROUND(INDEX('M04-S08'!$X$18:$X$199,2*(ROWS(M$263:M269)-1)+1),3)),"")</f>
        <v/>
      </c>
      <c r="N269" s="408"/>
      <c r="O269" s="173" t="str">
        <f ca="1">IFERROR(IF(AC269&lt;&gt;"","",INDEX('M04-S08'!$AK$18:$AK$199,2*(ROWS(O$263:O269)-1)+1)),"")</f>
        <v/>
      </c>
      <c r="P269" s="408"/>
      <c r="Q269" s="415" t="str">
        <f ca="1">IFERROR(IF(AC269&lt;&gt;"","",INDEX('M04-S08'!$BA$18:$BA$199,2*(ROWS(Q$263:Q269)-1)+1)),"")</f>
        <v/>
      </c>
      <c r="R269" s="200" t="str">
        <f ca="1">IFERROR(IF(AC269&lt;&gt;"","",INDEX('M04-S08'!$AN$18:$AN$199,2*(ROWS(R$263:R269)-1)+1)),"")</f>
        <v/>
      </c>
      <c r="S269" s="200">
        <f ca="1">IFERROR(IF(AC269&lt;&gt;"",INDEX('M04-S08'!$AD$18:$AD$199,2*(ROWS(S$263:S269)-1)+1),""),"")</f>
        <v>0</v>
      </c>
      <c r="T269" s="200" t="str">
        <f ca="1">IFERROR(IF(AC269&lt;&gt;"",INDEX('M04-S08'!$AF$18:$AF$199,2*(ROWS(T$263:T269)-1)+1),""),"")</f>
        <v/>
      </c>
      <c r="U269" s="200" t="str">
        <f ca="1">IFERROR(IF(AC269&lt;&gt;"",INDEX('M04-S08'!$AH$18:$AH$199,2*(ROWS(U$263:U269)-1)+1),""),"")</f>
        <v/>
      </c>
      <c r="V269" s="178" t="str">
        <f ca="1">IFERROR(IF(AC269&lt;&gt;"",INDEX('M04-S08'!$AB$18:$AB$199,2*(ROWS(V$263:V269)-1)+1),""),"")</f>
        <v/>
      </c>
      <c r="W269" s="116">
        <f ca="1">IFERROR(IF(AC269&lt;&gt;"",ROUND(INDEX('M04-S08'!$P$18:$P$199,2*(ROWS(W$263:W269)-1)+1),3),""),"")</f>
        <v>0</v>
      </c>
      <c r="X269" s="116">
        <f ca="1">IFERROR(IF(AC269&lt;&gt;"",ROUND(INDEX('M04-S08'!$Z$18:$Z$199,2*(ROWS(X$263:X269)-1)+1),3),""),"")</f>
        <v>0</v>
      </c>
      <c r="Y269" s="408"/>
      <c r="Z269" s="173" t="str">
        <f ca="1">IFERROR(IF(AC269&lt;&gt;"",INDEX('M04-S08'!$AK$18:$AK$199,2*(ROWS(Z$263:Z269)-1)+1),""),"")</f>
        <v/>
      </c>
      <c r="AA269" s="408"/>
      <c r="AB269" s="415" t="str">
        <f ca="1">IFERROR(IF(AC269&lt;&gt;"",INDEX('M04-S08'!$BA$18:$BA$199,2*(ROWS(AB$263:AB269)-1)+1),""),"")</f>
        <v/>
      </c>
      <c r="AC269" s="178" t="str">
        <f ca="1">IFERROR(INDEX('M04-S08'!$BJ$18:$BJ$199,2*(ROWS(AC$263:AC269)-1)+1),"")</f>
        <v>Submit for Review</v>
      </c>
      <c r="AD269" s="415" t="str">
        <f>IFERROR(INDEX('M04-S08'!$AW$18:$AW$199,2*(ROWS(AD$263:AD269)-1)+1),"")</f>
        <v/>
      </c>
      <c r="AE269" s="415" t="str">
        <f>IFERROR(INDEX('M04-S08'!$AX$18:$AX$199,2*(ROWS(AE$263:AE269)-1)+1),"")</f>
        <v/>
      </c>
      <c r="AF269" s="408"/>
      <c r="AG269" s="408"/>
      <c r="AH269" s="408"/>
      <c r="AI269" s="178">
        <f>IFERROR(INDEX('M04-S08'!$B$18:$B$199,2*(ROWS(AI$263:AI269)-1)+1),"")</f>
        <v>7</v>
      </c>
      <c r="AJ269" s="325"/>
      <c r="AK269" s="178">
        <f>IFERROR(INDEX('M04-S08'!$F$18:$F$199,2*(ROWS(AK$263:AK269)-1)+1),"")</f>
        <v>0</v>
      </c>
      <c r="AL269" s="178">
        <f>IFERROR(INDEX('M04-S08'!$L$18:$L$199,2*(ROWS(AL$263:AL269)-1)+1),"")</f>
        <v>0</v>
      </c>
      <c r="AM269" s="178">
        <f>IFERROR(INDEX('M04-S08'!$T$18:$T$199,2*(ROWS(AM$263:AM269)-1)+1),"")</f>
        <v>0</v>
      </c>
      <c r="AN269" s="200" t="str">
        <f>IFERROR(INDEX('M04-S08'!$AT$18:$AT$199,2*(ROWS(AN$263:AN269)-1)+1),"")</f>
        <v/>
      </c>
      <c r="AO269" s="200" t="str">
        <f>IFERROR(INDEX('M04-S08'!$AU$18:$AU$199,2*(ROWS(AO$263:AO269)-1)+1),"")</f>
        <v/>
      </c>
      <c r="AP269" s="178" t="str">
        <f>IFERROR(INDEX('M04-S08'!$AV$18:$AV$199,2*(ROWS(AP$263:AP269)-1)+1),"")</f>
        <v/>
      </c>
      <c r="AQ269" s="178" t="str">
        <f>IFERROR(INDEX('M04-S08'!$AY$18:$AY$199,2*(ROWS(AQ$263:AQ269)-1)+1),"")</f>
        <v/>
      </c>
      <c r="AR269" s="178" t="s">
        <v>1374</v>
      </c>
      <c r="AS269" s="178"/>
      <c r="AT269" s="278"/>
      <c r="AU269" s="278"/>
      <c r="AV269" s="278"/>
      <c r="AW269" s="278"/>
      <c r="AX269" s="278"/>
      <c r="AY269" s="278"/>
      <c r="AZ269" s="278"/>
      <c r="BA269" s="278"/>
      <c r="BB269" s="278"/>
      <c r="BC269" s="278"/>
      <c r="BD269" s="278"/>
      <c r="BE269" s="279"/>
      <c r="BL269" s="180"/>
      <c r="BP269" s="180"/>
      <c r="BQ269" s="180"/>
      <c r="BR269" s="180"/>
      <c r="CD269" s="180"/>
      <c r="CE269" s="180"/>
      <c r="CF269" s="180"/>
      <c r="CH269" s="180"/>
      <c r="CI269" s="180"/>
      <c r="CJ269" s="180"/>
      <c r="CK269" s="180"/>
      <c r="CL269" s="180"/>
      <c r="CM269" s="180"/>
      <c r="CN269" s="180"/>
      <c r="CQ269" s="180"/>
      <c r="CR269" s="180"/>
      <c r="CS269" s="180"/>
      <c r="DS269" s="180"/>
      <c r="DT269" s="180"/>
      <c r="DU269" s="180"/>
    </row>
    <row r="270" spans="1:125" s="54" customFormat="1" hidden="1">
      <c r="A270" s="135">
        <f t="shared" si="28"/>
        <v>0</v>
      </c>
      <c r="B270" s="178" t="str">
        <f t="shared" si="29"/>
        <v/>
      </c>
      <c r="C270" s="178" t="str">
        <f>IFERROR(IF(INDEX('M04-S08'!$BH$18:$BH$199,2*(ROWS($C$263:C270)-1)+1)="","",INDEX('M04-S08'!$BH$18:$BH$199,2*(ROWS($C$263:C270)-1)+1)),"")</f>
        <v/>
      </c>
      <c r="D270" s="180" t="s">
        <v>144</v>
      </c>
      <c r="E270" s="178" t="str">
        <f>IFERROR(INDEX('M04-S08'!$AZ$18:$AZ$199,2*(ROWS(E$263:E270)-1)+1),"")</f>
        <v/>
      </c>
      <c r="F270" s="408"/>
      <c r="G270" s="325"/>
      <c r="H270" s="200" t="str">
        <f ca="1">IFERROR(IF(AC270&lt;&gt;"","",INDEX('M04-S08'!$AD$18:$AD$199,2*(ROWS(H$263:H270)-1)+1)),"")</f>
        <v/>
      </c>
      <c r="I270" s="200" t="str">
        <f ca="1">IFERROR(IF(AC270&lt;&gt;"","",INDEX('M04-S08'!$AF$18:$AF$199,2*(ROWS(I$263:I270)-1)+1)),"")</f>
        <v/>
      </c>
      <c r="J270" s="200" t="str">
        <f ca="1">IFERROR(IF(AC270&lt;&gt;"","",INDEX('M04-S08'!$AH$18:$AH$199,2*(ROWS(J$263:J270)-1)+1)),"")</f>
        <v/>
      </c>
      <c r="K270" s="178" t="str">
        <f ca="1">IFERROR(IF(AC270&lt;&gt;"","",INDEX('M04-S08'!$AB$18:$AB$199,2*(ROWS(J$263:J270)-1)+1)),"")</f>
        <v/>
      </c>
      <c r="L270" s="116" t="str">
        <f ca="1">IFERROR(IF(AC270&lt;&gt;"","",ROUND(INDEX('M04-S08'!$P$18:$P$199,2*(ROWS(L$263:L270)-1)+1),3)),"")</f>
        <v/>
      </c>
      <c r="M270" s="116" t="str">
        <f ca="1">IFERROR(IF(AC270&lt;&gt;"","",ROUND(INDEX('M04-S08'!$X$18:$X$199,2*(ROWS(M$263:M270)-1)+1),3)),"")</f>
        <v/>
      </c>
      <c r="N270" s="408"/>
      <c r="O270" s="173" t="str">
        <f ca="1">IFERROR(IF(AC270&lt;&gt;"","",INDEX('M04-S08'!$AK$18:$AK$199,2*(ROWS(O$263:O270)-1)+1)),"")</f>
        <v/>
      </c>
      <c r="P270" s="408"/>
      <c r="Q270" s="415" t="str">
        <f ca="1">IFERROR(IF(AC270&lt;&gt;"","",INDEX('M04-S08'!$BA$18:$BA$199,2*(ROWS(Q$263:Q270)-1)+1)),"")</f>
        <v/>
      </c>
      <c r="R270" s="200" t="str">
        <f ca="1">IFERROR(IF(AC270&lt;&gt;"","",INDEX('M04-S08'!$AN$18:$AN$199,2*(ROWS(R$263:R270)-1)+1)),"")</f>
        <v/>
      </c>
      <c r="S270" s="200">
        <f ca="1">IFERROR(IF(AC270&lt;&gt;"",INDEX('M04-S08'!$AD$18:$AD$199,2*(ROWS(S$263:S270)-1)+1),""),"")</f>
        <v>0</v>
      </c>
      <c r="T270" s="200" t="str">
        <f ca="1">IFERROR(IF(AC270&lt;&gt;"",INDEX('M04-S08'!$AF$18:$AF$199,2*(ROWS(T$263:T270)-1)+1),""),"")</f>
        <v/>
      </c>
      <c r="U270" s="200" t="str">
        <f ca="1">IFERROR(IF(AC270&lt;&gt;"",INDEX('M04-S08'!$AH$18:$AH$199,2*(ROWS(U$263:U270)-1)+1),""),"")</f>
        <v/>
      </c>
      <c r="V270" s="178" t="str">
        <f ca="1">IFERROR(IF(AC270&lt;&gt;"",INDEX('M04-S08'!$AB$18:$AB$199,2*(ROWS(V$263:V270)-1)+1),""),"")</f>
        <v/>
      </c>
      <c r="W270" s="116">
        <f ca="1">IFERROR(IF(AC270&lt;&gt;"",ROUND(INDEX('M04-S08'!$P$18:$P$199,2*(ROWS(W$263:W270)-1)+1),3),""),"")</f>
        <v>0</v>
      </c>
      <c r="X270" s="116">
        <f ca="1">IFERROR(IF(AC270&lt;&gt;"",ROUND(INDEX('M04-S08'!$Z$18:$Z$199,2*(ROWS(X$263:X270)-1)+1),3),""),"")</f>
        <v>0</v>
      </c>
      <c r="Y270" s="408"/>
      <c r="Z270" s="173" t="str">
        <f ca="1">IFERROR(IF(AC270&lt;&gt;"",INDEX('M04-S08'!$AK$18:$AK$199,2*(ROWS(Z$263:Z270)-1)+1),""),"")</f>
        <v/>
      </c>
      <c r="AA270" s="408"/>
      <c r="AB270" s="415" t="str">
        <f ca="1">IFERROR(IF(AC270&lt;&gt;"",INDEX('M04-S08'!$BA$18:$BA$199,2*(ROWS(AB$263:AB270)-1)+1),""),"")</f>
        <v/>
      </c>
      <c r="AC270" s="178" t="str">
        <f ca="1">IFERROR(INDEX('M04-S08'!$BJ$18:$BJ$199,2*(ROWS(AC$263:AC270)-1)+1),"")</f>
        <v>Submit for Review</v>
      </c>
      <c r="AD270" s="415" t="str">
        <f>IFERROR(INDEX('M04-S08'!$AW$18:$AW$199,2*(ROWS(AD$263:AD270)-1)+1),"")</f>
        <v/>
      </c>
      <c r="AE270" s="415" t="str">
        <f>IFERROR(INDEX('M04-S08'!$AX$18:$AX$199,2*(ROWS(AE$263:AE270)-1)+1),"")</f>
        <v/>
      </c>
      <c r="AF270" s="408"/>
      <c r="AG270" s="408"/>
      <c r="AH270" s="408"/>
      <c r="AI270" s="178">
        <f>IFERROR(INDEX('M04-S08'!$B$18:$B$199,2*(ROWS(AI$263:AI270)-1)+1),"")</f>
        <v>8</v>
      </c>
      <c r="AJ270" s="325"/>
      <c r="AK270" s="178">
        <f>IFERROR(INDEX('M04-S08'!$F$18:$F$199,2*(ROWS(AK$263:AK270)-1)+1),"")</f>
        <v>0</v>
      </c>
      <c r="AL270" s="178">
        <f>IFERROR(INDEX('M04-S08'!$L$18:$L$199,2*(ROWS(AL$263:AL270)-1)+1),"")</f>
        <v>0</v>
      </c>
      <c r="AM270" s="178">
        <f>IFERROR(INDEX('M04-S08'!$T$18:$T$199,2*(ROWS(AM$263:AM270)-1)+1),"")</f>
        <v>0</v>
      </c>
      <c r="AN270" s="200" t="str">
        <f>IFERROR(INDEX('M04-S08'!$AT$18:$AT$199,2*(ROWS(AN$263:AN270)-1)+1),"")</f>
        <v/>
      </c>
      <c r="AO270" s="200" t="str">
        <f>IFERROR(INDEX('M04-S08'!$AU$18:$AU$199,2*(ROWS(AO$263:AO270)-1)+1),"")</f>
        <v/>
      </c>
      <c r="AP270" s="178" t="str">
        <f>IFERROR(INDEX('M04-S08'!$AV$18:$AV$199,2*(ROWS(AP$263:AP270)-1)+1),"")</f>
        <v/>
      </c>
      <c r="AQ270" s="178" t="str">
        <f>IFERROR(INDEX('M04-S08'!$AY$18:$AY$199,2*(ROWS(AQ$263:AQ270)-1)+1),"")</f>
        <v/>
      </c>
      <c r="AR270" s="178" t="s">
        <v>1374</v>
      </c>
      <c r="AS270" s="178"/>
      <c r="AT270" s="278"/>
      <c r="AU270" s="278"/>
      <c r="AV270" s="278"/>
      <c r="AW270" s="278"/>
      <c r="AX270" s="278"/>
      <c r="AY270" s="278"/>
      <c r="AZ270" s="278"/>
      <c r="BA270" s="278"/>
      <c r="BB270" s="278"/>
      <c r="BC270" s="278"/>
      <c r="BD270" s="278"/>
      <c r="BE270" s="279"/>
      <c r="BL270" s="180"/>
      <c r="BP270" s="180"/>
      <c r="BQ270" s="180"/>
      <c r="BR270" s="180"/>
      <c r="CD270" s="180"/>
      <c r="CE270" s="180"/>
      <c r="CF270" s="180"/>
      <c r="CH270" s="180"/>
      <c r="CI270" s="180"/>
      <c r="CJ270" s="180"/>
      <c r="CK270" s="180"/>
      <c r="CL270" s="180"/>
      <c r="CM270" s="180"/>
      <c r="CN270" s="180"/>
      <c r="CQ270" s="180"/>
      <c r="CR270" s="180"/>
      <c r="CS270" s="180"/>
      <c r="DS270" s="180"/>
      <c r="DT270" s="180"/>
      <c r="DU270" s="180"/>
    </row>
    <row r="271" spans="1:125" s="54" customFormat="1" hidden="1">
      <c r="A271" s="135">
        <f t="shared" si="28"/>
        <v>0</v>
      </c>
      <c r="B271" s="178" t="str">
        <f t="shared" si="29"/>
        <v/>
      </c>
      <c r="C271" s="178" t="str">
        <f>IFERROR(IF(INDEX('M04-S08'!$BH$18:$BH$199,2*(ROWS($C$263:C271)-1)+1)="","",INDEX('M04-S08'!$BH$18:$BH$199,2*(ROWS($C$263:C271)-1)+1)),"")</f>
        <v/>
      </c>
      <c r="D271" s="180" t="s">
        <v>144</v>
      </c>
      <c r="E271" s="178" t="str">
        <f>IFERROR(INDEX('M04-S08'!$AZ$18:$AZ$199,2*(ROWS(E$263:E271)-1)+1),"")</f>
        <v/>
      </c>
      <c r="F271" s="408"/>
      <c r="G271" s="325"/>
      <c r="H271" s="200" t="str">
        <f ca="1">IFERROR(IF(AC271&lt;&gt;"","",INDEX('M04-S08'!$AD$18:$AD$199,2*(ROWS(H$263:H271)-1)+1)),"")</f>
        <v/>
      </c>
      <c r="I271" s="200" t="str">
        <f ca="1">IFERROR(IF(AC271&lt;&gt;"","",INDEX('M04-S08'!$AF$18:$AF$199,2*(ROWS(I$263:I271)-1)+1)),"")</f>
        <v/>
      </c>
      <c r="J271" s="200" t="str">
        <f ca="1">IFERROR(IF(AC271&lt;&gt;"","",INDEX('M04-S08'!$AH$18:$AH$199,2*(ROWS(J$263:J271)-1)+1)),"")</f>
        <v/>
      </c>
      <c r="K271" s="178" t="str">
        <f ca="1">IFERROR(IF(AC271&lt;&gt;"","",INDEX('M04-S08'!$AB$18:$AB$199,2*(ROWS(J$263:J271)-1)+1)),"")</f>
        <v/>
      </c>
      <c r="L271" s="116" t="str">
        <f ca="1">IFERROR(IF(AC271&lt;&gt;"","",ROUND(INDEX('M04-S08'!$P$18:$P$199,2*(ROWS(L$263:L271)-1)+1),3)),"")</f>
        <v/>
      </c>
      <c r="M271" s="116" t="str">
        <f ca="1">IFERROR(IF(AC271&lt;&gt;"","",ROUND(INDEX('M04-S08'!$X$18:$X$199,2*(ROWS(M$263:M271)-1)+1),3)),"")</f>
        <v/>
      </c>
      <c r="N271" s="408"/>
      <c r="O271" s="173" t="str">
        <f ca="1">IFERROR(IF(AC271&lt;&gt;"","",INDEX('M04-S08'!$AK$18:$AK$199,2*(ROWS(O$263:O271)-1)+1)),"")</f>
        <v/>
      </c>
      <c r="P271" s="408"/>
      <c r="Q271" s="415" t="str">
        <f ca="1">IFERROR(IF(AC271&lt;&gt;"","",INDEX('M04-S08'!$BA$18:$BA$199,2*(ROWS(Q$263:Q271)-1)+1)),"")</f>
        <v/>
      </c>
      <c r="R271" s="200" t="str">
        <f ca="1">IFERROR(IF(AC271&lt;&gt;"","",INDEX('M04-S08'!$AN$18:$AN$199,2*(ROWS(R$263:R271)-1)+1)),"")</f>
        <v/>
      </c>
      <c r="S271" s="200">
        <f ca="1">IFERROR(IF(AC271&lt;&gt;"",INDEX('M04-S08'!$AD$18:$AD$199,2*(ROWS(S$263:S271)-1)+1),""),"")</f>
        <v>0</v>
      </c>
      <c r="T271" s="200" t="str">
        <f ca="1">IFERROR(IF(AC271&lt;&gt;"",INDEX('M04-S08'!$AF$18:$AF$199,2*(ROWS(T$263:T271)-1)+1),""),"")</f>
        <v/>
      </c>
      <c r="U271" s="200" t="str">
        <f ca="1">IFERROR(IF(AC271&lt;&gt;"",INDEX('M04-S08'!$AH$18:$AH$199,2*(ROWS(U$263:U271)-1)+1),""),"")</f>
        <v/>
      </c>
      <c r="V271" s="178" t="str">
        <f ca="1">IFERROR(IF(AC271&lt;&gt;"",INDEX('M04-S08'!$AB$18:$AB$199,2*(ROWS(V$263:V271)-1)+1),""),"")</f>
        <v/>
      </c>
      <c r="W271" s="116">
        <f ca="1">IFERROR(IF(AC271&lt;&gt;"",ROUND(INDEX('M04-S08'!$P$18:$P$199,2*(ROWS(W$263:W271)-1)+1),3),""),"")</f>
        <v>0</v>
      </c>
      <c r="X271" s="116">
        <f ca="1">IFERROR(IF(AC271&lt;&gt;"",ROUND(INDEX('M04-S08'!$Z$18:$Z$199,2*(ROWS(X$263:X271)-1)+1),3),""),"")</f>
        <v>0</v>
      </c>
      <c r="Y271" s="408"/>
      <c r="Z271" s="173" t="str">
        <f ca="1">IFERROR(IF(AC271&lt;&gt;"",INDEX('M04-S08'!$AK$18:$AK$199,2*(ROWS(Z$263:Z271)-1)+1),""),"")</f>
        <v/>
      </c>
      <c r="AA271" s="408"/>
      <c r="AB271" s="415" t="str">
        <f ca="1">IFERROR(IF(AC271&lt;&gt;"",INDEX('M04-S08'!$BA$18:$BA$199,2*(ROWS(AB$263:AB271)-1)+1),""),"")</f>
        <v/>
      </c>
      <c r="AC271" s="178" t="str">
        <f ca="1">IFERROR(INDEX('M04-S08'!$BJ$18:$BJ$199,2*(ROWS(AC$263:AC271)-1)+1),"")</f>
        <v>Submit for Review</v>
      </c>
      <c r="AD271" s="415" t="str">
        <f>IFERROR(INDEX('M04-S08'!$AW$18:$AW$199,2*(ROWS(AD$263:AD271)-1)+1),"")</f>
        <v/>
      </c>
      <c r="AE271" s="415" t="str">
        <f>IFERROR(INDEX('M04-S08'!$AX$18:$AX$199,2*(ROWS(AE$263:AE271)-1)+1),"")</f>
        <v/>
      </c>
      <c r="AF271" s="408"/>
      <c r="AG271" s="408"/>
      <c r="AH271" s="408"/>
      <c r="AI271" s="178">
        <f>IFERROR(INDEX('M04-S08'!$B$18:$B$199,2*(ROWS(AI$263:AI271)-1)+1),"")</f>
        <v>9</v>
      </c>
      <c r="AJ271" s="325"/>
      <c r="AK271" s="178">
        <f>IFERROR(INDEX('M04-S08'!$F$18:$F$199,2*(ROWS(AK$263:AK271)-1)+1),"")</f>
        <v>0</v>
      </c>
      <c r="AL271" s="178">
        <f>IFERROR(INDEX('M04-S08'!$L$18:$L$199,2*(ROWS(AL$263:AL271)-1)+1),"")</f>
        <v>0</v>
      </c>
      <c r="AM271" s="178">
        <f>IFERROR(INDEX('M04-S08'!$T$18:$T$199,2*(ROWS(AM$263:AM271)-1)+1),"")</f>
        <v>0</v>
      </c>
      <c r="AN271" s="200" t="str">
        <f>IFERROR(INDEX('M04-S08'!$AT$18:$AT$199,2*(ROWS(AN$263:AN271)-1)+1),"")</f>
        <v/>
      </c>
      <c r="AO271" s="200" t="str">
        <f>IFERROR(INDEX('M04-S08'!$AU$18:$AU$199,2*(ROWS(AO$263:AO271)-1)+1),"")</f>
        <v/>
      </c>
      <c r="AP271" s="178" t="str">
        <f>IFERROR(INDEX('M04-S08'!$AV$18:$AV$199,2*(ROWS(AP$263:AP271)-1)+1),"")</f>
        <v/>
      </c>
      <c r="AQ271" s="178" t="str">
        <f>IFERROR(INDEX('M04-S08'!$AY$18:$AY$199,2*(ROWS(AQ$263:AQ271)-1)+1),"")</f>
        <v/>
      </c>
      <c r="AR271" s="178" t="s">
        <v>1374</v>
      </c>
      <c r="AS271" s="178"/>
      <c r="AT271" s="278"/>
      <c r="AU271" s="278"/>
      <c r="AV271" s="278"/>
      <c r="AW271" s="278"/>
      <c r="AX271" s="278"/>
      <c r="AY271" s="278"/>
      <c r="AZ271" s="278"/>
      <c r="BA271" s="278"/>
      <c r="BB271" s="278"/>
      <c r="BC271" s="278"/>
      <c r="BD271" s="278"/>
      <c r="BE271" s="279"/>
      <c r="BL271" s="180"/>
      <c r="BP271" s="180"/>
      <c r="BQ271" s="180"/>
      <c r="BR271" s="180"/>
      <c r="CD271" s="180"/>
      <c r="CE271" s="180"/>
      <c r="CF271" s="180"/>
      <c r="CH271" s="180"/>
      <c r="CI271" s="180"/>
      <c r="CJ271" s="180"/>
      <c r="CK271" s="180"/>
      <c r="CL271" s="180"/>
      <c r="CM271" s="180"/>
      <c r="CN271" s="180"/>
      <c r="CQ271" s="180"/>
      <c r="CR271" s="180"/>
      <c r="CS271" s="180"/>
      <c r="DS271" s="180"/>
      <c r="DT271" s="180"/>
      <c r="DU271" s="180"/>
    </row>
    <row r="272" spans="1:125" s="54" customFormat="1" hidden="1">
      <c r="A272" s="135">
        <f t="shared" si="28"/>
        <v>0</v>
      </c>
      <c r="B272" s="178" t="str">
        <f t="shared" si="29"/>
        <v/>
      </c>
      <c r="C272" s="178" t="str">
        <f>IFERROR(IF(INDEX('M04-S08'!$BH$18:$BH$199,2*(ROWS($C$263:C272)-1)+1)="","",INDEX('M04-S08'!$BH$18:$BH$199,2*(ROWS($C$263:C272)-1)+1)),"")</f>
        <v/>
      </c>
      <c r="D272" s="180" t="s">
        <v>144</v>
      </c>
      <c r="E272" s="178" t="str">
        <f>IFERROR(INDEX('M04-S08'!$AZ$18:$AZ$199,2*(ROWS(E$263:E272)-1)+1),"")</f>
        <v/>
      </c>
      <c r="F272" s="408"/>
      <c r="G272" s="325"/>
      <c r="H272" s="200" t="str">
        <f ca="1">IFERROR(IF(AC272&lt;&gt;"","",INDEX('M04-S08'!$AD$18:$AD$199,2*(ROWS(H$263:H272)-1)+1)),"")</f>
        <v/>
      </c>
      <c r="I272" s="200" t="str">
        <f ca="1">IFERROR(IF(AC272&lt;&gt;"","",INDEX('M04-S08'!$AF$18:$AF$199,2*(ROWS(I$263:I272)-1)+1)),"")</f>
        <v/>
      </c>
      <c r="J272" s="200" t="str">
        <f ca="1">IFERROR(IF(AC272&lt;&gt;"","",INDEX('M04-S08'!$AH$18:$AH$199,2*(ROWS(J$263:J272)-1)+1)),"")</f>
        <v/>
      </c>
      <c r="K272" s="178" t="str">
        <f ca="1">IFERROR(IF(AC272&lt;&gt;"","",INDEX('M04-S08'!$AB$18:$AB$199,2*(ROWS(J$263:J272)-1)+1)),"")</f>
        <v/>
      </c>
      <c r="L272" s="116" t="str">
        <f ca="1">IFERROR(IF(AC272&lt;&gt;"","",ROUND(INDEX('M04-S08'!$P$18:$P$199,2*(ROWS(L$263:L272)-1)+1),3)),"")</f>
        <v/>
      </c>
      <c r="M272" s="116" t="str">
        <f ca="1">IFERROR(IF(AC272&lt;&gt;"","",ROUND(INDEX('M04-S08'!$X$18:$X$199,2*(ROWS(M$263:M272)-1)+1),3)),"")</f>
        <v/>
      </c>
      <c r="N272" s="408"/>
      <c r="O272" s="173" t="str">
        <f ca="1">IFERROR(IF(AC272&lt;&gt;"","",INDEX('M04-S08'!$AK$18:$AK$199,2*(ROWS(O$263:O272)-1)+1)),"")</f>
        <v/>
      </c>
      <c r="P272" s="408"/>
      <c r="Q272" s="415" t="str">
        <f ca="1">IFERROR(IF(AC272&lt;&gt;"","",INDEX('M04-S08'!$BA$18:$BA$199,2*(ROWS(Q$263:Q272)-1)+1)),"")</f>
        <v/>
      </c>
      <c r="R272" s="200" t="str">
        <f ca="1">IFERROR(IF(AC272&lt;&gt;"","",INDEX('M04-S08'!$AN$18:$AN$199,2*(ROWS(R$263:R272)-1)+1)),"")</f>
        <v/>
      </c>
      <c r="S272" s="200">
        <f ca="1">IFERROR(IF(AC272&lt;&gt;"",INDEX('M04-S08'!$AD$18:$AD$199,2*(ROWS(S$263:S272)-1)+1),""),"")</f>
        <v>0</v>
      </c>
      <c r="T272" s="200" t="str">
        <f ca="1">IFERROR(IF(AC272&lt;&gt;"",INDEX('M04-S08'!$AF$18:$AF$199,2*(ROWS(T$263:T272)-1)+1),""),"")</f>
        <v/>
      </c>
      <c r="U272" s="200" t="str">
        <f ca="1">IFERROR(IF(AC272&lt;&gt;"",INDEX('M04-S08'!$AH$18:$AH$199,2*(ROWS(U$263:U272)-1)+1),""),"")</f>
        <v/>
      </c>
      <c r="V272" s="178" t="str">
        <f ca="1">IFERROR(IF(AC272&lt;&gt;"",INDEX('M04-S08'!$AB$18:$AB$199,2*(ROWS(V$263:V272)-1)+1),""),"")</f>
        <v/>
      </c>
      <c r="W272" s="116">
        <f ca="1">IFERROR(IF(AC272&lt;&gt;"",ROUND(INDEX('M04-S08'!$P$18:$P$199,2*(ROWS(W$263:W272)-1)+1),3),""),"")</f>
        <v>0</v>
      </c>
      <c r="X272" s="116">
        <f ca="1">IFERROR(IF(AC272&lt;&gt;"",ROUND(INDEX('M04-S08'!$Z$18:$Z$199,2*(ROWS(X$263:X272)-1)+1),3),""),"")</f>
        <v>0</v>
      </c>
      <c r="Y272" s="408"/>
      <c r="Z272" s="173" t="str">
        <f ca="1">IFERROR(IF(AC272&lt;&gt;"",INDEX('M04-S08'!$AK$18:$AK$199,2*(ROWS(Z$263:Z272)-1)+1),""),"")</f>
        <v/>
      </c>
      <c r="AA272" s="408"/>
      <c r="AB272" s="415" t="str">
        <f ca="1">IFERROR(IF(AC272&lt;&gt;"",INDEX('M04-S08'!$BA$18:$BA$199,2*(ROWS(AB$263:AB272)-1)+1),""),"")</f>
        <v/>
      </c>
      <c r="AC272" s="178" t="str">
        <f ca="1">IFERROR(INDEX('M04-S08'!$BJ$18:$BJ$199,2*(ROWS(AC$263:AC272)-1)+1),"")</f>
        <v>Submit for Review</v>
      </c>
      <c r="AD272" s="415" t="str">
        <f>IFERROR(INDEX('M04-S08'!$AW$18:$AW$199,2*(ROWS(AD$263:AD272)-1)+1),"")</f>
        <v/>
      </c>
      <c r="AE272" s="415" t="str">
        <f>IFERROR(INDEX('M04-S08'!$AX$18:$AX$199,2*(ROWS(AE$263:AE272)-1)+1),"")</f>
        <v/>
      </c>
      <c r="AF272" s="408"/>
      <c r="AG272" s="408"/>
      <c r="AH272" s="408"/>
      <c r="AI272" s="178">
        <f>IFERROR(INDEX('M04-S08'!$B$18:$B$199,2*(ROWS(AI$263:AI272)-1)+1),"")</f>
        <v>10</v>
      </c>
      <c r="AJ272" s="325"/>
      <c r="AK272" s="178">
        <f>IFERROR(INDEX('M04-S08'!$F$18:$F$199,2*(ROWS(AK$263:AK272)-1)+1),"")</f>
        <v>0</v>
      </c>
      <c r="AL272" s="178">
        <f>IFERROR(INDEX('M04-S08'!$L$18:$L$199,2*(ROWS(AL$263:AL272)-1)+1),"")</f>
        <v>0</v>
      </c>
      <c r="AM272" s="178">
        <f>IFERROR(INDEX('M04-S08'!$T$18:$T$199,2*(ROWS(AM$263:AM272)-1)+1),"")</f>
        <v>0</v>
      </c>
      <c r="AN272" s="200" t="str">
        <f>IFERROR(INDEX('M04-S08'!$AT$18:$AT$199,2*(ROWS(AN$263:AN272)-1)+1),"")</f>
        <v/>
      </c>
      <c r="AO272" s="200" t="str">
        <f>IFERROR(INDEX('M04-S08'!$AU$18:$AU$199,2*(ROWS(AO$263:AO272)-1)+1),"")</f>
        <v/>
      </c>
      <c r="AP272" s="178" t="str">
        <f>IFERROR(INDEX('M04-S08'!$AV$18:$AV$199,2*(ROWS(AP$263:AP272)-1)+1),"")</f>
        <v/>
      </c>
      <c r="AQ272" s="178" t="str">
        <f>IFERROR(INDEX('M04-S08'!$AY$18:$AY$199,2*(ROWS(AQ$263:AQ272)-1)+1),"")</f>
        <v/>
      </c>
      <c r="AR272" s="178" t="s">
        <v>1374</v>
      </c>
      <c r="AS272" s="178"/>
      <c r="AT272" s="278"/>
      <c r="AU272" s="278"/>
      <c r="AV272" s="278"/>
      <c r="AW272" s="278"/>
      <c r="AX272" s="278"/>
      <c r="AY272" s="278"/>
      <c r="AZ272" s="278"/>
      <c r="BA272" s="278"/>
      <c r="BB272" s="278"/>
      <c r="BC272" s="278"/>
      <c r="BD272" s="278"/>
      <c r="BE272" s="279"/>
      <c r="BL272" s="180"/>
      <c r="BP272" s="180"/>
      <c r="BQ272" s="180"/>
      <c r="BR272" s="180"/>
      <c r="CD272" s="180"/>
      <c r="CE272" s="180"/>
      <c r="CF272" s="180"/>
      <c r="CH272" s="180"/>
      <c r="CI272" s="180"/>
      <c r="CJ272" s="180"/>
      <c r="CK272" s="180"/>
      <c r="CL272" s="180"/>
      <c r="CM272" s="180"/>
      <c r="CN272" s="180"/>
      <c r="CQ272" s="180"/>
      <c r="CR272" s="180"/>
      <c r="CS272" s="180"/>
      <c r="DS272" s="180"/>
      <c r="DT272" s="180"/>
      <c r="DU272" s="180"/>
    </row>
    <row r="273" spans="1:125" s="54" customFormat="1" hidden="1">
      <c r="A273" s="135">
        <f t="shared" si="28"/>
        <v>0</v>
      </c>
      <c r="B273" s="178" t="str">
        <f t="shared" si="29"/>
        <v/>
      </c>
      <c r="C273" s="178" t="str">
        <f>IFERROR(IF(INDEX('M04-S08'!$BH$18:$BH$199,2*(ROWS($C$263:C273)-1)+1)="","",INDEX('M04-S08'!$BH$18:$BH$199,2*(ROWS($C$263:C273)-1)+1)),"")</f>
        <v/>
      </c>
      <c r="D273" s="180" t="s">
        <v>144</v>
      </c>
      <c r="E273" s="178">
        <f>IFERROR(INDEX('M04-S08'!$AZ$18:$AZ$199,2*(ROWS(E$263:E273)-1)+1),"")</f>
        <v>0</v>
      </c>
      <c r="F273" s="408"/>
      <c r="G273" s="325"/>
      <c r="H273" s="200" t="str">
        <f>IFERROR(IF(AC273&lt;&gt;"","",INDEX('M04-S08'!$AD$18:$AD$199,2*(ROWS(H$263:H273)-1)+1)),"")</f>
        <v/>
      </c>
      <c r="I273" s="200" t="str">
        <f>IFERROR(IF(AC273&lt;&gt;"","",INDEX('M04-S08'!$AF$18:$AF$199,2*(ROWS(I$263:I273)-1)+1)),"")</f>
        <v/>
      </c>
      <c r="J273" s="200" t="str">
        <f>IFERROR(IF(AC273&lt;&gt;"","",INDEX('M04-S08'!$AH$18:$AH$199,2*(ROWS(J$263:J273)-1)+1)),"")</f>
        <v/>
      </c>
      <c r="K273" s="178" t="str">
        <f>IFERROR(IF(AC273&lt;&gt;"","",INDEX('M04-S08'!$AB$18:$AB$199,2*(ROWS(J$263:J273)-1)+1)),"")</f>
        <v/>
      </c>
      <c r="L273" s="116" t="str">
        <f>IFERROR(IF(AC273&lt;&gt;"","",ROUND(INDEX('M04-S08'!$P$18:$P$199,2*(ROWS(L$263:L273)-1)+1),3)),"")</f>
        <v/>
      </c>
      <c r="M273" s="116" t="str">
        <f>IFERROR(IF(AC273&lt;&gt;"","",ROUND(INDEX('M04-S08'!$X$18:$X$199,2*(ROWS(M$263:M273)-1)+1),3)),"")</f>
        <v/>
      </c>
      <c r="N273" s="408"/>
      <c r="O273" s="173" t="str">
        <f>IFERROR(IF(AC273&lt;&gt;"","",INDEX('M04-S08'!$AK$18:$AK$199,2*(ROWS(O$263:O273)-1)+1)),"")</f>
        <v/>
      </c>
      <c r="P273" s="408"/>
      <c r="Q273" s="415" t="str">
        <f>IFERROR(IF(AC273&lt;&gt;"","",INDEX('M04-S08'!$BA$18:$BA$199,2*(ROWS(Q$263:Q273)-1)+1)),"")</f>
        <v/>
      </c>
      <c r="R273" s="200" t="str">
        <f>IFERROR(IF(AC273&lt;&gt;"","",INDEX('M04-S08'!$AN$18:$AN$199,2*(ROWS(R$263:R273)-1)+1)),"")</f>
        <v/>
      </c>
      <c r="S273" s="200">
        <f>IFERROR(IF(AC273&lt;&gt;"",INDEX('M04-S08'!$AD$18:$AD$199,2*(ROWS(S$263:S273)-1)+1),""),"")</f>
        <v>0</v>
      </c>
      <c r="T273" s="200">
        <f>IFERROR(IF(AC273&lt;&gt;"",INDEX('M04-S08'!$AF$18:$AF$199,2*(ROWS(T$263:T273)-1)+1),""),"")</f>
        <v>0</v>
      </c>
      <c r="U273" s="200">
        <f>IFERROR(IF(AC273&lt;&gt;"",INDEX('M04-S08'!$AH$18:$AH$199,2*(ROWS(U$263:U273)-1)+1),""),"")</f>
        <v>0</v>
      </c>
      <c r="V273" s="178">
        <f>IFERROR(IF(AC273&lt;&gt;"",INDEX('M04-S08'!$AB$18:$AB$199,2*(ROWS(V$263:V273)-1)+1),""),"")</f>
        <v>0</v>
      </c>
      <c r="W273" s="116">
        <f>IFERROR(IF(AC273&lt;&gt;"",ROUND(INDEX('M04-S08'!$P$18:$P$199,2*(ROWS(W$263:W273)-1)+1),3),""),"")</f>
        <v>0</v>
      </c>
      <c r="X273" s="116">
        <f>IFERROR(IF(AC273&lt;&gt;"",ROUND(INDEX('M04-S08'!$Z$18:$Z$199,2*(ROWS(X$263:X273)-1)+1),3),""),"")</f>
        <v>0</v>
      </c>
      <c r="Y273" s="408"/>
      <c r="Z273" s="173">
        <f>IFERROR(IF(AC273&lt;&gt;"",INDEX('M04-S08'!$AK$18:$AK$199,2*(ROWS(Z$263:Z273)-1)+1),""),"")</f>
        <v>0</v>
      </c>
      <c r="AA273" s="408"/>
      <c r="AB273" s="415">
        <f>IFERROR(IF(AC273&lt;&gt;"",INDEX('M04-S08'!$BA$18:$BA$199,2*(ROWS(AB$263:AB273)-1)+1),""),"")</f>
        <v>0</v>
      </c>
      <c r="AC273" s="178">
        <f>IFERROR(INDEX('M04-S08'!$BJ$18:$BJ$199,2*(ROWS(AC$263:AC273)-1)+1),"")</f>
        <v>0</v>
      </c>
      <c r="AD273" s="415">
        <f>IFERROR(INDEX('M04-S08'!$AW$18:$AW$199,2*(ROWS(AD$263:AD273)-1)+1),"")</f>
        <v>0</v>
      </c>
      <c r="AE273" s="415">
        <f>IFERROR(INDEX('M04-S08'!$AX$18:$AX$199,2*(ROWS(AE$263:AE273)-1)+1),"")</f>
        <v>0</v>
      </c>
      <c r="AF273" s="408"/>
      <c r="AG273" s="408"/>
      <c r="AH273" s="408"/>
      <c r="AI273" s="178">
        <f>IFERROR(INDEX('M04-S08'!$B$18:$B$199,2*(ROWS(AI$263:AI273)-1)+1),"")</f>
        <v>0</v>
      </c>
      <c r="AJ273" s="325"/>
      <c r="AK273" s="178">
        <f>IFERROR(INDEX('M04-S08'!$F$18:$F$199,2*(ROWS(AK$263:AK273)-1)+1),"")</f>
        <v>0</v>
      </c>
      <c r="AL273" s="178">
        <f>IFERROR(INDEX('M04-S08'!$L$18:$L$199,2*(ROWS(AL$263:AL273)-1)+1),"")</f>
        <v>0</v>
      </c>
      <c r="AM273" s="178">
        <f>IFERROR(INDEX('M04-S08'!$T$18:$T$199,2*(ROWS(AM$263:AM273)-1)+1),"")</f>
        <v>0</v>
      </c>
      <c r="AN273" s="200">
        <f>IFERROR(INDEX('M04-S08'!$AT$18:$AT$199,2*(ROWS(AN$263:AN273)-1)+1),"")</f>
        <v>0</v>
      </c>
      <c r="AO273" s="200">
        <f>IFERROR(INDEX('M04-S08'!$AU$18:$AU$199,2*(ROWS(AO$263:AO273)-1)+1),"")</f>
        <v>0</v>
      </c>
      <c r="AP273" s="178">
        <f>IFERROR(INDEX('M04-S08'!$AV$18:$AV$199,2*(ROWS(AP$263:AP273)-1)+1),"")</f>
        <v>0</v>
      </c>
      <c r="AQ273" s="178">
        <f>IFERROR(INDEX('M04-S08'!$AY$18:$AY$199,2*(ROWS(AQ$263:AQ273)-1)+1),"")</f>
        <v>0</v>
      </c>
      <c r="AR273" s="178" t="s">
        <v>1374</v>
      </c>
      <c r="AS273" s="178"/>
      <c r="AT273" s="278"/>
      <c r="AU273" s="278"/>
      <c r="AV273" s="278"/>
      <c r="AW273" s="278"/>
      <c r="AX273" s="278"/>
      <c r="AY273" s="278"/>
      <c r="AZ273" s="278"/>
      <c r="BA273" s="278"/>
      <c r="BB273" s="278"/>
      <c r="BC273" s="278"/>
      <c r="BD273" s="278"/>
      <c r="BE273" s="279"/>
      <c r="BL273" s="180"/>
      <c r="BP273" s="180"/>
      <c r="BQ273" s="180"/>
      <c r="BR273" s="180"/>
      <c r="CD273" s="180"/>
      <c r="CE273" s="180"/>
      <c r="CF273" s="180"/>
      <c r="CH273" s="180"/>
      <c r="CI273" s="180"/>
      <c r="CJ273" s="180"/>
      <c r="CK273" s="180"/>
      <c r="CL273" s="180"/>
      <c r="CM273" s="180"/>
      <c r="CN273" s="180"/>
      <c r="CQ273" s="180"/>
      <c r="CR273" s="180"/>
      <c r="CS273" s="180"/>
      <c r="DS273" s="180"/>
      <c r="DT273" s="180"/>
      <c r="DU273" s="180"/>
    </row>
    <row r="274" spans="1:125" s="54" customFormat="1" hidden="1">
      <c r="A274" s="135">
        <f t="shared" si="28"/>
        <v>0</v>
      </c>
      <c r="B274" s="178" t="str">
        <f t="shared" si="29"/>
        <v/>
      </c>
      <c r="C274" s="178" t="str">
        <f>IFERROR(IF(INDEX('M04-S08'!$BH$18:$BH$199,2*(ROWS($C$263:C274)-1)+1)="","",INDEX('M04-S08'!$BH$18:$BH$199,2*(ROWS($C$263:C274)-1)+1)),"")</f>
        <v/>
      </c>
      <c r="D274" s="180" t="s">
        <v>144</v>
      </c>
      <c r="E274" s="178">
        <f>IFERROR(INDEX('M04-S08'!$AZ$18:$AZ$199,2*(ROWS(E$263:E274)-1)+1),"")</f>
        <v>0</v>
      </c>
      <c r="F274" s="408"/>
      <c r="G274" s="325"/>
      <c r="H274" s="200" t="str">
        <f>IFERROR(IF(AC274&lt;&gt;"","",INDEX('M04-S08'!$AD$18:$AD$199,2*(ROWS(H$263:H274)-1)+1)),"")</f>
        <v/>
      </c>
      <c r="I274" s="200" t="str">
        <f>IFERROR(IF(AC274&lt;&gt;"","",INDEX('M04-S08'!$AF$18:$AF$199,2*(ROWS(I$263:I274)-1)+1)),"")</f>
        <v/>
      </c>
      <c r="J274" s="200" t="str">
        <f>IFERROR(IF(AC274&lt;&gt;"","",INDEX('M04-S08'!$AH$18:$AH$199,2*(ROWS(J$263:J274)-1)+1)),"")</f>
        <v/>
      </c>
      <c r="K274" s="178" t="str">
        <f>IFERROR(IF(AC274&lt;&gt;"","",INDEX('M04-S08'!$AB$18:$AB$199,2*(ROWS(J$263:J274)-1)+1)),"")</f>
        <v/>
      </c>
      <c r="L274" s="116" t="str">
        <f>IFERROR(IF(AC274&lt;&gt;"","",ROUND(INDEX('M04-S08'!$P$18:$P$199,2*(ROWS(L$263:L274)-1)+1),3)),"")</f>
        <v/>
      </c>
      <c r="M274" s="116" t="str">
        <f>IFERROR(IF(AC274&lt;&gt;"","",ROUND(INDEX('M04-S08'!$X$18:$X$199,2*(ROWS(M$263:M274)-1)+1),3)),"")</f>
        <v/>
      </c>
      <c r="N274" s="408"/>
      <c r="O274" s="173" t="str">
        <f>IFERROR(IF(AC274&lt;&gt;"","",INDEX('M04-S08'!$AK$18:$AK$199,2*(ROWS(O$263:O274)-1)+1)),"")</f>
        <v/>
      </c>
      <c r="P274" s="408"/>
      <c r="Q274" s="415" t="str">
        <f>IFERROR(IF(AC274&lt;&gt;"","",INDEX('M04-S08'!$BA$18:$BA$199,2*(ROWS(Q$263:Q274)-1)+1)),"")</f>
        <v/>
      </c>
      <c r="R274" s="200" t="str">
        <f>IFERROR(IF(AC274&lt;&gt;"","",INDEX('M04-S08'!$AN$18:$AN$199,2*(ROWS(R$263:R274)-1)+1)),"")</f>
        <v/>
      </c>
      <c r="S274" s="200">
        <f>IFERROR(IF(AC274&lt;&gt;"",INDEX('M04-S08'!$AD$18:$AD$199,2*(ROWS(S$263:S274)-1)+1),""),"")</f>
        <v>0</v>
      </c>
      <c r="T274" s="200">
        <f>IFERROR(IF(AC274&lt;&gt;"",INDEX('M04-S08'!$AF$18:$AF$199,2*(ROWS(T$263:T274)-1)+1),""),"")</f>
        <v>0</v>
      </c>
      <c r="U274" s="200">
        <f>IFERROR(IF(AC274&lt;&gt;"",INDEX('M04-S08'!$AH$18:$AH$199,2*(ROWS(U$263:U274)-1)+1),""),"")</f>
        <v>0</v>
      </c>
      <c r="V274" s="178">
        <f>IFERROR(IF(AC274&lt;&gt;"",INDEX('M04-S08'!$AB$18:$AB$199,2*(ROWS(V$263:V274)-1)+1),""),"")</f>
        <v>0</v>
      </c>
      <c r="W274" s="116">
        <f>IFERROR(IF(AC274&lt;&gt;"",ROUND(INDEX('M04-S08'!$P$18:$P$199,2*(ROWS(W$263:W274)-1)+1),3),""),"")</f>
        <v>0</v>
      </c>
      <c r="X274" s="116">
        <f>IFERROR(IF(AC274&lt;&gt;"",ROUND(INDEX('M04-S08'!$Z$18:$Z$199,2*(ROWS(X$263:X274)-1)+1),3),""),"")</f>
        <v>0</v>
      </c>
      <c r="Y274" s="408"/>
      <c r="Z274" s="173">
        <f>IFERROR(IF(AC274&lt;&gt;"",INDEX('M04-S08'!$AK$18:$AK$199,2*(ROWS(Z$263:Z274)-1)+1),""),"")</f>
        <v>0</v>
      </c>
      <c r="AA274" s="408"/>
      <c r="AB274" s="415">
        <f>IFERROR(IF(AC274&lt;&gt;"",INDEX('M04-S08'!$BA$18:$BA$199,2*(ROWS(AB$263:AB274)-1)+1),""),"")</f>
        <v>0</v>
      </c>
      <c r="AC274" s="178">
        <f>IFERROR(INDEX('M04-S08'!$BJ$18:$BJ$199,2*(ROWS(AC$263:AC274)-1)+1),"")</f>
        <v>0</v>
      </c>
      <c r="AD274" s="415">
        <f>IFERROR(INDEX('M04-S08'!$AW$18:$AW$199,2*(ROWS(AD$263:AD274)-1)+1),"")</f>
        <v>0</v>
      </c>
      <c r="AE274" s="415">
        <f>IFERROR(INDEX('M04-S08'!$AX$18:$AX$199,2*(ROWS(AE$263:AE274)-1)+1),"")</f>
        <v>0</v>
      </c>
      <c r="AF274" s="408"/>
      <c r="AG274" s="408"/>
      <c r="AH274" s="408"/>
      <c r="AI274" s="178">
        <f>IFERROR(INDEX('M04-S08'!$B$18:$B$199,2*(ROWS(AI$263:AI274)-1)+1),"")</f>
        <v>0</v>
      </c>
      <c r="AJ274" s="325"/>
      <c r="AK274" s="178">
        <f>IFERROR(INDEX('M04-S08'!$F$18:$F$199,2*(ROWS(AK$263:AK274)-1)+1),"")</f>
        <v>0</v>
      </c>
      <c r="AL274" s="178">
        <f>IFERROR(INDEX('M04-S08'!$L$18:$L$199,2*(ROWS(AL$263:AL274)-1)+1),"")</f>
        <v>0</v>
      </c>
      <c r="AM274" s="178">
        <f>IFERROR(INDEX('M04-S08'!$T$18:$T$199,2*(ROWS(AM$263:AM274)-1)+1),"")</f>
        <v>0</v>
      </c>
      <c r="AN274" s="200">
        <f>IFERROR(INDEX('M04-S08'!$AT$18:$AT$199,2*(ROWS(AN$263:AN274)-1)+1),"")</f>
        <v>0</v>
      </c>
      <c r="AO274" s="200">
        <f>IFERROR(INDEX('M04-S08'!$AU$18:$AU$199,2*(ROWS(AO$263:AO274)-1)+1),"")</f>
        <v>0</v>
      </c>
      <c r="AP274" s="178">
        <f>IFERROR(INDEX('M04-S08'!$AV$18:$AV$199,2*(ROWS(AP$263:AP274)-1)+1),"")</f>
        <v>0</v>
      </c>
      <c r="AQ274" s="178">
        <f>IFERROR(INDEX('M04-S08'!$AY$18:$AY$199,2*(ROWS(AQ$263:AQ274)-1)+1),"")</f>
        <v>0</v>
      </c>
      <c r="AR274" s="178" t="s">
        <v>1374</v>
      </c>
      <c r="AS274" s="178"/>
      <c r="AT274" s="278"/>
      <c r="AU274" s="278"/>
      <c r="AV274" s="278"/>
      <c r="AW274" s="278"/>
      <c r="AX274" s="278"/>
      <c r="AY274" s="278"/>
      <c r="AZ274" s="278"/>
      <c r="BA274" s="278"/>
      <c r="BB274" s="278"/>
      <c r="BC274" s="278"/>
      <c r="BD274" s="278"/>
      <c r="BE274" s="279"/>
      <c r="BL274" s="180"/>
      <c r="BP274" s="180"/>
      <c r="BQ274" s="180"/>
      <c r="BR274" s="180"/>
      <c r="CD274" s="180"/>
      <c r="CE274" s="180"/>
      <c r="CF274" s="180"/>
      <c r="CH274" s="180"/>
      <c r="CI274" s="180"/>
      <c r="CJ274" s="180"/>
      <c r="CK274" s="180"/>
      <c r="CL274" s="180"/>
      <c r="CM274" s="180"/>
      <c r="CN274" s="180"/>
      <c r="CQ274" s="180"/>
      <c r="CR274" s="180"/>
      <c r="CS274" s="180"/>
      <c r="DS274" s="180"/>
      <c r="DT274" s="180"/>
      <c r="DU274" s="180"/>
    </row>
    <row r="275" spans="1:125" s="54" customFormat="1" hidden="1">
      <c r="A275" s="135">
        <f t="shared" si="28"/>
        <v>0</v>
      </c>
      <c r="B275" s="178" t="str">
        <f t="shared" si="29"/>
        <v/>
      </c>
      <c r="C275" s="178" t="str">
        <f>IFERROR(IF(INDEX('M04-S08'!$BH$18:$BH$199,2*(ROWS($C$263:C275)-1)+1)="","",INDEX('M04-S08'!$BH$18:$BH$199,2*(ROWS($C$263:C275)-1)+1)),"")</f>
        <v/>
      </c>
      <c r="D275" s="180" t="s">
        <v>144</v>
      </c>
      <c r="E275" s="178">
        <f>IFERROR(INDEX('M04-S08'!$AZ$18:$AZ$199,2*(ROWS(E$263:E275)-1)+1),"")</f>
        <v>0</v>
      </c>
      <c r="F275" s="408"/>
      <c r="G275" s="325"/>
      <c r="H275" s="200" t="str">
        <f>IFERROR(IF(AC275&lt;&gt;"","",INDEX('M04-S08'!$AD$18:$AD$199,2*(ROWS(H$263:H275)-1)+1)),"")</f>
        <v/>
      </c>
      <c r="I275" s="200" t="str">
        <f>IFERROR(IF(AC275&lt;&gt;"","",INDEX('M04-S08'!$AF$18:$AF$199,2*(ROWS(I$263:I275)-1)+1)),"")</f>
        <v/>
      </c>
      <c r="J275" s="200" t="str">
        <f>IFERROR(IF(AC275&lt;&gt;"","",INDEX('M04-S08'!$AH$18:$AH$199,2*(ROWS(J$263:J275)-1)+1)),"")</f>
        <v/>
      </c>
      <c r="K275" s="178" t="str">
        <f>IFERROR(IF(AC275&lt;&gt;"","",INDEX('M04-S08'!$AB$18:$AB$199,2*(ROWS(J$263:J275)-1)+1)),"")</f>
        <v/>
      </c>
      <c r="L275" s="116" t="str">
        <f>IFERROR(IF(AC275&lt;&gt;"","",ROUND(INDEX('M04-S08'!$P$18:$P$199,2*(ROWS(L$263:L275)-1)+1),3)),"")</f>
        <v/>
      </c>
      <c r="M275" s="116" t="str">
        <f>IFERROR(IF(AC275&lt;&gt;"","",ROUND(INDEX('M04-S08'!$X$18:$X$199,2*(ROWS(M$263:M275)-1)+1),3)),"")</f>
        <v/>
      </c>
      <c r="N275" s="408"/>
      <c r="O275" s="173" t="str">
        <f>IFERROR(IF(AC275&lt;&gt;"","",INDEX('M04-S08'!$AK$18:$AK$199,2*(ROWS(O$263:O275)-1)+1)),"")</f>
        <v/>
      </c>
      <c r="P275" s="408"/>
      <c r="Q275" s="415" t="str">
        <f>IFERROR(IF(AC275&lt;&gt;"","",INDEX('M04-S08'!$BA$18:$BA$199,2*(ROWS(Q$263:Q275)-1)+1)),"")</f>
        <v/>
      </c>
      <c r="R275" s="200" t="str">
        <f>IFERROR(IF(AC275&lt;&gt;"","",INDEX('M04-S08'!$AN$18:$AN$199,2*(ROWS(R$263:R275)-1)+1)),"")</f>
        <v/>
      </c>
      <c r="S275" s="200">
        <f>IFERROR(IF(AC275&lt;&gt;"",INDEX('M04-S08'!$AD$18:$AD$199,2*(ROWS(S$263:S275)-1)+1),""),"")</f>
        <v>0</v>
      </c>
      <c r="T275" s="200">
        <f>IFERROR(IF(AC275&lt;&gt;"",INDEX('M04-S08'!$AF$18:$AF$199,2*(ROWS(T$263:T275)-1)+1),""),"")</f>
        <v>0</v>
      </c>
      <c r="U275" s="200">
        <f>IFERROR(IF(AC275&lt;&gt;"",INDEX('M04-S08'!$AH$18:$AH$199,2*(ROWS(U$263:U275)-1)+1),""),"")</f>
        <v>0</v>
      </c>
      <c r="V275" s="178">
        <f>IFERROR(IF(AC275&lt;&gt;"",INDEX('M04-S08'!$AB$18:$AB$199,2*(ROWS(V$263:V275)-1)+1),""),"")</f>
        <v>0</v>
      </c>
      <c r="W275" s="116">
        <f>IFERROR(IF(AC275&lt;&gt;"",ROUND(INDEX('M04-S08'!$P$18:$P$199,2*(ROWS(W$263:W275)-1)+1),3),""),"")</f>
        <v>0</v>
      </c>
      <c r="X275" s="116">
        <f>IFERROR(IF(AC275&lt;&gt;"",ROUND(INDEX('M04-S08'!$Z$18:$Z$199,2*(ROWS(X$263:X275)-1)+1),3),""),"")</f>
        <v>0</v>
      </c>
      <c r="Y275" s="408"/>
      <c r="Z275" s="173">
        <f>IFERROR(IF(AC275&lt;&gt;"",INDEX('M04-S08'!$AK$18:$AK$199,2*(ROWS(Z$263:Z275)-1)+1),""),"")</f>
        <v>0</v>
      </c>
      <c r="AA275" s="408"/>
      <c r="AB275" s="415">
        <f>IFERROR(IF(AC275&lt;&gt;"",INDEX('M04-S08'!$BA$18:$BA$199,2*(ROWS(AB$263:AB275)-1)+1),""),"")</f>
        <v>0</v>
      </c>
      <c r="AC275" s="178">
        <f>IFERROR(INDEX('M04-S08'!$BJ$18:$BJ$199,2*(ROWS(AC$263:AC275)-1)+1),"")</f>
        <v>0</v>
      </c>
      <c r="AD275" s="415">
        <f>IFERROR(INDEX('M04-S08'!$AW$18:$AW$199,2*(ROWS(AD$263:AD275)-1)+1),"")</f>
        <v>0</v>
      </c>
      <c r="AE275" s="415">
        <f>IFERROR(INDEX('M04-S08'!$AX$18:$AX$199,2*(ROWS(AE$263:AE275)-1)+1),"")</f>
        <v>0</v>
      </c>
      <c r="AF275" s="408"/>
      <c r="AG275" s="408"/>
      <c r="AH275" s="408"/>
      <c r="AI275" s="178">
        <f>IFERROR(INDEX('M04-S08'!$B$18:$B$199,2*(ROWS(AI$263:AI275)-1)+1),"")</f>
        <v>0</v>
      </c>
      <c r="AJ275" s="325"/>
      <c r="AK275" s="178">
        <f>IFERROR(INDEX('M04-S08'!$F$18:$F$199,2*(ROWS(AK$263:AK275)-1)+1),"")</f>
        <v>0</v>
      </c>
      <c r="AL275" s="178">
        <f>IFERROR(INDEX('M04-S08'!$L$18:$L$199,2*(ROWS(AL$263:AL275)-1)+1),"")</f>
        <v>0</v>
      </c>
      <c r="AM275" s="178">
        <f>IFERROR(INDEX('M04-S08'!$T$18:$T$199,2*(ROWS(AM$263:AM275)-1)+1),"")</f>
        <v>0</v>
      </c>
      <c r="AN275" s="200">
        <f>IFERROR(INDEX('M04-S08'!$AT$18:$AT$199,2*(ROWS(AN$263:AN275)-1)+1),"")</f>
        <v>0</v>
      </c>
      <c r="AO275" s="200">
        <f>IFERROR(INDEX('M04-S08'!$AU$18:$AU$199,2*(ROWS(AO$263:AO275)-1)+1),"")</f>
        <v>0</v>
      </c>
      <c r="AP275" s="178">
        <f>IFERROR(INDEX('M04-S08'!$AV$18:$AV$199,2*(ROWS(AP$263:AP275)-1)+1),"")</f>
        <v>0</v>
      </c>
      <c r="AQ275" s="178">
        <f>IFERROR(INDEX('M04-S08'!$AY$18:$AY$199,2*(ROWS(AQ$263:AQ275)-1)+1),"")</f>
        <v>0</v>
      </c>
      <c r="AR275" s="178" t="s">
        <v>1374</v>
      </c>
      <c r="AS275" s="178"/>
      <c r="AT275" s="278"/>
      <c r="AU275" s="278"/>
      <c r="AV275" s="278"/>
      <c r="AW275" s="278"/>
      <c r="AX275" s="278"/>
      <c r="AY275" s="278"/>
      <c r="AZ275" s="278"/>
      <c r="BA275" s="278"/>
      <c r="BB275" s="278"/>
      <c r="BC275" s="278"/>
      <c r="BD275" s="278"/>
      <c r="BE275" s="279"/>
      <c r="BL275" s="180"/>
      <c r="BP275" s="180"/>
      <c r="BQ275" s="180"/>
      <c r="BR275" s="180"/>
      <c r="CD275" s="180"/>
      <c r="CE275" s="180"/>
      <c r="CF275" s="180"/>
      <c r="CH275" s="180"/>
      <c r="CI275" s="180"/>
      <c r="CJ275" s="180"/>
      <c r="CK275" s="180"/>
      <c r="CL275" s="180"/>
      <c r="CM275" s="180"/>
      <c r="CN275" s="180"/>
      <c r="CQ275" s="180"/>
      <c r="CR275" s="180"/>
      <c r="CS275" s="180"/>
      <c r="DS275" s="180"/>
      <c r="DT275" s="180"/>
      <c r="DU275" s="180"/>
    </row>
    <row r="276" spans="1:125" s="54" customFormat="1" hidden="1">
      <c r="A276" s="135">
        <f t="shared" si="28"/>
        <v>0</v>
      </c>
      <c r="B276" s="178" t="str">
        <f t="shared" si="29"/>
        <v/>
      </c>
      <c r="C276" s="178" t="str">
        <f>IFERROR(IF(INDEX('M04-S08'!$BH$18:$BH$199,2*(ROWS($C$263:C276)-1)+1)="","",INDEX('M04-S08'!$BH$18:$BH$199,2*(ROWS($C$263:C276)-1)+1)),"")</f>
        <v/>
      </c>
      <c r="D276" s="180" t="s">
        <v>144</v>
      </c>
      <c r="E276" s="178">
        <f>IFERROR(INDEX('M04-S08'!$AZ$18:$AZ$199,2*(ROWS(E$263:E276)-1)+1),"")</f>
        <v>0</v>
      </c>
      <c r="F276" s="408"/>
      <c r="G276" s="325"/>
      <c r="H276" s="200" t="str">
        <f>IFERROR(IF(AC276&lt;&gt;"","",INDEX('M04-S08'!$AD$18:$AD$199,2*(ROWS(H$263:H276)-1)+1)),"")</f>
        <v/>
      </c>
      <c r="I276" s="200" t="str">
        <f>IFERROR(IF(AC276&lt;&gt;"","",INDEX('M04-S08'!$AF$18:$AF$199,2*(ROWS(I$263:I276)-1)+1)),"")</f>
        <v/>
      </c>
      <c r="J276" s="200" t="str">
        <f>IFERROR(IF(AC276&lt;&gt;"","",INDEX('M04-S08'!$AH$18:$AH$199,2*(ROWS(J$263:J276)-1)+1)),"")</f>
        <v/>
      </c>
      <c r="K276" s="178" t="str">
        <f>IFERROR(IF(AC276&lt;&gt;"","",INDEX('M04-S08'!$AB$18:$AB$199,2*(ROWS(J$263:J276)-1)+1)),"")</f>
        <v/>
      </c>
      <c r="L276" s="116" t="str">
        <f>IFERROR(IF(AC276&lt;&gt;"","",ROUND(INDEX('M04-S08'!$P$18:$P$199,2*(ROWS(L$263:L276)-1)+1),3)),"")</f>
        <v/>
      </c>
      <c r="M276" s="116" t="str">
        <f>IFERROR(IF(AC276&lt;&gt;"","",ROUND(INDEX('M04-S08'!$X$18:$X$199,2*(ROWS(M$263:M276)-1)+1),3)),"")</f>
        <v/>
      </c>
      <c r="N276" s="408"/>
      <c r="O276" s="173" t="str">
        <f>IFERROR(IF(AC276&lt;&gt;"","",INDEX('M04-S08'!$AK$18:$AK$199,2*(ROWS(O$263:O276)-1)+1)),"")</f>
        <v/>
      </c>
      <c r="P276" s="408"/>
      <c r="Q276" s="415" t="str">
        <f>IFERROR(IF(AC276&lt;&gt;"","",INDEX('M04-S08'!$BA$18:$BA$199,2*(ROWS(Q$263:Q276)-1)+1)),"")</f>
        <v/>
      </c>
      <c r="R276" s="200" t="str">
        <f>IFERROR(IF(AC276&lt;&gt;"","",INDEX('M04-S08'!$AN$18:$AN$199,2*(ROWS(R$263:R276)-1)+1)),"")</f>
        <v/>
      </c>
      <c r="S276" s="200">
        <f>IFERROR(IF(AC276&lt;&gt;"",INDEX('M04-S08'!$AD$18:$AD$199,2*(ROWS(S$263:S276)-1)+1),""),"")</f>
        <v>0</v>
      </c>
      <c r="T276" s="200">
        <f>IFERROR(IF(AC276&lt;&gt;"",INDEX('M04-S08'!$AF$18:$AF$199,2*(ROWS(T$263:T276)-1)+1),""),"")</f>
        <v>0</v>
      </c>
      <c r="U276" s="200">
        <f>IFERROR(IF(AC276&lt;&gt;"",INDEX('M04-S08'!$AH$18:$AH$199,2*(ROWS(U$263:U276)-1)+1),""),"")</f>
        <v>0</v>
      </c>
      <c r="V276" s="178">
        <f>IFERROR(IF(AC276&lt;&gt;"",INDEX('M04-S08'!$AB$18:$AB$199,2*(ROWS(V$263:V276)-1)+1),""),"")</f>
        <v>0</v>
      </c>
      <c r="W276" s="116">
        <f>IFERROR(IF(AC276&lt;&gt;"",ROUND(INDEX('M04-S08'!$P$18:$P$199,2*(ROWS(W$263:W276)-1)+1),3),""),"")</f>
        <v>0</v>
      </c>
      <c r="X276" s="116">
        <f>IFERROR(IF(AC276&lt;&gt;"",ROUND(INDEX('M04-S08'!$Z$18:$Z$199,2*(ROWS(X$263:X276)-1)+1),3),""),"")</f>
        <v>0</v>
      </c>
      <c r="Y276" s="408"/>
      <c r="Z276" s="173">
        <f>IFERROR(IF(AC276&lt;&gt;"",INDEX('M04-S08'!$AK$18:$AK$199,2*(ROWS(Z$263:Z276)-1)+1),""),"")</f>
        <v>0</v>
      </c>
      <c r="AA276" s="408"/>
      <c r="AB276" s="415">
        <f>IFERROR(IF(AC276&lt;&gt;"",INDEX('M04-S08'!$BA$18:$BA$199,2*(ROWS(AB$263:AB276)-1)+1),""),"")</f>
        <v>0</v>
      </c>
      <c r="AC276" s="178">
        <f>IFERROR(INDEX('M04-S08'!$BJ$18:$BJ$199,2*(ROWS(AC$263:AC276)-1)+1),"")</f>
        <v>0</v>
      </c>
      <c r="AD276" s="415">
        <f>IFERROR(INDEX('M04-S08'!$AW$18:$AW$199,2*(ROWS(AD$263:AD276)-1)+1),"")</f>
        <v>0</v>
      </c>
      <c r="AE276" s="415">
        <f>IFERROR(INDEX('M04-S08'!$AX$18:$AX$199,2*(ROWS(AE$263:AE276)-1)+1),"")</f>
        <v>0</v>
      </c>
      <c r="AF276" s="408"/>
      <c r="AG276" s="408"/>
      <c r="AH276" s="408"/>
      <c r="AI276" s="178">
        <f>IFERROR(INDEX('M04-S08'!$B$18:$B$199,2*(ROWS(AI$263:AI276)-1)+1),"")</f>
        <v>0</v>
      </c>
      <c r="AJ276" s="325"/>
      <c r="AK276" s="178">
        <f>IFERROR(INDEX('M04-S08'!$F$18:$F$199,2*(ROWS(AK$263:AK276)-1)+1),"")</f>
        <v>0</v>
      </c>
      <c r="AL276" s="178">
        <f>IFERROR(INDEX('M04-S08'!$L$18:$L$199,2*(ROWS(AL$263:AL276)-1)+1),"")</f>
        <v>0</v>
      </c>
      <c r="AM276" s="178">
        <f>IFERROR(INDEX('M04-S08'!$T$18:$T$199,2*(ROWS(AM$263:AM276)-1)+1),"")</f>
        <v>0</v>
      </c>
      <c r="AN276" s="200">
        <f>IFERROR(INDEX('M04-S08'!$AT$18:$AT$199,2*(ROWS(AN$263:AN276)-1)+1),"")</f>
        <v>0</v>
      </c>
      <c r="AO276" s="200">
        <f>IFERROR(INDEX('M04-S08'!$AU$18:$AU$199,2*(ROWS(AO$263:AO276)-1)+1),"")</f>
        <v>0</v>
      </c>
      <c r="AP276" s="178">
        <f>IFERROR(INDEX('M04-S08'!$AV$18:$AV$199,2*(ROWS(AP$263:AP276)-1)+1),"")</f>
        <v>0</v>
      </c>
      <c r="AQ276" s="178">
        <f>IFERROR(INDEX('M04-S08'!$AY$18:$AY$199,2*(ROWS(AQ$263:AQ276)-1)+1),"")</f>
        <v>0</v>
      </c>
      <c r="AR276" s="178" t="s">
        <v>1374</v>
      </c>
      <c r="AS276" s="178"/>
      <c r="AT276" s="278"/>
      <c r="AU276" s="278"/>
      <c r="AV276" s="278"/>
      <c r="AW276" s="278"/>
      <c r="AX276" s="278"/>
      <c r="AY276" s="278"/>
      <c r="AZ276" s="278"/>
      <c r="BA276" s="278"/>
      <c r="BB276" s="278"/>
      <c r="BC276" s="278"/>
      <c r="BD276" s="278"/>
      <c r="BE276" s="279"/>
      <c r="BL276" s="180"/>
      <c r="BP276" s="180"/>
      <c r="BQ276" s="180"/>
      <c r="BR276" s="180"/>
      <c r="CD276" s="180"/>
      <c r="CE276" s="180"/>
      <c r="CF276" s="180"/>
      <c r="CH276" s="180"/>
      <c r="CI276" s="180"/>
      <c r="CJ276" s="180"/>
      <c r="CK276" s="180"/>
      <c r="CL276" s="180"/>
      <c r="CM276" s="180"/>
      <c r="CN276" s="180"/>
      <c r="CQ276" s="180"/>
      <c r="CR276" s="180"/>
      <c r="CS276" s="180"/>
      <c r="DS276" s="180"/>
      <c r="DT276" s="180"/>
      <c r="DU276" s="180"/>
    </row>
    <row r="277" spans="1:125" s="180" customFormat="1">
      <c r="A277" s="430" t="str">
        <f>"Custom "&amp;M4S9</f>
        <v>Custom Miscellaneous</v>
      </c>
      <c r="B277" s="63"/>
      <c r="C277" s="63"/>
      <c r="D277" s="63"/>
      <c r="E277" s="63"/>
      <c r="F277" s="409"/>
      <c r="G277" s="63"/>
      <c r="H277" s="404"/>
      <c r="I277" s="404"/>
      <c r="J277" s="404"/>
      <c r="K277" s="63"/>
      <c r="L277" s="412"/>
      <c r="M277" s="412"/>
      <c r="N277" s="409"/>
      <c r="O277" s="409"/>
      <c r="P277" s="416"/>
      <c r="Q277" s="416"/>
      <c r="R277" s="404"/>
      <c r="S277" s="404"/>
      <c r="T277" s="404"/>
      <c r="U277" s="404"/>
      <c r="V277" s="63"/>
      <c r="W277" s="412"/>
      <c r="X277" s="412"/>
      <c r="Y277" s="409"/>
      <c r="Z277" s="409"/>
      <c r="AA277" s="416"/>
      <c r="AB277" s="416"/>
      <c r="AC277" s="63"/>
      <c r="AD277" s="416"/>
      <c r="AE277" s="416"/>
      <c r="AF277" s="409"/>
      <c r="AG277" s="409"/>
      <c r="AH277" s="409"/>
      <c r="AI277" s="63"/>
      <c r="AJ277" s="63"/>
      <c r="AK277" s="177"/>
      <c r="AL277" s="63"/>
      <c r="AM277" s="63"/>
      <c r="AN277" s="404"/>
      <c r="AO277" s="404"/>
      <c r="AP277" s="63"/>
      <c r="AQ277" s="63"/>
      <c r="AR277" s="63"/>
      <c r="AS277" s="63"/>
      <c r="AT277" s="63"/>
      <c r="AU277" s="278"/>
      <c r="AV277" s="278"/>
      <c r="AW277" s="278"/>
      <c r="AX277" s="278"/>
      <c r="AY277" s="278"/>
      <c r="AZ277" s="278"/>
      <c r="BA277" s="278"/>
      <c r="BB277" s="278"/>
      <c r="BC277" s="278"/>
      <c r="BD277" s="278"/>
      <c r="BE277" s="279"/>
      <c r="BP277"/>
      <c r="BQ277"/>
      <c r="BR277"/>
      <c r="CH277"/>
      <c r="CI277"/>
      <c r="CJ277"/>
      <c r="CK277"/>
      <c r="CL277"/>
      <c r="CM277"/>
      <c r="CN277"/>
    </row>
    <row r="278" spans="1:125" s="54" customFormat="1" hidden="1">
      <c r="A278" s="135">
        <f t="shared" ref="A278:A284" si="30">PROJID</f>
        <v>0</v>
      </c>
      <c r="B278" s="178" t="str">
        <f>IF(C278="","",CONCATENATE(ROW(),"-",C278))</f>
        <v/>
      </c>
      <c r="C278" s="178" t="str">
        <f>IFERROR(IF(INDEX('M04-S09'!$BH$18:$BH$199,2*(ROWS($C$278:C278)-1)+1)="","",INDEX('M04-S09'!$BH$18:$BH$199,2*(ROWS($C$278:C278)-1)+1)),"")</f>
        <v/>
      </c>
      <c r="D278" s="180" t="s">
        <v>144</v>
      </c>
      <c r="E278" s="178" t="str">
        <f>IFERROR(INDEX('M04-S09'!$AZ$18:$AZ$199,2*(ROWS(E$278:E278)-1)+1),"")</f>
        <v/>
      </c>
      <c r="F278" s="408"/>
      <c r="G278" s="325"/>
      <c r="H278" s="200" t="str">
        <f ca="1">IFERROR(IF(AC278&lt;&gt;"","",INDEX('M04-S09'!$AD$18:$AD$199,2*(ROWS(H$278:H278)-1)+1)),"")</f>
        <v/>
      </c>
      <c r="I278" s="200" t="str">
        <f ca="1">IFERROR(IF(AC278&lt;&gt;"","",INDEX('M04-S09'!$AF$18:$AF$199,2*(ROWS(I$278:I278)-1)+1)),"")</f>
        <v/>
      </c>
      <c r="J278" s="200" t="str">
        <f ca="1">IFERROR(IF(AC278&lt;&gt;"","",INDEX('M04-S09'!$AH$18:$AH$199,2*(ROWS(J$278:J278)-1)+1)),"")</f>
        <v/>
      </c>
      <c r="K278" s="178" t="str">
        <f ca="1">IFERROR(IF(AC278&lt;&gt;"","",INDEX('M04-S09'!$AB$18:$AB$199,2*(ROWS(J$278:J278)-1)+1)),"")</f>
        <v/>
      </c>
      <c r="L278" s="116" t="str">
        <f ca="1">IFERROR(IF(AC278&lt;&gt;"","",ROUND(INDEX('M04-S09'!$P$18:$P$199,2*(ROWS(L$278:L278)-1)+1),3)),"")</f>
        <v/>
      </c>
      <c r="M278" s="116" t="str">
        <f ca="1">IFERROR(IF(AC278&lt;&gt;"","",ROUND(INDEX('M04-S09'!$X$18:$X$199,2*(ROWS(M$278:M278)-1)+1),3)),"")</f>
        <v/>
      </c>
      <c r="N278" s="408"/>
      <c r="O278" s="173" t="str">
        <f ca="1">IFERROR(IF(AC278&lt;&gt;"","",INDEX('M04-S09'!$AK$18:$AK$199,2*(ROWS(O$278:O278)-1)+1)),"")</f>
        <v/>
      </c>
      <c r="P278" s="408"/>
      <c r="Q278" s="415" t="str">
        <f ca="1">IFERROR(IF(AC278&lt;&gt;"","",INDEX('M04-S09'!$BA$18:$BA$199,2*(ROWS(Q$278:Q278)-1)+1)),"")</f>
        <v/>
      </c>
      <c r="R278" s="200" t="str">
        <f ca="1">IFERROR(IF(AC278&lt;&gt;"","",INDEX('M04-S09'!$AN$18:$AN$199,2*(ROWS(R$278:R278)-1)+1)),"")</f>
        <v/>
      </c>
      <c r="S278" s="200">
        <f ca="1">IFERROR(IF(AC278&lt;&gt;"",INDEX('M04-S09'!$AD$18:$AD$199,2*(ROWS(S$278:S278)-1)+1),""),"")</f>
        <v>0</v>
      </c>
      <c r="T278" s="200" t="str">
        <f ca="1">IFERROR(IF(AC278&lt;&gt;"",INDEX('M04-S09'!$AF$18:$AF$199,2*(ROWS(T$278:T278)-1)+1),""),"")</f>
        <v/>
      </c>
      <c r="U278" s="200" t="str">
        <f ca="1">IFERROR(IF(AC278&lt;&gt;"",INDEX('M04-S09'!$AH$18:$AH$199,2*(ROWS(U$278:U278)-1)+1),""),"")</f>
        <v/>
      </c>
      <c r="V278" s="178" t="str">
        <f ca="1">IFERROR(IF(AC278&lt;&gt;"",INDEX('M04-S09'!$AB$18:$AB$199,2*(ROWS(V$278:V278)-1)+1),""),"")</f>
        <v/>
      </c>
      <c r="W278" s="116">
        <f ca="1">IFERROR(IF(AC278&lt;&gt;"",ROUND(INDEX('M04-S09'!$P$18:$P$199,2*(ROWS(W$278:W278)-1)+1),3),""),"")</f>
        <v>0</v>
      </c>
      <c r="X278" s="116">
        <f ca="1">IFERROR(IF(AC278&lt;&gt;"",ROUND(INDEX('M04-S09'!$Z$18:$Z$199,2*(ROWS(X$278:X278)-1)+1),3),""),"")</f>
        <v>0</v>
      </c>
      <c r="Y278" s="408"/>
      <c r="Z278" s="173" t="str">
        <f ca="1">IFERROR(IF(AC278&lt;&gt;"",INDEX('M04-S09'!$AK$18:$AK$199,2*(ROWS(Z$278:Z278)-1)+1),""),"")</f>
        <v/>
      </c>
      <c r="AA278" s="408"/>
      <c r="AB278" s="415" t="str">
        <f ca="1">IFERROR(IF(AC278&lt;&gt;"",INDEX('M04-S09'!$BA$18:$BA$199,2*(ROWS(AB$278:AB278)-1)+1),""),"")</f>
        <v/>
      </c>
      <c r="AC278" s="178" t="str">
        <f ca="1">IFERROR(INDEX('M04-S09'!$BJ$18:$BJ$199,2*(ROWS(AC$278:AC278)-1)+1),"")</f>
        <v>Submit for Review</v>
      </c>
      <c r="AD278" s="415" t="str">
        <f>IFERROR(INDEX('M04-S09'!$AW$18:$AW$199,2*(ROWS(AD$278:AD278)-1)+1),"")</f>
        <v/>
      </c>
      <c r="AE278" s="415" t="str">
        <f>IFERROR(INDEX('M04-S09'!$AX$18:$AX$199,2*(ROWS(AE$278:AE278)-1)+1),"")</f>
        <v/>
      </c>
      <c r="AF278" s="408"/>
      <c r="AG278" s="408"/>
      <c r="AH278" s="408"/>
      <c r="AI278" s="178">
        <f>IFERROR(INDEX('M04-S09'!$B$18:$B$199,2*(ROWS(AI$278:AI278)-1)+1),"")</f>
        <v>1</v>
      </c>
      <c r="AJ278" s="325"/>
      <c r="AK278" s="178">
        <f>IFERROR(INDEX('M04-S09'!$F$18:$F$199,2*(ROWS(AK$278:AK278)-1)+1),"")</f>
        <v>0</v>
      </c>
      <c r="AL278" s="178">
        <f>IFERROR(INDEX('M04-S09'!$L$18:$L$199,2*(ROWS(AL$278:AL278)-1)+1),"")</f>
        <v>0</v>
      </c>
      <c r="AM278" s="178">
        <f>IFERROR(INDEX('M04-S09'!$T$18:$T$199,2*(ROWS(AM$278:AM278)-1)+1),"")</f>
        <v>0</v>
      </c>
      <c r="AN278" s="200" t="str">
        <f>IFERROR(INDEX('M04-S09'!$AT$18:$AT$199,2*(ROWS(AN$278:AN278)-1)+1),"")</f>
        <v/>
      </c>
      <c r="AO278" s="200" t="str">
        <f>IFERROR(INDEX('M04-S09'!$AU$18:$AU$199,2*(ROWS(AO$278:AO278)-1)+1),"")</f>
        <v/>
      </c>
      <c r="AP278" s="178" t="str">
        <f>IFERROR(INDEX('M04-S09'!$AV$18:$AV$199,2*(ROWS(AP$278:AP278)-1)+1),"")</f>
        <v/>
      </c>
      <c r="AQ278" s="178" t="str">
        <f>IFERROR(INDEX('M04-S09'!$AY$18:$AY$199,2*(ROWS(AQ$278:AQ278)-1)+1),"")</f>
        <v/>
      </c>
      <c r="AR278" s="178" t="s">
        <v>1374</v>
      </c>
      <c r="AS278" s="178"/>
      <c r="AT278" s="278"/>
      <c r="AU278" s="278"/>
      <c r="AV278" s="278"/>
      <c r="AW278" s="278"/>
      <c r="AX278" s="278"/>
      <c r="AY278" s="278"/>
      <c r="AZ278" s="278"/>
      <c r="BA278" s="278"/>
      <c r="BB278" s="278"/>
      <c r="BC278" s="278"/>
      <c r="BD278" s="278"/>
      <c r="BE278" s="279"/>
      <c r="BL278" s="180"/>
      <c r="BP278" s="180"/>
      <c r="BQ278" s="180"/>
      <c r="BR278" s="180"/>
      <c r="CD278" s="180"/>
      <c r="CE278" s="180"/>
      <c r="CF278" s="180"/>
      <c r="CH278" s="180"/>
      <c r="CI278" s="180"/>
      <c r="CJ278" s="180"/>
      <c r="CK278" s="180"/>
      <c r="CL278" s="180"/>
      <c r="CM278" s="180"/>
      <c r="CN278" s="180"/>
      <c r="CQ278" s="180"/>
      <c r="CR278" s="180"/>
      <c r="CS278" s="180"/>
      <c r="DS278" s="180"/>
      <c r="DT278" s="180"/>
      <c r="DU278" s="180"/>
    </row>
    <row r="279" spans="1:125" hidden="1">
      <c r="A279" s="135">
        <f t="shared" si="30"/>
        <v>0</v>
      </c>
      <c r="B279" s="178" t="str">
        <f t="shared" ref="B279:B284" si="31">IF(C279="","",CONCATENATE(ROW(),"-",C279))</f>
        <v/>
      </c>
      <c r="C279" s="178" t="str">
        <f>IFERROR(IF(INDEX('M04-S09'!$BH$18:$BH$199,2*(ROWS($C$278:C279)-1)+1)="","",INDEX('M04-S09'!$BH$18:$BH$199,2*(ROWS($C$278:C279)-1)+1)),"")</f>
        <v/>
      </c>
      <c r="D279" s="180" t="s">
        <v>144</v>
      </c>
      <c r="E279" s="178" t="str">
        <f>IFERROR(INDEX('M04-S09'!$AZ$18:$AZ$199,2*(ROWS(E$278:E279)-1)+1),"")</f>
        <v/>
      </c>
      <c r="F279" s="408"/>
      <c r="G279" s="325"/>
      <c r="H279" s="200" t="str">
        <f ca="1">IFERROR(IF(AC279&lt;&gt;"","",INDEX('M04-S09'!$AD$18:$AD$199,2*(ROWS(H$278:H279)-1)+1)),"")</f>
        <v/>
      </c>
      <c r="I279" s="200" t="str">
        <f ca="1">IFERROR(IF(AC279&lt;&gt;"","",INDEX('M04-S09'!$AF$18:$AF$199,2*(ROWS(I$278:I279)-1)+1)),"")</f>
        <v/>
      </c>
      <c r="J279" s="200" t="str">
        <f ca="1">IFERROR(IF(AC279&lt;&gt;"","",INDEX('M04-S09'!$AH$18:$AH$199,2*(ROWS(J$278:J279)-1)+1)),"")</f>
        <v/>
      </c>
      <c r="K279" s="178" t="str">
        <f ca="1">IFERROR(IF(AC279&lt;&gt;"","",INDEX('M04-S09'!$AB$18:$AB$199,2*(ROWS(J$278:J279)-1)+1)),"")</f>
        <v/>
      </c>
      <c r="L279" s="116" t="str">
        <f ca="1">IFERROR(IF(AC279&lt;&gt;"","",ROUND(INDEX('M04-S09'!$P$18:$P$199,2*(ROWS(L$278:L279)-1)+1),3)),"")</f>
        <v/>
      </c>
      <c r="M279" s="116" t="str">
        <f ca="1">IFERROR(IF(AC279&lt;&gt;"","",ROUND(INDEX('M04-S09'!$X$18:$X$199,2*(ROWS(M$278:M279)-1)+1),3)),"")</f>
        <v/>
      </c>
      <c r="N279" s="408"/>
      <c r="O279" s="173" t="str">
        <f ca="1">IFERROR(IF(AC279&lt;&gt;"","",INDEX('M04-S09'!$AK$18:$AK$199,2*(ROWS(O$278:O279)-1)+1)),"")</f>
        <v/>
      </c>
      <c r="P279" s="408"/>
      <c r="Q279" s="415" t="str">
        <f ca="1">IFERROR(IF(AC279&lt;&gt;"","",INDEX('M04-S09'!$BA$18:$BA$199,2*(ROWS(Q$278:Q279)-1)+1)),"")</f>
        <v/>
      </c>
      <c r="R279" s="200" t="str">
        <f ca="1">IFERROR(IF(AC279&lt;&gt;"","",INDEX('M04-S09'!$AN$18:$AN$199,2*(ROWS(R$278:R279)-1)+1)),"")</f>
        <v/>
      </c>
      <c r="S279" s="200">
        <f ca="1">IFERROR(IF(AC279&lt;&gt;"",INDEX('M04-S09'!$AD$18:$AD$199,2*(ROWS(S$278:S279)-1)+1),""),"")</f>
        <v>0</v>
      </c>
      <c r="T279" s="200" t="str">
        <f ca="1">IFERROR(IF(AC279&lt;&gt;"",INDEX('M04-S09'!$AF$18:$AF$199,2*(ROWS(T$278:T279)-1)+1),""),"")</f>
        <v/>
      </c>
      <c r="U279" s="200" t="str">
        <f ca="1">IFERROR(IF(AC279&lt;&gt;"",INDEX('M04-S09'!$AH$18:$AH$199,2*(ROWS(U$278:U279)-1)+1),""),"")</f>
        <v/>
      </c>
      <c r="V279" s="178" t="str">
        <f ca="1">IFERROR(IF(AC279&lt;&gt;"",INDEX('M04-S09'!$AB$18:$AB$199,2*(ROWS(V$278:V279)-1)+1),""),"")</f>
        <v/>
      </c>
      <c r="W279" s="116">
        <f ca="1">IFERROR(IF(AC279&lt;&gt;"",ROUND(INDEX('M04-S09'!$P$18:$P$199,2*(ROWS(W$278:W279)-1)+1),3),""),"")</f>
        <v>0</v>
      </c>
      <c r="X279" s="116">
        <f ca="1">IFERROR(IF(AC279&lt;&gt;"",ROUND(INDEX('M04-S09'!$Z$18:$Z$199,2*(ROWS(X$278:X279)-1)+1),3),""),"")</f>
        <v>0</v>
      </c>
      <c r="Y279" s="408"/>
      <c r="Z279" s="173" t="str">
        <f ca="1">IFERROR(IF(AC279&lt;&gt;"",INDEX('M04-S09'!$AK$18:$AK$199,2*(ROWS(Z$278:Z279)-1)+1),""),"")</f>
        <v/>
      </c>
      <c r="AA279" s="408"/>
      <c r="AB279" s="415" t="str">
        <f ca="1">IFERROR(IF(AC279&lt;&gt;"",INDEX('M04-S09'!$BA$18:$BA$199,2*(ROWS(AB$278:AB279)-1)+1),""),"")</f>
        <v/>
      </c>
      <c r="AC279" s="178" t="str">
        <f ca="1">IFERROR(INDEX('M04-S09'!$BJ$18:$BJ$199,2*(ROWS(AC$278:AC279)-1)+1),"")</f>
        <v>Submit for Review</v>
      </c>
      <c r="AD279" s="415" t="str">
        <f>IFERROR(INDEX('M04-S09'!$AW$18:$AW$199,2*(ROWS(AD$278:AD279)-1)+1),"")</f>
        <v/>
      </c>
      <c r="AE279" s="415" t="str">
        <f>IFERROR(INDEX('M04-S09'!$AX$18:$AX$199,2*(ROWS(AE$278:AE279)-1)+1),"")</f>
        <v/>
      </c>
      <c r="AF279" s="408"/>
      <c r="AG279" s="408"/>
      <c r="AH279" s="408"/>
      <c r="AI279" s="178">
        <f>IFERROR(INDEX('M04-S09'!$B$18:$B$199,2*(ROWS(AI$278:AI279)-1)+1),"")</f>
        <v>2</v>
      </c>
      <c r="AJ279" s="325"/>
      <c r="AK279" s="178">
        <f>IFERROR(INDEX('M04-S09'!$F$18:$F$199,2*(ROWS(AK$278:AK279)-1)+1),"")</f>
        <v>0</v>
      </c>
      <c r="AL279" s="178">
        <f>IFERROR(INDEX('M04-S09'!$L$18:$L$199,2*(ROWS(AL$278:AL279)-1)+1),"")</f>
        <v>0</v>
      </c>
      <c r="AM279" s="178">
        <f>IFERROR(INDEX('M04-S09'!$T$18:$T$199,2*(ROWS(AM$278:AM279)-1)+1),"")</f>
        <v>0</v>
      </c>
      <c r="AN279" s="200" t="str">
        <f>IFERROR(INDEX('M04-S09'!$AT$18:$AT$199,2*(ROWS(AN$278:AN279)-1)+1),"")</f>
        <v/>
      </c>
      <c r="AO279" s="200" t="str">
        <f>IFERROR(INDEX('M04-S09'!$AU$18:$AU$199,2*(ROWS(AO$278:AO279)-1)+1),"")</f>
        <v/>
      </c>
      <c r="AP279" s="178" t="str">
        <f>IFERROR(INDEX('M04-S09'!$AV$18:$AV$199,2*(ROWS(AP$278:AP279)-1)+1),"")</f>
        <v/>
      </c>
      <c r="AQ279" s="178" t="str">
        <f>IFERROR(INDEX('M04-S09'!$AY$18:$AY$199,2*(ROWS(AQ$278:AQ279)-1)+1),"")</f>
        <v/>
      </c>
      <c r="AR279" s="178" t="s">
        <v>1374</v>
      </c>
      <c r="AS279" s="178"/>
      <c r="BL279" s="180"/>
      <c r="BP279"/>
      <c r="BQ279"/>
      <c r="BR279"/>
      <c r="CD279" s="180"/>
      <c r="CE279" s="180"/>
      <c r="CF279" s="180"/>
      <c r="CQ279" s="180"/>
      <c r="CR279" s="180"/>
      <c r="CS279" s="180"/>
      <c r="DS279" s="180"/>
      <c r="DT279" s="180"/>
      <c r="DU279" s="180"/>
    </row>
    <row r="280" spans="1:125" hidden="1">
      <c r="A280" s="135">
        <f t="shared" si="30"/>
        <v>0</v>
      </c>
      <c r="B280" s="178" t="str">
        <f t="shared" si="31"/>
        <v/>
      </c>
      <c r="C280" s="178" t="str">
        <f>IFERROR(IF(INDEX('M04-S09'!$BH$18:$BH$199,2*(ROWS($C$278:C280)-1)+1)="","",INDEX('M04-S09'!$BH$18:$BH$199,2*(ROWS($C$278:C280)-1)+1)),"")</f>
        <v/>
      </c>
      <c r="D280" s="180" t="s">
        <v>144</v>
      </c>
      <c r="E280" s="178" t="str">
        <f>IFERROR(INDEX('M04-S09'!$AZ$18:$AZ$199,2*(ROWS(E$278:E280)-1)+1),"")</f>
        <v/>
      </c>
      <c r="F280" s="408"/>
      <c r="G280" s="325"/>
      <c r="H280" s="200" t="str">
        <f ca="1">IFERROR(IF(AC280&lt;&gt;"","",INDEX('M04-S09'!$AD$18:$AD$199,2*(ROWS(H$278:H280)-1)+1)),"")</f>
        <v/>
      </c>
      <c r="I280" s="200" t="str">
        <f ca="1">IFERROR(IF(AC280&lt;&gt;"","",INDEX('M04-S09'!$AF$18:$AF$199,2*(ROWS(I$278:I280)-1)+1)),"")</f>
        <v/>
      </c>
      <c r="J280" s="200" t="str">
        <f ca="1">IFERROR(IF(AC280&lt;&gt;"","",INDEX('M04-S09'!$AH$18:$AH$199,2*(ROWS(J$278:J280)-1)+1)),"")</f>
        <v/>
      </c>
      <c r="K280" s="178" t="str">
        <f ca="1">IFERROR(IF(AC280&lt;&gt;"","",INDEX('M04-S09'!$AB$18:$AB$199,2*(ROWS(J$278:J280)-1)+1)),"")</f>
        <v/>
      </c>
      <c r="L280" s="116" t="str">
        <f ca="1">IFERROR(IF(AC280&lt;&gt;"","",ROUND(INDEX('M04-S09'!$P$18:$P$199,2*(ROWS(L$278:L280)-1)+1),3)),"")</f>
        <v/>
      </c>
      <c r="M280" s="116" t="str">
        <f ca="1">IFERROR(IF(AC280&lt;&gt;"","",ROUND(INDEX('M04-S09'!$X$18:$X$199,2*(ROWS(M$278:M280)-1)+1),3)),"")</f>
        <v/>
      </c>
      <c r="N280" s="408"/>
      <c r="O280" s="173" t="str">
        <f ca="1">IFERROR(IF(AC280&lt;&gt;"","",INDEX('M04-S09'!$AK$18:$AK$199,2*(ROWS(O$278:O280)-1)+1)),"")</f>
        <v/>
      </c>
      <c r="P280" s="408"/>
      <c r="Q280" s="415" t="str">
        <f ca="1">IFERROR(IF(AC280&lt;&gt;"","",INDEX('M04-S09'!$BA$18:$BA$199,2*(ROWS(Q$278:Q280)-1)+1)),"")</f>
        <v/>
      </c>
      <c r="R280" s="200" t="str">
        <f ca="1">IFERROR(IF(AC280&lt;&gt;"","",INDEX('M04-S09'!$AN$18:$AN$199,2*(ROWS(R$278:R280)-1)+1)),"")</f>
        <v/>
      </c>
      <c r="S280" s="200">
        <f ca="1">IFERROR(IF(AC280&lt;&gt;"",INDEX('M04-S09'!$AD$18:$AD$199,2*(ROWS(S$278:S280)-1)+1),""),"")</f>
        <v>0</v>
      </c>
      <c r="T280" s="200" t="str">
        <f ca="1">IFERROR(IF(AC280&lt;&gt;"",INDEX('M04-S09'!$AF$18:$AF$199,2*(ROWS(T$278:T280)-1)+1),""),"")</f>
        <v/>
      </c>
      <c r="U280" s="200" t="str">
        <f ca="1">IFERROR(IF(AC280&lt;&gt;"",INDEX('M04-S09'!$AH$18:$AH$199,2*(ROWS(U$278:U280)-1)+1),""),"")</f>
        <v/>
      </c>
      <c r="V280" s="178" t="str">
        <f ca="1">IFERROR(IF(AC280&lt;&gt;"",INDEX('M04-S09'!$AB$18:$AB$199,2*(ROWS(V$278:V280)-1)+1),""),"")</f>
        <v/>
      </c>
      <c r="W280" s="116">
        <f ca="1">IFERROR(IF(AC280&lt;&gt;"",ROUND(INDEX('M04-S09'!$P$18:$P$199,2*(ROWS(W$278:W280)-1)+1),3),""),"")</f>
        <v>0</v>
      </c>
      <c r="X280" s="116">
        <f ca="1">IFERROR(IF(AC280&lt;&gt;"",ROUND(INDEX('M04-S09'!$Z$18:$Z$199,2*(ROWS(X$278:X280)-1)+1),3),""),"")</f>
        <v>0</v>
      </c>
      <c r="Y280" s="408"/>
      <c r="Z280" s="173" t="str">
        <f ca="1">IFERROR(IF(AC280&lt;&gt;"",INDEX('M04-S09'!$AK$18:$AK$199,2*(ROWS(Z$278:Z280)-1)+1),""),"")</f>
        <v/>
      </c>
      <c r="AA280" s="408"/>
      <c r="AB280" s="415" t="str">
        <f ca="1">IFERROR(IF(AC280&lt;&gt;"",INDEX('M04-S09'!$BA$18:$BA$199,2*(ROWS(AB$278:AB280)-1)+1),""),"")</f>
        <v/>
      </c>
      <c r="AC280" s="178" t="str">
        <f ca="1">IFERROR(INDEX('M04-S09'!$BJ$18:$BJ$199,2*(ROWS(AC$278:AC280)-1)+1),"")</f>
        <v>Submit for Review</v>
      </c>
      <c r="AD280" s="415" t="str">
        <f>IFERROR(INDEX('M04-S09'!$AW$18:$AW$199,2*(ROWS(AD$278:AD280)-1)+1),"")</f>
        <v/>
      </c>
      <c r="AE280" s="415" t="str">
        <f>IFERROR(INDEX('M04-S09'!$AX$18:$AX$199,2*(ROWS(AE$278:AE280)-1)+1),"")</f>
        <v/>
      </c>
      <c r="AF280" s="408"/>
      <c r="AG280" s="408"/>
      <c r="AH280" s="408"/>
      <c r="AI280" s="178">
        <f>IFERROR(INDEX('M04-S09'!$B$18:$B$199,2*(ROWS(AI$278:AI280)-1)+1),"")</f>
        <v>3</v>
      </c>
      <c r="AJ280" s="325"/>
      <c r="AK280" s="178">
        <f>IFERROR(INDEX('M04-S09'!$F$18:$F$199,2*(ROWS(AK$278:AK280)-1)+1),"")</f>
        <v>0</v>
      </c>
      <c r="AL280" s="178">
        <f>IFERROR(INDEX('M04-S09'!$L$18:$L$199,2*(ROWS(AL$278:AL280)-1)+1),"")</f>
        <v>0</v>
      </c>
      <c r="AM280" s="178">
        <f>IFERROR(INDEX('M04-S09'!$T$18:$T$199,2*(ROWS(AM$278:AM280)-1)+1),"")</f>
        <v>0</v>
      </c>
      <c r="AN280" s="200" t="str">
        <f>IFERROR(INDEX('M04-S09'!$AT$18:$AT$199,2*(ROWS(AN$278:AN280)-1)+1),"")</f>
        <v/>
      </c>
      <c r="AO280" s="200" t="str">
        <f>IFERROR(INDEX('M04-S09'!$AU$18:$AU$199,2*(ROWS(AO$278:AO280)-1)+1),"")</f>
        <v/>
      </c>
      <c r="AP280" s="178" t="str">
        <f>IFERROR(INDEX('M04-S09'!$AV$18:$AV$199,2*(ROWS(AP$278:AP280)-1)+1),"")</f>
        <v/>
      </c>
      <c r="AQ280" s="178" t="str">
        <f>IFERROR(INDEX('M04-S09'!$AY$18:$AY$199,2*(ROWS(AQ$278:AQ280)-1)+1),"")</f>
        <v/>
      </c>
      <c r="AR280" s="178" t="s">
        <v>1374</v>
      </c>
      <c r="AS280" s="178"/>
      <c r="BL280" s="180"/>
      <c r="BP280"/>
      <c r="BQ280"/>
      <c r="BR280"/>
      <c r="CD280" s="180"/>
      <c r="CE280" s="180"/>
      <c r="CF280" s="180"/>
      <c r="CQ280" s="180"/>
      <c r="CR280" s="180"/>
      <c r="CS280" s="180"/>
      <c r="DS280" s="180"/>
      <c r="DT280" s="180"/>
      <c r="DU280" s="180"/>
    </row>
    <row r="281" spans="1:125" hidden="1">
      <c r="A281" s="135">
        <f t="shared" si="30"/>
        <v>0</v>
      </c>
      <c r="B281" s="178" t="str">
        <f t="shared" si="31"/>
        <v/>
      </c>
      <c r="C281" s="178" t="str">
        <f>IFERROR(IF(INDEX('M04-S09'!$BH$18:$BH$199,2*(ROWS($C$278:C281)-1)+1)="","",INDEX('M04-S09'!$BH$18:$BH$199,2*(ROWS($C$278:C281)-1)+1)),"")</f>
        <v/>
      </c>
      <c r="D281" s="180" t="s">
        <v>144</v>
      </c>
      <c r="E281" s="178" t="str">
        <f>IFERROR(INDEX('M04-S09'!$AZ$18:$AZ$199,2*(ROWS(E$278:E281)-1)+1),"")</f>
        <v/>
      </c>
      <c r="F281" s="408"/>
      <c r="G281" s="325"/>
      <c r="H281" s="200" t="str">
        <f ca="1">IFERROR(IF(AC281&lt;&gt;"","",INDEX('M04-S09'!$AD$18:$AD$199,2*(ROWS(H$278:H281)-1)+1)),"")</f>
        <v/>
      </c>
      <c r="I281" s="200" t="str">
        <f ca="1">IFERROR(IF(AC281&lt;&gt;"","",INDEX('M04-S09'!$AF$18:$AF$199,2*(ROWS(I$278:I281)-1)+1)),"")</f>
        <v/>
      </c>
      <c r="J281" s="200" t="str">
        <f ca="1">IFERROR(IF(AC281&lt;&gt;"","",INDEX('M04-S09'!$AH$18:$AH$199,2*(ROWS(J$278:J281)-1)+1)),"")</f>
        <v/>
      </c>
      <c r="K281" s="178" t="str">
        <f ca="1">IFERROR(IF(AC281&lt;&gt;"","",INDEX('M04-S09'!$AB$18:$AB$199,2*(ROWS(J$278:J281)-1)+1)),"")</f>
        <v/>
      </c>
      <c r="L281" s="116" t="str">
        <f ca="1">IFERROR(IF(AC281&lt;&gt;"","",ROUND(INDEX('M04-S09'!$P$18:$P$199,2*(ROWS(L$278:L281)-1)+1),3)),"")</f>
        <v/>
      </c>
      <c r="M281" s="116" t="str">
        <f ca="1">IFERROR(IF(AC281&lt;&gt;"","",ROUND(INDEX('M04-S09'!$X$18:$X$199,2*(ROWS(M$278:M281)-1)+1),3)),"")</f>
        <v/>
      </c>
      <c r="N281" s="408"/>
      <c r="O281" s="173" t="str">
        <f ca="1">IFERROR(IF(AC281&lt;&gt;"","",INDEX('M04-S09'!$AK$18:$AK$199,2*(ROWS(O$278:O281)-1)+1)),"")</f>
        <v/>
      </c>
      <c r="P281" s="408"/>
      <c r="Q281" s="415" t="str">
        <f ca="1">IFERROR(IF(AC281&lt;&gt;"","",INDEX('M04-S09'!$BA$18:$BA$199,2*(ROWS(Q$278:Q281)-1)+1)),"")</f>
        <v/>
      </c>
      <c r="R281" s="200" t="str">
        <f ca="1">IFERROR(IF(AC281&lt;&gt;"","",INDEX('M04-S09'!$AN$18:$AN$199,2*(ROWS(R$278:R281)-1)+1)),"")</f>
        <v/>
      </c>
      <c r="S281" s="200">
        <f ca="1">IFERROR(IF(AC281&lt;&gt;"",INDEX('M04-S09'!$AD$18:$AD$199,2*(ROWS(S$278:S281)-1)+1),""),"")</f>
        <v>0</v>
      </c>
      <c r="T281" s="200" t="str">
        <f ca="1">IFERROR(IF(AC281&lt;&gt;"",INDEX('M04-S09'!$AF$18:$AF$199,2*(ROWS(T$278:T281)-1)+1),""),"")</f>
        <v/>
      </c>
      <c r="U281" s="200" t="str">
        <f ca="1">IFERROR(IF(AC281&lt;&gt;"",INDEX('M04-S09'!$AH$18:$AH$199,2*(ROWS(U$278:U281)-1)+1),""),"")</f>
        <v/>
      </c>
      <c r="V281" s="178" t="str">
        <f ca="1">IFERROR(IF(AC281&lt;&gt;"",INDEX('M04-S09'!$AB$18:$AB$199,2*(ROWS(V$278:V281)-1)+1),""),"")</f>
        <v/>
      </c>
      <c r="W281" s="116">
        <f ca="1">IFERROR(IF(AC281&lt;&gt;"",ROUND(INDEX('M04-S09'!$P$18:$P$199,2*(ROWS(W$278:W281)-1)+1),3),""),"")</f>
        <v>0</v>
      </c>
      <c r="X281" s="116">
        <f ca="1">IFERROR(IF(AC281&lt;&gt;"",ROUND(INDEX('M04-S09'!$Z$18:$Z$199,2*(ROWS(X$278:X281)-1)+1),3),""),"")</f>
        <v>0</v>
      </c>
      <c r="Y281" s="408"/>
      <c r="Z281" s="173" t="str">
        <f ca="1">IFERROR(IF(AC281&lt;&gt;"",INDEX('M04-S09'!$AK$18:$AK$199,2*(ROWS(Z$278:Z281)-1)+1),""),"")</f>
        <v/>
      </c>
      <c r="AA281" s="408"/>
      <c r="AB281" s="415" t="str">
        <f ca="1">IFERROR(IF(AC281&lt;&gt;"",INDEX('M04-S09'!$BA$18:$BA$199,2*(ROWS(AB$278:AB281)-1)+1),""),"")</f>
        <v/>
      </c>
      <c r="AC281" s="178" t="str">
        <f ca="1">IFERROR(INDEX('M04-S09'!$BJ$18:$BJ$199,2*(ROWS(AC$278:AC281)-1)+1),"")</f>
        <v>Submit for Review</v>
      </c>
      <c r="AD281" s="415" t="str">
        <f>IFERROR(INDEX('M04-S09'!$AW$18:$AW$199,2*(ROWS(AD$278:AD281)-1)+1),"")</f>
        <v/>
      </c>
      <c r="AE281" s="415" t="str">
        <f>IFERROR(INDEX('M04-S09'!$AX$18:$AX$199,2*(ROWS(AE$278:AE281)-1)+1),"")</f>
        <v/>
      </c>
      <c r="AF281" s="408"/>
      <c r="AG281" s="408"/>
      <c r="AH281" s="408"/>
      <c r="AI281" s="178">
        <f>IFERROR(INDEX('M04-S09'!$B$18:$B$199,2*(ROWS(AI$278:AI281)-1)+1),"")</f>
        <v>4</v>
      </c>
      <c r="AJ281" s="325"/>
      <c r="AK281" s="178">
        <f>IFERROR(INDEX('M04-S09'!$F$18:$F$199,2*(ROWS(AK$278:AK281)-1)+1),"")</f>
        <v>0</v>
      </c>
      <c r="AL281" s="178">
        <f>IFERROR(INDEX('M04-S09'!$L$18:$L$199,2*(ROWS(AL$278:AL281)-1)+1),"")</f>
        <v>0</v>
      </c>
      <c r="AM281" s="178">
        <f>IFERROR(INDEX('M04-S09'!$T$18:$T$199,2*(ROWS(AM$278:AM281)-1)+1),"")</f>
        <v>0</v>
      </c>
      <c r="AN281" s="200" t="str">
        <f>IFERROR(INDEX('M04-S09'!$AT$18:$AT$199,2*(ROWS(AN$278:AN281)-1)+1),"")</f>
        <v/>
      </c>
      <c r="AO281" s="200" t="str">
        <f>IFERROR(INDEX('M04-S09'!$AU$18:$AU$199,2*(ROWS(AO$278:AO281)-1)+1),"")</f>
        <v/>
      </c>
      <c r="AP281" s="178" t="str">
        <f>IFERROR(INDEX('M04-S09'!$AV$18:$AV$199,2*(ROWS(AP$278:AP281)-1)+1),"")</f>
        <v/>
      </c>
      <c r="AQ281" s="178" t="str">
        <f>IFERROR(INDEX('M04-S09'!$AY$18:$AY$199,2*(ROWS(AQ$278:AQ281)-1)+1),"")</f>
        <v/>
      </c>
      <c r="AR281" s="178" t="s">
        <v>1374</v>
      </c>
      <c r="AS281" s="178"/>
      <c r="BL281" s="180"/>
      <c r="BP281"/>
      <c r="BQ281"/>
      <c r="BR281"/>
      <c r="CD281" s="180"/>
      <c r="CE281" s="180"/>
      <c r="CF281" s="180"/>
      <c r="CQ281" s="180"/>
      <c r="CR281" s="180"/>
      <c r="CS281" s="180"/>
      <c r="DS281" s="180"/>
      <c r="DT281" s="180"/>
      <c r="DU281" s="180"/>
    </row>
    <row r="282" spans="1:125" hidden="1">
      <c r="A282" s="408"/>
      <c r="B282" s="408"/>
      <c r="C282" s="408"/>
      <c r="D282" s="408"/>
      <c r="E282" s="408"/>
      <c r="F282" s="408"/>
      <c r="G282" s="408"/>
      <c r="H282" s="408"/>
      <c r="I282" s="408"/>
      <c r="J282" s="408"/>
      <c r="K282" s="408"/>
      <c r="L282" s="408"/>
      <c r="M282" s="408"/>
      <c r="N282" s="408"/>
      <c r="O282" s="408"/>
      <c r="P282" s="408"/>
      <c r="Q282" s="408"/>
      <c r="R282" s="408"/>
      <c r="S282" s="408"/>
      <c r="T282" s="408"/>
      <c r="U282" s="408"/>
      <c r="V282" s="408"/>
      <c r="W282" s="408"/>
      <c r="X282" s="408"/>
      <c r="Y282" s="408"/>
      <c r="Z282" s="408"/>
      <c r="AA282" s="408"/>
      <c r="AB282" s="408"/>
      <c r="AC282" s="408"/>
      <c r="AD282" s="418"/>
      <c r="AE282" s="418"/>
      <c r="AF282" s="408"/>
      <c r="AG282" s="408"/>
      <c r="AH282" s="408"/>
      <c r="AI282" s="408"/>
      <c r="AJ282" s="408"/>
      <c r="AK282" s="408"/>
      <c r="AL282" s="408"/>
      <c r="AM282" s="408"/>
      <c r="AN282" s="408"/>
      <c r="AO282" s="408"/>
      <c r="AP282" s="408"/>
      <c r="AQ282" s="408"/>
      <c r="AR282" s="178"/>
      <c r="AS282" s="178"/>
      <c r="BL282" s="180"/>
      <c r="BP282"/>
      <c r="BQ282"/>
      <c r="BR282"/>
      <c r="CD282" s="180"/>
      <c r="CE282" s="180"/>
      <c r="CF282" s="180"/>
      <c r="CQ282" s="180"/>
      <c r="CR282" s="180"/>
      <c r="CS282" s="180"/>
      <c r="DS282" s="180"/>
      <c r="DT282" s="180"/>
      <c r="DU282" s="180"/>
    </row>
    <row r="283" spans="1:125" hidden="1">
      <c r="A283" s="408"/>
      <c r="B283" s="408"/>
      <c r="C283" s="408"/>
      <c r="D283" s="408"/>
      <c r="E283" s="408"/>
      <c r="F283" s="408"/>
      <c r="G283" s="408"/>
      <c r="H283" s="408"/>
      <c r="I283" s="408"/>
      <c r="J283" s="408"/>
      <c r="K283" s="408"/>
      <c r="L283" s="408"/>
      <c r="M283" s="408"/>
      <c r="N283" s="408"/>
      <c r="O283" s="408"/>
      <c r="P283" s="408"/>
      <c r="Q283" s="408"/>
      <c r="R283" s="408"/>
      <c r="S283" s="408"/>
      <c r="T283" s="408"/>
      <c r="U283" s="408"/>
      <c r="V283" s="408"/>
      <c r="W283" s="408"/>
      <c r="X283" s="408"/>
      <c r="Y283" s="408"/>
      <c r="Z283" s="408"/>
      <c r="AA283" s="408"/>
      <c r="AB283" s="408"/>
      <c r="AC283" s="408"/>
      <c r="AD283" s="418"/>
      <c r="AE283" s="418"/>
      <c r="AF283" s="408"/>
      <c r="AG283" s="408"/>
      <c r="AH283" s="408"/>
      <c r="AI283" s="408"/>
      <c r="AJ283" s="408"/>
      <c r="AK283" s="408"/>
      <c r="AL283" s="408"/>
      <c r="AM283" s="408"/>
      <c r="AN283" s="408"/>
      <c r="AO283" s="408"/>
      <c r="AP283" s="408"/>
      <c r="AQ283" s="408"/>
      <c r="AR283" s="178"/>
      <c r="AS283" s="178"/>
      <c r="BL283" s="180"/>
      <c r="BP283"/>
      <c r="BQ283"/>
      <c r="BR283"/>
      <c r="CD283" s="180"/>
      <c r="CE283" s="180"/>
      <c r="CF283" s="180"/>
      <c r="CQ283" s="180"/>
      <c r="CR283" s="180"/>
      <c r="CS283" s="180"/>
      <c r="DS283" s="180"/>
      <c r="DT283" s="180"/>
      <c r="DU283" s="180"/>
    </row>
    <row r="284" spans="1:125" hidden="1">
      <c r="A284" s="135">
        <f t="shared" si="30"/>
        <v>0</v>
      </c>
      <c r="B284" s="178" t="str">
        <f t="shared" si="31"/>
        <v/>
      </c>
      <c r="C284" s="178" t="str">
        <f>IFERROR(IF(INDEX('M04-S09'!$BH$18:$BH$199,2*(ROWS($C$278:C284)-1)+1)="","",INDEX('M04-S09'!$BH$18:$BH$199,2*(ROWS($C$278:C284)-1)+1)),"")</f>
        <v/>
      </c>
      <c r="D284" s="180" t="s">
        <v>144</v>
      </c>
      <c r="E284" s="178">
        <f>IFERROR(INDEX('M04-S09'!$AZ$18:$AZ$199,2*(ROWS(E$278:E284)-1)+1),"")</f>
        <v>0</v>
      </c>
      <c r="F284" s="408"/>
      <c r="G284" s="325"/>
      <c r="H284" s="200" t="str">
        <f ca="1">IFERROR(IF(AC284&lt;&gt;"","",INDEX('M04-S09'!$AD$18:$AD$199,2*(ROWS(H$278:H284)-1)+1)),"")</f>
        <v/>
      </c>
      <c r="I284" s="200" t="str">
        <f ca="1">IFERROR(IF(AC284&lt;&gt;"","",INDEX('M04-S09'!$AF$18:$AF$199,2*(ROWS(I$278:I284)-1)+1)),"")</f>
        <v/>
      </c>
      <c r="J284" s="200" t="str">
        <f ca="1">IFERROR(IF(AC284&lt;&gt;"","",INDEX('M04-S09'!$AH$18:$AH$199,2*(ROWS(J$278:J284)-1)+1)),"")</f>
        <v/>
      </c>
      <c r="K284" s="178" t="str">
        <f ca="1">IFERROR(IF(AC284&lt;&gt;"","",INDEX('M04-S09'!$AB$18:$AB$199,2*(ROWS(J$278:J284)-1)+1)),"")</f>
        <v/>
      </c>
      <c r="L284" s="116" t="str">
        <f ca="1">IFERROR(IF(AC284&lt;&gt;"","",ROUND(INDEX('M04-S09'!$P$18:$P$199,2*(ROWS(L$278:L284)-1)+1),3)),"")</f>
        <v/>
      </c>
      <c r="M284" s="116" t="str">
        <f ca="1">IFERROR(IF(AC284&lt;&gt;"","",ROUND(INDEX('M04-S09'!$X$18:$X$199,2*(ROWS(M$278:M284)-1)+1),3)),"")</f>
        <v/>
      </c>
      <c r="N284" s="408"/>
      <c r="O284" s="173" t="str">
        <f ca="1">IFERROR(IF(AC284&lt;&gt;"","",INDEX('M04-S09'!$AK$18:$AK$199,2*(ROWS(O$278:O284)-1)+1)),"")</f>
        <v/>
      </c>
      <c r="P284" s="408"/>
      <c r="Q284" s="415" t="str">
        <f ca="1">IFERROR(IF(AC284&lt;&gt;"","",INDEX('M04-S09'!$BA$18:$BA$199,2*(ROWS(Q$278:Q284)-1)+1)),"")</f>
        <v/>
      </c>
      <c r="R284" s="200" t="str">
        <f ca="1">IFERROR(IF(AC284&lt;&gt;"","",INDEX('M04-S09'!$AN$18:$AN$199,2*(ROWS(R$278:R284)-1)+1)),"")</f>
        <v/>
      </c>
      <c r="S284" s="200">
        <f ca="1">IFERROR(IF(AC284&lt;&gt;"",INDEX('M04-S09'!$AD$18:$AD$199,2*(ROWS(S$278:S284)-1)+1),""),"")</f>
        <v>0</v>
      </c>
      <c r="T284" s="200" t="str">
        <f ca="1">IFERROR(IF(AC284&lt;&gt;"",INDEX('M04-S09'!$AF$18:$AF$199,2*(ROWS(T$278:T284)-1)+1),""),"")</f>
        <v/>
      </c>
      <c r="U284" s="200" t="str">
        <f ca="1">IFERROR(IF(AC284&lt;&gt;"",INDEX('M04-S09'!$AH$18:$AH$199,2*(ROWS(U$278:U284)-1)+1),""),"")</f>
        <v/>
      </c>
      <c r="V284" s="178">
        <f ca="1">IFERROR(IF(AC284&lt;&gt;"",INDEX('M04-S09'!$AB$18:$AB$199,2*(ROWS(V$278:V284)-1)+1),""),"")</f>
        <v>0</v>
      </c>
      <c r="W284" s="116">
        <f ca="1">IFERROR(IF(AC284&lt;&gt;"",ROUND(INDEX('M04-S09'!$P$18:$P$199,2*(ROWS(W$278:W284)-1)+1),3),""),"")</f>
        <v>0</v>
      </c>
      <c r="X284" s="116">
        <f ca="1">IFERROR(IF(AC284&lt;&gt;"",ROUND(INDEX('M04-S09'!$Z$18:$Z$199,2*(ROWS(X$278:X284)-1)+1),3),""),"")</f>
        <v>0</v>
      </c>
      <c r="Y284" s="408"/>
      <c r="Z284" s="173" t="str">
        <f ca="1">IFERROR(IF(AC284&lt;&gt;"",INDEX('M04-S09'!$AK$18:$AK$199,2*(ROWS(Z$278:Z284)-1)+1),""),"")</f>
        <v/>
      </c>
      <c r="AA284" s="408"/>
      <c r="AB284" s="415">
        <f ca="1">IFERROR(IF(AC284&lt;&gt;"",INDEX('M04-S09'!$BA$18:$BA$199,2*(ROWS(AB$278:AB284)-1)+1),""),"")</f>
        <v>0</v>
      </c>
      <c r="AC284" s="178" t="str">
        <f ca="1">IFERROR(INDEX('M04-S09'!$BJ$18:$BJ$199,2*(ROWS(AC$278:AC284)-1)+1),"")</f>
        <v>Submit for Review</v>
      </c>
      <c r="AD284" s="415" t="str">
        <f>IFERROR(INDEX('M04-S09'!$AW$18:$AW$199,2*(ROWS(AD$278:AD284)-1)+1),"")</f>
        <v/>
      </c>
      <c r="AE284" s="415" t="str">
        <f>IFERROR(INDEX('M04-S09'!$AX$18:$AX$199,2*(ROWS(AE$278:AE284)-1)+1),"")</f>
        <v/>
      </c>
      <c r="AF284" s="408"/>
      <c r="AG284" s="408"/>
      <c r="AH284" s="408"/>
      <c r="AI284" s="178">
        <f>IFERROR(INDEX('M04-S09'!$B$18:$B$199,2*(ROWS(AI$278:AI284)-1)+1),"")</f>
        <v>1</v>
      </c>
      <c r="AJ284" s="325"/>
      <c r="AK284" s="178">
        <f>IFERROR(INDEX('M04-S09'!$F$18:$F$199,2*(ROWS(AK$278:AK284)-1)+1),"")</f>
        <v>0</v>
      </c>
      <c r="AL284" s="178">
        <f>IFERROR(INDEX('M04-S09'!$L$18:$L$199,2*(ROWS(AL$278:AL284)-1)+1),"")</f>
        <v>0</v>
      </c>
      <c r="AM284" s="178">
        <f>IFERROR(INDEX('M04-S09'!$T$18:$T$199,2*(ROWS(AM$278:AM284)-1)+1),"")</f>
        <v>0</v>
      </c>
      <c r="AN284" s="200" t="str">
        <f>IFERROR(INDEX('M04-S09'!$AT$18:$AT$199,2*(ROWS(AN$278:AN284)-1)+1),"")</f>
        <v/>
      </c>
      <c r="AO284" s="200" t="str">
        <f>IFERROR(INDEX('M04-S09'!$AU$18:$AU$199,2*(ROWS(AO$278:AO284)-1)+1),"")</f>
        <v/>
      </c>
      <c r="AP284" s="178" t="str">
        <f>IFERROR(INDEX('M04-S09'!$AV$18:$AV$199,2*(ROWS(AP$278:AP284)-1)+1),"")</f>
        <v/>
      </c>
      <c r="AQ284" s="178" t="str">
        <f>IFERROR(INDEX('M04-S09'!$AY$18:$AY$199,2*(ROWS(AQ$278:AQ284)-1)+1),"")</f>
        <v/>
      </c>
      <c r="AR284" s="178" t="s">
        <v>1374</v>
      </c>
      <c r="AS284" s="178"/>
      <c r="BL284" s="180"/>
      <c r="BP284"/>
      <c r="BQ284"/>
      <c r="BR284"/>
      <c r="CD284" s="180"/>
      <c r="CE284" s="180"/>
      <c r="CF284" s="180"/>
      <c r="CQ284" s="180"/>
      <c r="CR284" s="180"/>
      <c r="CS284" s="180"/>
      <c r="DS284" s="180"/>
      <c r="DT284" s="180"/>
      <c r="DU284" s="180"/>
    </row>
    <row r="285" spans="1:125" hidden="1">
      <c r="A285" s="408"/>
      <c r="B285" s="408"/>
      <c r="C285" s="408"/>
      <c r="D285" s="408"/>
      <c r="E285" s="408"/>
      <c r="F285" s="408"/>
      <c r="G285" s="408"/>
      <c r="H285" s="408"/>
      <c r="I285" s="408"/>
      <c r="J285" s="408"/>
      <c r="K285" s="408"/>
      <c r="L285" s="408"/>
      <c r="M285" s="408"/>
      <c r="N285" s="408"/>
      <c r="O285" s="408"/>
      <c r="P285" s="408"/>
      <c r="Q285" s="408"/>
      <c r="R285" s="408"/>
      <c r="S285" s="408"/>
      <c r="T285" s="408"/>
      <c r="U285" s="408"/>
      <c r="V285" s="408"/>
      <c r="W285" s="408"/>
      <c r="X285" s="408"/>
      <c r="Y285" s="408"/>
      <c r="Z285" s="408"/>
      <c r="AA285" s="408"/>
      <c r="AB285" s="408"/>
      <c r="AC285" s="408"/>
      <c r="AD285" s="418"/>
      <c r="AE285" s="418"/>
      <c r="AF285" s="408"/>
      <c r="AG285" s="408"/>
      <c r="AH285" s="408"/>
      <c r="AI285" s="408"/>
      <c r="AJ285" s="408"/>
      <c r="AK285" s="408"/>
      <c r="AL285" s="408"/>
      <c r="AM285" s="408"/>
      <c r="AN285" s="408"/>
      <c r="AO285" s="408"/>
      <c r="AP285" s="408"/>
      <c r="AQ285" s="408"/>
      <c r="AR285" s="178"/>
      <c r="AS285" s="178"/>
      <c r="BL285" s="180"/>
      <c r="BP285"/>
      <c r="BQ285"/>
      <c r="BR285"/>
      <c r="CD285" s="180"/>
      <c r="CE285" s="180"/>
      <c r="CF285" s="180"/>
      <c r="CQ285" s="180"/>
      <c r="CR285" s="180"/>
      <c r="CS285" s="180"/>
      <c r="DS285" s="180"/>
      <c r="DT285" s="180"/>
      <c r="DU285" s="180"/>
    </row>
    <row r="286" spans="1:125" hidden="1">
      <c r="A286" s="408"/>
      <c r="B286" s="408"/>
      <c r="C286" s="408"/>
      <c r="D286" s="408"/>
      <c r="E286" s="408"/>
      <c r="F286" s="408"/>
      <c r="G286" s="408"/>
      <c r="H286" s="408"/>
      <c r="I286" s="408"/>
      <c r="J286" s="408"/>
      <c r="K286" s="408"/>
      <c r="L286" s="408"/>
      <c r="M286" s="408"/>
      <c r="N286" s="408"/>
      <c r="O286" s="408"/>
      <c r="P286" s="408"/>
      <c r="Q286" s="408"/>
      <c r="R286" s="408"/>
      <c r="S286" s="408"/>
      <c r="T286" s="408"/>
      <c r="U286" s="408"/>
      <c r="V286" s="408"/>
      <c r="W286" s="408"/>
      <c r="X286" s="408"/>
      <c r="Y286" s="408"/>
      <c r="Z286" s="408"/>
      <c r="AA286" s="408"/>
      <c r="AB286" s="408"/>
      <c r="AC286" s="408"/>
      <c r="AD286" s="418"/>
      <c r="AE286" s="418"/>
      <c r="AF286" s="408"/>
      <c r="AG286" s="408"/>
      <c r="AH286" s="408"/>
      <c r="AI286" s="408"/>
      <c r="AJ286" s="408"/>
      <c r="AK286" s="408"/>
      <c r="AL286" s="408"/>
      <c r="AM286" s="408"/>
      <c r="AN286" s="408"/>
      <c r="AO286" s="408"/>
      <c r="AP286" s="408"/>
      <c r="AQ286" s="408"/>
      <c r="AR286" s="178"/>
      <c r="AS286" s="178"/>
      <c r="BL286" s="180"/>
      <c r="BP286"/>
      <c r="BQ286"/>
      <c r="BR286"/>
      <c r="CD286" s="180"/>
      <c r="CE286" s="180"/>
      <c r="CF286" s="180"/>
      <c r="CQ286" s="180"/>
      <c r="CR286" s="180"/>
      <c r="CS286" s="180"/>
      <c r="DS286" s="180"/>
      <c r="DT286" s="180"/>
      <c r="DU286" s="180"/>
    </row>
    <row r="287" spans="1:125" hidden="1">
      <c r="A287" s="408"/>
      <c r="B287" s="408"/>
      <c r="C287" s="408"/>
      <c r="D287" s="408"/>
      <c r="E287" s="408"/>
      <c r="F287" s="408"/>
      <c r="G287" s="408"/>
      <c r="H287" s="408"/>
      <c r="I287" s="408"/>
      <c r="J287" s="408"/>
      <c r="K287" s="408"/>
      <c r="L287" s="408"/>
      <c r="M287" s="408"/>
      <c r="N287" s="408"/>
      <c r="O287" s="408"/>
      <c r="P287" s="408"/>
      <c r="Q287" s="408"/>
      <c r="R287" s="408"/>
      <c r="S287" s="408"/>
      <c r="T287" s="408"/>
      <c r="U287" s="408"/>
      <c r="V287" s="408"/>
      <c r="W287" s="408"/>
      <c r="X287" s="408"/>
      <c r="Y287" s="408"/>
      <c r="Z287" s="408"/>
      <c r="AA287" s="408"/>
      <c r="AB287" s="408"/>
      <c r="AC287" s="408"/>
      <c r="AD287" s="418"/>
      <c r="AE287" s="418"/>
      <c r="AF287" s="408"/>
      <c r="AG287" s="408"/>
      <c r="AH287" s="408"/>
      <c r="AI287" s="408"/>
      <c r="AJ287" s="408"/>
      <c r="AK287" s="408"/>
      <c r="AL287" s="408"/>
      <c r="AM287" s="408"/>
      <c r="AN287" s="408"/>
      <c r="AO287" s="408"/>
      <c r="AP287" s="408"/>
      <c r="AQ287" s="408"/>
      <c r="AR287" s="178"/>
      <c r="AS287" s="178"/>
      <c r="BL287" s="180"/>
      <c r="BP287"/>
      <c r="BQ287"/>
      <c r="BR287"/>
      <c r="CD287" s="180"/>
      <c r="CE287" s="180"/>
      <c r="CF287" s="180"/>
      <c r="CQ287" s="180"/>
      <c r="CR287" s="180"/>
      <c r="CS287" s="180"/>
      <c r="DS287" s="180"/>
      <c r="DT287" s="180"/>
      <c r="DU287" s="180"/>
    </row>
    <row r="288" spans="1:125" hidden="1">
      <c r="A288" s="408"/>
      <c r="B288" s="408"/>
      <c r="C288" s="408"/>
      <c r="D288" s="408"/>
      <c r="E288" s="408"/>
      <c r="F288" s="408"/>
      <c r="G288" s="408"/>
      <c r="H288" s="408"/>
      <c r="I288" s="408"/>
      <c r="J288" s="408"/>
      <c r="K288" s="408"/>
      <c r="L288" s="408"/>
      <c r="M288" s="408"/>
      <c r="N288" s="408"/>
      <c r="O288" s="408"/>
      <c r="P288" s="408"/>
      <c r="Q288" s="408"/>
      <c r="R288" s="408"/>
      <c r="S288" s="408"/>
      <c r="T288" s="408"/>
      <c r="U288" s="408"/>
      <c r="V288" s="408"/>
      <c r="W288" s="408"/>
      <c r="X288" s="408"/>
      <c r="Y288" s="408"/>
      <c r="Z288" s="408"/>
      <c r="AA288" s="408"/>
      <c r="AB288" s="408"/>
      <c r="AC288" s="408"/>
      <c r="AD288" s="418"/>
      <c r="AE288" s="418"/>
      <c r="AF288" s="408"/>
      <c r="AG288" s="408"/>
      <c r="AH288" s="408"/>
      <c r="AI288" s="408"/>
      <c r="AJ288" s="408"/>
      <c r="AK288" s="408"/>
      <c r="AL288" s="408"/>
      <c r="AM288" s="408"/>
      <c r="AN288" s="408"/>
      <c r="AO288" s="408"/>
      <c r="AP288" s="408"/>
      <c r="AQ288" s="408"/>
      <c r="AR288" s="178"/>
      <c r="AS288" s="178"/>
      <c r="BL288" s="180"/>
      <c r="BP288"/>
      <c r="BQ288"/>
      <c r="BR288"/>
      <c r="CD288" s="180"/>
      <c r="CE288" s="180"/>
      <c r="CF288" s="180"/>
      <c r="CQ288" s="180"/>
      <c r="CR288" s="180"/>
      <c r="CS288" s="180"/>
      <c r="DS288" s="180"/>
      <c r="DT288" s="180"/>
      <c r="DU288" s="180"/>
    </row>
    <row r="289" spans="1:125" hidden="1">
      <c r="A289" s="408"/>
      <c r="B289" s="408"/>
      <c r="C289" s="408"/>
      <c r="D289" s="408"/>
      <c r="E289" s="408"/>
      <c r="F289" s="408"/>
      <c r="G289" s="408"/>
      <c r="H289" s="408"/>
      <c r="I289" s="408"/>
      <c r="J289" s="408"/>
      <c r="K289" s="408"/>
      <c r="L289" s="408"/>
      <c r="M289" s="408"/>
      <c r="N289" s="408"/>
      <c r="O289" s="408"/>
      <c r="P289" s="408"/>
      <c r="Q289" s="408"/>
      <c r="R289" s="408"/>
      <c r="S289" s="408"/>
      <c r="T289" s="408"/>
      <c r="U289" s="408"/>
      <c r="V289" s="408"/>
      <c r="W289" s="408"/>
      <c r="X289" s="408"/>
      <c r="Y289" s="408"/>
      <c r="Z289" s="408"/>
      <c r="AA289" s="408"/>
      <c r="AB289" s="408"/>
      <c r="AC289" s="408"/>
      <c r="AD289" s="418"/>
      <c r="AE289" s="418"/>
      <c r="AF289" s="408"/>
      <c r="AG289" s="408"/>
      <c r="AH289" s="408"/>
      <c r="AI289" s="408"/>
      <c r="AJ289" s="408"/>
      <c r="AK289" s="408"/>
      <c r="AL289" s="408"/>
      <c r="AM289" s="408"/>
      <c r="AN289" s="408"/>
      <c r="AO289" s="408"/>
      <c r="AP289" s="408"/>
      <c r="AQ289" s="408"/>
      <c r="AR289" s="178"/>
      <c r="AS289" s="178"/>
      <c r="BL289" s="180"/>
      <c r="BP289"/>
      <c r="BQ289"/>
      <c r="BR289"/>
      <c r="CD289" s="180"/>
      <c r="CE289" s="180"/>
      <c r="CF289" s="180"/>
      <c r="CQ289" s="180"/>
      <c r="CR289" s="180"/>
      <c r="CS289" s="180"/>
      <c r="DS289" s="180"/>
      <c r="DT289" s="180"/>
      <c r="DU289" s="180"/>
    </row>
    <row r="290" spans="1:125" hidden="1">
      <c r="A290" s="408"/>
      <c r="B290" s="408"/>
      <c r="C290" s="408"/>
      <c r="D290" s="408"/>
      <c r="E290" s="408"/>
      <c r="F290" s="408"/>
      <c r="G290" s="408"/>
      <c r="H290" s="408"/>
      <c r="I290" s="408"/>
      <c r="J290" s="408"/>
      <c r="K290" s="408"/>
      <c r="L290" s="408"/>
      <c r="M290" s="408"/>
      <c r="N290" s="408"/>
      <c r="O290" s="408"/>
      <c r="P290" s="408"/>
      <c r="Q290" s="408"/>
      <c r="R290" s="408"/>
      <c r="S290" s="408"/>
      <c r="T290" s="408"/>
      <c r="U290" s="408"/>
      <c r="V290" s="408"/>
      <c r="W290" s="408"/>
      <c r="X290" s="408"/>
      <c r="Y290" s="408"/>
      <c r="Z290" s="408"/>
      <c r="AA290" s="408"/>
      <c r="AB290" s="408"/>
      <c r="AC290" s="408"/>
      <c r="AD290" s="418"/>
      <c r="AE290" s="418"/>
      <c r="AF290" s="408"/>
      <c r="AG290" s="408"/>
      <c r="AH290" s="408"/>
      <c r="AI290" s="408"/>
      <c r="AJ290" s="408"/>
      <c r="AK290" s="408"/>
      <c r="AL290" s="408"/>
      <c r="AM290" s="408"/>
      <c r="AN290" s="408"/>
      <c r="AO290" s="408"/>
      <c r="AP290" s="408"/>
      <c r="AQ290" s="408"/>
      <c r="AR290" s="178"/>
      <c r="AS290" s="178"/>
      <c r="BL290" s="180"/>
      <c r="BP290"/>
      <c r="BQ290"/>
      <c r="BR290"/>
      <c r="CD290" s="180"/>
      <c r="CE290" s="180"/>
      <c r="CF290" s="180"/>
      <c r="CQ290" s="180"/>
      <c r="CR290" s="180"/>
      <c r="CS290" s="180"/>
      <c r="DS290" s="180"/>
      <c r="DT290" s="180"/>
      <c r="DU290" s="180"/>
    </row>
    <row r="291" spans="1:125" hidden="1">
      <c r="A291" s="408"/>
      <c r="B291" s="408"/>
      <c r="C291" s="408"/>
      <c r="D291" s="408"/>
      <c r="E291" s="408"/>
      <c r="F291" s="408"/>
      <c r="G291" s="408"/>
      <c r="H291" s="408"/>
      <c r="I291" s="408"/>
      <c r="J291" s="408"/>
      <c r="K291" s="408"/>
      <c r="L291" s="408"/>
      <c r="M291" s="408"/>
      <c r="N291" s="408"/>
      <c r="O291" s="408"/>
      <c r="P291" s="408"/>
      <c r="Q291" s="408"/>
      <c r="R291" s="408"/>
      <c r="S291" s="408"/>
      <c r="T291" s="408"/>
      <c r="U291" s="408"/>
      <c r="V291" s="408"/>
      <c r="W291" s="408"/>
      <c r="X291" s="408"/>
      <c r="Y291" s="408"/>
      <c r="Z291" s="408"/>
      <c r="AA291" s="408"/>
      <c r="AB291" s="408"/>
      <c r="AC291" s="408"/>
      <c r="AD291" s="418"/>
      <c r="AE291" s="418"/>
      <c r="AF291" s="408"/>
      <c r="AG291" s="408"/>
      <c r="AH291" s="408"/>
      <c r="AI291" s="408"/>
      <c r="AJ291" s="408"/>
      <c r="AK291" s="408"/>
      <c r="AL291" s="408"/>
      <c r="AM291" s="408"/>
      <c r="AN291" s="408"/>
      <c r="AO291" s="408"/>
      <c r="AP291" s="408"/>
      <c r="AQ291" s="408"/>
      <c r="AR291" s="178"/>
      <c r="AS291" s="178"/>
      <c r="BL291" s="180"/>
      <c r="BP291"/>
      <c r="BQ291"/>
      <c r="BR291"/>
      <c r="CD291" s="180"/>
      <c r="CE291" s="180"/>
      <c r="CF291" s="180"/>
      <c r="CQ291" s="180"/>
      <c r="CR291" s="180"/>
      <c r="CS291" s="180"/>
      <c r="DS291" s="180"/>
      <c r="DT291" s="180"/>
      <c r="DU291" s="180"/>
    </row>
    <row r="292" spans="1:125" hidden="1">
      <c r="A292" s="408"/>
      <c r="B292" s="408"/>
      <c r="C292" s="408"/>
      <c r="D292" s="408"/>
      <c r="E292" s="408"/>
      <c r="F292" s="408"/>
      <c r="G292" s="408"/>
      <c r="H292" s="408"/>
      <c r="I292" s="408"/>
      <c r="J292" s="408"/>
      <c r="K292" s="408"/>
      <c r="L292" s="408"/>
      <c r="M292" s="408"/>
      <c r="N292" s="408"/>
      <c r="O292" s="408"/>
      <c r="P292" s="408"/>
      <c r="Q292" s="408"/>
      <c r="R292" s="408"/>
      <c r="S292" s="408"/>
      <c r="T292" s="408"/>
      <c r="U292" s="408"/>
      <c r="V292" s="408"/>
      <c r="W292" s="408"/>
      <c r="X292" s="408"/>
      <c r="Y292" s="408"/>
      <c r="Z292" s="408"/>
      <c r="AA292" s="408"/>
      <c r="AB292" s="408"/>
      <c r="AC292" s="408"/>
      <c r="AD292" s="418"/>
      <c r="AE292" s="418"/>
      <c r="AF292" s="408"/>
      <c r="AG292" s="408"/>
      <c r="AH292" s="408"/>
      <c r="AI292" s="408"/>
      <c r="AJ292" s="408"/>
      <c r="AK292" s="408"/>
      <c r="AL292" s="408"/>
      <c r="AM292" s="408"/>
      <c r="AN292" s="408"/>
      <c r="AO292" s="408"/>
      <c r="AP292" s="408"/>
      <c r="AQ292" s="408"/>
      <c r="AR292" s="178"/>
      <c r="AS292" s="178"/>
      <c r="BL292" s="180"/>
      <c r="BP292"/>
      <c r="BQ292"/>
      <c r="BR292"/>
      <c r="CD292" s="180"/>
      <c r="CE292" s="180"/>
      <c r="CF292" s="180"/>
      <c r="CQ292" s="180"/>
      <c r="CR292" s="180"/>
      <c r="CS292" s="180"/>
      <c r="DS292" s="180"/>
      <c r="DT292" s="180"/>
      <c r="DU292" s="180"/>
    </row>
    <row r="293" spans="1:125" s="180" customFormat="1" hidden="1">
      <c r="A293" s="63"/>
      <c r="B293" s="63"/>
      <c r="C293" s="63"/>
      <c r="D293" s="63"/>
      <c r="E293" s="63"/>
      <c r="F293" s="409"/>
      <c r="G293" s="63"/>
      <c r="H293" s="404"/>
      <c r="I293" s="404"/>
      <c r="J293" s="404"/>
      <c r="K293" s="63"/>
      <c r="L293" s="412"/>
      <c r="M293" s="412"/>
      <c r="N293" s="409"/>
      <c r="O293" s="409"/>
      <c r="P293" s="416"/>
      <c r="Q293" s="416"/>
      <c r="R293" s="404"/>
      <c r="S293" s="404"/>
      <c r="T293" s="404"/>
      <c r="U293" s="404"/>
      <c r="V293" s="63"/>
      <c r="W293" s="412"/>
      <c r="X293" s="412"/>
      <c r="Y293" s="409"/>
      <c r="Z293" s="409"/>
      <c r="AA293" s="416"/>
      <c r="AB293" s="416"/>
      <c r="AC293" s="63"/>
      <c r="AD293" s="416"/>
      <c r="AE293" s="416"/>
      <c r="AF293" s="409"/>
      <c r="AG293" s="409"/>
      <c r="AH293" s="409"/>
      <c r="AI293" s="63"/>
      <c r="AJ293" s="63"/>
      <c r="AK293" s="177"/>
      <c r="AL293" s="63"/>
      <c r="AM293" s="63"/>
      <c r="AN293" s="404"/>
      <c r="AO293" s="404"/>
      <c r="AP293" s="63"/>
      <c r="AQ293" s="63"/>
      <c r="AR293" s="63"/>
      <c r="AS293" s="63"/>
      <c r="AT293" s="63"/>
      <c r="AU293" s="278"/>
      <c r="AV293" s="278"/>
      <c r="AW293" s="278"/>
      <c r="AX293" s="278"/>
      <c r="AY293" s="278"/>
      <c r="AZ293" s="278"/>
      <c r="BA293" s="278"/>
      <c r="BB293" s="278"/>
      <c r="BC293" s="278"/>
      <c r="BD293" s="278"/>
      <c r="BE293" s="279"/>
    </row>
    <row r="294" spans="1:125" hidden="1">
      <c r="A294"/>
      <c r="B294"/>
      <c r="C294"/>
      <c r="D294"/>
      <c r="E294"/>
      <c r="G294"/>
      <c r="K294"/>
      <c r="V294"/>
      <c r="AC294"/>
      <c r="AI294"/>
      <c r="AJ294"/>
      <c r="AK294"/>
      <c r="AL294"/>
      <c r="AM294"/>
      <c r="AP294"/>
      <c r="AQ294"/>
      <c r="AR294"/>
      <c r="AS294" s="180"/>
      <c r="AT294"/>
      <c r="AU294"/>
      <c r="AV294"/>
      <c r="AW294"/>
      <c r="AX294"/>
      <c r="AY294"/>
      <c r="AZ294"/>
      <c r="BA294"/>
      <c r="BB294"/>
      <c r="BC294"/>
      <c r="BD294"/>
      <c r="BE294"/>
      <c r="BJ294"/>
      <c r="BK294"/>
      <c r="BL294"/>
      <c r="BP294"/>
      <c r="BQ294"/>
      <c r="BR294"/>
      <c r="CD294"/>
      <c r="CE294"/>
      <c r="CF294"/>
      <c r="CQ294"/>
      <c r="CR294"/>
      <c r="CS294"/>
      <c r="DQ294"/>
      <c r="DR294"/>
      <c r="DS294"/>
      <c r="DT294"/>
      <c r="DU294"/>
    </row>
    <row r="295" spans="1:125" hidden="1">
      <c r="A295"/>
      <c r="B295"/>
      <c r="C295"/>
      <c r="D295"/>
      <c r="E295"/>
      <c r="G295"/>
      <c r="K295"/>
      <c r="V295"/>
      <c r="AC295"/>
      <c r="AI295"/>
      <c r="AJ295"/>
      <c r="AK295"/>
      <c r="AL295"/>
      <c r="AM295"/>
      <c r="AP295"/>
      <c r="AQ295"/>
      <c r="AR295"/>
      <c r="AS295" s="180"/>
      <c r="AT295"/>
      <c r="AU295"/>
      <c r="AV295"/>
      <c r="AW295"/>
      <c r="AX295"/>
      <c r="AY295"/>
      <c r="AZ295"/>
      <c r="BA295"/>
      <c r="BB295"/>
      <c r="BC295"/>
      <c r="BD295"/>
      <c r="BE295"/>
      <c r="BJ295"/>
      <c r="BK295"/>
      <c r="BL295"/>
      <c r="BP295"/>
      <c r="BQ295"/>
      <c r="BR295"/>
      <c r="CD295"/>
      <c r="CE295"/>
      <c r="CF295"/>
      <c r="CQ295"/>
      <c r="CR295"/>
      <c r="CS295"/>
      <c r="DQ295"/>
      <c r="DR295"/>
      <c r="DS295"/>
      <c r="DT295"/>
      <c r="DU295"/>
    </row>
    <row r="296" spans="1:125" hidden="1">
      <c r="A296"/>
      <c r="B296"/>
      <c r="C296"/>
      <c r="D296"/>
      <c r="E296"/>
      <c r="G296"/>
      <c r="K296"/>
      <c r="V296"/>
      <c r="AC296"/>
      <c r="AI296"/>
      <c r="AJ296"/>
      <c r="AK296"/>
      <c r="AL296"/>
      <c r="AM296"/>
      <c r="AP296"/>
      <c r="AQ296"/>
      <c r="AR296"/>
      <c r="AS296" s="180"/>
      <c r="AT296"/>
      <c r="AU296"/>
      <c r="AV296"/>
      <c r="AW296"/>
      <c r="AX296"/>
      <c r="AY296"/>
      <c r="AZ296"/>
      <c r="BA296"/>
      <c r="BB296"/>
      <c r="BC296"/>
      <c r="BD296"/>
      <c r="BE296"/>
      <c r="BJ296"/>
      <c r="BK296"/>
      <c r="BL296"/>
      <c r="BP296"/>
      <c r="BQ296"/>
      <c r="BR296"/>
      <c r="CD296"/>
      <c r="CE296"/>
      <c r="CF296"/>
      <c r="CQ296"/>
      <c r="CR296"/>
      <c r="CS296"/>
      <c r="DQ296"/>
      <c r="DR296"/>
      <c r="DS296"/>
      <c r="DT296"/>
      <c r="DU296"/>
    </row>
    <row r="297" spans="1:125" hidden="1">
      <c r="A297"/>
      <c r="B297"/>
      <c r="C297"/>
      <c r="D297"/>
      <c r="E297"/>
      <c r="G297"/>
      <c r="K297"/>
      <c r="V297"/>
      <c r="AC297"/>
      <c r="AI297"/>
      <c r="AJ297"/>
      <c r="AK297"/>
      <c r="AL297"/>
      <c r="AM297"/>
      <c r="AP297"/>
      <c r="AQ297"/>
      <c r="AR297"/>
      <c r="AS297" s="180"/>
      <c r="AT297"/>
      <c r="AU297"/>
      <c r="AV297"/>
      <c r="AW297"/>
      <c r="AX297"/>
      <c r="AY297"/>
      <c r="AZ297"/>
      <c r="BA297"/>
      <c r="BB297"/>
      <c r="BC297"/>
      <c r="BD297"/>
      <c r="BE297"/>
      <c r="BJ297"/>
      <c r="BK297"/>
      <c r="BL297"/>
      <c r="BP297"/>
      <c r="BQ297"/>
      <c r="BR297"/>
      <c r="CD297"/>
      <c r="CE297"/>
      <c r="CF297"/>
      <c r="CQ297"/>
      <c r="CR297"/>
      <c r="CS297"/>
      <c r="DQ297"/>
      <c r="DR297"/>
      <c r="DS297"/>
      <c r="DT297"/>
      <c r="DU297"/>
    </row>
    <row r="298" spans="1:125" hidden="1">
      <c r="A298"/>
      <c r="B298"/>
      <c r="C298"/>
      <c r="D298"/>
      <c r="E298"/>
      <c r="G298"/>
      <c r="K298"/>
      <c r="V298"/>
      <c r="AC298"/>
      <c r="AI298"/>
      <c r="AJ298"/>
      <c r="AK298"/>
      <c r="AL298"/>
      <c r="AM298"/>
      <c r="AP298"/>
      <c r="AQ298"/>
      <c r="AR298"/>
      <c r="AS298" s="180"/>
      <c r="AT298"/>
      <c r="AU298"/>
      <c r="AV298"/>
      <c r="AW298"/>
      <c r="AX298"/>
      <c r="AY298"/>
      <c r="AZ298"/>
      <c r="BA298"/>
      <c r="BB298"/>
      <c r="BC298"/>
      <c r="BD298"/>
      <c r="BE298"/>
      <c r="BJ298"/>
      <c r="BK298"/>
      <c r="BL298"/>
      <c r="BP298"/>
      <c r="BQ298"/>
      <c r="BR298"/>
      <c r="CD298"/>
      <c r="CE298"/>
      <c r="CF298"/>
      <c r="CQ298"/>
      <c r="CR298"/>
      <c r="CS298"/>
      <c r="DQ298"/>
      <c r="DR298"/>
      <c r="DS298"/>
      <c r="DT298"/>
      <c r="DU298"/>
    </row>
    <row r="299" spans="1:125" hidden="1">
      <c r="A299"/>
      <c r="B299"/>
      <c r="C299"/>
      <c r="D299"/>
      <c r="E299"/>
      <c r="G299"/>
      <c r="K299"/>
      <c r="V299"/>
      <c r="AC299"/>
      <c r="AI299"/>
      <c r="AJ299"/>
      <c r="AK299"/>
      <c r="AL299"/>
      <c r="AM299"/>
      <c r="AP299"/>
      <c r="AQ299"/>
      <c r="AR299"/>
      <c r="AS299" s="180"/>
      <c r="AT299"/>
      <c r="AU299"/>
      <c r="AV299"/>
      <c r="AW299"/>
      <c r="AX299"/>
      <c r="AY299"/>
      <c r="AZ299"/>
      <c r="BA299"/>
      <c r="BB299"/>
      <c r="BC299"/>
      <c r="BD299"/>
      <c r="BE299"/>
      <c r="BJ299"/>
      <c r="BK299"/>
      <c r="BL299"/>
      <c r="BP299"/>
      <c r="BQ299"/>
      <c r="BR299"/>
      <c r="CD299"/>
      <c r="CE299"/>
      <c r="CF299"/>
      <c r="CQ299"/>
      <c r="CR299"/>
      <c r="CS299"/>
      <c r="DQ299"/>
      <c r="DR299"/>
      <c r="DS299"/>
      <c r="DT299"/>
      <c r="DU299"/>
    </row>
    <row r="300" spans="1:125" hidden="1">
      <c r="A300"/>
      <c r="B300"/>
      <c r="C300"/>
      <c r="D300"/>
      <c r="E300"/>
      <c r="G300"/>
      <c r="K300"/>
      <c r="V300"/>
      <c r="AC300"/>
      <c r="AI300"/>
      <c r="AJ300"/>
      <c r="AK300"/>
      <c r="AL300"/>
      <c r="AM300"/>
      <c r="AP300"/>
      <c r="AQ300"/>
      <c r="AR300"/>
      <c r="AS300" s="180"/>
      <c r="AT300"/>
      <c r="AU300"/>
      <c r="AV300"/>
      <c r="AW300"/>
      <c r="AX300"/>
      <c r="AY300"/>
      <c r="AZ300"/>
      <c r="BA300"/>
      <c r="BB300"/>
      <c r="BC300"/>
      <c r="BD300"/>
      <c r="BE300"/>
      <c r="BJ300"/>
      <c r="BK300"/>
      <c r="BL300"/>
      <c r="BP300"/>
      <c r="BQ300"/>
      <c r="BR300"/>
      <c r="CD300"/>
      <c r="CE300"/>
      <c r="CF300"/>
      <c r="CQ300"/>
      <c r="CR300"/>
      <c r="CS300"/>
      <c r="DQ300"/>
      <c r="DR300"/>
      <c r="DS300"/>
      <c r="DT300"/>
      <c r="DU300"/>
    </row>
    <row r="301" spans="1:125" hidden="1">
      <c r="A301"/>
      <c r="B301"/>
      <c r="C301"/>
      <c r="D301"/>
      <c r="E301"/>
      <c r="G301"/>
      <c r="K301"/>
      <c r="V301"/>
      <c r="AC301"/>
      <c r="AI301"/>
      <c r="AJ301"/>
      <c r="AK301"/>
      <c r="AL301"/>
      <c r="AM301"/>
      <c r="AP301"/>
      <c r="AQ301"/>
      <c r="AR301"/>
      <c r="AS301" s="180"/>
      <c r="AT301"/>
      <c r="AU301"/>
      <c r="AV301"/>
      <c r="AW301"/>
      <c r="AX301"/>
      <c r="AY301"/>
      <c r="AZ301"/>
      <c r="BA301"/>
      <c r="BB301"/>
      <c r="BC301"/>
      <c r="BD301"/>
      <c r="BE301"/>
      <c r="BJ301"/>
      <c r="BK301"/>
      <c r="BL301"/>
      <c r="BP301"/>
      <c r="BQ301"/>
      <c r="BR301"/>
      <c r="CD301"/>
      <c r="CE301"/>
      <c r="CF301"/>
      <c r="CQ301"/>
      <c r="CR301"/>
      <c r="CS301"/>
      <c r="DQ301"/>
      <c r="DR301"/>
      <c r="DS301"/>
      <c r="DT301"/>
      <c r="DU301"/>
    </row>
    <row r="302" spans="1:125" hidden="1">
      <c r="A302"/>
      <c r="B302"/>
      <c r="C302"/>
      <c r="D302"/>
      <c r="E302"/>
      <c r="G302"/>
      <c r="K302"/>
      <c r="V302"/>
      <c r="AC302"/>
      <c r="AI302"/>
      <c r="AJ302"/>
      <c r="AK302"/>
      <c r="AL302"/>
      <c r="AM302"/>
      <c r="AP302"/>
      <c r="AQ302"/>
      <c r="AR302"/>
      <c r="AS302" s="180"/>
      <c r="AT302"/>
      <c r="AU302"/>
      <c r="AV302"/>
      <c r="AW302"/>
      <c r="AX302"/>
      <c r="AY302"/>
      <c r="AZ302"/>
      <c r="BA302"/>
      <c r="BB302"/>
      <c r="BC302"/>
      <c r="BD302"/>
      <c r="BE302"/>
      <c r="BJ302"/>
      <c r="BK302"/>
      <c r="BL302"/>
      <c r="BP302"/>
      <c r="BQ302"/>
      <c r="BR302"/>
      <c r="CD302"/>
      <c r="CE302"/>
      <c r="CF302"/>
      <c r="CQ302"/>
      <c r="CR302"/>
      <c r="CS302"/>
      <c r="DQ302"/>
      <c r="DR302"/>
      <c r="DS302"/>
      <c r="DT302"/>
      <c r="DU302"/>
    </row>
    <row r="303" spans="1:125" hidden="1">
      <c r="A303"/>
      <c r="B303"/>
      <c r="C303"/>
      <c r="D303"/>
      <c r="E303"/>
      <c r="G303"/>
      <c r="K303"/>
      <c r="V303"/>
      <c r="AC303"/>
      <c r="AI303"/>
      <c r="AJ303"/>
      <c r="AK303"/>
      <c r="AL303"/>
      <c r="AM303"/>
      <c r="AP303"/>
      <c r="AQ303"/>
      <c r="AR303"/>
      <c r="AS303" s="180"/>
      <c r="AT303"/>
      <c r="AU303"/>
      <c r="AV303"/>
      <c r="AW303"/>
      <c r="AX303"/>
      <c r="AY303"/>
      <c r="AZ303"/>
      <c r="BA303"/>
      <c r="BB303"/>
      <c r="BC303"/>
      <c r="BD303"/>
      <c r="BE303"/>
      <c r="BJ303"/>
      <c r="BK303"/>
      <c r="BL303"/>
      <c r="BP303"/>
      <c r="BQ303"/>
      <c r="BR303"/>
      <c r="CD303"/>
      <c r="CE303"/>
      <c r="CF303"/>
      <c r="CQ303"/>
      <c r="CR303"/>
      <c r="CS303"/>
      <c r="DQ303"/>
      <c r="DR303"/>
      <c r="DS303"/>
      <c r="DT303"/>
      <c r="DU303"/>
    </row>
    <row r="304" spans="1:125" hidden="1">
      <c r="A304"/>
      <c r="B304"/>
      <c r="C304"/>
      <c r="D304"/>
      <c r="E304"/>
      <c r="G304"/>
      <c r="K304"/>
      <c r="V304"/>
      <c r="AC304"/>
      <c r="AI304"/>
      <c r="AJ304"/>
      <c r="AK304"/>
      <c r="AL304"/>
      <c r="AM304"/>
      <c r="AP304"/>
      <c r="AQ304"/>
      <c r="AR304"/>
      <c r="AS304" s="180"/>
      <c r="AT304"/>
      <c r="AU304"/>
      <c r="AV304"/>
      <c r="AW304"/>
      <c r="AX304"/>
      <c r="AY304"/>
      <c r="AZ304"/>
      <c r="BA304"/>
      <c r="BB304"/>
      <c r="BC304"/>
      <c r="BD304"/>
      <c r="BE304"/>
      <c r="BJ304"/>
      <c r="BK304"/>
      <c r="BL304"/>
      <c r="BP304"/>
      <c r="BQ304"/>
      <c r="BR304"/>
      <c r="CD304"/>
      <c r="CE304"/>
      <c r="CF304"/>
      <c r="CQ304"/>
      <c r="CR304"/>
      <c r="CS304"/>
      <c r="DQ304"/>
      <c r="DR304"/>
      <c r="DS304"/>
      <c r="DT304"/>
      <c r="DU304"/>
    </row>
    <row r="305" spans="1:125" hidden="1">
      <c r="A305"/>
      <c r="B305"/>
      <c r="C305"/>
      <c r="D305"/>
      <c r="E305"/>
      <c r="G305"/>
      <c r="K305"/>
      <c r="V305"/>
      <c r="AC305"/>
      <c r="AI305"/>
      <c r="AJ305"/>
      <c r="AK305"/>
      <c r="AL305"/>
      <c r="AM305"/>
      <c r="AP305"/>
      <c r="AQ305"/>
      <c r="AR305"/>
      <c r="AS305" s="180"/>
      <c r="AT305"/>
      <c r="AU305"/>
      <c r="AV305"/>
      <c r="AW305"/>
      <c r="AX305"/>
      <c r="AY305"/>
      <c r="AZ305"/>
      <c r="BA305"/>
      <c r="BB305"/>
      <c r="BC305"/>
      <c r="BD305"/>
      <c r="BE305"/>
      <c r="BJ305"/>
      <c r="BK305"/>
      <c r="BL305"/>
      <c r="BP305"/>
      <c r="BQ305"/>
      <c r="BR305"/>
      <c r="CD305"/>
      <c r="CE305"/>
      <c r="CF305"/>
      <c r="CQ305"/>
      <c r="CR305"/>
      <c r="CS305"/>
      <c r="DQ305"/>
      <c r="DR305"/>
      <c r="DS305"/>
      <c r="DT305"/>
      <c r="DU305"/>
    </row>
    <row r="306" spans="1:125" hidden="1">
      <c r="A306"/>
      <c r="B306"/>
      <c r="C306"/>
      <c r="D306"/>
      <c r="E306"/>
      <c r="G306"/>
      <c r="K306"/>
      <c r="V306"/>
      <c r="AC306"/>
      <c r="AI306"/>
      <c r="AJ306"/>
      <c r="AK306"/>
      <c r="AL306"/>
      <c r="AM306"/>
      <c r="AP306"/>
      <c r="AQ306"/>
      <c r="AR306"/>
      <c r="AS306" s="180"/>
      <c r="AT306"/>
      <c r="AU306"/>
      <c r="AV306"/>
      <c r="AW306"/>
      <c r="AX306"/>
      <c r="AY306"/>
      <c r="AZ306"/>
      <c r="BA306"/>
      <c r="BB306"/>
      <c r="BC306"/>
      <c r="BD306"/>
      <c r="BE306"/>
      <c r="BJ306"/>
      <c r="BK306"/>
      <c r="BL306"/>
      <c r="BP306"/>
      <c r="BQ306"/>
      <c r="BR306"/>
      <c r="CD306"/>
      <c r="CE306"/>
      <c r="CF306"/>
      <c r="CQ306"/>
      <c r="CR306"/>
      <c r="CS306"/>
      <c r="DQ306"/>
      <c r="DR306"/>
      <c r="DS306"/>
      <c r="DT306"/>
      <c r="DU306"/>
    </row>
    <row r="307" spans="1:125" hidden="1">
      <c r="A307"/>
      <c r="B307"/>
      <c r="C307"/>
      <c r="D307"/>
      <c r="E307"/>
      <c r="G307"/>
      <c r="K307"/>
      <c r="V307"/>
      <c r="AC307"/>
      <c r="AI307"/>
      <c r="AJ307"/>
      <c r="AK307"/>
      <c r="AL307"/>
      <c r="AM307"/>
      <c r="AP307"/>
      <c r="AQ307"/>
      <c r="AR307"/>
      <c r="AS307" s="180"/>
      <c r="AT307"/>
      <c r="AU307"/>
      <c r="AV307"/>
      <c r="AW307"/>
      <c r="AX307"/>
      <c r="AY307"/>
      <c r="AZ307"/>
      <c r="BA307"/>
      <c r="BB307"/>
      <c r="BC307"/>
      <c r="BD307"/>
      <c r="BE307"/>
      <c r="BJ307"/>
      <c r="BK307"/>
      <c r="BL307"/>
      <c r="BP307"/>
      <c r="BQ307"/>
      <c r="BR307"/>
      <c r="CD307"/>
      <c r="CE307"/>
      <c r="CF307"/>
      <c r="CQ307"/>
      <c r="CR307"/>
      <c r="CS307"/>
      <c r="DQ307"/>
      <c r="DR307"/>
      <c r="DS307"/>
      <c r="DT307"/>
      <c r="DU307"/>
    </row>
    <row r="308" spans="1:125" hidden="1">
      <c r="A308"/>
      <c r="B308"/>
      <c r="C308"/>
      <c r="D308"/>
      <c r="E308"/>
      <c r="G308"/>
      <c r="K308"/>
      <c r="V308"/>
      <c r="AC308"/>
      <c r="AI308"/>
      <c r="AJ308"/>
      <c r="AK308"/>
      <c r="AL308"/>
      <c r="AM308"/>
      <c r="AP308"/>
      <c r="AQ308"/>
      <c r="AR308"/>
      <c r="AS308" s="180"/>
      <c r="AT308"/>
      <c r="AU308"/>
      <c r="AV308"/>
      <c r="AW308"/>
      <c r="AX308"/>
      <c r="AY308"/>
      <c r="AZ308"/>
      <c r="BA308"/>
      <c r="BB308"/>
      <c r="BC308"/>
      <c r="BD308"/>
      <c r="BE308"/>
      <c r="BJ308"/>
      <c r="BK308"/>
      <c r="BL308"/>
      <c r="BP308"/>
      <c r="BQ308"/>
      <c r="BR308"/>
      <c r="CD308"/>
      <c r="CE308"/>
      <c r="CF308"/>
      <c r="CQ308"/>
      <c r="CR308"/>
      <c r="CS308"/>
      <c r="DQ308"/>
      <c r="DR308"/>
      <c r="DS308"/>
      <c r="DT308"/>
      <c r="DU308"/>
    </row>
    <row r="309" spans="1:125" hidden="1">
      <c r="A309"/>
      <c r="B309"/>
      <c r="C309"/>
      <c r="D309"/>
      <c r="E309"/>
      <c r="G309"/>
      <c r="K309"/>
      <c r="V309"/>
      <c r="AC309"/>
      <c r="AI309"/>
      <c r="AJ309"/>
      <c r="AK309"/>
      <c r="AL309"/>
      <c r="AM309"/>
      <c r="AP309"/>
      <c r="AQ309"/>
      <c r="AR309"/>
      <c r="AS309" s="180"/>
      <c r="AT309"/>
      <c r="AU309"/>
      <c r="AV309"/>
      <c r="AW309"/>
      <c r="AX309"/>
      <c r="AY309"/>
      <c r="AZ309"/>
      <c r="BA309"/>
      <c r="BB309"/>
      <c r="BC309"/>
      <c r="BD309"/>
      <c r="BE309"/>
      <c r="BJ309"/>
      <c r="BK309"/>
      <c r="BL309"/>
      <c r="BP309"/>
      <c r="BQ309"/>
      <c r="BR309"/>
      <c r="CD309"/>
      <c r="CE309"/>
      <c r="CF309"/>
      <c r="CQ309"/>
      <c r="CR309"/>
      <c r="CS309"/>
      <c r="DQ309"/>
      <c r="DR309"/>
      <c r="DS309"/>
      <c r="DT309"/>
      <c r="DU309"/>
    </row>
    <row r="310" spans="1:125" hidden="1">
      <c r="A310"/>
      <c r="B310"/>
      <c r="C310"/>
      <c r="D310"/>
      <c r="E310"/>
      <c r="G310"/>
      <c r="K310"/>
      <c r="V310"/>
      <c r="AC310"/>
      <c r="AI310"/>
      <c r="AJ310"/>
      <c r="AK310"/>
      <c r="AL310"/>
      <c r="AM310"/>
      <c r="AP310"/>
      <c r="AQ310"/>
      <c r="AR310"/>
      <c r="AS310" s="180"/>
      <c r="AT310"/>
      <c r="AU310"/>
      <c r="AV310"/>
      <c r="AW310"/>
      <c r="AX310"/>
      <c r="AY310"/>
      <c r="AZ310"/>
      <c r="BA310"/>
      <c r="BB310"/>
      <c r="BC310"/>
      <c r="BD310"/>
      <c r="BE310"/>
      <c r="BJ310"/>
      <c r="BK310"/>
      <c r="BL310"/>
      <c r="BP310"/>
      <c r="BQ310"/>
      <c r="BR310"/>
      <c r="CD310"/>
      <c r="CE310"/>
      <c r="CF310"/>
      <c r="CQ310"/>
      <c r="CR310"/>
      <c r="CS310"/>
      <c r="DQ310"/>
      <c r="DR310"/>
      <c r="DS310"/>
      <c r="DT310"/>
      <c r="DU310"/>
    </row>
    <row r="311" spans="1:125" hidden="1">
      <c r="A311"/>
      <c r="B311"/>
      <c r="C311"/>
      <c r="D311"/>
      <c r="E311"/>
      <c r="G311"/>
      <c r="K311"/>
      <c r="V311"/>
      <c r="AC311"/>
      <c r="AI311"/>
      <c r="AJ311"/>
      <c r="AK311"/>
      <c r="AL311"/>
      <c r="AM311"/>
      <c r="AP311"/>
      <c r="AQ311"/>
      <c r="AR311"/>
      <c r="AS311" s="180"/>
      <c r="AT311"/>
      <c r="AU311"/>
      <c r="AV311"/>
      <c r="AW311"/>
      <c r="AX311"/>
      <c r="AY311"/>
      <c r="AZ311"/>
      <c r="BA311"/>
      <c r="BB311"/>
      <c r="BC311"/>
      <c r="BD311"/>
      <c r="BE311"/>
      <c r="BJ311"/>
      <c r="BK311"/>
      <c r="BL311"/>
      <c r="BP311"/>
      <c r="BQ311"/>
      <c r="BR311"/>
      <c r="CD311"/>
      <c r="CE311"/>
      <c r="CF311"/>
      <c r="CQ311"/>
      <c r="CR311"/>
      <c r="CS311"/>
      <c r="DQ311"/>
      <c r="DR311"/>
      <c r="DS311"/>
      <c r="DT311"/>
      <c r="DU311"/>
    </row>
    <row r="312" spans="1:125" hidden="1">
      <c r="A312"/>
      <c r="B312"/>
      <c r="C312"/>
      <c r="D312"/>
      <c r="E312"/>
      <c r="G312"/>
      <c r="K312"/>
      <c r="V312"/>
      <c r="AC312"/>
      <c r="AI312"/>
      <c r="AJ312"/>
      <c r="AK312"/>
      <c r="AL312"/>
      <c r="AM312"/>
      <c r="AP312"/>
      <c r="AQ312"/>
      <c r="AR312"/>
      <c r="AS312" s="180"/>
      <c r="AT312"/>
      <c r="AU312"/>
      <c r="AV312"/>
      <c r="AW312"/>
      <c r="AX312"/>
      <c r="AY312"/>
      <c r="AZ312"/>
      <c r="BA312"/>
      <c r="BB312"/>
      <c r="BC312"/>
      <c r="BD312"/>
      <c r="BE312"/>
      <c r="BJ312"/>
      <c r="BK312"/>
      <c r="BL312"/>
      <c r="BP312"/>
      <c r="BQ312"/>
      <c r="BR312"/>
      <c r="CD312"/>
      <c r="CE312"/>
      <c r="CF312"/>
      <c r="CQ312"/>
      <c r="CR312"/>
      <c r="CS312"/>
      <c r="DQ312"/>
      <c r="DR312"/>
      <c r="DS312"/>
      <c r="DT312"/>
      <c r="DU312"/>
    </row>
    <row r="313" spans="1:125" hidden="1">
      <c r="A313"/>
      <c r="B313"/>
      <c r="C313"/>
      <c r="D313"/>
      <c r="E313"/>
      <c r="G313"/>
      <c r="K313"/>
      <c r="V313"/>
      <c r="AC313"/>
      <c r="AI313"/>
      <c r="AJ313"/>
      <c r="AK313"/>
      <c r="AL313"/>
      <c r="AM313"/>
      <c r="AP313"/>
      <c r="AQ313"/>
      <c r="AR313"/>
      <c r="AS313" s="180"/>
      <c r="AT313"/>
      <c r="AU313"/>
      <c r="AV313"/>
      <c r="AW313"/>
      <c r="AX313"/>
      <c r="AY313"/>
      <c r="AZ313"/>
      <c r="BA313"/>
      <c r="BB313"/>
      <c r="BC313"/>
      <c r="BD313"/>
      <c r="BE313"/>
      <c r="BJ313"/>
      <c r="BK313"/>
      <c r="BL313"/>
      <c r="BP313"/>
      <c r="BQ313"/>
      <c r="BR313"/>
      <c r="CD313"/>
      <c r="CE313"/>
      <c r="CF313"/>
      <c r="CQ313"/>
      <c r="CR313"/>
      <c r="CS313"/>
      <c r="DQ313"/>
      <c r="DR313"/>
      <c r="DS313"/>
      <c r="DT313"/>
      <c r="DU313"/>
    </row>
    <row r="314" spans="1:125" hidden="1">
      <c r="A314"/>
      <c r="B314"/>
      <c r="C314"/>
      <c r="D314"/>
      <c r="E314"/>
      <c r="G314"/>
      <c r="K314"/>
      <c r="V314"/>
      <c r="AC314"/>
      <c r="AI314"/>
      <c r="AJ314"/>
      <c r="AK314"/>
      <c r="AL314"/>
      <c r="AM314"/>
      <c r="AP314"/>
      <c r="AQ314"/>
      <c r="AR314"/>
      <c r="AS314" s="180"/>
      <c r="AT314"/>
      <c r="AU314"/>
      <c r="AV314"/>
      <c r="AW314"/>
      <c r="AX314"/>
      <c r="AY314"/>
      <c r="AZ314"/>
      <c r="BA314"/>
      <c r="BB314"/>
      <c r="BC314"/>
      <c r="BD314"/>
      <c r="BE314"/>
      <c r="BJ314"/>
      <c r="BK314"/>
      <c r="BL314"/>
      <c r="BP314"/>
      <c r="BQ314"/>
      <c r="BR314"/>
      <c r="CD314"/>
      <c r="CE314"/>
      <c r="CF314"/>
      <c r="CQ314"/>
      <c r="CR314"/>
      <c r="CS314"/>
      <c r="DQ314"/>
      <c r="DR314"/>
      <c r="DS314"/>
      <c r="DT314"/>
      <c r="DU314"/>
    </row>
    <row r="315" spans="1:125" hidden="1">
      <c r="A315"/>
      <c r="B315"/>
      <c r="C315"/>
      <c r="D315"/>
      <c r="E315"/>
      <c r="G315"/>
      <c r="K315"/>
      <c r="V315"/>
      <c r="AC315"/>
      <c r="AI315"/>
      <c r="AJ315"/>
      <c r="AK315"/>
      <c r="AL315"/>
      <c r="AM315"/>
      <c r="AP315"/>
      <c r="AQ315"/>
      <c r="AR315"/>
      <c r="AS315" s="180"/>
      <c r="AT315"/>
      <c r="AU315"/>
      <c r="AV315"/>
      <c r="AW315"/>
      <c r="AX315"/>
      <c r="AY315"/>
      <c r="AZ315"/>
      <c r="BA315"/>
      <c r="BB315"/>
      <c r="BC315"/>
      <c r="BD315"/>
      <c r="BE315"/>
      <c r="BJ315"/>
      <c r="BK315"/>
      <c r="BL315"/>
      <c r="BP315"/>
      <c r="BQ315"/>
      <c r="BR315"/>
      <c r="CD315"/>
      <c r="CE315"/>
      <c r="CF315"/>
      <c r="CQ315"/>
      <c r="CR315"/>
      <c r="CS315"/>
      <c r="DQ315"/>
      <c r="DR315"/>
      <c r="DS315"/>
      <c r="DT315"/>
      <c r="DU315"/>
    </row>
    <row r="316" spans="1:125" hidden="1">
      <c r="A316"/>
      <c r="B316"/>
      <c r="C316"/>
      <c r="D316"/>
      <c r="E316"/>
      <c r="G316"/>
      <c r="K316"/>
      <c r="V316"/>
      <c r="AC316"/>
      <c r="AI316"/>
      <c r="AJ316"/>
      <c r="AK316"/>
      <c r="AL316"/>
      <c r="AM316"/>
      <c r="AP316"/>
      <c r="AQ316"/>
      <c r="AR316"/>
      <c r="AS316" s="180"/>
      <c r="AT316"/>
      <c r="AU316"/>
      <c r="AV316"/>
      <c r="AW316"/>
      <c r="AX316"/>
      <c r="AY316"/>
      <c r="AZ316"/>
      <c r="BA316"/>
      <c r="BB316"/>
      <c r="BC316"/>
      <c r="BD316"/>
      <c r="BE316"/>
      <c r="BJ316"/>
      <c r="BK316"/>
      <c r="BL316"/>
      <c r="BP316"/>
      <c r="BQ316"/>
      <c r="BR316"/>
      <c r="CD316"/>
      <c r="CE316"/>
      <c r="CF316"/>
      <c r="CQ316"/>
      <c r="CR316"/>
      <c r="CS316"/>
      <c r="DQ316"/>
      <c r="DR316"/>
      <c r="DS316"/>
      <c r="DT316"/>
      <c r="DU316"/>
    </row>
    <row r="317" spans="1:125" hidden="1">
      <c r="A317"/>
      <c r="B317"/>
      <c r="C317"/>
      <c r="D317"/>
      <c r="E317"/>
      <c r="G317"/>
      <c r="K317"/>
      <c r="V317"/>
      <c r="AC317"/>
      <c r="AI317"/>
      <c r="AJ317"/>
      <c r="AK317"/>
      <c r="AL317"/>
      <c r="AM317"/>
      <c r="AP317"/>
      <c r="AQ317"/>
      <c r="AR317"/>
      <c r="AS317" s="180"/>
      <c r="AT317"/>
      <c r="AU317"/>
      <c r="AV317"/>
      <c r="AW317"/>
      <c r="AX317"/>
      <c r="AY317"/>
      <c r="AZ317"/>
      <c r="BA317"/>
      <c r="BB317"/>
      <c r="BC317"/>
      <c r="BD317"/>
      <c r="BE317"/>
      <c r="BJ317"/>
      <c r="BK317"/>
      <c r="BL317"/>
      <c r="BP317"/>
      <c r="BQ317"/>
      <c r="BR317"/>
      <c r="CD317"/>
      <c r="CE317"/>
      <c r="CF317"/>
      <c r="CQ317"/>
      <c r="CR317"/>
      <c r="CS317"/>
      <c r="DQ317"/>
      <c r="DR317"/>
      <c r="DS317"/>
      <c r="DT317"/>
      <c r="DU317"/>
    </row>
    <row r="318" spans="1:125" hidden="1">
      <c r="A318"/>
      <c r="B318"/>
      <c r="C318"/>
      <c r="D318"/>
      <c r="E318"/>
      <c r="G318"/>
      <c r="K318"/>
      <c r="V318"/>
      <c r="AC318"/>
      <c r="AI318"/>
      <c r="AJ318"/>
      <c r="AK318"/>
      <c r="AL318"/>
      <c r="AM318"/>
      <c r="AP318"/>
      <c r="AQ318"/>
      <c r="AR318"/>
      <c r="AS318" s="180"/>
      <c r="AT318"/>
      <c r="AU318"/>
      <c r="AV318"/>
      <c r="AW318"/>
      <c r="AX318"/>
      <c r="AY318"/>
      <c r="AZ318"/>
      <c r="BA318"/>
      <c r="BB318"/>
      <c r="BC318"/>
      <c r="BD318"/>
      <c r="BE318"/>
      <c r="BJ318"/>
      <c r="BK318"/>
      <c r="BL318"/>
      <c r="BP318"/>
      <c r="BQ318"/>
      <c r="BR318"/>
      <c r="CD318"/>
      <c r="CE318"/>
      <c r="CF318"/>
      <c r="CQ318"/>
      <c r="CR318"/>
      <c r="CS318"/>
      <c r="DQ318"/>
      <c r="DR318"/>
      <c r="DS318"/>
      <c r="DT318"/>
      <c r="DU318"/>
    </row>
    <row r="319" spans="1:125" hidden="1">
      <c r="A319"/>
      <c r="B319"/>
      <c r="C319"/>
      <c r="D319"/>
      <c r="E319"/>
      <c r="G319"/>
      <c r="K319"/>
      <c r="V319"/>
      <c r="AC319"/>
      <c r="AI319"/>
      <c r="AJ319"/>
      <c r="AK319"/>
      <c r="AL319"/>
      <c r="AM319"/>
      <c r="AP319"/>
      <c r="AQ319"/>
      <c r="AR319"/>
      <c r="AS319" s="180"/>
      <c r="AT319"/>
      <c r="AU319"/>
      <c r="AV319"/>
      <c r="AW319"/>
      <c r="AX319"/>
      <c r="AY319"/>
      <c r="AZ319"/>
      <c r="BA319"/>
      <c r="BB319"/>
      <c r="BC319"/>
      <c r="BD319"/>
      <c r="BE319"/>
      <c r="BJ319"/>
      <c r="BK319"/>
      <c r="BL319"/>
      <c r="BP319"/>
      <c r="BQ319"/>
      <c r="BR319"/>
      <c r="CD319"/>
      <c r="CE319"/>
      <c r="CF319"/>
      <c r="CQ319"/>
      <c r="CR319"/>
      <c r="CS319"/>
      <c r="DQ319"/>
      <c r="DR319"/>
      <c r="DS319"/>
      <c r="DT319"/>
      <c r="DU319"/>
    </row>
    <row r="320" spans="1:125" hidden="1">
      <c r="A320"/>
      <c r="B320"/>
      <c r="C320"/>
      <c r="D320"/>
      <c r="E320"/>
      <c r="G320"/>
      <c r="K320"/>
      <c r="V320"/>
      <c r="AC320"/>
      <c r="AI320"/>
      <c r="AJ320"/>
      <c r="AK320"/>
      <c r="AL320"/>
      <c r="AM320"/>
      <c r="AP320"/>
      <c r="AQ320"/>
      <c r="AR320"/>
      <c r="AS320" s="180"/>
      <c r="AT320"/>
      <c r="AU320"/>
      <c r="AV320"/>
      <c r="AW320"/>
      <c r="AX320"/>
      <c r="AY320"/>
      <c r="AZ320"/>
      <c r="BA320"/>
      <c r="BB320"/>
      <c r="BC320"/>
      <c r="BD320"/>
      <c r="BE320"/>
      <c r="BJ320"/>
      <c r="BK320"/>
      <c r="BL320"/>
      <c r="BP320"/>
      <c r="BQ320"/>
      <c r="BR320"/>
      <c r="CD320"/>
      <c r="CE320"/>
      <c r="CF320"/>
      <c r="CQ320"/>
      <c r="CR320"/>
      <c r="CS320"/>
      <c r="DQ320"/>
      <c r="DR320"/>
      <c r="DS320"/>
      <c r="DT320"/>
      <c r="DU320"/>
    </row>
    <row r="321" spans="1:125" hidden="1">
      <c r="A321"/>
      <c r="B321"/>
      <c r="C321"/>
      <c r="D321"/>
      <c r="E321"/>
      <c r="G321"/>
      <c r="K321"/>
      <c r="V321"/>
      <c r="AC321"/>
      <c r="AI321"/>
      <c r="AJ321"/>
      <c r="AK321"/>
      <c r="AL321"/>
      <c r="AM321"/>
      <c r="AP321"/>
      <c r="AQ321"/>
      <c r="AR321"/>
      <c r="AS321" s="180"/>
      <c r="AT321"/>
      <c r="AU321"/>
      <c r="AV321"/>
      <c r="AW321"/>
      <c r="AX321"/>
      <c r="AY321"/>
      <c r="AZ321"/>
      <c r="BA321"/>
      <c r="BB321"/>
      <c r="BC321"/>
      <c r="BD321"/>
      <c r="BE321"/>
      <c r="BJ321"/>
      <c r="BK321"/>
      <c r="BL321"/>
      <c r="BP321"/>
      <c r="BQ321"/>
      <c r="BR321"/>
      <c r="CD321"/>
      <c r="CE321"/>
      <c r="CF321"/>
      <c r="CQ321"/>
      <c r="CR321"/>
      <c r="CS321"/>
      <c r="DQ321"/>
      <c r="DR321"/>
      <c r="DS321"/>
      <c r="DT321"/>
      <c r="DU321"/>
    </row>
    <row r="322" spans="1:125" hidden="1">
      <c r="A322"/>
      <c r="B322"/>
      <c r="C322"/>
      <c r="D322"/>
      <c r="E322"/>
      <c r="G322"/>
      <c r="K322"/>
      <c r="V322"/>
      <c r="AC322"/>
      <c r="AI322"/>
      <c r="AJ322"/>
      <c r="AK322"/>
      <c r="AL322"/>
      <c r="AM322"/>
      <c r="AP322"/>
      <c r="AQ322"/>
      <c r="AR322"/>
      <c r="AS322" s="180"/>
      <c r="AT322"/>
      <c r="AU322"/>
      <c r="AV322"/>
      <c r="AW322"/>
      <c r="AX322"/>
      <c r="AY322"/>
      <c r="AZ322"/>
      <c r="BA322"/>
      <c r="BB322"/>
      <c r="BC322"/>
      <c r="BD322"/>
      <c r="BE322"/>
      <c r="BJ322"/>
      <c r="BK322"/>
      <c r="BL322"/>
      <c r="BP322"/>
      <c r="BQ322"/>
      <c r="BR322"/>
      <c r="CD322"/>
      <c r="CE322"/>
      <c r="CF322"/>
      <c r="CQ322"/>
      <c r="CR322"/>
      <c r="CS322"/>
      <c r="DQ322"/>
      <c r="DR322"/>
      <c r="DS322"/>
      <c r="DT322"/>
      <c r="DU322"/>
    </row>
    <row r="323" spans="1:125" hidden="1">
      <c r="A323"/>
      <c r="B323"/>
      <c r="C323"/>
      <c r="D323"/>
      <c r="E323"/>
      <c r="G323"/>
      <c r="K323"/>
      <c r="V323"/>
      <c r="AC323"/>
      <c r="AI323"/>
      <c r="AJ323"/>
      <c r="AK323"/>
      <c r="AL323"/>
      <c r="AM323"/>
      <c r="AP323"/>
      <c r="AQ323"/>
      <c r="AR323"/>
      <c r="AS323" s="180"/>
      <c r="AT323"/>
      <c r="AU323"/>
      <c r="AV323"/>
      <c r="AW323"/>
      <c r="AX323"/>
      <c r="AY323"/>
      <c r="AZ323"/>
      <c r="BA323"/>
      <c r="BB323"/>
      <c r="BC323"/>
      <c r="BD323"/>
      <c r="BE323"/>
      <c r="BJ323"/>
      <c r="BK323"/>
      <c r="BL323"/>
      <c r="BP323"/>
      <c r="BQ323"/>
      <c r="BR323"/>
      <c r="CD323"/>
      <c r="CE323"/>
      <c r="CF323"/>
      <c r="CQ323"/>
      <c r="CR323"/>
      <c r="CS323"/>
      <c r="DQ323"/>
      <c r="DR323"/>
      <c r="DS323"/>
      <c r="DT323"/>
      <c r="DU323"/>
    </row>
    <row r="324" spans="1:125" hidden="1">
      <c r="A324"/>
      <c r="B324"/>
      <c r="C324"/>
      <c r="D324"/>
      <c r="E324"/>
      <c r="G324"/>
      <c r="K324"/>
      <c r="V324"/>
      <c r="AC324"/>
      <c r="AI324"/>
      <c r="AJ324"/>
      <c r="AK324"/>
      <c r="AL324"/>
      <c r="AM324"/>
      <c r="AP324"/>
      <c r="AQ324"/>
      <c r="AR324"/>
      <c r="AS324" s="180"/>
      <c r="AT324"/>
      <c r="AU324"/>
      <c r="AV324"/>
      <c r="AW324"/>
      <c r="AX324"/>
      <c r="AY324"/>
      <c r="AZ324"/>
      <c r="BA324"/>
      <c r="BB324"/>
      <c r="BC324"/>
      <c r="BD324"/>
      <c r="BE324"/>
      <c r="BJ324"/>
      <c r="BK324"/>
      <c r="BL324"/>
      <c r="BP324"/>
      <c r="BQ324"/>
      <c r="BR324"/>
      <c r="CD324"/>
      <c r="CE324"/>
      <c r="CF324"/>
      <c r="CQ324"/>
      <c r="CR324"/>
      <c r="CS324"/>
      <c r="DQ324"/>
      <c r="DR324"/>
      <c r="DS324"/>
      <c r="DT324"/>
      <c r="DU324"/>
    </row>
    <row r="325" spans="1:125" hidden="1">
      <c r="A325"/>
      <c r="B325"/>
      <c r="C325"/>
      <c r="D325"/>
      <c r="E325"/>
      <c r="G325"/>
      <c r="K325"/>
      <c r="V325"/>
      <c r="AC325"/>
      <c r="AI325"/>
      <c r="AJ325"/>
      <c r="AK325"/>
      <c r="AL325"/>
      <c r="AM325"/>
      <c r="AP325"/>
      <c r="AQ325"/>
      <c r="AR325"/>
      <c r="AS325" s="180"/>
      <c r="AT325"/>
      <c r="AU325"/>
      <c r="AV325"/>
      <c r="AW325"/>
      <c r="AX325"/>
      <c r="AY325"/>
      <c r="AZ325"/>
      <c r="BA325"/>
      <c r="BB325"/>
      <c r="BC325"/>
      <c r="BD325"/>
      <c r="BE325"/>
      <c r="BJ325"/>
      <c r="BK325"/>
      <c r="BL325"/>
      <c r="BP325"/>
      <c r="BQ325"/>
      <c r="BR325"/>
      <c r="CD325"/>
      <c r="CE325"/>
      <c r="CF325"/>
      <c r="CQ325"/>
      <c r="CR325"/>
      <c r="CS325"/>
      <c r="DQ325"/>
      <c r="DR325"/>
      <c r="DS325"/>
      <c r="DT325"/>
      <c r="DU325"/>
    </row>
    <row r="326" spans="1:125" hidden="1">
      <c r="A326"/>
      <c r="B326"/>
      <c r="C326"/>
      <c r="D326"/>
      <c r="E326"/>
      <c r="G326"/>
      <c r="K326"/>
      <c r="V326"/>
      <c r="AC326"/>
      <c r="AI326"/>
      <c r="AJ326"/>
      <c r="AK326"/>
      <c r="AL326"/>
      <c r="AM326"/>
      <c r="AP326"/>
      <c r="AQ326"/>
      <c r="AR326"/>
      <c r="AS326" s="180"/>
      <c r="AT326"/>
      <c r="AU326"/>
      <c r="AV326"/>
      <c r="AW326"/>
      <c r="AX326"/>
      <c r="AY326"/>
      <c r="AZ326"/>
      <c r="BA326"/>
      <c r="BB326"/>
      <c r="BC326"/>
      <c r="BD326"/>
      <c r="BE326"/>
      <c r="BJ326"/>
      <c r="BK326"/>
      <c r="BL326"/>
      <c r="BP326"/>
      <c r="BQ326"/>
      <c r="BR326"/>
      <c r="CD326"/>
      <c r="CE326"/>
      <c r="CF326"/>
      <c r="CQ326"/>
      <c r="CR326"/>
      <c r="CS326"/>
      <c r="DQ326"/>
      <c r="DR326"/>
      <c r="DS326"/>
      <c r="DT326"/>
      <c r="DU326"/>
    </row>
    <row r="327" spans="1:125" hidden="1">
      <c r="A327"/>
      <c r="B327"/>
      <c r="C327"/>
      <c r="D327"/>
      <c r="E327"/>
      <c r="G327"/>
      <c r="K327"/>
      <c r="V327"/>
      <c r="AC327"/>
      <c r="AI327"/>
      <c r="AJ327"/>
      <c r="AK327"/>
      <c r="AL327"/>
      <c r="AM327"/>
      <c r="AP327"/>
      <c r="AQ327"/>
      <c r="AR327"/>
      <c r="AS327" s="180"/>
      <c r="AT327"/>
      <c r="AU327"/>
      <c r="AV327"/>
      <c r="AW327"/>
      <c r="AX327"/>
      <c r="AY327"/>
      <c r="AZ327"/>
      <c r="BA327"/>
      <c r="BB327"/>
      <c r="BC327"/>
      <c r="BD327"/>
      <c r="BE327"/>
      <c r="BJ327"/>
      <c r="BK327"/>
      <c r="BL327"/>
      <c r="BP327"/>
      <c r="BQ327"/>
      <c r="BR327"/>
      <c r="CD327"/>
      <c r="CE327"/>
      <c r="CF327"/>
      <c r="CQ327"/>
      <c r="CR327"/>
      <c r="CS327"/>
      <c r="DQ327"/>
      <c r="DR327"/>
      <c r="DS327"/>
      <c r="DT327"/>
      <c r="DU327"/>
    </row>
    <row r="328" spans="1:125" hidden="1">
      <c r="A328"/>
      <c r="B328"/>
      <c r="C328"/>
      <c r="D328"/>
      <c r="E328"/>
      <c r="G328"/>
      <c r="K328"/>
      <c r="V328"/>
      <c r="AC328"/>
      <c r="AI328"/>
      <c r="AJ328"/>
      <c r="AK328"/>
      <c r="AL328"/>
      <c r="AM328"/>
      <c r="AP328"/>
      <c r="AQ328"/>
      <c r="AR328"/>
      <c r="AS328" s="180"/>
      <c r="AT328"/>
      <c r="AU328"/>
      <c r="AV328"/>
      <c r="AW328"/>
      <c r="AX328"/>
      <c r="AY328"/>
      <c r="AZ328"/>
      <c r="BA328"/>
      <c r="BB328"/>
      <c r="BC328"/>
      <c r="BD328"/>
      <c r="BE328"/>
      <c r="BJ328"/>
      <c r="BK328"/>
      <c r="BL328"/>
      <c r="BP328"/>
      <c r="BQ328"/>
      <c r="BR328"/>
      <c r="CD328"/>
      <c r="CE328"/>
      <c r="CF328"/>
      <c r="CQ328"/>
      <c r="CR328"/>
      <c r="CS328"/>
      <c r="DQ328"/>
      <c r="DR328"/>
      <c r="DS328"/>
      <c r="DT328"/>
      <c r="DU328"/>
    </row>
    <row r="329" spans="1:125" hidden="1">
      <c r="A329"/>
      <c r="B329"/>
      <c r="C329"/>
      <c r="D329"/>
      <c r="E329"/>
      <c r="G329"/>
      <c r="K329"/>
      <c r="V329"/>
      <c r="AC329"/>
      <c r="AI329"/>
      <c r="AJ329"/>
      <c r="AK329"/>
      <c r="AL329"/>
      <c r="AM329"/>
      <c r="AP329"/>
      <c r="AQ329"/>
      <c r="AR329"/>
      <c r="AS329" s="180"/>
      <c r="AT329"/>
      <c r="AU329"/>
      <c r="AV329"/>
      <c r="AW329"/>
      <c r="AX329"/>
      <c r="AY329"/>
      <c r="AZ329"/>
      <c r="BA329"/>
      <c r="BB329"/>
      <c r="BC329"/>
      <c r="BD329"/>
      <c r="BE329"/>
      <c r="BJ329"/>
      <c r="BK329"/>
      <c r="BL329"/>
      <c r="BP329"/>
      <c r="BQ329"/>
      <c r="BR329"/>
      <c r="CD329"/>
      <c r="CE329"/>
      <c r="CF329"/>
      <c r="CQ329"/>
      <c r="CR329"/>
      <c r="CS329"/>
      <c r="DQ329"/>
      <c r="DR329"/>
      <c r="DS329"/>
      <c r="DT329"/>
      <c r="DU329"/>
    </row>
    <row r="330" spans="1:125" hidden="1">
      <c r="A330"/>
      <c r="B330"/>
      <c r="C330"/>
      <c r="D330"/>
      <c r="E330"/>
      <c r="G330"/>
      <c r="K330"/>
      <c r="V330"/>
      <c r="AC330"/>
      <c r="AI330"/>
      <c r="AJ330"/>
      <c r="AK330"/>
      <c r="AL330"/>
      <c r="AM330"/>
      <c r="AP330"/>
      <c r="AQ330"/>
      <c r="AR330"/>
      <c r="AS330" s="180"/>
      <c r="AT330"/>
      <c r="AU330"/>
      <c r="AV330"/>
      <c r="AW330"/>
      <c r="AX330"/>
      <c r="AY330"/>
      <c r="AZ330"/>
      <c r="BA330"/>
      <c r="BB330"/>
      <c r="BC330"/>
      <c r="BD330"/>
      <c r="BE330"/>
      <c r="BJ330"/>
      <c r="BK330"/>
      <c r="BL330"/>
      <c r="BP330"/>
      <c r="BQ330"/>
      <c r="BR330"/>
      <c r="CD330"/>
      <c r="CE330"/>
      <c r="CF330"/>
      <c r="CQ330"/>
      <c r="CR330"/>
      <c r="CS330"/>
      <c r="DQ330"/>
      <c r="DR330"/>
      <c r="DS330"/>
      <c r="DT330"/>
      <c r="DU330"/>
    </row>
    <row r="331" spans="1:125" hidden="1">
      <c r="A331"/>
      <c r="B331"/>
      <c r="C331"/>
      <c r="D331"/>
      <c r="E331"/>
      <c r="G331"/>
      <c r="K331"/>
      <c r="V331"/>
      <c r="AC331"/>
      <c r="AI331"/>
      <c r="AJ331"/>
      <c r="AK331"/>
      <c r="AL331"/>
      <c r="AM331"/>
      <c r="AP331"/>
      <c r="AQ331"/>
      <c r="AR331"/>
      <c r="AS331" s="180"/>
      <c r="AT331"/>
      <c r="AU331"/>
      <c r="AV331"/>
      <c r="AW331"/>
      <c r="AX331"/>
      <c r="AY331"/>
      <c r="AZ331"/>
      <c r="BA331"/>
      <c r="BB331"/>
      <c r="BC331"/>
      <c r="BD331"/>
      <c r="BE331"/>
      <c r="BJ331"/>
      <c r="BK331"/>
      <c r="BL331"/>
      <c r="BP331"/>
      <c r="BQ331"/>
      <c r="BR331"/>
      <c r="CD331"/>
      <c r="CE331"/>
      <c r="CF331"/>
      <c r="CQ331"/>
      <c r="CR331"/>
      <c r="CS331"/>
      <c r="DQ331"/>
      <c r="DR331"/>
      <c r="DS331"/>
      <c r="DT331"/>
      <c r="DU331"/>
    </row>
    <row r="332" spans="1:125" hidden="1">
      <c r="A332"/>
      <c r="B332"/>
      <c r="C332"/>
      <c r="D332"/>
      <c r="E332"/>
      <c r="G332"/>
      <c r="K332"/>
      <c r="V332"/>
      <c r="AC332"/>
      <c r="AI332"/>
      <c r="AJ332"/>
      <c r="AK332"/>
      <c r="AL332"/>
      <c r="AM332"/>
      <c r="AP332"/>
      <c r="AQ332"/>
      <c r="AR332"/>
      <c r="AS332" s="180"/>
      <c r="AT332"/>
      <c r="AU332"/>
      <c r="AV332"/>
      <c r="AW332"/>
      <c r="AX332"/>
      <c r="AY332"/>
      <c r="AZ332"/>
      <c r="BA332"/>
      <c r="BB332"/>
      <c r="BC332"/>
      <c r="BD332"/>
      <c r="BE332"/>
      <c r="BJ332"/>
      <c r="BK332"/>
      <c r="BL332"/>
      <c r="BP332"/>
      <c r="BQ332"/>
      <c r="BR332"/>
      <c r="CD332"/>
      <c r="CE332"/>
      <c r="CF332"/>
      <c r="CQ332"/>
      <c r="CR332"/>
      <c r="CS332"/>
      <c r="DQ332"/>
      <c r="DR332"/>
      <c r="DS332"/>
      <c r="DT332"/>
      <c r="DU332"/>
    </row>
    <row r="333" spans="1:125" hidden="1">
      <c r="A333"/>
      <c r="B333"/>
      <c r="C333"/>
      <c r="D333"/>
      <c r="E333"/>
      <c r="G333"/>
      <c r="K333"/>
      <c r="V333"/>
      <c r="AC333"/>
      <c r="AI333"/>
      <c r="AJ333"/>
      <c r="AK333"/>
      <c r="AL333"/>
      <c r="AM333"/>
      <c r="AP333"/>
      <c r="AQ333"/>
      <c r="AR333"/>
      <c r="AS333" s="180"/>
      <c r="AT333"/>
      <c r="AU333"/>
      <c r="AV333"/>
      <c r="AW333"/>
      <c r="AX333"/>
      <c r="AY333"/>
      <c r="AZ333"/>
      <c r="BA333"/>
      <c r="BB333"/>
      <c r="BC333"/>
      <c r="BD333"/>
      <c r="BE333"/>
      <c r="BJ333"/>
      <c r="BK333"/>
      <c r="BL333"/>
      <c r="BP333"/>
      <c r="BQ333"/>
      <c r="BR333"/>
      <c r="CD333"/>
      <c r="CE333"/>
      <c r="CF333"/>
      <c r="CQ333"/>
      <c r="CR333"/>
      <c r="CS333"/>
      <c r="DQ333"/>
      <c r="DR333"/>
      <c r="DS333"/>
      <c r="DT333"/>
      <c r="DU333"/>
    </row>
    <row r="334" spans="1:125" hidden="1">
      <c r="A334"/>
      <c r="B334"/>
      <c r="C334"/>
      <c r="D334"/>
      <c r="E334"/>
      <c r="G334"/>
      <c r="K334"/>
      <c r="V334"/>
      <c r="AC334"/>
      <c r="AI334"/>
      <c r="AJ334"/>
      <c r="AK334"/>
      <c r="AL334"/>
      <c r="AM334"/>
      <c r="AP334"/>
      <c r="AQ334"/>
      <c r="AR334"/>
      <c r="AS334" s="180"/>
      <c r="AT334"/>
      <c r="AU334"/>
      <c r="AV334"/>
      <c r="AW334"/>
      <c r="AX334"/>
      <c r="AY334"/>
      <c r="AZ334"/>
      <c r="BA334"/>
      <c r="BB334"/>
      <c r="BC334"/>
      <c r="BD334"/>
      <c r="BE334"/>
      <c r="BJ334"/>
      <c r="BK334"/>
      <c r="BL334"/>
      <c r="BP334"/>
      <c r="BQ334"/>
      <c r="BR334"/>
      <c r="CD334"/>
      <c r="CE334"/>
      <c r="CF334"/>
      <c r="CQ334"/>
      <c r="CR334"/>
      <c r="CS334"/>
      <c r="DQ334"/>
      <c r="DR334"/>
      <c r="DS334"/>
      <c r="DT334"/>
      <c r="DU334"/>
    </row>
    <row r="335" spans="1:125" hidden="1">
      <c r="A335"/>
      <c r="B335"/>
      <c r="C335"/>
      <c r="D335"/>
      <c r="E335"/>
      <c r="G335"/>
      <c r="K335"/>
      <c r="V335"/>
      <c r="AC335"/>
      <c r="AI335"/>
      <c r="AJ335"/>
      <c r="AK335"/>
      <c r="AL335"/>
      <c r="AM335"/>
      <c r="AP335"/>
      <c r="AQ335"/>
      <c r="AR335"/>
      <c r="AS335" s="180"/>
      <c r="AT335"/>
      <c r="AU335"/>
      <c r="AV335"/>
      <c r="AW335"/>
      <c r="AX335"/>
      <c r="AY335"/>
      <c r="AZ335"/>
      <c r="BA335"/>
      <c r="BB335"/>
      <c r="BC335"/>
      <c r="BD335"/>
      <c r="BE335"/>
      <c r="BJ335"/>
      <c r="BK335"/>
      <c r="BL335"/>
      <c r="BP335"/>
      <c r="BQ335"/>
      <c r="BR335"/>
      <c r="CD335"/>
      <c r="CE335"/>
      <c r="CF335"/>
      <c r="CQ335"/>
      <c r="CR335"/>
      <c r="CS335"/>
      <c r="DQ335"/>
      <c r="DR335"/>
      <c r="DS335"/>
      <c r="DT335"/>
      <c r="DU335"/>
    </row>
    <row r="336" spans="1:125" hidden="1">
      <c r="A336"/>
      <c r="B336"/>
      <c r="C336"/>
      <c r="D336"/>
      <c r="E336"/>
      <c r="G336"/>
      <c r="K336"/>
      <c r="V336"/>
      <c r="AC336"/>
      <c r="AI336"/>
      <c r="AJ336"/>
      <c r="AK336"/>
      <c r="AL336"/>
      <c r="AM336"/>
      <c r="AP336"/>
      <c r="AQ336"/>
      <c r="AR336"/>
      <c r="AS336" s="180"/>
      <c r="AT336"/>
      <c r="AU336"/>
      <c r="AV336"/>
      <c r="AW336"/>
      <c r="AX336"/>
      <c r="AY336"/>
      <c r="AZ336"/>
      <c r="BA336"/>
      <c r="BB336"/>
      <c r="BC336"/>
      <c r="BD336"/>
      <c r="BE336"/>
      <c r="BJ336"/>
      <c r="BK336"/>
      <c r="BL336"/>
      <c r="BP336"/>
      <c r="BQ336"/>
      <c r="BR336"/>
      <c r="CD336"/>
      <c r="CE336"/>
      <c r="CF336"/>
      <c r="CQ336"/>
      <c r="CR336"/>
      <c r="CS336"/>
      <c r="DQ336"/>
      <c r="DR336"/>
      <c r="DS336"/>
      <c r="DT336"/>
      <c r="DU336"/>
    </row>
    <row r="337" spans="1:125" hidden="1">
      <c r="A337"/>
      <c r="B337"/>
      <c r="C337"/>
      <c r="D337"/>
      <c r="E337"/>
      <c r="G337"/>
      <c r="K337"/>
      <c r="V337"/>
      <c r="AC337"/>
      <c r="AI337"/>
      <c r="AJ337"/>
      <c r="AK337"/>
      <c r="AL337"/>
      <c r="AM337"/>
      <c r="AP337"/>
      <c r="AQ337"/>
      <c r="AR337"/>
      <c r="AS337" s="180"/>
      <c r="AT337"/>
      <c r="AU337"/>
      <c r="AV337"/>
      <c r="AW337"/>
      <c r="AX337"/>
      <c r="AY337"/>
      <c r="AZ337"/>
      <c r="BA337"/>
      <c r="BB337"/>
      <c r="BC337"/>
      <c r="BD337"/>
      <c r="BE337"/>
      <c r="BJ337"/>
      <c r="BK337"/>
      <c r="BL337"/>
      <c r="BP337"/>
      <c r="BQ337"/>
      <c r="BR337"/>
      <c r="CD337"/>
      <c r="CE337"/>
      <c r="CF337"/>
      <c r="CQ337"/>
      <c r="CR337"/>
      <c r="CS337"/>
      <c r="DQ337"/>
      <c r="DR337"/>
      <c r="DS337"/>
      <c r="DT337"/>
      <c r="DU337"/>
    </row>
    <row r="338" spans="1:125" hidden="1">
      <c r="A338"/>
      <c r="B338"/>
      <c r="C338"/>
      <c r="D338"/>
      <c r="E338"/>
      <c r="G338"/>
      <c r="K338"/>
      <c r="V338"/>
      <c r="AC338"/>
      <c r="AI338"/>
      <c r="AJ338"/>
      <c r="AK338"/>
      <c r="AL338"/>
      <c r="AM338"/>
      <c r="AP338"/>
      <c r="AQ338"/>
      <c r="AR338"/>
      <c r="AS338" s="180"/>
      <c r="AT338"/>
      <c r="AU338"/>
      <c r="AV338"/>
      <c r="AW338"/>
      <c r="AX338"/>
      <c r="AY338"/>
      <c r="AZ338"/>
      <c r="BA338"/>
      <c r="BB338"/>
      <c r="BC338"/>
      <c r="BD338"/>
      <c r="BE338"/>
      <c r="BJ338"/>
      <c r="BK338"/>
      <c r="BL338"/>
      <c r="BP338"/>
      <c r="BQ338"/>
      <c r="BR338"/>
      <c r="CD338"/>
      <c r="CE338"/>
      <c r="CF338"/>
      <c r="CQ338"/>
      <c r="CR338"/>
      <c r="CS338"/>
      <c r="DQ338"/>
      <c r="DR338"/>
      <c r="DS338"/>
      <c r="DT338"/>
      <c r="DU338"/>
    </row>
    <row r="339" spans="1:125" hidden="1">
      <c r="A339"/>
      <c r="B339"/>
      <c r="C339"/>
      <c r="D339"/>
      <c r="E339"/>
      <c r="G339"/>
      <c r="K339"/>
      <c r="V339"/>
      <c r="AC339"/>
      <c r="AI339"/>
      <c r="AJ339"/>
      <c r="AK339"/>
      <c r="AL339"/>
      <c r="AM339"/>
      <c r="AP339"/>
      <c r="AQ339"/>
      <c r="AR339"/>
      <c r="AS339" s="180"/>
      <c r="AT339"/>
      <c r="AU339"/>
      <c r="AV339"/>
      <c r="AW339"/>
      <c r="AX339"/>
      <c r="AY339"/>
      <c r="AZ339"/>
      <c r="BA339"/>
      <c r="BB339"/>
      <c r="BC339"/>
      <c r="BD339"/>
      <c r="BE339"/>
      <c r="BJ339"/>
      <c r="BK339"/>
      <c r="BL339"/>
      <c r="BP339"/>
      <c r="BQ339"/>
      <c r="BR339"/>
      <c r="CD339"/>
      <c r="CE339"/>
      <c r="CF339"/>
      <c r="CQ339"/>
      <c r="CR339"/>
      <c r="CS339"/>
      <c r="DQ339"/>
      <c r="DR339"/>
      <c r="DS339"/>
      <c r="DT339"/>
      <c r="DU339"/>
    </row>
    <row r="340" spans="1:125" hidden="1">
      <c r="A340"/>
      <c r="B340"/>
      <c r="C340"/>
      <c r="D340"/>
      <c r="E340"/>
      <c r="G340"/>
      <c r="K340"/>
      <c r="V340"/>
      <c r="AC340"/>
      <c r="AI340"/>
      <c r="AJ340"/>
      <c r="AK340"/>
      <c r="AL340"/>
      <c r="AM340"/>
      <c r="AP340"/>
      <c r="AQ340"/>
      <c r="AR340"/>
      <c r="AS340" s="180"/>
      <c r="AT340"/>
      <c r="AU340"/>
      <c r="AV340"/>
      <c r="AW340"/>
      <c r="AX340"/>
      <c r="AY340"/>
      <c r="AZ340"/>
      <c r="BA340"/>
      <c r="BB340"/>
      <c r="BC340"/>
      <c r="BD340"/>
      <c r="BE340"/>
      <c r="BJ340"/>
      <c r="BK340"/>
      <c r="BL340"/>
      <c r="BP340"/>
      <c r="BQ340"/>
      <c r="BR340"/>
      <c r="CD340"/>
      <c r="CE340"/>
      <c r="CF340"/>
      <c r="CQ340"/>
      <c r="CR340"/>
      <c r="CS340"/>
      <c r="DQ340"/>
      <c r="DR340"/>
      <c r="DS340"/>
      <c r="DT340"/>
      <c r="DU340"/>
    </row>
    <row r="341" spans="1:125" hidden="1">
      <c r="A341"/>
      <c r="B341"/>
      <c r="C341"/>
      <c r="D341"/>
      <c r="E341"/>
      <c r="G341"/>
      <c r="K341"/>
      <c r="V341"/>
      <c r="AC341"/>
      <c r="AI341"/>
      <c r="AJ341"/>
      <c r="AK341"/>
      <c r="AL341"/>
      <c r="AM341"/>
      <c r="AP341"/>
      <c r="AQ341"/>
      <c r="AR341"/>
      <c r="AS341" s="180"/>
      <c r="AT341"/>
      <c r="AU341"/>
      <c r="AV341"/>
      <c r="AW341"/>
      <c r="AX341"/>
      <c r="AY341"/>
      <c r="AZ341"/>
      <c r="BA341"/>
      <c r="BB341"/>
      <c r="BC341"/>
      <c r="BD341"/>
      <c r="BE341"/>
      <c r="BJ341"/>
      <c r="BK341"/>
      <c r="BL341"/>
      <c r="BP341"/>
      <c r="BQ341"/>
      <c r="BR341"/>
      <c r="CD341"/>
      <c r="CE341"/>
      <c r="CF341"/>
      <c r="CQ341"/>
      <c r="CR341"/>
      <c r="CS341"/>
      <c r="DQ341"/>
      <c r="DR341"/>
      <c r="DS341"/>
      <c r="DT341"/>
      <c r="DU341"/>
    </row>
    <row r="342" spans="1:125" hidden="1">
      <c r="A342"/>
      <c r="B342"/>
      <c r="C342"/>
      <c r="D342"/>
      <c r="E342"/>
      <c r="G342"/>
      <c r="K342"/>
      <c r="V342"/>
      <c r="AC342"/>
      <c r="AI342"/>
      <c r="AJ342"/>
      <c r="AK342"/>
      <c r="AL342"/>
      <c r="AM342"/>
      <c r="AP342"/>
      <c r="AQ342"/>
      <c r="AR342"/>
      <c r="AS342" s="180"/>
      <c r="AT342"/>
      <c r="AU342"/>
      <c r="AV342"/>
      <c r="AW342"/>
      <c r="AX342"/>
      <c r="AY342"/>
      <c r="AZ342"/>
      <c r="BA342"/>
      <c r="BB342"/>
      <c r="BC342"/>
      <c r="BD342"/>
      <c r="BE342"/>
      <c r="BJ342"/>
      <c r="BK342"/>
      <c r="BL342"/>
      <c r="BP342"/>
      <c r="BQ342"/>
      <c r="BR342"/>
      <c r="CD342"/>
      <c r="CE342"/>
      <c r="CF342"/>
      <c r="CQ342"/>
      <c r="CR342"/>
      <c r="CS342"/>
      <c r="DQ342"/>
      <c r="DR342"/>
      <c r="DS342"/>
      <c r="DT342"/>
      <c r="DU342"/>
    </row>
    <row r="343" spans="1:125" hidden="1">
      <c r="A343"/>
      <c r="B343"/>
      <c r="C343"/>
      <c r="D343"/>
      <c r="E343"/>
      <c r="G343"/>
      <c r="K343"/>
      <c r="V343"/>
      <c r="AC343"/>
      <c r="AI343"/>
      <c r="AJ343"/>
      <c r="AK343"/>
      <c r="AL343"/>
      <c r="AM343"/>
      <c r="AP343"/>
      <c r="AQ343"/>
      <c r="AR343"/>
      <c r="AS343" s="180"/>
      <c r="AT343"/>
      <c r="AU343"/>
      <c r="AV343"/>
      <c r="AW343"/>
      <c r="AX343"/>
      <c r="AY343"/>
      <c r="AZ343"/>
      <c r="BA343"/>
      <c r="BB343"/>
      <c r="BC343"/>
      <c r="BD343"/>
      <c r="BE343"/>
      <c r="BJ343"/>
      <c r="BK343"/>
      <c r="BL343"/>
      <c r="BP343"/>
      <c r="BQ343"/>
      <c r="BR343"/>
      <c r="CD343"/>
      <c r="CE343"/>
      <c r="CF343"/>
      <c r="CQ343"/>
      <c r="CR343"/>
      <c r="CS343"/>
      <c r="DQ343"/>
      <c r="DR343"/>
      <c r="DS343"/>
      <c r="DT343"/>
      <c r="DU343"/>
    </row>
    <row r="344" spans="1:125" hidden="1">
      <c r="A344"/>
      <c r="B344"/>
      <c r="C344"/>
      <c r="D344"/>
      <c r="E344"/>
      <c r="G344"/>
      <c r="K344"/>
      <c r="V344"/>
      <c r="AC344"/>
      <c r="AI344"/>
      <c r="AJ344"/>
      <c r="AK344"/>
      <c r="AL344"/>
      <c r="AM344"/>
      <c r="AP344"/>
      <c r="AQ344"/>
      <c r="AR344"/>
      <c r="AS344" s="180"/>
      <c r="AT344"/>
      <c r="AU344"/>
      <c r="AV344"/>
      <c r="AW344"/>
      <c r="AX344"/>
      <c r="AY344"/>
      <c r="AZ344"/>
      <c r="BA344"/>
      <c r="BB344"/>
      <c r="BC344"/>
      <c r="BD344"/>
      <c r="BE344"/>
      <c r="BJ344"/>
      <c r="BK344"/>
      <c r="BL344"/>
      <c r="BP344"/>
      <c r="BQ344"/>
      <c r="BR344"/>
      <c r="CD344"/>
      <c r="CE344"/>
      <c r="CF344"/>
      <c r="CQ344"/>
      <c r="CR344"/>
      <c r="CS344"/>
      <c r="DQ344"/>
      <c r="DR344"/>
      <c r="DS344"/>
      <c r="DT344"/>
      <c r="DU344"/>
    </row>
    <row r="345" spans="1:125" hidden="1">
      <c r="A345"/>
      <c r="B345"/>
      <c r="C345"/>
      <c r="D345"/>
      <c r="E345"/>
      <c r="G345"/>
      <c r="K345"/>
      <c r="V345"/>
      <c r="AC345"/>
      <c r="AI345"/>
      <c r="AJ345"/>
      <c r="AK345"/>
      <c r="AL345"/>
      <c r="AM345"/>
      <c r="AP345"/>
      <c r="AQ345"/>
      <c r="AR345"/>
      <c r="AS345" s="180"/>
      <c r="AT345"/>
      <c r="AU345"/>
      <c r="AV345"/>
      <c r="AW345"/>
      <c r="AX345"/>
      <c r="AY345"/>
      <c r="AZ345"/>
      <c r="BA345"/>
      <c r="BB345"/>
      <c r="BC345"/>
      <c r="BD345"/>
      <c r="BE345"/>
      <c r="BJ345"/>
      <c r="BK345"/>
      <c r="BL345"/>
      <c r="BP345"/>
      <c r="BQ345"/>
      <c r="BR345"/>
      <c r="CD345"/>
      <c r="CE345"/>
      <c r="CF345"/>
      <c r="CQ345"/>
      <c r="CR345"/>
      <c r="CS345"/>
      <c r="DQ345"/>
      <c r="DR345"/>
      <c r="DS345"/>
      <c r="DT345"/>
      <c r="DU345"/>
    </row>
    <row r="346" spans="1:125" hidden="1">
      <c r="A346"/>
      <c r="B346"/>
      <c r="C346"/>
      <c r="D346"/>
      <c r="E346"/>
      <c r="G346"/>
      <c r="K346"/>
      <c r="V346"/>
      <c r="AC346"/>
      <c r="AI346"/>
      <c r="AJ346"/>
      <c r="AK346"/>
      <c r="AL346"/>
      <c r="AM346"/>
      <c r="AP346"/>
      <c r="AQ346"/>
      <c r="AR346"/>
      <c r="AS346" s="180"/>
      <c r="AT346"/>
      <c r="AU346"/>
      <c r="AV346"/>
      <c r="AW346"/>
      <c r="AX346"/>
      <c r="AY346"/>
      <c r="AZ346"/>
      <c r="BA346"/>
      <c r="BB346"/>
      <c r="BC346"/>
      <c r="BD346"/>
      <c r="BE346"/>
      <c r="BJ346"/>
      <c r="BK346"/>
      <c r="BL346"/>
      <c r="BP346"/>
      <c r="BQ346"/>
      <c r="BR346"/>
      <c r="CD346"/>
      <c r="CE346"/>
      <c r="CF346"/>
      <c r="CQ346"/>
      <c r="CR346"/>
      <c r="CS346"/>
      <c r="DQ346"/>
      <c r="DR346"/>
      <c r="DS346"/>
      <c r="DT346"/>
      <c r="DU346"/>
    </row>
    <row r="347" spans="1:125" hidden="1">
      <c r="A347"/>
      <c r="B347"/>
      <c r="C347"/>
      <c r="D347"/>
      <c r="E347"/>
      <c r="G347"/>
      <c r="K347"/>
      <c r="V347"/>
      <c r="AC347"/>
      <c r="AI347"/>
      <c r="AJ347"/>
      <c r="AK347"/>
      <c r="AL347"/>
      <c r="AM347"/>
      <c r="AP347"/>
      <c r="AQ347"/>
      <c r="AR347"/>
      <c r="AS347" s="180"/>
      <c r="AT347"/>
      <c r="AU347"/>
      <c r="AV347"/>
      <c r="AW347"/>
      <c r="AX347"/>
      <c r="AY347"/>
      <c r="AZ347"/>
      <c r="BA347"/>
      <c r="BB347"/>
      <c r="BC347"/>
      <c r="BD347"/>
      <c r="BE347"/>
      <c r="BJ347"/>
      <c r="BK347"/>
      <c r="BL347"/>
      <c r="BP347"/>
      <c r="BQ347"/>
      <c r="BR347"/>
      <c r="CD347"/>
      <c r="CE347"/>
      <c r="CF347"/>
      <c r="CQ347"/>
      <c r="CR347"/>
      <c r="CS347"/>
      <c r="DQ347"/>
      <c r="DR347"/>
      <c r="DS347"/>
      <c r="DT347"/>
      <c r="DU347"/>
    </row>
    <row r="348" spans="1:125" hidden="1">
      <c r="A348"/>
      <c r="B348"/>
      <c r="C348"/>
      <c r="D348"/>
      <c r="E348"/>
      <c r="G348"/>
      <c r="K348"/>
      <c r="V348"/>
      <c r="AC348"/>
      <c r="AI348"/>
      <c r="AJ348"/>
      <c r="AK348"/>
      <c r="AL348"/>
      <c r="AM348"/>
      <c r="AP348"/>
      <c r="AQ348"/>
      <c r="AR348"/>
      <c r="AS348" s="180"/>
      <c r="AT348"/>
      <c r="AU348"/>
      <c r="AV348"/>
      <c r="AW348"/>
      <c r="AX348"/>
      <c r="AY348"/>
      <c r="AZ348"/>
      <c r="BA348"/>
      <c r="BB348"/>
      <c r="BC348"/>
      <c r="BD348"/>
      <c r="BE348"/>
      <c r="BJ348"/>
      <c r="BK348"/>
      <c r="BL348"/>
      <c r="BP348"/>
      <c r="BQ348"/>
      <c r="BR348"/>
      <c r="CD348"/>
      <c r="CE348"/>
      <c r="CF348"/>
      <c r="CQ348"/>
      <c r="CR348"/>
      <c r="CS348"/>
      <c r="DQ348"/>
      <c r="DR348"/>
      <c r="DS348"/>
      <c r="DT348"/>
      <c r="DU348"/>
    </row>
    <row r="349" spans="1:125" hidden="1">
      <c r="A349"/>
      <c r="B349"/>
      <c r="C349"/>
      <c r="D349"/>
      <c r="E349"/>
      <c r="G349"/>
      <c r="K349"/>
      <c r="V349"/>
      <c r="AC349"/>
      <c r="AI349"/>
      <c r="AJ349"/>
      <c r="AK349"/>
      <c r="AL349"/>
      <c r="AM349"/>
      <c r="AP349"/>
      <c r="AQ349"/>
      <c r="AR349"/>
      <c r="AS349" s="180"/>
      <c r="AT349"/>
      <c r="AU349"/>
      <c r="AV349"/>
      <c r="AW349"/>
      <c r="AX349"/>
      <c r="AY349"/>
      <c r="AZ349"/>
      <c r="BA349"/>
      <c r="BB349"/>
      <c r="BC349"/>
      <c r="BD349"/>
      <c r="BE349"/>
      <c r="BJ349"/>
      <c r="BK349"/>
      <c r="BL349"/>
      <c r="BP349"/>
      <c r="BQ349"/>
      <c r="BR349"/>
      <c r="CD349"/>
      <c r="CE349"/>
      <c r="CF349"/>
      <c r="CQ349"/>
      <c r="CR349"/>
      <c r="CS349"/>
      <c r="DQ349"/>
      <c r="DR349"/>
      <c r="DS349"/>
      <c r="DT349"/>
      <c r="DU349"/>
    </row>
    <row r="350" spans="1:125" hidden="1">
      <c r="A350"/>
      <c r="B350"/>
      <c r="C350"/>
      <c r="D350"/>
      <c r="E350"/>
      <c r="G350"/>
      <c r="K350"/>
      <c r="V350"/>
      <c r="AC350"/>
      <c r="AI350"/>
      <c r="AJ350"/>
      <c r="AK350"/>
      <c r="AL350"/>
      <c r="AM350"/>
      <c r="AP350"/>
      <c r="AQ350"/>
      <c r="AR350"/>
      <c r="AS350" s="180"/>
      <c r="AT350"/>
      <c r="AU350"/>
      <c r="AV350"/>
      <c r="AW350"/>
      <c r="AX350"/>
      <c r="AY350"/>
      <c r="AZ350"/>
      <c r="BA350"/>
      <c r="BB350"/>
      <c r="BC350"/>
      <c r="BD350"/>
      <c r="BE350"/>
      <c r="BJ350"/>
      <c r="BK350"/>
      <c r="BL350"/>
      <c r="BP350"/>
      <c r="BQ350"/>
      <c r="BR350"/>
      <c r="CD350"/>
      <c r="CE350"/>
      <c r="CF350"/>
      <c r="CQ350"/>
      <c r="CR350"/>
      <c r="CS350"/>
      <c r="DQ350"/>
      <c r="DR350"/>
      <c r="DS350"/>
      <c r="DT350"/>
      <c r="DU350"/>
    </row>
    <row r="351" spans="1:125" hidden="1">
      <c r="A351"/>
      <c r="B351"/>
      <c r="C351"/>
      <c r="D351"/>
      <c r="E351"/>
      <c r="G351"/>
      <c r="K351"/>
      <c r="V351"/>
      <c r="AC351"/>
      <c r="AI351"/>
      <c r="AJ351"/>
      <c r="AK351"/>
      <c r="AL351"/>
      <c r="AM351"/>
      <c r="AP351"/>
      <c r="AQ351"/>
      <c r="AR351"/>
      <c r="AS351" s="180"/>
      <c r="AT351"/>
      <c r="AU351"/>
      <c r="AV351"/>
      <c r="AW351"/>
      <c r="AX351"/>
      <c r="AY351"/>
      <c r="AZ351"/>
      <c r="BA351"/>
      <c r="BB351"/>
      <c r="BC351"/>
      <c r="BD351"/>
      <c r="BE351"/>
      <c r="BJ351"/>
      <c r="BK351"/>
      <c r="BL351"/>
      <c r="BP351"/>
      <c r="BQ351"/>
      <c r="BR351"/>
      <c r="CD351"/>
      <c r="CE351"/>
      <c r="CF351"/>
      <c r="CQ351"/>
      <c r="CR351"/>
      <c r="CS351"/>
      <c r="DQ351"/>
      <c r="DR351"/>
      <c r="DS351"/>
      <c r="DT351"/>
      <c r="DU351"/>
    </row>
    <row r="352" spans="1:125" hidden="1">
      <c r="A352"/>
      <c r="B352"/>
      <c r="C352"/>
      <c r="D352"/>
      <c r="E352"/>
      <c r="G352"/>
      <c r="K352"/>
      <c r="V352"/>
      <c r="AC352"/>
      <c r="AI352"/>
      <c r="AJ352"/>
      <c r="AK352"/>
      <c r="AL352"/>
      <c r="AM352"/>
      <c r="AP352"/>
      <c r="AQ352"/>
      <c r="AR352"/>
      <c r="AS352" s="180"/>
      <c r="AT352"/>
      <c r="AU352"/>
      <c r="AV352"/>
      <c r="AW352"/>
      <c r="AX352"/>
      <c r="AY352"/>
      <c r="AZ352"/>
      <c r="BA352"/>
      <c r="BB352"/>
      <c r="BC352"/>
      <c r="BD352"/>
      <c r="BE352"/>
      <c r="BJ352"/>
      <c r="BK352"/>
      <c r="BL352"/>
      <c r="BP352"/>
      <c r="BQ352"/>
      <c r="BR352"/>
      <c r="CD352"/>
      <c r="CE352"/>
      <c r="CF352"/>
      <c r="CQ352"/>
      <c r="CR352"/>
      <c r="CS352"/>
      <c r="DQ352"/>
      <c r="DR352"/>
      <c r="DS352"/>
      <c r="DT352"/>
      <c r="DU352"/>
    </row>
    <row r="353" spans="1:125" hidden="1">
      <c r="A353"/>
      <c r="B353"/>
      <c r="C353"/>
      <c r="D353"/>
      <c r="E353"/>
      <c r="G353"/>
      <c r="K353"/>
      <c r="V353"/>
      <c r="AC353"/>
      <c r="AI353"/>
      <c r="AJ353"/>
      <c r="AK353"/>
      <c r="AL353"/>
      <c r="AM353"/>
      <c r="AP353"/>
      <c r="AQ353"/>
      <c r="AR353"/>
      <c r="AS353" s="180"/>
      <c r="AT353"/>
      <c r="AU353"/>
      <c r="AV353"/>
      <c r="AW353"/>
      <c r="AX353"/>
      <c r="AY353"/>
      <c r="AZ353"/>
      <c r="BA353"/>
      <c r="BB353"/>
      <c r="BC353"/>
      <c r="BD353"/>
      <c r="BE353"/>
      <c r="BJ353"/>
      <c r="BK353"/>
      <c r="BL353"/>
      <c r="BP353"/>
      <c r="BQ353"/>
      <c r="BR353"/>
      <c r="CD353"/>
      <c r="CE353"/>
      <c r="CF353"/>
      <c r="CQ353"/>
      <c r="CR353"/>
      <c r="CS353"/>
      <c r="DQ353"/>
      <c r="DR353"/>
      <c r="DS353"/>
      <c r="DT353"/>
      <c r="DU353"/>
    </row>
    <row r="354" spans="1:125" hidden="1">
      <c r="A354"/>
      <c r="B354"/>
      <c r="C354"/>
      <c r="D354"/>
      <c r="E354"/>
      <c r="G354"/>
      <c r="K354"/>
      <c r="V354"/>
      <c r="AC354"/>
      <c r="AI354"/>
      <c r="AJ354"/>
      <c r="AK354"/>
      <c r="AL354"/>
      <c r="AM354"/>
      <c r="AP354"/>
      <c r="AQ354"/>
      <c r="AR354"/>
      <c r="AS354" s="180"/>
      <c r="AT354"/>
      <c r="AU354"/>
      <c r="AV354"/>
      <c r="AW354"/>
      <c r="AX354"/>
      <c r="AY354"/>
      <c r="AZ354"/>
      <c r="BA354"/>
      <c r="BB354"/>
      <c r="BC354"/>
      <c r="BD354"/>
      <c r="BE354"/>
      <c r="BJ354"/>
      <c r="BK354"/>
      <c r="BL354"/>
      <c r="BP354"/>
      <c r="BQ354"/>
      <c r="BR354"/>
      <c r="CD354"/>
      <c r="CE354"/>
      <c r="CF354"/>
      <c r="CQ354"/>
      <c r="CR354"/>
      <c r="CS354"/>
      <c r="DQ354"/>
      <c r="DR354"/>
      <c r="DS354"/>
      <c r="DT354"/>
      <c r="DU354"/>
    </row>
    <row r="355" spans="1:125" hidden="1">
      <c r="A355"/>
      <c r="B355"/>
      <c r="C355"/>
      <c r="D355"/>
      <c r="E355"/>
      <c r="G355"/>
      <c r="K355"/>
      <c r="V355"/>
      <c r="AC355"/>
      <c r="AI355"/>
      <c r="AJ355"/>
      <c r="AK355"/>
      <c r="AL355"/>
      <c r="AM355"/>
      <c r="AP355"/>
      <c r="AQ355"/>
      <c r="AR355"/>
      <c r="AS355" s="180"/>
      <c r="AT355"/>
      <c r="AU355"/>
      <c r="AV355"/>
      <c r="AW355"/>
      <c r="AX355"/>
      <c r="AY355"/>
      <c r="AZ355"/>
      <c r="BA355"/>
      <c r="BB355"/>
      <c r="BC355"/>
      <c r="BD355"/>
      <c r="BE355"/>
      <c r="BJ355"/>
      <c r="BK355"/>
      <c r="BL355"/>
      <c r="BP355"/>
      <c r="BQ355"/>
      <c r="BR355"/>
      <c r="CD355"/>
      <c r="CE355"/>
      <c r="CF355"/>
      <c r="CQ355"/>
      <c r="CR355"/>
      <c r="CS355"/>
      <c r="DQ355"/>
      <c r="DR355"/>
      <c r="DS355"/>
      <c r="DT355"/>
      <c r="DU355"/>
    </row>
    <row r="356" spans="1:125" hidden="1">
      <c r="A356"/>
      <c r="B356"/>
      <c r="C356"/>
      <c r="D356"/>
      <c r="E356"/>
      <c r="G356"/>
      <c r="K356"/>
      <c r="V356"/>
      <c r="AC356"/>
      <c r="AI356"/>
      <c r="AJ356"/>
      <c r="AK356"/>
      <c r="AL356"/>
      <c r="AM356"/>
      <c r="AP356"/>
      <c r="AQ356"/>
      <c r="AR356"/>
      <c r="AS356" s="180"/>
      <c r="AT356"/>
      <c r="AU356"/>
      <c r="AV356"/>
      <c r="AW356"/>
      <c r="AX356"/>
      <c r="AY356"/>
      <c r="AZ356"/>
      <c r="BA356"/>
      <c r="BB356"/>
      <c r="BC356"/>
      <c r="BD356"/>
      <c r="BE356"/>
      <c r="BJ356"/>
      <c r="BK356"/>
      <c r="BL356"/>
      <c r="BP356"/>
      <c r="BQ356"/>
      <c r="BR356"/>
      <c r="CD356"/>
      <c r="CE356"/>
      <c r="CF356"/>
      <c r="CQ356"/>
      <c r="CR356"/>
      <c r="CS356"/>
      <c r="DQ356"/>
      <c r="DR356"/>
      <c r="DS356"/>
      <c r="DT356"/>
      <c r="DU356"/>
    </row>
    <row r="357" spans="1:125" hidden="1">
      <c r="A357"/>
      <c r="B357"/>
      <c r="C357"/>
      <c r="D357"/>
      <c r="E357"/>
      <c r="G357"/>
      <c r="K357"/>
      <c r="V357"/>
      <c r="AC357"/>
      <c r="AI357"/>
      <c r="AJ357"/>
      <c r="AK357"/>
      <c r="AL357"/>
      <c r="AM357"/>
      <c r="AP357"/>
      <c r="AQ357"/>
      <c r="AR357"/>
      <c r="AS357" s="180"/>
      <c r="AT357"/>
      <c r="AU357"/>
      <c r="AV357"/>
      <c r="AW357"/>
      <c r="AX357"/>
      <c r="AY357"/>
      <c r="AZ357"/>
      <c r="BA357"/>
      <c r="BB357"/>
      <c r="BC357"/>
      <c r="BD357"/>
      <c r="BE357"/>
      <c r="BJ357"/>
      <c r="BK357"/>
      <c r="BL357"/>
      <c r="BP357"/>
      <c r="BQ357"/>
      <c r="BR357"/>
      <c r="CD357"/>
      <c r="CE357"/>
      <c r="CF357"/>
      <c r="CQ357"/>
      <c r="CR357"/>
      <c r="CS357"/>
      <c r="DQ357"/>
      <c r="DR357"/>
      <c r="DS357"/>
      <c r="DT357"/>
      <c r="DU357"/>
    </row>
    <row r="358" spans="1:125" hidden="1">
      <c r="A358"/>
      <c r="B358"/>
      <c r="C358"/>
      <c r="D358"/>
      <c r="E358"/>
      <c r="G358"/>
      <c r="K358"/>
      <c r="V358"/>
      <c r="AC358"/>
      <c r="AI358"/>
      <c r="AJ358"/>
      <c r="AK358"/>
      <c r="AL358"/>
      <c r="AM358"/>
      <c r="AP358"/>
      <c r="AQ358"/>
      <c r="AR358"/>
      <c r="AS358" s="180"/>
      <c r="AT358"/>
      <c r="AU358"/>
      <c r="AV358"/>
      <c r="AW358"/>
      <c r="AX358"/>
      <c r="AY358"/>
      <c r="AZ358"/>
      <c r="BA358"/>
      <c r="BB358"/>
      <c r="BC358"/>
      <c r="BD358"/>
      <c r="BE358"/>
      <c r="BJ358"/>
      <c r="BK358"/>
      <c r="BL358"/>
      <c r="BP358"/>
      <c r="BQ358"/>
      <c r="BR358"/>
      <c r="CD358"/>
      <c r="CE358"/>
      <c r="CF358"/>
      <c r="CQ358"/>
      <c r="CR358"/>
      <c r="CS358"/>
      <c r="DQ358"/>
      <c r="DR358"/>
      <c r="DS358"/>
      <c r="DT358"/>
      <c r="DU358"/>
    </row>
    <row r="359" spans="1:125" hidden="1">
      <c r="A359"/>
      <c r="B359"/>
      <c r="C359"/>
      <c r="D359"/>
      <c r="E359"/>
      <c r="G359"/>
      <c r="K359"/>
      <c r="V359"/>
      <c r="AC359"/>
      <c r="AI359"/>
      <c r="AJ359"/>
      <c r="AK359"/>
      <c r="AL359"/>
      <c r="AM359"/>
      <c r="AP359"/>
      <c r="AQ359"/>
      <c r="AR359"/>
      <c r="AS359" s="180"/>
      <c r="AT359"/>
      <c r="AU359"/>
      <c r="AV359"/>
      <c r="AW359"/>
      <c r="AX359"/>
      <c r="AY359"/>
      <c r="AZ359"/>
      <c r="BA359"/>
      <c r="BB359"/>
      <c r="BC359"/>
      <c r="BD359"/>
      <c r="BE359"/>
      <c r="BJ359"/>
      <c r="BK359"/>
      <c r="BL359"/>
      <c r="BP359"/>
      <c r="BQ359"/>
      <c r="BR359"/>
      <c r="CD359"/>
      <c r="CE359"/>
      <c r="CF359"/>
      <c r="CQ359"/>
      <c r="CR359"/>
      <c r="CS359"/>
      <c r="DQ359"/>
      <c r="DR359"/>
      <c r="DS359"/>
      <c r="DT359"/>
      <c r="DU359"/>
    </row>
    <row r="360" spans="1:125" hidden="1">
      <c r="A360"/>
      <c r="B360"/>
      <c r="C360"/>
      <c r="D360"/>
      <c r="E360"/>
      <c r="G360"/>
      <c r="K360"/>
      <c r="V360"/>
      <c r="AC360"/>
      <c r="AI360"/>
      <c r="AJ360"/>
      <c r="AK360"/>
      <c r="AL360"/>
      <c r="AM360"/>
      <c r="AP360"/>
      <c r="AQ360"/>
      <c r="AR360"/>
      <c r="AS360" s="180"/>
      <c r="AT360"/>
      <c r="AU360"/>
      <c r="AV360"/>
      <c r="AW360"/>
      <c r="AX360"/>
      <c r="AY360"/>
      <c r="AZ360"/>
      <c r="BA360"/>
      <c r="BB360"/>
      <c r="BC360"/>
      <c r="BD360"/>
      <c r="BE360"/>
      <c r="BJ360"/>
      <c r="BK360"/>
      <c r="BL360"/>
      <c r="BP360"/>
      <c r="BQ360"/>
      <c r="BR360"/>
      <c r="CD360"/>
      <c r="CE360"/>
      <c r="CF360"/>
      <c r="CQ360"/>
      <c r="CR360"/>
      <c r="CS360"/>
      <c r="DQ360"/>
      <c r="DR360"/>
      <c r="DS360"/>
      <c r="DT360"/>
      <c r="DU360"/>
    </row>
    <row r="361" spans="1:125" hidden="1">
      <c r="A361"/>
      <c r="B361"/>
      <c r="C361"/>
      <c r="D361"/>
      <c r="E361"/>
      <c r="G361"/>
      <c r="K361"/>
      <c r="V361"/>
      <c r="AC361"/>
      <c r="AI361"/>
      <c r="AJ361"/>
      <c r="AK361"/>
      <c r="AL361"/>
      <c r="AM361"/>
      <c r="AP361"/>
      <c r="AQ361"/>
      <c r="AR361"/>
      <c r="AS361" s="180"/>
      <c r="AT361"/>
      <c r="AU361"/>
      <c r="AV361"/>
      <c r="AW361"/>
      <c r="AX361"/>
      <c r="AY361"/>
      <c r="AZ361"/>
      <c r="BA361"/>
      <c r="BB361"/>
      <c r="BC361"/>
      <c r="BD361"/>
      <c r="BE361"/>
      <c r="BJ361"/>
      <c r="BK361"/>
      <c r="BL361"/>
      <c r="BP361"/>
      <c r="BQ361"/>
      <c r="BR361"/>
      <c r="CD361"/>
      <c r="CE361"/>
      <c r="CF361"/>
      <c r="CQ361"/>
      <c r="CR361"/>
      <c r="CS361"/>
      <c r="DQ361"/>
      <c r="DR361"/>
      <c r="DS361"/>
      <c r="DT361"/>
      <c r="DU361"/>
    </row>
    <row r="362" spans="1:125" hidden="1">
      <c r="A362"/>
      <c r="B362"/>
      <c r="C362"/>
      <c r="D362"/>
      <c r="E362"/>
      <c r="G362"/>
      <c r="K362"/>
      <c r="V362"/>
      <c r="AC362"/>
      <c r="AI362"/>
      <c r="AJ362"/>
      <c r="AK362"/>
      <c r="AL362"/>
      <c r="AM362"/>
      <c r="AP362"/>
      <c r="AQ362"/>
      <c r="AR362"/>
      <c r="AS362" s="180"/>
      <c r="AT362"/>
      <c r="AU362"/>
      <c r="AV362"/>
      <c r="AW362"/>
      <c r="AX362"/>
      <c r="AY362"/>
      <c r="AZ362"/>
      <c r="BA362"/>
      <c r="BB362"/>
      <c r="BC362"/>
      <c r="BD362"/>
      <c r="BE362"/>
      <c r="BJ362"/>
      <c r="BK362"/>
      <c r="BL362"/>
      <c r="BP362"/>
      <c r="BQ362"/>
      <c r="BR362"/>
      <c r="CD362"/>
      <c r="CE362"/>
      <c r="CF362"/>
      <c r="CQ362"/>
      <c r="CR362"/>
      <c r="CS362"/>
      <c r="DQ362"/>
      <c r="DR362"/>
      <c r="DS362"/>
      <c r="DT362"/>
      <c r="DU362"/>
    </row>
    <row r="363" spans="1:125" hidden="1">
      <c r="A363"/>
      <c r="B363"/>
      <c r="C363"/>
      <c r="D363"/>
      <c r="E363"/>
      <c r="G363"/>
      <c r="K363"/>
      <c r="V363"/>
      <c r="AC363"/>
      <c r="AI363"/>
      <c r="AJ363"/>
      <c r="AK363"/>
      <c r="AL363"/>
      <c r="AM363"/>
      <c r="AP363"/>
      <c r="AQ363"/>
      <c r="AR363"/>
      <c r="AS363" s="180"/>
      <c r="AT363"/>
      <c r="AU363"/>
      <c r="AV363"/>
      <c r="AW363"/>
      <c r="AX363"/>
      <c r="AY363"/>
      <c r="AZ363"/>
      <c r="BA363"/>
      <c r="BB363"/>
      <c r="BC363"/>
      <c r="BD363"/>
      <c r="BE363"/>
      <c r="BJ363"/>
      <c r="BK363"/>
      <c r="BL363"/>
      <c r="BP363"/>
      <c r="BQ363"/>
      <c r="BR363"/>
      <c r="CD363"/>
      <c r="CE363"/>
      <c r="CF363"/>
      <c r="CQ363"/>
      <c r="CR363"/>
      <c r="CS363"/>
      <c r="DQ363"/>
      <c r="DR363"/>
      <c r="DS363"/>
      <c r="DT363"/>
      <c r="DU363"/>
    </row>
    <row r="364" spans="1:125" hidden="1">
      <c r="A364"/>
      <c r="B364"/>
      <c r="C364"/>
      <c r="D364"/>
      <c r="E364"/>
      <c r="G364"/>
      <c r="K364"/>
      <c r="V364"/>
      <c r="AC364"/>
      <c r="AI364"/>
      <c r="AJ364"/>
      <c r="AK364"/>
      <c r="AL364"/>
      <c r="AM364"/>
      <c r="AP364"/>
      <c r="AQ364"/>
      <c r="AR364"/>
      <c r="AS364" s="180"/>
      <c r="AT364"/>
      <c r="AU364"/>
      <c r="AV364"/>
      <c r="AW364"/>
      <c r="AX364"/>
      <c r="AY364"/>
      <c r="AZ364"/>
      <c r="BA364"/>
      <c r="BB364"/>
      <c r="BC364"/>
      <c r="BD364"/>
      <c r="BE364"/>
      <c r="BJ364"/>
      <c r="BK364"/>
      <c r="BL364"/>
      <c r="BP364"/>
      <c r="BQ364"/>
      <c r="BR364"/>
      <c r="CD364"/>
      <c r="CE364"/>
      <c r="CF364"/>
      <c r="CQ364"/>
      <c r="CR364"/>
      <c r="CS364"/>
      <c r="DQ364"/>
      <c r="DR364"/>
      <c r="DS364"/>
      <c r="DT364"/>
      <c r="DU364"/>
    </row>
    <row r="365" spans="1:125" hidden="1">
      <c r="A365"/>
      <c r="B365"/>
      <c r="C365"/>
      <c r="D365"/>
      <c r="E365"/>
      <c r="G365"/>
      <c r="K365"/>
      <c r="V365"/>
      <c r="AC365"/>
      <c r="AI365"/>
      <c r="AJ365"/>
      <c r="AK365"/>
      <c r="AL365"/>
      <c r="AM365"/>
      <c r="AP365"/>
      <c r="AQ365"/>
      <c r="AR365"/>
      <c r="AS365" s="180"/>
      <c r="AT365"/>
      <c r="AU365"/>
      <c r="AV365"/>
      <c r="AW365"/>
      <c r="AX365"/>
      <c r="AY365"/>
      <c r="AZ365"/>
      <c r="BA365"/>
      <c r="BB365"/>
      <c r="BC365"/>
      <c r="BD365"/>
      <c r="BE365"/>
      <c r="BJ365"/>
      <c r="BK365"/>
      <c r="BL365"/>
      <c r="BP365"/>
      <c r="BQ365"/>
      <c r="BR365"/>
      <c r="CD365"/>
      <c r="CE365"/>
      <c r="CF365"/>
      <c r="CQ365"/>
      <c r="CR365"/>
      <c r="CS365"/>
      <c r="DQ365"/>
      <c r="DR365"/>
      <c r="DS365"/>
      <c r="DT365"/>
      <c r="DU365"/>
    </row>
    <row r="366" spans="1:125" hidden="1">
      <c r="A366"/>
      <c r="B366"/>
      <c r="C366"/>
      <c r="D366"/>
      <c r="E366"/>
      <c r="G366"/>
      <c r="K366"/>
      <c r="V366"/>
      <c r="AC366"/>
      <c r="AI366"/>
      <c r="AJ366"/>
      <c r="AK366"/>
      <c r="AL366"/>
      <c r="AM366"/>
      <c r="AP366"/>
      <c r="AQ366"/>
      <c r="AR366"/>
      <c r="AS366" s="180"/>
      <c r="AT366"/>
      <c r="AU366"/>
      <c r="AV366"/>
      <c r="AW366"/>
      <c r="AX366"/>
      <c r="AY366"/>
      <c r="AZ366"/>
      <c r="BA366"/>
      <c r="BB366"/>
      <c r="BC366"/>
      <c r="BD366"/>
      <c r="BE366"/>
      <c r="BJ366"/>
      <c r="BK366"/>
      <c r="BL366"/>
      <c r="BP366"/>
      <c r="BQ366"/>
      <c r="BR366"/>
      <c r="CD366"/>
      <c r="CE366"/>
      <c r="CF366"/>
      <c r="CQ366"/>
      <c r="CR366"/>
      <c r="CS366"/>
      <c r="DQ366"/>
      <c r="DR366"/>
      <c r="DS366"/>
      <c r="DT366"/>
      <c r="DU366"/>
    </row>
    <row r="367" spans="1:125" hidden="1">
      <c r="A367"/>
      <c r="B367"/>
      <c r="C367"/>
      <c r="D367"/>
      <c r="E367"/>
      <c r="G367"/>
      <c r="K367"/>
      <c r="V367"/>
      <c r="AC367"/>
      <c r="AI367"/>
      <c r="AJ367"/>
      <c r="AK367"/>
      <c r="AL367"/>
      <c r="AM367"/>
      <c r="AP367"/>
      <c r="AQ367"/>
      <c r="AR367"/>
      <c r="AS367" s="180"/>
      <c r="AT367"/>
      <c r="AU367"/>
      <c r="AV367"/>
      <c r="AW367"/>
      <c r="AX367"/>
      <c r="AY367"/>
      <c r="AZ367"/>
      <c r="BA367"/>
      <c r="BB367"/>
      <c r="BC367"/>
      <c r="BD367"/>
      <c r="BE367"/>
      <c r="BJ367"/>
      <c r="BK367"/>
      <c r="BL367"/>
      <c r="BP367"/>
      <c r="BQ367"/>
      <c r="BR367"/>
      <c r="CD367"/>
      <c r="CE367"/>
      <c r="CF367"/>
      <c r="CQ367"/>
      <c r="CR367"/>
      <c r="CS367"/>
      <c r="DQ367"/>
      <c r="DR367"/>
      <c r="DS367"/>
      <c r="DT367"/>
      <c r="DU367"/>
    </row>
    <row r="368" spans="1:125" hidden="1">
      <c r="A368"/>
      <c r="B368"/>
      <c r="C368"/>
      <c r="D368"/>
      <c r="E368"/>
      <c r="G368"/>
      <c r="K368"/>
      <c r="V368"/>
      <c r="AC368"/>
      <c r="AI368"/>
      <c r="AJ368"/>
      <c r="AK368"/>
      <c r="AL368"/>
      <c r="AM368"/>
      <c r="AP368"/>
      <c r="AQ368"/>
      <c r="AR368"/>
      <c r="AS368" s="180"/>
      <c r="AT368"/>
      <c r="AU368"/>
      <c r="AV368"/>
      <c r="AW368"/>
      <c r="AX368"/>
      <c r="AY368"/>
      <c r="AZ368"/>
      <c r="BA368"/>
      <c r="BB368"/>
      <c r="BC368"/>
      <c r="BD368"/>
      <c r="BE368"/>
      <c r="BJ368"/>
      <c r="BK368"/>
      <c r="BL368"/>
      <c r="BP368"/>
      <c r="BQ368"/>
      <c r="BR368"/>
      <c r="CD368"/>
      <c r="CE368"/>
      <c r="CF368"/>
      <c r="CQ368"/>
      <c r="CR368"/>
      <c r="CS368"/>
      <c r="DQ368"/>
      <c r="DR368"/>
      <c r="DS368"/>
      <c r="DT368"/>
      <c r="DU368"/>
    </row>
    <row r="369" spans="1:125" hidden="1">
      <c r="A369"/>
      <c r="B369"/>
      <c r="C369"/>
      <c r="D369"/>
      <c r="E369"/>
      <c r="G369"/>
      <c r="K369"/>
      <c r="V369"/>
      <c r="AC369"/>
      <c r="AI369"/>
      <c r="AJ369"/>
      <c r="AK369"/>
      <c r="AL369"/>
      <c r="AM369"/>
      <c r="AP369"/>
      <c r="AQ369"/>
      <c r="AR369"/>
      <c r="AS369" s="180"/>
      <c r="AT369"/>
      <c r="AU369"/>
      <c r="AV369"/>
      <c r="AW369"/>
      <c r="AX369"/>
      <c r="AY369"/>
      <c r="AZ369"/>
      <c r="BA369"/>
      <c r="BB369"/>
      <c r="BC369"/>
      <c r="BD369"/>
      <c r="BE369"/>
      <c r="BJ369"/>
      <c r="BK369"/>
      <c r="BL369"/>
      <c r="BP369"/>
      <c r="BQ369"/>
      <c r="BR369"/>
      <c r="CD369"/>
      <c r="CE369"/>
      <c r="CF369"/>
      <c r="CQ369"/>
      <c r="CR369"/>
      <c r="CS369"/>
      <c r="DQ369"/>
      <c r="DR369"/>
      <c r="DS369"/>
      <c r="DT369"/>
      <c r="DU369"/>
    </row>
    <row r="370" spans="1:125" hidden="1">
      <c r="A370"/>
      <c r="B370"/>
      <c r="C370"/>
      <c r="D370"/>
      <c r="E370"/>
      <c r="G370"/>
      <c r="K370"/>
      <c r="V370"/>
      <c r="AC370"/>
      <c r="AI370"/>
      <c r="AJ370"/>
      <c r="AK370"/>
      <c r="AL370"/>
      <c r="AM370"/>
      <c r="AP370"/>
      <c r="AQ370"/>
      <c r="AR370"/>
      <c r="AS370" s="180"/>
      <c r="AT370"/>
      <c r="AU370"/>
      <c r="AV370"/>
      <c r="AW370"/>
      <c r="AX370"/>
      <c r="AY370"/>
      <c r="AZ370"/>
      <c r="BA370"/>
      <c r="BB370"/>
      <c r="BC370"/>
      <c r="BD370"/>
      <c r="BE370"/>
      <c r="BJ370"/>
      <c r="BK370"/>
      <c r="BL370"/>
      <c r="BP370"/>
      <c r="BQ370"/>
      <c r="BR370"/>
      <c r="CD370"/>
      <c r="CE370"/>
      <c r="CF370"/>
      <c r="CQ370"/>
      <c r="CR370"/>
      <c r="CS370"/>
      <c r="DQ370"/>
      <c r="DR370"/>
      <c r="DS370"/>
      <c r="DT370"/>
      <c r="DU370"/>
    </row>
    <row r="371" spans="1:125" hidden="1">
      <c r="A371"/>
      <c r="B371"/>
      <c r="C371"/>
      <c r="D371"/>
      <c r="E371"/>
      <c r="G371"/>
      <c r="K371"/>
      <c r="V371"/>
      <c r="AC371"/>
      <c r="AI371"/>
      <c r="AJ371"/>
      <c r="AK371"/>
      <c r="AL371"/>
      <c r="AM371"/>
      <c r="AP371"/>
      <c r="AQ371"/>
      <c r="AR371"/>
      <c r="AS371" s="180"/>
      <c r="AT371"/>
      <c r="AU371"/>
      <c r="AV371"/>
      <c r="AW371"/>
      <c r="AX371"/>
      <c r="AY371"/>
      <c r="AZ371"/>
      <c r="BA371"/>
      <c r="BB371"/>
      <c r="BC371"/>
      <c r="BD371"/>
      <c r="BE371"/>
      <c r="BJ371"/>
      <c r="BK371"/>
      <c r="BL371"/>
      <c r="BP371"/>
      <c r="BQ371"/>
      <c r="BR371"/>
      <c r="CD371"/>
      <c r="CE371"/>
      <c r="CF371"/>
      <c r="CQ371"/>
      <c r="CR371"/>
      <c r="CS371"/>
      <c r="DQ371"/>
      <c r="DR371"/>
      <c r="DS371"/>
      <c r="DT371"/>
      <c r="DU371"/>
    </row>
    <row r="372" spans="1:125" hidden="1">
      <c r="A372"/>
      <c r="B372"/>
      <c r="C372"/>
      <c r="D372"/>
      <c r="E372"/>
      <c r="G372"/>
      <c r="K372"/>
      <c r="V372"/>
      <c r="AC372"/>
      <c r="AI372"/>
      <c r="AJ372"/>
      <c r="AK372"/>
      <c r="AL372"/>
      <c r="AM372"/>
      <c r="AP372"/>
      <c r="AQ372"/>
      <c r="AR372"/>
      <c r="AS372" s="180"/>
      <c r="AT372"/>
      <c r="AU372"/>
      <c r="AV372"/>
      <c r="AW372"/>
      <c r="AX372"/>
      <c r="AY372"/>
      <c r="AZ372"/>
      <c r="BA372"/>
      <c r="BB372"/>
      <c r="BC372"/>
      <c r="BD372"/>
      <c r="BE372"/>
      <c r="BJ372"/>
      <c r="BK372"/>
      <c r="BL372"/>
      <c r="BP372"/>
      <c r="BQ372"/>
      <c r="BR372"/>
      <c r="CD372"/>
      <c r="CE372"/>
      <c r="CF372"/>
      <c r="CQ372"/>
      <c r="CR372"/>
      <c r="CS372"/>
      <c r="DQ372"/>
      <c r="DR372"/>
      <c r="DS372"/>
      <c r="DT372"/>
      <c r="DU372"/>
    </row>
    <row r="373" spans="1:125" hidden="1">
      <c r="A373"/>
      <c r="B373"/>
      <c r="C373"/>
      <c r="D373"/>
      <c r="E373"/>
      <c r="G373"/>
      <c r="K373"/>
      <c r="V373"/>
      <c r="AC373"/>
      <c r="AI373"/>
      <c r="AJ373"/>
      <c r="AK373"/>
      <c r="AL373"/>
      <c r="AM373"/>
      <c r="AP373"/>
      <c r="AQ373"/>
      <c r="AR373"/>
      <c r="AS373" s="180"/>
      <c r="AT373"/>
      <c r="AU373"/>
      <c r="AV373"/>
      <c r="AW373"/>
      <c r="AX373"/>
      <c r="AY373"/>
      <c r="AZ373"/>
      <c r="BA373"/>
      <c r="BB373"/>
      <c r="BC373"/>
      <c r="BD373"/>
      <c r="BE373"/>
      <c r="BJ373"/>
      <c r="BK373"/>
      <c r="BL373"/>
      <c r="BP373"/>
      <c r="BQ373"/>
      <c r="BR373"/>
      <c r="CD373"/>
      <c r="CE373"/>
      <c r="CF373"/>
      <c r="CQ373"/>
      <c r="CR373"/>
      <c r="CS373"/>
      <c r="DQ373"/>
      <c r="DR373"/>
      <c r="DS373"/>
      <c r="DT373"/>
      <c r="DU373"/>
    </row>
    <row r="374" spans="1:125" hidden="1">
      <c r="A374"/>
      <c r="B374"/>
      <c r="C374"/>
      <c r="D374"/>
      <c r="E374"/>
      <c r="G374"/>
      <c r="K374"/>
      <c r="V374"/>
      <c r="AC374"/>
      <c r="AI374"/>
      <c r="AJ374"/>
      <c r="AK374"/>
      <c r="AL374"/>
      <c r="AM374"/>
      <c r="AP374"/>
      <c r="AQ374"/>
      <c r="AR374"/>
      <c r="AS374" s="180"/>
      <c r="AT374"/>
      <c r="AU374"/>
      <c r="AV374"/>
      <c r="AW374"/>
      <c r="AX374"/>
      <c r="AY374"/>
      <c r="AZ374"/>
      <c r="BA374"/>
      <c r="BB374"/>
      <c r="BC374"/>
      <c r="BD374"/>
      <c r="BE374"/>
      <c r="BJ374"/>
      <c r="BK374"/>
      <c r="BL374"/>
      <c r="BP374"/>
      <c r="BQ374"/>
      <c r="BR374"/>
      <c r="CD374"/>
      <c r="CE374"/>
      <c r="CF374"/>
      <c r="CQ374"/>
      <c r="CR374"/>
      <c r="CS374"/>
      <c r="DQ374"/>
      <c r="DR374"/>
      <c r="DS374"/>
      <c r="DT374"/>
      <c r="DU374"/>
    </row>
    <row r="375" spans="1:125" hidden="1">
      <c r="A375"/>
      <c r="B375"/>
      <c r="C375"/>
      <c r="D375"/>
      <c r="E375"/>
      <c r="G375"/>
      <c r="K375"/>
      <c r="V375"/>
      <c r="AC375"/>
      <c r="AI375"/>
      <c r="AJ375"/>
      <c r="AK375"/>
      <c r="AL375"/>
      <c r="AM375"/>
      <c r="AP375"/>
      <c r="AQ375"/>
      <c r="AR375"/>
      <c r="AS375" s="180"/>
      <c r="AT375"/>
      <c r="AU375"/>
      <c r="AV375"/>
      <c r="AW375"/>
      <c r="AX375"/>
      <c r="AY375"/>
      <c r="AZ375"/>
      <c r="BA375"/>
      <c r="BB375"/>
      <c r="BC375"/>
      <c r="BD375"/>
      <c r="BE375"/>
      <c r="BJ375"/>
      <c r="BK375"/>
      <c r="BL375"/>
      <c r="BP375"/>
      <c r="BQ375"/>
      <c r="BR375"/>
      <c r="CD375"/>
      <c r="CE375"/>
      <c r="CF375"/>
      <c r="CQ375"/>
      <c r="CR375"/>
      <c r="CS375"/>
      <c r="DQ375"/>
      <c r="DR375"/>
      <c r="DS375"/>
      <c r="DT375"/>
      <c r="DU375"/>
    </row>
    <row r="376" spans="1:125" hidden="1">
      <c r="A376"/>
      <c r="B376"/>
      <c r="C376"/>
      <c r="D376"/>
      <c r="E376"/>
      <c r="G376"/>
      <c r="K376"/>
      <c r="V376"/>
      <c r="AC376"/>
      <c r="AI376"/>
      <c r="AJ376"/>
      <c r="AK376"/>
      <c r="AL376"/>
      <c r="AM376"/>
      <c r="AP376"/>
      <c r="AQ376"/>
      <c r="AR376"/>
      <c r="AS376" s="180"/>
      <c r="AT376"/>
      <c r="AU376"/>
      <c r="AV376"/>
      <c r="AW376"/>
      <c r="AX376"/>
      <c r="AY376"/>
      <c r="AZ376"/>
      <c r="BA376"/>
      <c r="BB376"/>
      <c r="BC376"/>
      <c r="BD376"/>
      <c r="BE376"/>
      <c r="BJ376"/>
      <c r="BK376"/>
      <c r="BL376"/>
      <c r="BP376"/>
      <c r="BQ376"/>
      <c r="BR376"/>
      <c r="CD376"/>
      <c r="CE376"/>
      <c r="CF376"/>
      <c r="CQ376"/>
      <c r="CR376"/>
      <c r="CS376"/>
      <c r="DQ376"/>
      <c r="DR376"/>
      <c r="DS376"/>
      <c r="DT376"/>
      <c r="DU376"/>
    </row>
    <row r="377" spans="1:125" hidden="1">
      <c r="A377"/>
      <c r="B377"/>
      <c r="C377"/>
      <c r="D377"/>
      <c r="E377"/>
      <c r="G377"/>
      <c r="K377"/>
      <c r="V377"/>
      <c r="AC377"/>
      <c r="AI377"/>
      <c r="AJ377"/>
      <c r="AK377"/>
      <c r="AL377"/>
      <c r="AM377"/>
      <c r="AP377"/>
      <c r="AQ377"/>
      <c r="AR377"/>
      <c r="AS377" s="180"/>
      <c r="AT377"/>
      <c r="AU377"/>
      <c r="AV377"/>
      <c r="AW377"/>
      <c r="AX377"/>
      <c r="AY377"/>
      <c r="AZ377"/>
      <c r="BA377"/>
      <c r="BB377"/>
      <c r="BC377"/>
      <c r="BD377"/>
      <c r="BE377"/>
      <c r="BJ377"/>
      <c r="BK377"/>
      <c r="BL377"/>
      <c r="BP377"/>
      <c r="BQ377"/>
      <c r="BR377"/>
      <c r="CD377"/>
      <c r="CE377"/>
      <c r="CF377"/>
      <c r="CQ377"/>
      <c r="CR377"/>
      <c r="CS377"/>
      <c r="DQ377"/>
      <c r="DR377"/>
      <c r="DS377"/>
      <c r="DT377"/>
      <c r="DU377"/>
    </row>
    <row r="378" spans="1:125" hidden="1">
      <c r="A378"/>
      <c r="B378"/>
      <c r="C378"/>
      <c r="D378"/>
      <c r="E378"/>
      <c r="G378"/>
      <c r="K378"/>
      <c r="V378"/>
      <c r="AC378"/>
      <c r="AI378"/>
      <c r="AJ378"/>
      <c r="AK378"/>
      <c r="AL378"/>
      <c r="AM378"/>
      <c r="AP378"/>
      <c r="AQ378"/>
      <c r="AR378"/>
      <c r="AS378" s="180"/>
      <c r="AT378"/>
      <c r="AU378"/>
      <c r="AV378"/>
      <c r="AW378"/>
      <c r="AX378"/>
      <c r="AY378"/>
      <c r="AZ378"/>
      <c r="BA378"/>
      <c r="BB378"/>
      <c r="BC378"/>
      <c r="BD378"/>
      <c r="BE378"/>
      <c r="BJ378"/>
      <c r="BK378"/>
      <c r="BL378"/>
      <c r="BP378"/>
      <c r="BQ378"/>
      <c r="BR378"/>
      <c r="CD378"/>
      <c r="CE378"/>
      <c r="CF378"/>
      <c r="CQ378"/>
      <c r="CR378"/>
      <c r="CS378"/>
      <c r="DQ378"/>
      <c r="DR378"/>
      <c r="DS378"/>
      <c r="DT378"/>
      <c r="DU378"/>
    </row>
    <row r="379" spans="1:125" hidden="1">
      <c r="A379"/>
      <c r="B379"/>
      <c r="C379"/>
      <c r="D379"/>
      <c r="E379"/>
      <c r="G379"/>
      <c r="K379"/>
      <c r="V379"/>
      <c r="AC379"/>
      <c r="AI379"/>
      <c r="AJ379"/>
      <c r="AK379"/>
      <c r="AL379"/>
      <c r="AM379"/>
      <c r="AP379"/>
      <c r="AQ379"/>
      <c r="AR379"/>
      <c r="AS379" s="180"/>
      <c r="AT379"/>
      <c r="AU379"/>
      <c r="AV379"/>
      <c r="AW379"/>
      <c r="AX379"/>
      <c r="AY379"/>
      <c r="AZ379"/>
      <c r="BA379"/>
      <c r="BB379"/>
      <c r="BC379"/>
      <c r="BD379"/>
      <c r="BE379"/>
      <c r="BJ379"/>
      <c r="BK379"/>
      <c r="BL379"/>
      <c r="BP379"/>
      <c r="BQ379"/>
      <c r="BR379"/>
      <c r="CD379"/>
      <c r="CE379"/>
      <c r="CF379"/>
      <c r="CQ379"/>
      <c r="CR379"/>
      <c r="CS379"/>
      <c r="DQ379"/>
      <c r="DR379"/>
      <c r="DS379"/>
      <c r="DT379"/>
      <c r="DU379"/>
    </row>
    <row r="380" spans="1:125" hidden="1">
      <c r="A380"/>
      <c r="B380"/>
      <c r="C380"/>
      <c r="D380"/>
      <c r="E380"/>
      <c r="G380"/>
      <c r="K380"/>
      <c r="V380"/>
      <c r="AC380"/>
      <c r="AI380"/>
      <c r="AJ380"/>
      <c r="AK380"/>
      <c r="AL380"/>
      <c r="AM380"/>
      <c r="AP380"/>
      <c r="AQ380"/>
      <c r="AR380"/>
      <c r="AS380" s="180"/>
      <c r="AT380"/>
      <c r="AU380"/>
      <c r="AV380"/>
      <c r="AW380"/>
      <c r="AX380"/>
      <c r="AY380"/>
      <c r="AZ380"/>
      <c r="BA380"/>
      <c r="BB380"/>
      <c r="BC380"/>
      <c r="BD380"/>
      <c r="BE380"/>
      <c r="BJ380"/>
      <c r="BK380"/>
      <c r="BL380"/>
      <c r="BP380"/>
      <c r="BQ380"/>
      <c r="BR380"/>
      <c r="CD380"/>
      <c r="CE380"/>
      <c r="CF380"/>
      <c r="CQ380"/>
      <c r="CR380"/>
      <c r="CS380"/>
      <c r="DQ380"/>
      <c r="DR380"/>
      <c r="DS380"/>
      <c r="DT380"/>
      <c r="DU380"/>
    </row>
    <row r="381" spans="1:125" hidden="1">
      <c r="A381"/>
      <c r="B381"/>
      <c r="C381"/>
      <c r="D381"/>
      <c r="E381"/>
      <c r="G381"/>
      <c r="K381"/>
      <c r="V381"/>
      <c r="AC381"/>
      <c r="AI381"/>
      <c r="AJ381"/>
      <c r="AK381"/>
      <c r="AL381"/>
      <c r="AM381"/>
      <c r="AP381"/>
      <c r="AQ381"/>
      <c r="AR381"/>
      <c r="AS381" s="180"/>
      <c r="AT381"/>
      <c r="AU381"/>
      <c r="AV381"/>
      <c r="AW381"/>
      <c r="AX381"/>
      <c r="AY381"/>
      <c r="AZ381"/>
      <c r="BA381"/>
      <c r="BB381"/>
      <c r="BC381"/>
      <c r="BD381"/>
      <c r="BE381"/>
      <c r="BJ381"/>
      <c r="BK381"/>
      <c r="BL381"/>
      <c r="BP381"/>
      <c r="BQ381"/>
      <c r="BR381"/>
      <c r="CD381"/>
      <c r="CE381"/>
      <c r="CF381"/>
      <c r="CQ381"/>
      <c r="CR381"/>
      <c r="CS381"/>
      <c r="DQ381"/>
      <c r="DR381"/>
      <c r="DS381"/>
      <c r="DT381"/>
      <c r="DU381"/>
    </row>
    <row r="382" spans="1:125" hidden="1">
      <c r="A382"/>
      <c r="B382"/>
      <c r="C382"/>
      <c r="D382"/>
      <c r="E382"/>
      <c r="G382"/>
      <c r="K382"/>
      <c r="V382"/>
      <c r="AC382"/>
      <c r="AI382"/>
      <c r="AJ382"/>
      <c r="AK382"/>
      <c r="AL382"/>
      <c r="AM382"/>
      <c r="AP382"/>
      <c r="AQ382"/>
      <c r="AR382"/>
      <c r="AS382" s="180"/>
      <c r="AT382"/>
      <c r="AU382"/>
      <c r="AV382"/>
      <c r="AW382"/>
      <c r="AX382"/>
      <c r="AY382"/>
      <c r="AZ382"/>
      <c r="BA382"/>
      <c r="BB382"/>
      <c r="BC382"/>
      <c r="BD382"/>
      <c r="BE382"/>
      <c r="BJ382"/>
      <c r="BK382"/>
      <c r="BL382"/>
      <c r="BP382"/>
      <c r="BQ382"/>
      <c r="BR382"/>
      <c r="CD382"/>
      <c r="CE382"/>
      <c r="CF382"/>
      <c r="CQ382"/>
      <c r="CR382"/>
      <c r="CS382"/>
      <c r="DQ382"/>
      <c r="DR382"/>
      <c r="DS382"/>
      <c r="DT382"/>
      <c r="DU382"/>
    </row>
    <row r="383" spans="1:125" hidden="1">
      <c r="A383"/>
      <c r="B383"/>
      <c r="C383"/>
      <c r="D383"/>
      <c r="E383"/>
      <c r="G383"/>
      <c r="K383"/>
      <c r="V383"/>
      <c r="AC383"/>
      <c r="AI383"/>
      <c r="AJ383"/>
      <c r="AK383"/>
      <c r="AL383"/>
      <c r="AM383"/>
      <c r="AP383"/>
      <c r="AQ383"/>
      <c r="AR383"/>
      <c r="AS383" s="180"/>
      <c r="AT383"/>
      <c r="AU383"/>
      <c r="AV383"/>
      <c r="AW383"/>
      <c r="AX383"/>
      <c r="AY383"/>
      <c r="AZ383"/>
      <c r="BA383"/>
      <c r="BB383"/>
      <c r="BC383"/>
      <c r="BD383"/>
      <c r="BE383"/>
      <c r="BJ383"/>
      <c r="BK383"/>
      <c r="BL383"/>
      <c r="BP383"/>
      <c r="BQ383"/>
      <c r="BR383"/>
      <c r="CD383"/>
      <c r="CE383"/>
      <c r="CF383"/>
      <c r="CQ383"/>
      <c r="CR383"/>
      <c r="CS383"/>
      <c r="DQ383"/>
      <c r="DR383"/>
      <c r="DS383"/>
      <c r="DT383"/>
      <c r="DU383"/>
    </row>
    <row r="384" spans="1:125" hidden="1">
      <c r="A384"/>
      <c r="B384"/>
      <c r="C384"/>
      <c r="D384"/>
      <c r="E384"/>
      <c r="G384"/>
      <c r="K384"/>
      <c r="V384"/>
      <c r="AC384"/>
      <c r="AI384"/>
      <c r="AJ384"/>
      <c r="AK384"/>
      <c r="AL384"/>
      <c r="AM384"/>
      <c r="AP384"/>
      <c r="AQ384"/>
      <c r="AR384"/>
      <c r="AS384" s="180"/>
      <c r="AT384"/>
      <c r="AU384"/>
      <c r="AV384"/>
      <c r="AW384"/>
      <c r="AX384"/>
      <c r="AY384"/>
      <c r="AZ384"/>
      <c r="BA384"/>
      <c r="BB384"/>
      <c r="BC384"/>
      <c r="BD384"/>
      <c r="BE384"/>
      <c r="BJ384"/>
      <c r="BK384"/>
      <c r="BL384"/>
      <c r="BP384"/>
      <c r="BQ384"/>
      <c r="BR384"/>
      <c r="CD384"/>
      <c r="CE384"/>
      <c r="CF384"/>
      <c r="CQ384"/>
      <c r="CR384"/>
      <c r="CS384"/>
      <c r="DQ384"/>
      <c r="DR384"/>
      <c r="DS384"/>
      <c r="DT384"/>
      <c r="DU384"/>
    </row>
    <row r="385" spans="1:125" hidden="1">
      <c r="A385"/>
      <c r="B385"/>
      <c r="C385"/>
      <c r="D385"/>
      <c r="E385"/>
      <c r="G385"/>
      <c r="K385"/>
      <c r="V385"/>
      <c r="AC385"/>
      <c r="AI385"/>
      <c r="AJ385"/>
      <c r="AK385"/>
      <c r="AL385"/>
      <c r="AM385"/>
      <c r="AP385"/>
      <c r="AQ385"/>
      <c r="AR385"/>
      <c r="AS385" s="180"/>
      <c r="AT385"/>
      <c r="AU385"/>
      <c r="AV385"/>
      <c r="AW385"/>
      <c r="AX385"/>
      <c r="AY385"/>
      <c r="AZ385"/>
      <c r="BA385"/>
      <c r="BB385"/>
      <c r="BC385"/>
      <c r="BD385"/>
      <c r="BE385"/>
      <c r="BJ385"/>
      <c r="BK385"/>
      <c r="BL385"/>
      <c r="BP385"/>
      <c r="BQ385"/>
      <c r="BR385"/>
      <c r="CD385"/>
      <c r="CE385"/>
      <c r="CF385"/>
      <c r="CQ385"/>
      <c r="CR385"/>
      <c r="CS385"/>
      <c r="DQ385"/>
      <c r="DR385"/>
      <c r="DS385"/>
      <c r="DT385"/>
      <c r="DU385"/>
    </row>
    <row r="386" spans="1:125" hidden="1">
      <c r="A386"/>
      <c r="B386"/>
      <c r="C386"/>
      <c r="D386"/>
      <c r="E386"/>
      <c r="G386"/>
      <c r="K386"/>
      <c r="V386"/>
      <c r="AC386"/>
      <c r="AI386"/>
      <c r="AJ386"/>
      <c r="AK386"/>
      <c r="AL386"/>
      <c r="AM386"/>
      <c r="AP386"/>
      <c r="AQ386"/>
      <c r="AR386"/>
      <c r="AS386" s="180"/>
      <c r="AT386"/>
      <c r="AU386"/>
      <c r="AV386"/>
      <c r="AW386"/>
      <c r="AX386"/>
      <c r="AY386"/>
      <c r="AZ386"/>
      <c r="BA386"/>
      <c r="BB386"/>
      <c r="BC386"/>
      <c r="BD386"/>
      <c r="BE386"/>
      <c r="BJ386"/>
      <c r="BK386"/>
      <c r="BL386"/>
      <c r="BP386"/>
      <c r="BQ386"/>
      <c r="BR386"/>
      <c r="CD386"/>
      <c r="CE386"/>
      <c r="CF386"/>
      <c r="CQ386"/>
      <c r="CR386"/>
      <c r="CS386"/>
      <c r="DQ386"/>
      <c r="DR386"/>
      <c r="DS386"/>
      <c r="DT386"/>
      <c r="DU386"/>
    </row>
    <row r="387" spans="1:125" hidden="1">
      <c r="A387"/>
      <c r="B387"/>
      <c r="C387"/>
      <c r="D387"/>
      <c r="E387"/>
      <c r="G387"/>
      <c r="K387"/>
      <c r="V387"/>
      <c r="AC387"/>
      <c r="AI387"/>
      <c r="AJ387"/>
      <c r="AK387"/>
      <c r="AL387"/>
      <c r="AM387"/>
      <c r="AP387"/>
      <c r="AQ387"/>
      <c r="AR387"/>
      <c r="AS387" s="180"/>
      <c r="AT387"/>
      <c r="AU387"/>
      <c r="AV387"/>
      <c r="AW387"/>
      <c r="AX387"/>
      <c r="AY387"/>
      <c r="AZ387"/>
      <c r="BA387"/>
      <c r="BB387"/>
      <c r="BC387"/>
      <c r="BD387"/>
      <c r="BE387"/>
      <c r="BJ387"/>
      <c r="BK387"/>
      <c r="BL387"/>
      <c r="BP387"/>
      <c r="BQ387"/>
      <c r="BR387"/>
      <c r="CD387"/>
      <c r="CE387"/>
      <c r="CF387"/>
      <c r="CQ387"/>
      <c r="CR387"/>
      <c r="CS387"/>
      <c r="DQ387"/>
      <c r="DR387"/>
      <c r="DS387"/>
      <c r="DT387"/>
      <c r="DU387"/>
    </row>
    <row r="388" spans="1:125" hidden="1">
      <c r="A388"/>
      <c r="B388"/>
      <c r="C388"/>
      <c r="D388"/>
      <c r="E388"/>
      <c r="G388"/>
      <c r="K388"/>
      <c r="V388"/>
      <c r="AC388"/>
      <c r="AI388"/>
      <c r="AJ388"/>
      <c r="AK388"/>
      <c r="AL388"/>
      <c r="AM388"/>
      <c r="AP388"/>
      <c r="AQ388"/>
      <c r="AR388"/>
      <c r="AS388" s="180"/>
      <c r="AT388"/>
      <c r="AU388"/>
      <c r="AV388"/>
      <c r="AW388"/>
      <c r="AX388"/>
      <c r="AY388"/>
      <c r="AZ388"/>
      <c r="BA388"/>
      <c r="BB388"/>
      <c r="BC388"/>
      <c r="BD388"/>
      <c r="BE388"/>
      <c r="BJ388"/>
      <c r="BK388"/>
      <c r="BL388"/>
      <c r="BP388"/>
      <c r="BQ388"/>
      <c r="BR388"/>
      <c r="CD388"/>
      <c r="CE388"/>
      <c r="CF388"/>
      <c r="CQ388"/>
      <c r="CR388"/>
      <c r="CS388"/>
      <c r="DQ388"/>
      <c r="DR388"/>
      <c r="DS388"/>
      <c r="DT388"/>
      <c r="DU388"/>
    </row>
    <row r="389" spans="1:125" hidden="1">
      <c r="A389"/>
      <c r="B389"/>
      <c r="C389"/>
      <c r="D389"/>
      <c r="E389"/>
      <c r="G389"/>
      <c r="K389"/>
      <c r="V389"/>
      <c r="AC389"/>
      <c r="AI389"/>
      <c r="AJ389"/>
      <c r="AK389"/>
      <c r="AL389"/>
      <c r="AM389"/>
      <c r="AP389"/>
      <c r="AQ389"/>
      <c r="AR389"/>
      <c r="AS389" s="180"/>
      <c r="AT389"/>
      <c r="AU389"/>
      <c r="AV389"/>
      <c r="AW389"/>
      <c r="AX389"/>
      <c r="AY389"/>
      <c r="AZ389"/>
      <c r="BA389"/>
      <c r="BB389"/>
      <c r="BC389"/>
      <c r="BD389"/>
      <c r="BE389"/>
      <c r="BJ389"/>
      <c r="BK389"/>
      <c r="BL389"/>
      <c r="BP389"/>
      <c r="BQ389"/>
      <c r="BR389"/>
      <c r="CD389"/>
      <c r="CE389"/>
      <c r="CF389"/>
      <c r="CQ389"/>
      <c r="CR389"/>
      <c r="CS389"/>
      <c r="DQ389"/>
      <c r="DR389"/>
      <c r="DS389"/>
      <c r="DT389"/>
      <c r="DU389"/>
    </row>
    <row r="390" spans="1:125" hidden="1">
      <c r="A390"/>
      <c r="B390"/>
      <c r="C390"/>
      <c r="D390"/>
      <c r="E390"/>
      <c r="G390"/>
      <c r="K390"/>
      <c r="V390"/>
      <c r="AC390"/>
      <c r="AI390"/>
      <c r="AJ390"/>
      <c r="AK390"/>
      <c r="AL390"/>
      <c r="AM390"/>
      <c r="AP390"/>
      <c r="AQ390"/>
      <c r="AR390"/>
      <c r="AS390" s="180"/>
      <c r="AT390"/>
      <c r="AU390"/>
      <c r="AV390"/>
      <c r="AW390"/>
      <c r="AX390"/>
      <c r="AY390"/>
      <c r="AZ390"/>
      <c r="BA390"/>
      <c r="BB390"/>
      <c r="BC390"/>
      <c r="BD390"/>
      <c r="BE390"/>
      <c r="BJ390"/>
      <c r="BK390"/>
      <c r="BL390"/>
      <c r="BP390"/>
      <c r="BQ390"/>
      <c r="BR390"/>
      <c r="CD390"/>
      <c r="CE390"/>
      <c r="CF390"/>
      <c r="CQ390"/>
      <c r="CR390"/>
      <c r="CS390"/>
      <c r="DQ390"/>
      <c r="DR390"/>
      <c r="DS390"/>
      <c r="DT390"/>
      <c r="DU390"/>
    </row>
    <row r="391" spans="1:125" hidden="1">
      <c r="A391"/>
      <c r="B391"/>
      <c r="C391"/>
      <c r="D391"/>
      <c r="E391"/>
      <c r="G391"/>
      <c r="K391"/>
      <c r="V391"/>
      <c r="AC391"/>
      <c r="AI391"/>
      <c r="AJ391"/>
      <c r="AK391"/>
      <c r="AL391"/>
      <c r="AM391"/>
      <c r="AP391"/>
      <c r="AQ391"/>
      <c r="AR391"/>
      <c r="AS391" s="180"/>
      <c r="AT391"/>
      <c r="AU391"/>
      <c r="AV391"/>
      <c r="AW391"/>
      <c r="AX391"/>
      <c r="AY391"/>
      <c r="AZ391"/>
      <c r="BA391"/>
      <c r="BB391"/>
      <c r="BC391"/>
      <c r="BD391"/>
      <c r="BE391"/>
      <c r="BJ391"/>
      <c r="BK391"/>
      <c r="BL391"/>
      <c r="BP391"/>
      <c r="BQ391"/>
      <c r="BR391"/>
      <c r="CD391"/>
      <c r="CE391"/>
      <c r="CF391"/>
      <c r="CQ391"/>
      <c r="CR391"/>
      <c r="CS391"/>
      <c r="DQ391"/>
      <c r="DR391"/>
      <c r="DS391"/>
      <c r="DT391"/>
      <c r="DU391"/>
    </row>
    <row r="392" spans="1:125" hidden="1">
      <c r="A392"/>
      <c r="B392"/>
      <c r="C392"/>
      <c r="D392"/>
      <c r="E392"/>
      <c r="G392"/>
      <c r="K392"/>
      <c r="V392"/>
      <c r="AC392"/>
      <c r="AI392"/>
      <c r="AJ392"/>
      <c r="AK392"/>
      <c r="AL392"/>
      <c r="AM392"/>
      <c r="AP392"/>
      <c r="AQ392"/>
      <c r="AR392"/>
      <c r="AS392" s="180"/>
      <c r="AT392"/>
      <c r="AU392"/>
      <c r="AV392"/>
      <c r="AW392"/>
      <c r="AX392"/>
      <c r="AY392"/>
      <c r="AZ392"/>
      <c r="BA392"/>
      <c r="BB392"/>
      <c r="BC392"/>
      <c r="BD392"/>
      <c r="BE392"/>
      <c r="BJ392"/>
      <c r="BK392"/>
      <c r="BL392"/>
      <c r="BP392"/>
      <c r="BQ392"/>
      <c r="BR392"/>
      <c r="CD392"/>
      <c r="CE392"/>
      <c r="CF392"/>
      <c r="CQ392"/>
      <c r="CR392"/>
      <c r="CS392"/>
      <c r="DQ392"/>
      <c r="DR392"/>
      <c r="DS392"/>
      <c r="DT392"/>
      <c r="DU392"/>
    </row>
    <row r="393" spans="1:125" hidden="1">
      <c r="A393"/>
      <c r="B393"/>
      <c r="C393"/>
      <c r="D393"/>
      <c r="E393"/>
      <c r="G393"/>
      <c r="K393"/>
      <c r="V393"/>
      <c r="AC393"/>
      <c r="AI393"/>
      <c r="AJ393"/>
      <c r="AK393"/>
      <c r="AL393"/>
      <c r="AM393"/>
      <c r="AP393"/>
      <c r="AQ393"/>
      <c r="AR393"/>
      <c r="AS393" s="180"/>
      <c r="AT393"/>
      <c r="AU393"/>
      <c r="AV393"/>
      <c r="AW393"/>
      <c r="AX393"/>
      <c r="AY393"/>
      <c r="AZ393"/>
      <c r="BA393"/>
      <c r="BB393"/>
      <c r="BC393"/>
      <c r="BD393"/>
      <c r="BE393"/>
      <c r="BJ393"/>
      <c r="BK393"/>
      <c r="BL393"/>
      <c r="BP393"/>
      <c r="BQ393"/>
      <c r="BR393"/>
      <c r="CD393"/>
      <c r="CE393"/>
      <c r="CF393"/>
      <c r="CQ393"/>
      <c r="CR393"/>
      <c r="CS393"/>
      <c r="DQ393"/>
      <c r="DR393"/>
      <c r="DS393"/>
      <c r="DT393"/>
      <c r="DU393"/>
    </row>
    <row r="394" spans="1:125" hidden="1">
      <c r="A394"/>
      <c r="B394"/>
      <c r="C394"/>
      <c r="D394"/>
      <c r="E394"/>
      <c r="G394"/>
      <c r="K394"/>
      <c r="V394"/>
      <c r="AC394"/>
      <c r="AI394"/>
      <c r="AJ394"/>
      <c r="AK394"/>
      <c r="AL394"/>
      <c r="AM394"/>
      <c r="AP394"/>
      <c r="AQ394"/>
      <c r="AR394"/>
      <c r="AS394" s="180"/>
      <c r="AT394"/>
      <c r="AU394"/>
      <c r="AV394"/>
      <c r="AW394"/>
      <c r="AX394"/>
      <c r="AY394"/>
      <c r="AZ394"/>
      <c r="BA394"/>
      <c r="BB394"/>
      <c r="BC394"/>
      <c r="BD394"/>
      <c r="BE394"/>
      <c r="BJ394"/>
      <c r="BK394"/>
      <c r="BL394"/>
      <c r="BP394"/>
      <c r="BQ394"/>
      <c r="BR394"/>
      <c r="CD394"/>
      <c r="CE394"/>
      <c r="CF394"/>
      <c r="CQ394"/>
      <c r="CR394"/>
      <c r="CS394"/>
      <c r="DQ394"/>
      <c r="DR394"/>
      <c r="DS394"/>
      <c r="DT394"/>
      <c r="DU394"/>
    </row>
    <row r="395" spans="1:125" hidden="1">
      <c r="A395"/>
      <c r="B395"/>
      <c r="C395"/>
      <c r="D395"/>
      <c r="E395"/>
      <c r="G395"/>
      <c r="K395"/>
      <c r="V395"/>
      <c r="AC395"/>
      <c r="AI395"/>
      <c r="AJ395"/>
      <c r="AK395"/>
      <c r="AL395"/>
      <c r="AM395"/>
      <c r="AP395"/>
      <c r="AQ395"/>
      <c r="AR395"/>
      <c r="AS395" s="180"/>
      <c r="AT395"/>
      <c r="AU395"/>
      <c r="AV395"/>
      <c r="AW395"/>
      <c r="AX395"/>
      <c r="AY395"/>
      <c r="AZ395"/>
      <c r="BA395"/>
      <c r="BB395"/>
      <c r="BC395"/>
      <c r="BD395"/>
      <c r="BE395"/>
      <c r="BJ395"/>
      <c r="BK395"/>
      <c r="BL395"/>
      <c r="BP395"/>
      <c r="BQ395"/>
      <c r="BR395"/>
      <c r="CD395"/>
      <c r="CE395"/>
      <c r="CF395"/>
      <c r="CQ395"/>
      <c r="CR395"/>
      <c r="CS395"/>
      <c r="DQ395"/>
      <c r="DR395"/>
      <c r="DS395"/>
      <c r="DT395"/>
      <c r="DU395"/>
    </row>
    <row r="396" spans="1:125" hidden="1">
      <c r="A396"/>
      <c r="B396"/>
      <c r="C396"/>
      <c r="D396"/>
      <c r="E396"/>
      <c r="G396"/>
      <c r="K396"/>
      <c r="V396"/>
      <c r="AC396"/>
      <c r="AI396"/>
      <c r="AJ396"/>
      <c r="AK396"/>
      <c r="AL396"/>
      <c r="AM396"/>
      <c r="AP396"/>
      <c r="AQ396"/>
      <c r="AR396"/>
      <c r="AS396" s="180"/>
      <c r="AT396"/>
      <c r="AU396"/>
      <c r="AV396"/>
      <c r="AW396"/>
      <c r="AX396"/>
      <c r="AY396"/>
      <c r="AZ396"/>
      <c r="BA396"/>
      <c r="BB396"/>
      <c r="BC396"/>
      <c r="BD396"/>
      <c r="BE396"/>
      <c r="BJ396"/>
      <c r="BK396"/>
      <c r="BL396"/>
      <c r="BP396"/>
      <c r="BQ396"/>
      <c r="BR396"/>
      <c r="CD396"/>
      <c r="CE396"/>
      <c r="CF396"/>
      <c r="CQ396"/>
      <c r="CR396"/>
      <c r="CS396"/>
      <c r="DQ396"/>
      <c r="DR396"/>
      <c r="DS396"/>
      <c r="DT396"/>
      <c r="DU396"/>
    </row>
    <row r="397" spans="1:125" hidden="1">
      <c r="A397"/>
      <c r="B397"/>
      <c r="C397"/>
      <c r="D397"/>
      <c r="E397"/>
      <c r="G397"/>
      <c r="K397"/>
      <c r="V397"/>
      <c r="AC397"/>
      <c r="AI397"/>
      <c r="AJ397"/>
      <c r="AK397"/>
      <c r="AL397"/>
      <c r="AM397"/>
      <c r="AP397"/>
      <c r="AQ397"/>
      <c r="AR397"/>
      <c r="AS397" s="180"/>
      <c r="AT397"/>
      <c r="AU397"/>
      <c r="AV397"/>
      <c r="AW397"/>
      <c r="AX397"/>
      <c r="AY397"/>
      <c r="AZ397"/>
      <c r="BA397"/>
      <c r="BB397"/>
      <c r="BC397"/>
      <c r="BD397"/>
      <c r="BE397"/>
      <c r="BJ397"/>
      <c r="BK397"/>
      <c r="BL397"/>
      <c r="BP397"/>
      <c r="BQ397"/>
      <c r="BR397"/>
      <c r="CD397"/>
      <c r="CE397"/>
      <c r="CF397"/>
      <c r="CQ397"/>
      <c r="CR397"/>
      <c r="CS397"/>
      <c r="DQ397"/>
      <c r="DR397"/>
      <c r="DS397"/>
      <c r="DT397"/>
      <c r="DU397"/>
    </row>
    <row r="398" spans="1:125" hidden="1">
      <c r="A398"/>
      <c r="B398"/>
      <c r="C398"/>
      <c r="D398"/>
      <c r="E398"/>
      <c r="G398"/>
      <c r="K398"/>
      <c r="V398"/>
      <c r="AC398"/>
      <c r="AI398"/>
      <c r="AJ398"/>
      <c r="AK398"/>
      <c r="AL398"/>
      <c r="AM398"/>
      <c r="AP398"/>
      <c r="AQ398"/>
      <c r="AR398"/>
      <c r="AS398" s="180"/>
      <c r="AT398"/>
      <c r="AU398"/>
      <c r="AV398"/>
      <c r="AW398"/>
      <c r="AX398"/>
      <c r="AY398"/>
      <c r="AZ398"/>
      <c r="BA398"/>
      <c r="BB398"/>
      <c r="BC398"/>
      <c r="BD398"/>
      <c r="BE398"/>
      <c r="BJ398"/>
      <c r="BK398"/>
      <c r="BL398"/>
      <c r="BP398"/>
      <c r="BQ398"/>
      <c r="BR398"/>
      <c r="CD398"/>
      <c r="CE398"/>
      <c r="CF398"/>
      <c r="CQ398"/>
      <c r="CR398"/>
      <c r="CS398"/>
      <c r="DQ398"/>
      <c r="DR398"/>
      <c r="DS398"/>
      <c r="DT398"/>
      <c r="DU398"/>
    </row>
    <row r="399" spans="1:125" hidden="1">
      <c r="A399"/>
      <c r="B399"/>
      <c r="C399"/>
      <c r="D399"/>
      <c r="E399"/>
      <c r="G399"/>
      <c r="K399"/>
      <c r="V399"/>
      <c r="AC399"/>
      <c r="AI399"/>
      <c r="AJ399"/>
      <c r="AK399"/>
      <c r="AL399"/>
      <c r="AM399"/>
      <c r="AP399"/>
      <c r="AQ399"/>
      <c r="AR399"/>
      <c r="AS399" s="180"/>
      <c r="AT399"/>
      <c r="AU399"/>
      <c r="AV399"/>
      <c r="AW399"/>
      <c r="AX399"/>
      <c r="AY399"/>
      <c r="AZ399"/>
      <c r="BA399"/>
      <c r="BB399"/>
      <c r="BC399"/>
      <c r="BD399"/>
      <c r="BE399"/>
      <c r="BJ399"/>
      <c r="BK399"/>
      <c r="BL399"/>
      <c r="BP399"/>
      <c r="BQ399"/>
      <c r="BR399"/>
      <c r="CD399"/>
      <c r="CE399"/>
      <c r="CF399"/>
      <c r="CQ399"/>
      <c r="CR399"/>
      <c r="CS399"/>
      <c r="DQ399"/>
      <c r="DR399"/>
      <c r="DS399"/>
      <c r="DT399"/>
      <c r="DU399"/>
    </row>
    <row r="400" spans="1:125" hidden="1">
      <c r="A400"/>
      <c r="B400"/>
      <c r="C400"/>
      <c r="D400"/>
      <c r="E400"/>
      <c r="G400"/>
      <c r="K400"/>
      <c r="V400"/>
      <c r="AC400"/>
      <c r="AI400"/>
      <c r="AJ400"/>
      <c r="AK400"/>
      <c r="AL400"/>
      <c r="AM400"/>
      <c r="AP400"/>
      <c r="AQ400"/>
      <c r="AR400"/>
      <c r="AS400" s="180"/>
      <c r="AT400"/>
      <c r="AU400"/>
      <c r="AV400"/>
      <c r="AW400"/>
      <c r="AX400"/>
      <c r="AY400"/>
      <c r="AZ400"/>
      <c r="BA400"/>
      <c r="BB400"/>
      <c r="BC400"/>
      <c r="BD400"/>
      <c r="BE400"/>
      <c r="BJ400"/>
      <c r="BK400"/>
      <c r="BL400"/>
      <c r="BP400"/>
      <c r="BQ400"/>
      <c r="BR400"/>
      <c r="CD400"/>
      <c r="CE400"/>
      <c r="CF400"/>
      <c r="CQ400"/>
      <c r="CR400"/>
      <c r="CS400"/>
      <c r="DQ400"/>
      <c r="DR400"/>
      <c r="DS400"/>
      <c r="DT400"/>
      <c r="DU400"/>
    </row>
    <row r="401" spans="1:125">
      <c r="A401"/>
      <c r="B401"/>
      <c r="C401"/>
      <c r="D401"/>
      <c r="E401"/>
      <c r="G401"/>
      <c r="K401"/>
      <c r="V401"/>
      <c r="AC401"/>
      <c r="AI401"/>
      <c r="AJ401"/>
      <c r="AK401"/>
      <c r="AL401"/>
      <c r="AM401"/>
      <c r="AP401"/>
      <c r="AQ401"/>
      <c r="AR401"/>
      <c r="AS401" s="180"/>
      <c r="AT401"/>
      <c r="AU401"/>
      <c r="AV401"/>
      <c r="AW401"/>
      <c r="AX401"/>
      <c r="AY401"/>
      <c r="AZ401"/>
      <c r="BA401"/>
      <c r="BB401"/>
      <c r="BC401"/>
      <c r="BD401"/>
      <c r="BE401"/>
      <c r="BJ401"/>
      <c r="BK401"/>
      <c r="BL401"/>
      <c r="BP401"/>
      <c r="BQ401"/>
      <c r="BR401"/>
      <c r="CD401"/>
      <c r="CE401"/>
      <c r="CF401"/>
      <c r="CQ401"/>
      <c r="CR401"/>
      <c r="CS401"/>
      <c r="DQ401"/>
      <c r="DR401"/>
      <c r="DS401"/>
      <c r="DT401"/>
      <c r="DU401"/>
    </row>
    <row r="402" spans="1:125">
      <c r="A402"/>
      <c r="B402"/>
      <c r="C402"/>
      <c r="D402"/>
      <c r="E402"/>
      <c r="G402"/>
      <c r="K402"/>
      <c r="V402"/>
      <c r="AC402"/>
      <c r="AI402"/>
      <c r="AJ402"/>
      <c r="AK402"/>
      <c r="AL402"/>
      <c r="AM402"/>
      <c r="AP402"/>
      <c r="AQ402"/>
      <c r="AR402"/>
      <c r="AS402" s="180"/>
      <c r="AT402"/>
      <c r="AU402"/>
      <c r="AV402"/>
      <c r="AW402"/>
      <c r="AX402"/>
      <c r="AY402"/>
      <c r="AZ402"/>
      <c r="BA402"/>
      <c r="BB402"/>
      <c r="BC402"/>
      <c r="BD402"/>
      <c r="BE402"/>
      <c r="BJ402"/>
      <c r="BK402"/>
      <c r="BL402"/>
      <c r="BP402"/>
      <c r="BQ402"/>
      <c r="BR402"/>
      <c r="CD402"/>
      <c r="CE402"/>
      <c r="CF402"/>
      <c r="CQ402"/>
      <c r="CR402"/>
      <c r="CS402"/>
      <c r="DQ402"/>
      <c r="DR402"/>
      <c r="DS402"/>
      <c r="DT402"/>
      <c r="DU402"/>
    </row>
    <row r="403" spans="1:125">
      <c r="A403"/>
      <c r="B403"/>
      <c r="C403"/>
      <c r="D403"/>
      <c r="E403"/>
      <c r="G403"/>
      <c r="K403"/>
      <c r="V403"/>
      <c r="AC403"/>
      <c r="AI403"/>
      <c r="AJ403"/>
      <c r="AK403"/>
      <c r="AL403"/>
      <c r="AM403"/>
      <c r="AP403"/>
      <c r="AQ403"/>
      <c r="AR403"/>
      <c r="AS403" s="180"/>
      <c r="AT403"/>
      <c r="AU403"/>
      <c r="AV403"/>
      <c r="AW403"/>
      <c r="AX403"/>
      <c r="AY403"/>
      <c r="AZ403"/>
      <c r="BA403"/>
      <c r="BB403"/>
      <c r="BC403"/>
      <c r="BD403"/>
      <c r="BE403"/>
      <c r="BJ403"/>
      <c r="BK403"/>
      <c r="BL403"/>
      <c r="BP403"/>
      <c r="BQ403"/>
      <c r="BR403"/>
      <c r="CD403"/>
      <c r="CE403"/>
      <c r="CF403"/>
      <c r="CQ403"/>
      <c r="CR403"/>
      <c r="CS403"/>
      <c r="DQ403"/>
      <c r="DR403"/>
      <c r="DS403"/>
      <c r="DT403"/>
      <c r="DU403"/>
    </row>
    <row r="404" spans="1:125">
      <c r="A404"/>
      <c r="B404"/>
      <c r="C404"/>
      <c r="D404"/>
      <c r="E404"/>
      <c r="G404"/>
      <c r="K404"/>
      <c r="V404"/>
      <c r="AC404"/>
      <c r="AI404"/>
      <c r="AJ404"/>
      <c r="AK404"/>
      <c r="AL404"/>
      <c r="AM404"/>
      <c r="AP404"/>
      <c r="AQ404"/>
      <c r="AR404"/>
      <c r="AS404" s="180"/>
      <c r="AT404"/>
      <c r="AU404"/>
      <c r="AV404"/>
      <c r="AW404"/>
      <c r="AX404"/>
      <c r="AY404"/>
      <c r="AZ404"/>
      <c r="BA404"/>
      <c r="BB404"/>
      <c r="BC404"/>
      <c r="BD404"/>
      <c r="BE404"/>
      <c r="BJ404"/>
      <c r="BK404"/>
      <c r="BL404"/>
      <c r="BP404"/>
      <c r="BQ404"/>
      <c r="BR404"/>
      <c r="CD404"/>
      <c r="CE404"/>
      <c r="CF404"/>
      <c r="CQ404"/>
      <c r="CR404"/>
      <c r="CS404"/>
      <c r="DQ404"/>
      <c r="DR404"/>
      <c r="DS404"/>
      <c r="DT404"/>
      <c r="DU404"/>
    </row>
    <row r="405" spans="1:125">
      <c r="A405"/>
      <c r="B405"/>
      <c r="C405"/>
      <c r="D405"/>
      <c r="E405"/>
      <c r="G405"/>
      <c r="K405"/>
      <c r="V405"/>
      <c r="AC405"/>
      <c r="AI405"/>
      <c r="AJ405"/>
      <c r="AK405"/>
      <c r="AL405"/>
      <c r="AM405"/>
      <c r="AP405"/>
      <c r="AQ405"/>
      <c r="AR405"/>
      <c r="AS405" s="180"/>
      <c r="AT405"/>
      <c r="AU405"/>
      <c r="AV405"/>
      <c r="AW405"/>
      <c r="AX405"/>
      <c r="AY405"/>
      <c r="AZ405"/>
      <c r="BA405"/>
      <c r="BB405"/>
      <c r="BC405"/>
      <c r="BD405"/>
      <c r="BE405"/>
      <c r="BJ405"/>
      <c r="BK405"/>
      <c r="BL405"/>
      <c r="BP405"/>
      <c r="BQ405"/>
      <c r="BR405"/>
      <c r="CD405"/>
      <c r="CE405"/>
      <c r="CF405"/>
      <c r="CQ405"/>
      <c r="CR405"/>
      <c r="CS405"/>
      <c r="DQ405"/>
      <c r="DR405"/>
      <c r="DS405"/>
      <c r="DT405"/>
      <c r="DU405"/>
    </row>
    <row r="406" spans="1:125">
      <c r="A406"/>
      <c r="B406"/>
      <c r="C406"/>
      <c r="D406"/>
      <c r="E406"/>
      <c r="G406"/>
      <c r="K406"/>
      <c r="V406"/>
      <c r="AC406"/>
      <c r="AI406"/>
      <c r="AJ406"/>
      <c r="AK406"/>
      <c r="AL406"/>
      <c r="AM406"/>
      <c r="AP406"/>
      <c r="AQ406"/>
      <c r="AR406"/>
      <c r="AS406" s="180"/>
      <c r="AT406"/>
      <c r="AU406"/>
      <c r="AV406"/>
      <c r="AW406"/>
      <c r="AX406"/>
      <c r="AY406"/>
      <c r="AZ406"/>
      <c r="BA406"/>
      <c r="BB406"/>
      <c r="BC406"/>
      <c r="BD406"/>
      <c r="BE406"/>
      <c r="BJ406"/>
      <c r="BK406"/>
      <c r="BL406"/>
      <c r="BP406"/>
      <c r="BQ406"/>
      <c r="BR406"/>
      <c r="CD406"/>
      <c r="CE406"/>
      <c r="CF406"/>
      <c r="CQ406"/>
      <c r="CR406"/>
      <c r="CS406"/>
      <c r="DQ406"/>
      <c r="DR406"/>
      <c r="DS406"/>
      <c r="DT406"/>
      <c r="DU406"/>
    </row>
    <row r="407" spans="1:125">
      <c r="A407"/>
      <c r="B407"/>
      <c r="C407"/>
      <c r="D407"/>
      <c r="E407"/>
      <c r="G407"/>
      <c r="K407"/>
      <c r="V407"/>
      <c r="AC407"/>
      <c r="AI407"/>
      <c r="AJ407"/>
      <c r="AK407"/>
      <c r="AL407"/>
      <c r="AM407"/>
      <c r="AP407"/>
      <c r="AQ407"/>
      <c r="AR407"/>
      <c r="AS407" s="180"/>
      <c r="AT407"/>
      <c r="AU407"/>
      <c r="AV407"/>
      <c r="AW407"/>
      <c r="AX407"/>
      <c r="AY407"/>
      <c r="AZ407"/>
      <c r="BA407"/>
      <c r="BB407"/>
      <c r="BC407"/>
      <c r="BD407"/>
      <c r="BE407"/>
      <c r="BJ407"/>
      <c r="BK407"/>
      <c r="BL407"/>
      <c r="BP407"/>
      <c r="BQ407"/>
      <c r="BR407"/>
      <c r="CD407"/>
      <c r="CE407"/>
      <c r="CF407"/>
      <c r="CQ407"/>
      <c r="CR407"/>
      <c r="CS407"/>
      <c r="DQ407"/>
      <c r="DR407"/>
      <c r="DS407"/>
      <c r="DT407"/>
      <c r="DU407"/>
    </row>
    <row r="408" spans="1:125">
      <c r="A408"/>
      <c r="B408"/>
      <c r="C408"/>
      <c r="D408"/>
      <c r="E408"/>
      <c r="G408"/>
      <c r="K408"/>
      <c r="V408"/>
      <c r="AC408"/>
      <c r="AI408"/>
      <c r="AJ408"/>
      <c r="AK408"/>
      <c r="AL408"/>
      <c r="AM408"/>
      <c r="AP408"/>
      <c r="AQ408"/>
      <c r="AR408"/>
      <c r="AS408" s="180"/>
      <c r="AT408"/>
      <c r="AU408"/>
      <c r="AV408"/>
      <c r="AW408"/>
      <c r="AX408"/>
      <c r="AY408"/>
      <c r="AZ408"/>
      <c r="BA408"/>
      <c r="BB408"/>
      <c r="BC408"/>
      <c r="BD408"/>
      <c r="BE408"/>
      <c r="BJ408"/>
      <c r="BK408"/>
      <c r="BL408"/>
      <c r="BP408"/>
      <c r="BQ408"/>
      <c r="BR408"/>
      <c r="CD408"/>
      <c r="CE408"/>
      <c r="CF408"/>
      <c r="CQ408"/>
      <c r="CR408"/>
      <c r="CS408"/>
      <c r="DQ408"/>
      <c r="DR408"/>
      <c r="DS408"/>
      <c r="DT408"/>
      <c r="DU408"/>
    </row>
    <row r="409" spans="1:125">
      <c r="A409"/>
      <c r="B409"/>
      <c r="C409"/>
      <c r="D409"/>
      <c r="E409"/>
      <c r="G409"/>
      <c r="K409"/>
      <c r="V409"/>
      <c r="AC409"/>
      <c r="AI409"/>
      <c r="AJ409"/>
      <c r="AK409"/>
      <c r="AL409"/>
      <c r="AM409"/>
      <c r="AP409"/>
      <c r="AQ409"/>
      <c r="AR409"/>
      <c r="AS409" s="180"/>
      <c r="AT409"/>
      <c r="AU409"/>
      <c r="AV409"/>
      <c r="AW409"/>
      <c r="AX409"/>
      <c r="AY409"/>
      <c r="AZ409"/>
      <c r="BA409"/>
      <c r="BB409"/>
      <c r="BC409"/>
      <c r="BD409"/>
      <c r="BE409"/>
      <c r="BJ409"/>
      <c r="BK409"/>
      <c r="BL409"/>
      <c r="BP409"/>
      <c r="BQ409"/>
      <c r="BR409"/>
      <c r="CD409"/>
      <c r="CE409"/>
      <c r="CF409"/>
      <c r="CQ409"/>
      <c r="CR409"/>
      <c r="CS409"/>
      <c r="DQ409"/>
      <c r="DR409"/>
      <c r="DS409"/>
      <c r="DT409"/>
      <c r="DU409"/>
    </row>
    <row r="410" spans="1:125">
      <c r="A410"/>
      <c r="B410"/>
      <c r="C410"/>
      <c r="D410"/>
      <c r="E410"/>
      <c r="G410"/>
      <c r="K410"/>
      <c r="V410"/>
      <c r="AC410"/>
      <c r="AI410"/>
      <c r="AJ410"/>
      <c r="AK410"/>
      <c r="AL410"/>
      <c r="AM410"/>
      <c r="AP410"/>
      <c r="AQ410"/>
      <c r="AR410"/>
      <c r="AS410" s="180"/>
      <c r="AT410"/>
      <c r="AU410"/>
      <c r="AV410"/>
      <c r="AW410"/>
      <c r="AX410"/>
      <c r="AY410"/>
      <c r="AZ410"/>
      <c r="BA410"/>
      <c r="BB410"/>
      <c r="BC410"/>
      <c r="BD410"/>
      <c r="BE410"/>
      <c r="BJ410"/>
      <c r="BK410"/>
      <c r="BL410"/>
      <c r="BP410"/>
      <c r="BQ410"/>
      <c r="BR410"/>
      <c r="CD410"/>
      <c r="CE410"/>
      <c r="CF410"/>
      <c r="CQ410"/>
      <c r="CR410"/>
      <c r="CS410"/>
      <c r="DQ410"/>
      <c r="DR410"/>
      <c r="DS410"/>
      <c r="DT410"/>
      <c r="DU410"/>
    </row>
    <row r="411" spans="1:125">
      <c r="A411"/>
      <c r="B411"/>
      <c r="C411"/>
      <c r="D411"/>
      <c r="E411"/>
      <c r="G411"/>
      <c r="K411"/>
      <c r="V411"/>
      <c r="AC411"/>
      <c r="AI411"/>
      <c r="AJ411"/>
      <c r="AK411"/>
      <c r="AL411"/>
      <c r="AM411"/>
      <c r="AP411"/>
      <c r="AQ411"/>
      <c r="AR411"/>
      <c r="AS411" s="180"/>
      <c r="AT411"/>
      <c r="AU411"/>
      <c r="AV411"/>
      <c r="AW411"/>
      <c r="AX411"/>
      <c r="AY411"/>
      <c r="AZ411"/>
      <c r="BA411"/>
      <c r="BB411"/>
      <c r="BC411"/>
      <c r="BD411"/>
      <c r="BE411"/>
      <c r="BJ411"/>
      <c r="BK411"/>
      <c r="BL411"/>
      <c r="BP411"/>
      <c r="BQ411"/>
      <c r="BR411"/>
      <c r="CD411"/>
      <c r="CE411"/>
      <c r="CF411"/>
      <c r="CQ411"/>
      <c r="CR411"/>
      <c r="CS411"/>
      <c r="DQ411"/>
      <c r="DR411"/>
      <c r="DS411"/>
      <c r="DT411"/>
      <c r="DU411"/>
    </row>
    <row r="412" spans="1:125">
      <c r="A412"/>
      <c r="B412"/>
      <c r="C412"/>
      <c r="D412"/>
      <c r="E412"/>
      <c r="G412"/>
      <c r="K412"/>
      <c r="V412"/>
      <c r="AC412"/>
      <c r="AI412"/>
      <c r="AJ412"/>
      <c r="AK412"/>
      <c r="AL412"/>
      <c r="AM412"/>
      <c r="AP412"/>
      <c r="AQ412"/>
      <c r="AR412"/>
      <c r="AS412" s="180"/>
      <c r="AT412"/>
      <c r="AU412"/>
      <c r="AV412"/>
      <c r="AW412"/>
      <c r="AX412"/>
      <c r="AY412"/>
      <c r="AZ412"/>
      <c r="BA412"/>
      <c r="BB412"/>
      <c r="BC412"/>
      <c r="BD412"/>
      <c r="BE412"/>
      <c r="BJ412"/>
      <c r="BK412"/>
      <c r="BL412"/>
      <c r="BP412"/>
      <c r="BQ412"/>
      <c r="BR412"/>
      <c r="CD412"/>
      <c r="CE412"/>
      <c r="CF412"/>
      <c r="CQ412"/>
      <c r="CR412"/>
      <c r="CS412"/>
      <c r="DQ412"/>
      <c r="DR412"/>
      <c r="DS412"/>
      <c r="DT412"/>
      <c r="DU412"/>
    </row>
    <row r="413" spans="1:125">
      <c r="A413"/>
      <c r="B413"/>
      <c r="C413"/>
      <c r="D413"/>
      <c r="E413"/>
      <c r="G413"/>
      <c r="K413"/>
      <c r="V413"/>
      <c r="AC413"/>
      <c r="AI413"/>
      <c r="AJ413"/>
      <c r="AK413"/>
      <c r="AL413"/>
      <c r="AM413"/>
      <c r="AP413"/>
      <c r="AQ413"/>
      <c r="AR413"/>
      <c r="AS413" s="180"/>
      <c r="AT413"/>
      <c r="AU413"/>
      <c r="AV413"/>
      <c r="AW413"/>
      <c r="AX413"/>
      <c r="AY413"/>
      <c r="AZ413"/>
      <c r="BA413"/>
      <c r="BB413"/>
      <c r="BC413"/>
      <c r="BD413"/>
      <c r="BE413"/>
      <c r="BJ413"/>
      <c r="BK413"/>
      <c r="BL413"/>
      <c r="BP413"/>
      <c r="BQ413"/>
      <c r="BR413"/>
      <c r="CD413"/>
      <c r="CE413"/>
      <c r="CF413"/>
      <c r="CQ413"/>
      <c r="CR413"/>
      <c r="CS413"/>
      <c r="DQ413"/>
      <c r="DR413"/>
      <c r="DS413"/>
      <c r="DT413"/>
      <c r="DU413"/>
    </row>
    <row r="414" spans="1:125">
      <c r="A414"/>
      <c r="B414"/>
      <c r="C414"/>
      <c r="D414"/>
      <c r="E414"/>
      <c r="G414"/>
      <c r="K414"/>
      <c r="V414"/>
      <c r="AC414"/>
      <c r="AI414"/>
      <c r="AJ414"/>
      <c r="AK414"/>
      <c r="AL414"/>
      <c r="AM414"/>
      <c r="AP414"/>
      <c r="AQ414"/>
      <c r="AR414"/>
      <c r="AS414" s="180"/>
      <c r="AT414"/>
      <c r="AU414"/>
      <c r="AV414"/>
      <c r="AW414"/>
      <c r="AX414"/>
      <c r="AY414"/>
      <c r="AZ414"/>
      <c r="BA414"/>
      <c r="BB414"/>
      <c r="BC414"/>
      <c r="BD414"/>
      <c r="BE414"/>
      <c r="BJ414"/>
      <c r="BK414"/>
      <c r="BL414"/>
      <c r="BP414"/>
      <c r="BQ414"/>
      <c r="BR414"/>
      <c r="CD414"/>
      <c r="CE414"/>
      <c r="CF414"/>
      <c r="CQ414"/>
      <c r="CR414"/>
      <c r="CS414"/>
      <c r="DQ414"/>
      <c r="DR414"/>
      <c r="DS414"/>
      <c r="DT414"/>
      <c r="DU414"/>
    </row>
    <row r="415" spans="1:125">
      <c r="A415"/>
      <c r="B415"/>
      <c r="C415"/>
      <c r="D415"/>
      <c r="E415"/>
      <c r="G415"/>
      <c r="K415"/>
      <c r="V415"/>
      <c r="AC415"/>
      <c r="AI415"/>
      <c r="AJ415"/>
      <c r="AK415"/>
      <c r="AL415"/>
      <c r="AM415"/>
      <c r="AP415"/>
      <c r="AQ415"/>
      <c r="AR415"/>
      <c r="AS415" s="180"/>
      <c r="AT415"/>
      <c r="AU415"/>
      <c r="AV415"/>
      <c r="AW415"/>
      <c r="AX415"/>
      <c r="AY415"/>
      <c r="AZ415"/>
      <c r="BA415"/>
      <c r="BB415"/>
      <c r="BC415"/>
      <c r="BD415"/>
      <c r="BE415"/>
      <c r="BJ415"/>
      <c r="BK415"/>
      <c r="BL415"/>
      <c r="BP415"/>
      <c r="BQ415"/>
      <c r="BR415"/>
      <c r="CD415"/>
      <c r="CE415"/>
      <c r="CF415"/>
      <c r="CQ415"/>
      <c r="CR415"/>
      <c r="CS415"/>
      <c r="DQ415"/>
      <c r="DR415"/>
      <c r="DS415"/>
      <c r="DT415"/>
      <c r="DU415"/>
    </row>
    <row r="416" spans="1:125">
      <c r="A416"/>
      <c r="B416"/>
      <c r="C416"/>
      <c r="D416"/>
      <c r="E416"/>
      <c r="G416"/>
      <c r="K416"/>
      <c r="V416"/>
      <c r="AC416"/>
      <c r="AI416"/>
      <c r="AJ416"/>
      <c r="AK416"/>
      <c r="AL416"/>
      <c r="AM416"/>
      <c r="AP416"/>
      <c r="AQ416"/>
      <c r="AR416"/>
      <c r="AS416" s="180"/>
      <c r="AT416"/>
      <c r="AU416"/>
      <c r="AV416"/>
      <c r="AW416"/>
      <c r="AX416"/>
      <c r="AY416"/>
      <c r="AZ416"/>
      <c r="BA416"/>
      <c r="BB416"/>
      <c r="BC416"/>
      <c r="BD416"/>
      <c r="BE416"/>
      <c r="BJ416"/>
      <c r="BK416"/>
      <c r="BL416"/>
      <c r="BP416"/>
      <c r="BQ416"/>
      <c r="BR416"/>
      <c r="CD416"/>
      <c r="CE416"/>
      <c r="CF416"/>
      <c r="CQ416"/>
      <c r="CR416"/>
      <c r="CS416"/>
      <c r="DQ416"/>
      <c r="DR416"/>
      <c r="DS416"/>
      <c r="DT416"/>
      <c r="DU416"/>
    </row>
    <row r="417" spans="1:125">
      <c r="A417"/>
      <c r="B417"/>
      <c r="C417"/>
      <c r="D417"/>
      <c r="E417"/>
      <c r="G417"/>
      <c r="K417"/>
      <c r="V417"/>
      <c r="AC417"/>
      <c r="AI417"/>
      <c r="AJ417"/>
      <c r="AK417"/>
      <c r="AL417"/>
      <c r="AM417"/>
      <c r="AP417"/>
      <c r="AQ417"/>
      <c r="AR417"/>
      <c r="AS417" s="180"/>
      <c r="AT417"/>
      <c r="AU417"/>
      <c r="AV417"/>
      <c r="AW417"/>
      <c r="AX417"/>
      <c r="AY417"/>
      <c r="AZ417"/>
      <c r="BA417"/>
      <c r="BB417"/>
      <c r="BC417"/>
      <c r="BD417"/>
      <c r="BE417"/>
      <c r="BJ417"/>
      <c r="BK417"/>
      <c r="BL417"/>
      <c r="BP417"/>
      <c r="BQ417"/>
      <c r="BR417"/>
      <c r="CD417"/>
      <c r="CE417"/>
      <c r="CF417"/>
      <c r="CQ417"/>
      <c r="CR417"/>
      <c r="CS417"/>
      <c r="DQ417"/>
      <c r="DR417"/>
      <c r="DS417"/>
      <c r="DT417"/>
      <c r="DU417"/>
    </row>
    <row r="418" spans="1:125">
      <c r="A418"/>
      <c r="B418"/>
      <c r="C418"/>
      <c r="D418"/>
      <c r="E418"/>
      <c r="G418"/>
      <c r="K418"/>
      <c r="V418"/>
      <c r="AC418"/>
      <c r="AI418"/>
      <c r="AJ418"/>
      <c r="AK418"/>
      <c r="AL418"/>
      <c r="AM418"/>
      <c r="AP418"/>
      <c r="AQ418"/>
      <c r="AR418"/>
      <c r="AS418" s="180"/>
      <c r="AT418"/>
      <c r="AU418"/>
      <c r="AV418"/>
      <c r="AW418"/>
      <c r="AX418"/>
      <c r="AY418"/>
      <c r="AZ418"/>
      <c r="BA418"/>
      <c r="BB418"/>
      <c r="BC418"/>
      <c r="BD418"/>
      <c r="BE418"/>
      <c r="BJ418"/>
      <c r="BK418"/>
      <c r="BL418"/>
      <c r="BP418"/>
      <c r="BQ418"/>
      <c r="BR418"/>
      <c r="CD418"/>
      <c r="CE418"/>
      <c r="CF418"/>
      <c r="CQ418"/>
      <c r="CR418"/>
      <c r="CS418"/>
      <c r="DQ418"/>
      <c r="DR418"/>
      <c r="DS418"/>
      <c r="DT418"/>
      <c r="DU418"/>
    </row>
    <row r="419" spans="1:125">
      <c r="A419"/>
      <c r="B419"/>
      <c r="C419"/>
      <c r="D419"/>
      <c r="E419"/>
      <c r="G419"/>
      <c r="K419"/>
      <c r="V419"/>
      <c r="AC419"/>
      <c r="AI419"/>
      <c r="AJ419"/>
      <c r="AK419"/>
      <c r="AL419"/>
      <c r="AM419"/>
      <c r="AP419"/>
      <c r="AQ419"/>
      <c r="AR419"/>
      <c r="AS419" s="180"/>
      <c r="AT419"/>
      <c r="AU419"/>
      <c r="AV419"/>
      <c r="AW419"/>
      <c r="AX419"/>
      <c r="AY419"/>
      <c r="AZ419"/>
      <c r="BA419"/>
      <c r="BB419"/>
      <c r="BC419"/>
      <c r="BD419"/>
      <c r="BE419"/>
      <c r="BJ419"/>
      <c r="BK419"/>
      <c r="BL419"/>
      <c r="BP419"/>
      <c r="BQ419"/>
      <c r="BR419"/>
      <c r="CD419"/>
      <c r="CE419"/>
      <c r="CF419"/>
      <c r="CQ419"/>
      <c r="CR419"/>
      <c r="CS419"/>
      <c r="DQ419"/>
      <c r="DR419"/>
      <c r="DS419"/>
      <c r="DT419"/>
      <c r="DU419"/>
    </row>
    <row r="420" spans="1:125">
      <c r="A420"/>
      <c r="B420"/>
      <c r="C420"/>
      <c r="D420"/>
      <c r="E420"/>
      <c r="G420"/>
      <c r="K420"/>
      <c r="V420"/>
      <c r="AC420"/>
      <c r="AI420"/>
      <c r="AJ420"/>
      <c r="AK420"/>
      <c r="AL420"/>
      <c r="AM420"/>
      <c r="AP420"/>
      <c r="AQ420"/>
      <c r="AR420"/>
      <c r="AS420" s="180"/>
      <c r="AT420"/>
      <c r="AU420"/>
      <c r="AV420"/>
      <c r="AW420"/>
      <c r="AX420"/>
      <c r="AY420"/>
      <c r="AZ420"/>
      <c r="BA420"/>
      <c r="BB420"/>
      <c r="BC420"/>
      <c r="BD420"/>
      <c r="BE420"/>
      <c r="BJ420"/>
      <c r="BK420"/>
      <c r="BL420"/>
      <c r="BP420"/>
      <c r="BQ420"/>
      <c r="BR420"/>
      <c r="CD420"/>
      <c r="CE420"/>
      <c r="CF420"/>
      <c r="CQ420"/>
      <c r="CR420"/>
      <c r="CS420"/>
      <c r="DQ420"/>
      <c r="DR420"/>
      <c r="DS420"/>
      <c r="DT420"/>
      <c r="DU420"/>
    </row>
    <row r="421" spans="1:125">
      <c r="A421"/>
      <c r="B421"/>
      <c r="C421"/>
      <c r="D421"/>
      <c r="E421"/>
      <c r="G421"/>
      <c r="K421"/>
      <c r="V421"/>
      <c r="AC421"/>
      <c r="AI421"/>
      <c r="AJ421"/>
      <c r="AK421"/>
      <c r="AL421"/>
      <c r="AM421"/>
      <c r="AP421"/>
      <c r="AQ421"/>
      <c r="AR421"/>
      <c r="AS421" s="180"/>
      <c r="AT421"/>
      <c r="AU421"/>
      <c r="AV421"/>
      <c r="AW421"/>
      <c r="AX421"/>
      <c r="AY421"/>
      <c r="AZ421"/>
      <c r="BA421"/>
      <c r="BB421"/>
      <c r="BC421"/>
      <c r="BD421"/>
      <c r="BE421"/>
      <c r="BJ421"/>
      <c r="BK421"/>
      <c r="BL421"/>
      <c r="BP421"/>
      <c r="BQ421"/>
      <c r="BR421"/>
      <c r="CD421"/>
      <c r="CE421"/>
      <c r="CF421"/>
      <c r="CQ421"/>
      <c r="CR421"/>
      <c r="CS421"/>
      <c r="DQ421"/>
      <c r="DR421"/>
      <c r="DS421"/>
      <c r="DT421"/>
      <c r="DU421"/>
    </row>
    <row r="422" spans="1:125">
      <c r="A422"/>
      <c r="B422"/>
      <c r="C422"/>
      <c r="D422"/>
      <c r="E422"/>
      <c r="G422"/>
      <c r="K422"/>
      <c r="V422"/>
      <c r="AC422"/>
      <c r="AI422"/>
      <c r="AJ422"/>
      <c r="AK422"/>
      <c r="AL422"/>
      <c r="AM422"/>
      <c r="AP422"/>
      <c r="AQ422"/>
      <c r="AR422"/>
      <c r="AS422" s="180"/>
      <c r="AT422"/>
      <c r="AU422"/>
      <c r="AV422"/>
      <c r="AW422"/>
      <c r="AX422"/>
      <c r="AY422"/>
      <c r="AZ422"/>
      <c r="BA422"/>
      <c r="BB422"/>
      <c r="BC422"/>
      <c r="BD422"/>
      <c r="BE422"/>
      <c r="BJ422"/>
      <c r="BK422"/>
      <c r="BL422"/>
      <c r="BP422"/>
      <c r="BQ422"/>
      <c r="BR422"/>
      <c r="CD422"/>
      <c r="CE422"/>
      <c r="CF422"/>
      <c r="CQ422"/>
      <c r="CR422"/>
      <c r="CS422"/>
      <c r="DQ422"/>
      <c r="DR422"/>
      <c r="DS422"/>
      <c r="DT422"/>
      <c r="DU422"/>
    </row>
    <row r="423" spans="1:125">
      <c r="A423"/>
      <c r="B423"/>
      <c r="C423"/>
      <c r="D423"/>
      <c r="E423"/>
      <c r="G423"/>
      <c r="K423"/>
      <c r="V423"/>
      <c r="AC423"/>
      <c r="AI423"/>
      <c r="AJ423"/>
      <c r="AK423"/>
      <c r="AL423"/>
      <c r="AM423"/>
      <c r="AP423"/>
      <c r="AQ423"/>
      <c r="AR423"/>
      <c r="AS423" s="180"/>
      <c r="AT423"/>
      <c r="AU423"/>
      <c r="AV423"/>
      <c r="AW423"/>
      <c r="AX423"/>
      <c r="AY423"/>
      <c r="AZ423"/>
      <c r="BA423"/>
      <c r="BB423"/>
      <c r="BC423"/>
      <c r="BD423"/>
      <c r="BE423"/>
      <c r="BJ423"/>
      <c r="BK423"/>
      <c r="BL423"/>
      <c r="BP423"/>
      <c r="BQ423"/>
      <c r="BR423"/>
      <c r="CD423"/>
      <c r="CE423"/>
      <c r="CF423"/>
      <c r="CQ423"/>
      <c r="CR423"/>
      <c r="CS423"/>
      <c r="DQ423"/>
      <c r="DR423"/>
      <c r="DS423"/>
      <c r="DT423"/>
      <c r="DU423"/>
    </row>
    <row r="424" spans="1:125">
      <c r="A424"/>
      <c r="B424"/>
      <c r="C424"/>
      <c r="D424"/>
      <c r="E424"/>
      <c r="G424"/>
      <c r="K424"/>
      <c r="V424"/>
      <c r="AC424"/>
      <c r="AI424"/>
      <c r="AJ424"/>
      <c r="AK424"/>
      <c r="AL424"/>
      <c r="AM424"/>
      <c r="AP424"/>
      <c r="AQ424"/>
      <c r="AR424"/>
      <c r="AS424" s="180"/>
      <c r="AT424"/>
      <c r="AU424"/>
      <c r="AV424"/>
      <c r="AW424"/>
      <c r="AX424"/>
      <c r="AY424"/>
      <c r="AZ424"/>
      <c r="BA424"/>
      <c r="BB424"/>
      <c r="BC424"/>
      <c r="BD424"/>
      <c r="BE424"/>
      <c r="BJ424"/>
      <c r="BK424"/>
      <c r="BL424"/>
      <c r="BP424"/>
      <c r="BQ424"/>
      <c r="BR424"/>
      <c r="CD424"/>
      <c r="CE424"/>
      <c r="CF424"/>
      <c r="CQ424"/>
      <c r="CR424"/>
      <c r="CS424"/>
      <c r="DQ424"/>
      <c r="DR424"/>
      <c r="DS424"/>
      <c r="DT424"/>
      <c r="DU424"/>
    </row>
    <row r="425" spans="1:125">
      <c r="A425"/>
      <c r="B425"/>
      <c r="C425"/>
      <c r="D425"/>
      <c r="E425"/>
      <c r="G425"/>
      <c r="K425"/>
      <c r="V425"/>
      <c r="AC425"/>
      <c r="AI425"/>
      <c r="AJ425"/>
      <c r="AK425"/>
      <c r="AL425"/>
      <c r="AM425"/>
      <c r="AP425"/>
      <c r="AQ425"/>
      <c r="AR425"/>
      <c r="AS425" s="180"/>
      <c r="AT425"/>
      <c r="AU425"/>
      <c r="AV425"/>
      <c r="AW425"/>
      <c r="AX425"/>
      <c r="AY425"/>
      <c r="AZ425"/>
      <c r="BA425"/>
      <c r="BB425"/>
      <c r="BC425"/>
      <c r="BD425"/>
      <c r="BE425"/>
      <c r="BJ425"/>
      <c r="BK425"/>
      <c r="BL425"/>
      <c r="BP425"/>
      <c r="BQ425"/>
      <c r="BR425"/>
      <c r="CD425"/>
      <c r="CE425"/>
      <c r="CF425"/>
      <c r="CQ425"/>
      <c r="CR425"/>
      <c r="CS425"/>
      <c r="DQ425"/>
      <c r="DR425"/>
      <c r="DS425"/>
      <c r="DT425"/>
      <c r="DU425"/>
    </row>
    <row r="426" spans="1:125">
      <c r="A426"/>
      <c r="B426"/>
      <c r="C426"/>
      <c r="D426"/>
      <c r="E426"/>
      <c r="G426"/>
      <c r="K426"/>
      <c r="V426"/>
      <c r="AC426"/>
      <c r="AI426"/>
      <c r="AJ426"/>
      <c r="AK426"/>
      <c r="AL426"/>
      <c r="AM426"/>
      <c r="AP426"/>
      <c r="AQ426"/>
      <c r="AR426"/>
      <c r="AS426" s="180"/>
      <c r="AT426"/>
      <c r="AU426"/>
      <c r="AV426"/>
      <c r="AW426"/>
      <c r="AX426"/>
      <c r="AY426"/>
      <c r="AZ426"/>
      <c r="BA426"/>
      <c r="BB426"/>
      <c r="BC426"/>
      <c r="BD426"/>
      <c r="BE426"/>
      <c r="BJ426"/>
      <c r="BK426"/>
      <c r="BL426"/>
      <c r="BP426"/>
      <c r="BQ426"/>
      <c r="BR426"/>
      <c r="CD426"/>
      <c r="CE426"/>
      <c r="CF426"/>
      <c r="CQ426"/>
      <c r="CR426"/>
      <c r="CS426"/>
      <c r="DQ426"/>
      <c r="DR426"/>
      <c r="DS426"/>
      <c r="DT426"/>
      <c r="DU426"/>
    </row>
    <row r="427" spans="1:125">
      <c r="A427"/>
      <c r="B427"/>
      <c r="C427"/>
      <c r="D427"/>
      <c r="E427"/>
      <c r="G427"/>
      <c r="K427"/>
      <c r="V427"/>
      <c r="AC427"/>
      <c r="AI427"/>
      <c r="AJ427"/>
      <c r="AK427"/>
      <c r="AL427"/>
      <c r="AM427"/>
      <c r="AP427"/>
      <c r="AQ427"/>
      <c r="AR427"/>
      <c r="AS427" s="180"/>
      <c r="AT427"/>
      <c r="AU427"/>
      <c r="AV427"/>
      <c r="AW427"/>
      <c r="AX427"/>
      <c r="AY427"/>
      <c r="AZ427"/>
      <c r="BA427"/>
      <c r="BB427"/>
      <c r="BC427"/>
      <c r="BD427"/>
      <c r="BE427"/>
      <c r="BJ427"/>
      <c r="BK427"/>
      <c r="BL427"/>
      <c r="BP427"/>
      <c r="BQ427"/>
      <c r="BR427"/>
      <c r="CD427"/>
      <c r="CE427"/>
      <c r="CF427"/>
      <c r="CQ427"/>
      <c r="CR427"/>
      <c r="CS427"/>
      <c r="DQ427"/>
      <c r="DR427"/>
      <c r="DS427"/>
      <c r="DT427"/>
      <c r="DU427"/>
    </row>
    <row r="428" spans="1:125">
      <c r="A428"/>
      <c r="B428"/>
      <c r="C428"/>
      <c r="D428"/>
      <c r="E428"/>
      <c r="G428"/>
      <c r="K428"/>
      <c r="V428"/>
      <c r="AC428"/>
      <c r="AI428"/>
      <c r="AJ428"/>
      <c r="AK428"/>
      <c r="AL428"/>
      <c r="AM428"/>
      <c r="AP428"/>
      <c r="AQ428"/>
      <c r="AR428"/>
      <c r="AS428" s="180"/>
      <c r="AT428"/>
      <c r="AU428"/>
      <c r="AV428"/>
      <c r="AW428"/>
      <c r="AX428"/>
      <c r="AY428"/>
      <c r="AZ428"/>
      <c r="BA428"/>
      <c r="BB428"/>
      <c r="BC428"/>
      <c r="BD428"/>
      <c r="BE428"/>
      <c r="BJ428"/>
      <c r="BK428"/>
      <c r="BL428"/>
      <c r="BP428"/>
      <c r="BQ428"/>
      <c r="BR428"/>
      <c r="CD428"/>
      <c r="CE428"/>
      <c r="CF428"/>
      <c r="CQ428"/>
      <c r="CR428"/>
      <c r="CS428"/>
      <c r="DQ428"/>
      <c r="DR428"/>
      <c r="DS428"/>
      <c r="DT428"/>
      <c r="DU428"/>
    </row>
    <row r="429" spans="1:125">
      <c r="A429"/>
      <c r="B429"/>
      <c r="C429"/>
      <c r="D429"/>
      <c r="E429"/>
      <c r="G429"/>
      <c r="K429"/>
      <c r="V429"/>
      <c r="AC429"/>
      <c r="AI429"/>
      <c r="AJ429"/>
      <c r="AK429"/>
      <c r="AL429"/>
      <c r="AM429"/>
      <c r="AP429"/>
      <c r="AQ429"/>
      <c r="AR429"/>
      <c r="AS429" s="180"/>
      <c r="AT429"/>
      <c r="AU429"/>
      <c r="AV429"/>
      <c r="AW429"/>
      <c r="AX429"/>
      <c r="AY429"/>
      <c r="AZ429"/>
      <c r="BA429"/>
      <c r="BB429"/>
      <c r="BC429"/>
      <c r="BD429"/>
      <c r="BE429"/>
      <c r="BJ429"/>
      <c r="BK429"/>
      <c r="BL429"/>
      <c r="BP429"/>
      <c r="BQ429"/>
      <c r="BR429"/>
      <c r="CD429"/>
      <c r="CE429"/>
      <c r="CF429"/>
      <c r="CQ429"/>
      <c r="CR429"/>
      <c r="CS429"/>
      <c r="DQ429"/>
      <c r="DR429"/>
      <c r="DS429"/>
      <c r="DT429"/>
      <c r="DU429"/>
    </row>
    <row r="430" spans="1:125">
      <c r="A430"/>
      <c r="B430"/>
      <c r="C430"/>
      <c r="D430"/>
      <c r="E430"/>
      <c r="G430"/>
      <c r="K430"/>
      <c r="V430"/>
      <c r="AC430"/>
      <c r="AI430"/>
      <c r="AJ430"/>
      <c r="AK430"/>
      <c r="AL430"/>
      <c r="AM430"/>
      <c r="AP430"/>
      <c r="AQ430"/>
      <c r="AR430"/>
      <c r="AS430" s="180"/>
      <c r="AT430"/>
      <c r="AU430"/>
      <c r="AV430"/>
      <c r="AW430"/>
      <c r="AX430"/>
      <c r="AY430"/>
      <c r="AZ430"/>
      <c r="BA430"/>
      <c r="BB430"/>
      <c r="BC430"/>
      <c r="BD430"/>
      <c r="BE430"/>
      <c r="BJ430"/>
      <c r="BK430"/>
      <c r="BL430"/>
      <c r="BP430"/>
      <c r="BQ430"/>
      <c r="BR430"/>
      <c r="CD430"/>
      <c r="CE430"/>
      <c r="CF430"/>
      <c r="CQ430"/>
      <c r="CR430"/>
      <c r="CS430"/>
      <c r="DQ430"/>
      <c r="DR430"/>
      <c r="DS430"/>
      <c r="DT430"/>
      <c r="DU430"/>
    </row>
    <row r="431" spans="1:125">
      <c r="A431"/>
      <c r="B431"/>
      <c r="C431"/>
      <c r="D431"/>
      <c r="E431"/>
      <c r="G431"/>
      <c r="K431"/>
      <c r="V431"/>
      <c r="AC431"/>
      <c r="AI431"/>
      <c r="AJ431"/>
      <c r="AK431"/>
      <c r="AL431"/>
      <c r="AM431"/>
      <c r="AP431"/>
      <c r="AQ431"/>
      <c r="AR431"/>
      <c r="AS431" s="180"/>
      <c r="AT431"/>
      <c r="AU431"/>
      <c r="AV431"/>
      <c r="AW431"/>
      <c r="AX431"/>
      <c r="AY431"/>
      <c r="AZ431"/>
      <c r="BA431"/>
      <c r="BB431"/>
      <c r="BC431"/>
      <c r="BD431"/>
      <c r="BE431"/>
      <c r="BJ431"/>
      <c r="BK431"/>
      <c r="BL431"/>
      <c r="BP431"/>
      <c r="BQ431"/>
      <c r="BR431"/>
      <c r="CD431"/>
      <c r="CE431"/>
      <c r="CF431"/>
      <c r="CQ431"/>
      <c r="CR431"/>
      <c r="CS431"/>
      <c r="DQ431"/>
      <c r="DR431"/>
      <c r="DS431"/>
      <c r="DT431"/>
      <c r="DU431"/>
    </row>
    <row r="432" spans="1:125">
      <c r="A432"/>
      <c r="B432"/>
      <c r="C432"/>
      <c r="D432"/>
      <c r="E432"/>
      <c r="G432"/>
      <c r="K432"/>
      <c r="V432"/>
      <c r="AC432"/>
      <c r="AI432"/>
      <c r="AJ432"/>
      <c r="AK432"/>
      <c r="AL432"/>
      <c r="AM432"/>
      <c r="AP432"/>
      <c r="AQ432"/>
      <c r="AR432"/>
      <c r="AS432" s="180"/>
      <c r="AT432"/>
      <c r="AU432"/>
      <c r="AV432"/>
      <c r="AW432"/>
      <c r="AX432"/>
      <c r="AY432"/>
      <c r="AZ432"/>
      <c r="BA432"/>
      <c r="BB432"/>
      <c r="BC432"/>
      <c r="BD432"/>
      <c r="BE432"/>
      <c r="BJ432"/>
      <c r="BK432"/>
      <c r="BL432"/>
      <c r="BP432"/>
      <c r="BQ432"/>
      <c r="BR432"/>
      <c r="CD432"/>
      <c r="CE432"/>
      <c r="CF432"/>
      <c r="CQ432"/>
      <c r="CR432"/>
      <c r="CS432"/>
      <c r="DQ432"/>
      <c r="DR432"/>
      <c r="DS432"/>
      <c r="DT432"/>
      <c r="DU432"/>
    </row>
    <row r="433" spans="1:125">
      <c r="A433"/>
      <c r="B433"/>
      <c r="C433"/>
      <c r="D433"/>
      <c r="E433"/>
      <c r="G433"/>
      <c r="K433"/>
      <c r="V433"/>
      <c r="AC433"/>
      <c r="AI433"/>
      <c r="AJ433"/>
      <c r="AK433"/>
      <c r="AL433"/>
      <c r="AM433"/>
      <c r="AP433"/>
      <c r="AQ433"/>
      <c r="AR433"/>
      <c r="AS433" s="180"/>
      <c r="AT433"/>
      <c r="AU433"/>
      <c r="AV433"/>
      <c r="AW433"/>
      <c r="AX433"/>
      <c r="AY433"/>
      <c r="AZ433"/>
      <c r="BA433"/>
      <c r="BB433"/>
      <c r="BC433"/>
      <c r="BD433"/>
      <c r="BE433"/>
      <c r="BJ433"/>
      <c r="BK433"/>
      <c r="BL433"/>
      <c r="BP433"/>
      <c r="BQ433"/>
      <c r="BR433"/>
      <c r="CD433"/>
      <c r="CE433"/>
      <c r="CF433"/>
      <c r="CQ433"/>
      <c r="CR433"/>
      <c r="CS433"/>
      <c r="DQ433"/>
      <c r="DR433"/>
      <c r="DS433"/>
      <c r="DT433"/>
      <c r="DU433"/>
    </row>
    <row r="434" spans="1:125">
      <c r="A434"/>
      <c r="B434"/>
      <c r="C434"/>
      <c r="D434"/>
      <c r="E434"/>
      <c r="G434"/>
      <c r="K434"/>
      <c r="V434"/>
      <c r="AC434"/>
      <c r="AI434"/>
      <c r="AJ434"/>
      <c r="AK434"/>
      <c r="AL434"/>
      <c r="AM434"/>
      <c r="AP434"/>
      <c r="AQ434"/>
      <c r="AR434"/>
      <c r="AS434" s="180"/>
      <c r="AT434"/>
      <c r="AU434"/>
      <c r="AV434"/>
      <c r="AW434"/>
      <c r="AX434"/>
      <c r="AY434"/>
      <c r="AZ434"/>
      <c r="BA434"/>
      <c r="BB434"/>
      <c r="BC434"/>
      <c r="BD434"/>
      <c r="BE434"/>
      <c r="BJ434"/>
      <c r="BK434"/>
      <c r="BL434"/>
      <c r="BP434"/>
      <c r="BQ434"/>
      <c r="BR434"/>
      <c r="CD434"/>
      <c r="CE434"/>
      <c r="CF434"/>
      <c r="CQ434"/>
      <c r="CR434"/>
      <c r="CS434"/>
      <c r="DQ434"/>
      <c r="DR434"/>
      <c r="DS434"/>
      <c r="DT434"/>
      <c r="DU434"/>
    </row>
    <row r="435" spans="1:125">
      <c r="A435"/>
      <c r="B435"/>
      <c r="C435"/>
      <c r="D435"/>
      <c r="E435"/>
      <c r="G435"/>
      <c r="K435"/>
      <c r="V435"/>
      <c r="AC435"/>
      <c r="AI435"/>
      <c r="AJ435"/>
      <c r="AK435"/>
      <c r="AL435"/>
      <c r="AM435"/>
      <c r="AP435"/>
      <c r="AQ435"/>
      <c r="AR435"/>
      <c r="AS435" s="180"/>
      <c r="AT435"/>
      <c r="AU435"/>
      <c r="AV435"/>
      <c r="AW435"/>
      <c r="AX435"/>
      <c r="AY435"/>
      <c r="AZ435"/>
      <c r="BA435"/>
      <c r="BB435"/>
      <c r="BC435"/>
      <c r="BD435"/>
      <c r="BE435"/>
      <c r="BJ435"/>
      <c r="BK435"/>
      <c r="BL435"/>
      <c r="BP435"/>
      <c r="BQ435"/>
      <c r="BR435"/>
      <c r="CD435"/>
      <c r="CE435"/>
      <c r="CF435"/>
      <c r="CQ435"/>
      <c r="CR435"/>
      <c r="CS435"/>
      <c r="DQ435"/>
      <c r="DR435"/>
      <c r="DS435"/>
      <c r="DT435"/>
      <c r="DU435"/>
    </row>
    <row r="436" spans="1:125">
      <c r="A436"/>
      <c r="B436"/>
      <c r="C436"/>
      <c r="D436"/>
      <c r="E436"/>
      <c r="G436"/>
      <c r="K436"/>
      <c r="V436"/>
      <c r="AC436"/>
      <c r="AI436"/>
      <c r="AJ436"/>
      <c r="AK436"/>
      <c r="AL436"/>
      <c r="AM436"/>
      <c r="AP436"/>
      <c r="AQ436"/>
      <c r="AR436"/>
      <c r="AS436" s="180"/>
      <c r="AT436"/>
      <c r="AU436"/>
      <c r="AV436"/>
      <c r="AW436"/>
      <c r="AX436"/>
      <c r="AY436"/>
      <c r="AZ436"/>
      <c r="BA436"/>
      <c r="BB436"/>
      <c r="BC436"/>
      <c r="BD436"/>
      <c r="BE436"/>
      <c r="BJ436"/>
      <c r="BK436"/>
      <c r="BL436"/>
      <c r="BP436"/>
      <c r="BQ436"/>
      <c r="BR436"/>
      <c r="CD436"/>
      <c r="CE436"/>
      <c r="CF436"/>
      <c r="CQ436"/>
      <c r="CR436"/>
      <c r="CS436"/>
      <c r="DQ436"/>
      <c r="DR436"/>
      <c r="DS436"/>
      <c r="DT436"/>
      <c r="DU436"/>
    </row>
    <row r="437" spans="1:125">
      <c r="A437"/>
      <c r="B437"/>
      <c r="C437"/>
      <c r="D437"/>
      <c r="E437"/>
      <c r="G437"/>
      <c r="K437"/>
      <c r="V437"/>
      <c r="AC437"/>
      <c r="AI437"/>
      <c r="AJ437"/>
      <c r="AK437"/>
      <c r="AL437"/>
      <c r="AM437"/>
      <c r="AP437"/>
      <c r="AQ437"/>
      <c r="AR437"/>
      <c r="AS437" s="180"/>
      <c r="AT437"/>
      <c r="AU437"/>
      <c r="AV437"/>
      <c r="AW437"/>
      <c r="AX437"/>
      <c r="AY437"/>
      <c r="AZ437"/>
      <c r="BA437"/>
      <c r="BB437"/>
      <c r="BC437"/>
      <c r="BD437"/>
      <c r="BE437"/>
      <c r="BJ437"/>
      <c r="BK437"/>
      <c r="BL437"/>
      <c r="BP437"/>
      <c r="BQ437"/>
      <c r="BR437"/>
      <c r="CD437"/>
      <c r="CE437"/>
      <c r="CF437"/>
      <c r="CQ437"/>
      <c r="CR437"/>
      <c r="CS437"/>
      <c r="DQ437"/>
      <c r="DR437"/>
      <c r="DS437"/>
      <c r="DT437"/>
      <c r="DU437"/>
    </row>
    <row r="438" spans="1:125">
      <c r="A438"/>
      <c r="B438"/>
      <c r="C438"/>
      <c r="D438"/>
      <c r="E438"/>
      <c r="G438"/>
      <c r="K438"/>
      <c r="V438"/>
      <c r="AC438"/>
      <c r="AI438"/>
      <c r="AJ438"/>
      <c r="AK438"/>
      <c r="AL438"/>
      <c r="AM438"/>
      <c r="AP438"/>
      <c r="AQ438"/>
      <c r="AR438"/>
      <c r="AS438" s="180"/>
      <c r="AT438"/>
      <c r="AU438"/>
      <c r="AV438"/>
      <c r="AW438"/>
      <c r="AX438"/>
      <c r="AY438"/>
      <c r="AZ438"/>
      <c r="BA438"/>
      <c r="BB438"/>
      <c r="BC438"/>
      <c r="BD438"/>
      <c r="BE438"/>
      <c r="BJ438"/>
      <c r="BK438"/>
      <c r="BL438"/>
      <c r="BP438"/>
      <c r="BQ438"/>
      <c r="BR438"/>
      <c r="CD438"/>
      <c r="CE438"/>
      <c r="CF438"/>
      <c r="CQ438"/>
      <c r="CR438"/>
      <c r="CS438"/>
      <c r="DQ438"/>
      <c r="DR438"/>
      <c r="DS438"/>
      <c r="DT438"/>
      <c r="DU438"/>
    </row>
    <row r="439" spans="1:125">
      <c r="A439"/>
      <c r="B439"/>
      <c r="C439"/>
      <c r="D439"/>
      <c r="E439"/>
      <c r="G439"/>
      <c r="K439"/>
      <c r="V439"/>
      <c r="AC439"/>
      <c r="AI439"/>
      <c r="AJ439"/>
      <c r="AK439"/>
      <c r="AL439"/>
      <c r="AM439"/>
      <c r="AP439"/>
      <c r="AQ439"/>
      <c r="AR439"/>
      <c r="AS439" s="180"/>
      <c r="AT439"/>
      <c r="AU439"/>
      <c r="AV439"/>
      <c r="AW439"/>
      <c r="AX439"/>
      <c r="AY439"/>
      <c r="AZ439"/>
      <c r="BA439"/>
      <c r="BB439"/>
      <c r="BC439"/>
      <c r="BD439"/>
      <c r="BE439"/>
      <c r="BJ439"/>
      <c r="BK439"/>
      <c r="BL439"/>
      <c r="BP439"/>
      <c r="BQ439"/>
      <c r="BR439"/>
      <c r="CD439"/>
      <c r="CE439"/>
      <c r="CF439"/>
      <c r="CQ439"/>
      <c r="CR439"/>
      <c r="CS439"/>
      <c r="DQ439"/>
      <c r="DR439"/>
      <c r="DS439"/>
      <c r="DT439"/>
      <c r="DU439"/>
    </row>
    <row r="440" spans="1:125">
      <c r="A440"/>
      <c r="B440"/>
      <c r="C440"/>
      <c r="D440"/>
      <c r="E440"/>
      <c r="G440"/>
      <c r="K440"/>
      <c r="V440"/>
      <c r="AC440"/>
      <c r="AI440"/>
      <c r="AJ440"/>
      <c r="AK440"/>
      <c r="AL440"/>
      <c r="AM440"/>
      <c r="AP440"/>
      <c r="AQ440"/>
      <c r="AR440"/>
      <c r="AS440" s="180"/>
      <c r="AT440"/>
      <c r="AU440"/>
      <c r="AV440"/>
      <c r="AW440"/>
      <c r="AX440"/>
      <c r="AY440"/>
      <c r="AZ440"/>
      <c r="BA440"/>
      <c r="BB440"/>
      <c r="BC440"/>
      <c r="BD440"/>
      <c r="BE440"/>
      <c r="BJ440"/>
      <c r="BK440"/>
      <c r="BL440"/>
      <c r="BP440"/>
      <c r="BQ440"/>
      <c r="BR440"/>
      <c r="CD440"/>
      <c r="CE440"/>
      <c r="CF440"/>
      <c r="CQ440"/>
      <c r="CR440"/>
      <c r="CS440"/>
      <c r="DQ440"/>
      <c r="DR440"/>
      <c r="DS440"/>
      <c r="DT440"/>
      <c r="DU440"/>
    </row>
    <row r="441" spans="1:125">
      <c r="A441"/>
      <c r="B441"/>
      <c r="C441"/>
      <c r="D441"/>
      <c r="E441"/>
      <c r="G441"/>
      <c r="K441"/>
      <c r="V441"/>
      <c r="AC441"/>
      <c r="AI441"/>
      <c r="AJ441"/>
      <c r="AK441"/>
      <c r="AL441"/>
      <c r="AM441"/>
      <c r="AP441"/>
      <c r="AQ441"/>
      <c r="AR441"/>
      <c r="AS441" s="180"/>
      <c r="AT441"/>
      <c r="AU441"/>
      <c r="AV441"/>
      <c r="AW441"/>
      <c r="AX441"/>
      <c r="AY441"/>
      <c r="AZ441"/>
      <c r="BA441"/>
      <c r="BB441"/>
      <c r="BC441"/>
      <c r="BD441"/>
      <c r="BE441"/>
      <c r="BJ441"/>
      <c r="BK441"/>
      <c r="BL441"/>
      <c r="BP441"/>
      <c r="BQ441"/>
      <c r="BR441"/>
      <c r="CD441"/>
      <c r="CE441"/>
      <c r="CF441"/>
      <c r="CQ441"/>
      <c r="CR441"/>
      <c r="CS441"/>
      <c r="DQ441"/>
      <c r="DR441"/>
      <c r="DS441"/>
      <c r="DT441"/>
      <c r="DU441"/>
    </row>
    <row r="442" spans="1:125">
      <c r="A442"/>
      <c r="B442"/>
      <c r="C442"/>
      <c r="D442"/>
      <c r="E442"/>
      <c r="G442"/>
      <c r="K442"/>
      <c r="V442"/>
      <c r="AC442"/>
      <c r="AI442"/>
      <c r="AJ442"/>
      <c r="AK442"/>
      <c r="AL442"/>
      <c r="AM442"/>
      <c r="AP442"/>
      <c r="AQ442"/>
      <c r="AR442"/>
      <c r="AS442" s="180"/>
      <c r="AT442"/>
      <c r="AU442"/>
      <c r="AV442"/>
      <c r="AW442"/>
      <c r="AX442"/>
      <c r="AY442"/>
      <c r="AZ442"/>
      <c r="BA442"/>
      <c r="BB442"/>
      <c r="BC442"/>
      <c r="BD442"/>
      <c r="BE442"/>
      <c r="BJ442"/>
      <c r="BK442"/>
      <c r="BL442"/>
      <c r="BP442"/>
      <c r="BQ442"/>
      <c r="BR442"/>
      <c r="CD442"/>
      <c r="CE442"/>
      <c r="CF442"/>
      <c r="CQ442"/>
      <c r="CR442"/>
      <c r="CS442"/>
      <c r="DQ442"/>
      <c r="DR442"/>
      <c r="DS442"/>
      <c r="DT442"/>
      <c r="DU442"/>
    </row>
    <row r="443" spans="1:125">
      <c r="A443"/>
      <c r="B443"/>
      <c r="C443"/>
      <c r="D443"/>
      <c r="E443"/>
      <c r="G443"/>
      <c r="K443"/>
      <c r="V443"/>
      <c r="AC443"/>
      <c r="AI443"/>
      <c r="AJ443"/>
      <c r="AK443"/>
      <c r="AL443"/>
      <c r="AM443"/>
      <c r="AP443"/>
      <c r="AQ443"/>
      <c r="AR443"/>
      <c r="AS443" s="180"/>
      <c r="AT443"/>
      <c r="AU443"/>
      <c r="AV443"/>
      <c r="AW443"/>
      <c r="AX443"/>
      <c r="AY443"/>
      <c r="AZ443"/>
      <c r="BA443"/>
      <c r="BB443"/>
      <c r="BC443"/>
      <c r="BD443"/>
      <c r="BE443"/>
      <c r="BJ443"/>
      <c r="BK443"/>
      <c r="BL443"/>
      <c r="BP443"/>
      <c r="BQ443"/>
      <c r="BR443"/>
      <c r="CD443"/>
      <c r="CE443"/>
      <c r="CF443"/>
      <c r="CQ443"/>
      <c r="CR443"/>
      <c r="CS443"/>
      <c r="DQ443"/>
      <c r="DR443"/>
      <c r="DS443"/>
      <c r="DT443"/>
      <c r="DU443"/>
    </row>
    <row r="444" spans="1:125">
      <c r="A444"/>
      <c r="B444"/>
      <c r="C444"/>
      <c r="D444"/>
      <c r="E444"/>
      <c r="G444"/>
      <c r="K444"/>
      <c r="V444"/>
      <c r="AC444"/>
      <c r="AI444"/>
      <c r="AJ444"/>
      <c r="AK444"/>
      <c r="AL444"/>
      <c r="AM444"/>
      <c r="AP444"/>
      <c r="AQ444"/>
      <c r="AR444"/>
      <c r="AS444" s="180"/>
      <c r="AT444"/>
      <c r="AU444"/>
      <c r="AV444"/>
      <c r="AW444"/>
      <c r="AX444"/>
      <c r="AY444"/>
      <c r="AZ444"/>
      <c r="BA444"/>
      <c r="BB444"/>
      <c r="BC444"/>
      <c r="BD444"/>
      <c r="BE444"/>
      <c r="BJ444"/>
      <c r="BK444"/>
      <c r="BL444"/>
      <c r="BP444"/>
      <c r="BQ444"/>
      <c r="BR444"/>
      <c r="CD444"/>
      <c r="CE444"/>
      <c r="CF444"/>
      <c r="CQ444"/>
      <c r="CR444"/>
      <c r="CS444"/>
      <c r="DQ444"/>
      <c r="DR444"/>
      <c r="DS444"/>
      <c r="DT444"/>
      <c r="DU444"/>
    </row>
    <row r="445" spans="1:125">
      <c r="A445"/>
      <c r="B445"/>
      <c r="C445"/>
      <c r="D445"/>
      <c r="E445"/>
      <c r="G445"/>
      <c r="K445"/>
      <c r="V445"/>
      <c r="AC445"/>
      <c r="AI445"/>
      <c r="AJ445"/>
      <c r="AK445"/>
      <c r="AL445"/>
      <c r="AM445"/>
      <c r="AP445"/>
      <c r="AQ445"/>
      <c r="AR445"/>
      <c r="AS445" s="180"/>
      <c r="AT445"/>
      <c r="AU445"/>
      <c r="AV445"/>
      <c r="AW445"/>
      <c r="AX445"/>
      <c r="AY445"/>
      <c r="AZ445"/>
      <c r="BA445"/>
      <c r="BB445"/>
      <c r="BC445"/>
      <c r="BD445"/>
      <c r="BE445"/>
      <c r="BJ445"/>
      <c r="BK445"/>
      <c r="BL445"/>
      <c r="BP445"/>
      <c r="BQ445"/>
      <c r="BR445"/>
      <c r="CD445"/>
      <c r="CE445"/>
      <c r="CF445"/>
      <c r="CQ445"/>
      <c r="CR445"/>
      <c r="CS445"/>
      <c r="DQ445"/>
      <c r="DR445"/>
      <c r="DS445"/>
      <c r="DT445"/>
      <c r="DU445"/>
    </row>
    <row r="446" spans="1:125">
      <c r="A446"/>
      <c r="B446"/>
      <c r="C446"/>
      <c r="D446"/>
      <c r="E446"/>
      <c r="G446"/>
      <c r="K446"/>
      <c r="V446"/>
      <c r="AC446"/>
      <c r="AI446"/>
      <c r="AJ446"/>
      <c r="AK446"/>
      <c r="AL446"/>
      <c r="AM446"/>
      <c r="AP446"/>
      <c r="AQ446"/>
      <c r="AR446"/>
      <c r="AS446" s="180"/>
      <c r="AT446"/>
      <c r="AU446"/>
      <c r="AV446"/>
      <c r="AW446"/>
      <c r="AX446"/>
      <c r="AY446"/>
      <c r="AZ446"/>
      <c r="BA446"/>
      <c r="BB446"/>
      <c r="BC446"/>
      <c r="BD446"/>
      <c r="BE446"/>
      <c r="BJ446"/>
      <c r="BK446"/>
      <c r="BL446"/>
      <c r="BP446"/>
      <c r="BQ446"/>
      <c r="BR446"/>
      <c r="CD446"/>
      <c r="CE446"/>
      <c r="CF446"/>
      <c r="CQ446"/>
      <c r="CR446"/>
      <c r="CS446"/>
      <c r="DQ446"/>
      <c r="DR446"/>
      <c r="DS446"/>
      <c r="DT446"/>
      <c r="DU446"/>
    </row>
    <row r="447" spans="1:125">
      <c r="A447"/>
      <c r="B447"/>
      <c r="C447"/>
      <c r="D447"/>
      <c r="E447"/>
      <c r="G447"/>
      <c r="K447"/>
      <c r="V447"/>
      <c r="AC447"/>
      <c r="AI447"/>
      <c r="AJ447"/>
      <c r="AK447"/>
      <c r="AL447"/>
      <c r="AM447"/>
      <c r="AP447"/>
      <c r="AQ447"/>
      <c r="AR447"/>
      <c r="AS447" s="180"/>
      <c r="AT447"/>
      <c r="AU447"/>
      <c r="AV447"/>
      <c r="AW447"/>
      <c r="AX447"/>
      <c r="AY447"/>
      <c r="AZ447"/>
      <c r="BA447"/>
      <c r="BB447"/>
      <c r="BC447"/>
      <c r="BD447"/>
      <c r="BE447"/>
      <c r="BJ447"/>
      <c r="BK447"/>
      <c r="BL447"/>
      <c r="BP447"/>
      <c r="BQ447"/>
      <c r="BR447"/>
      <c r="CD447"/>
      <c r="CE447"/>
      <c r="CF447"/>
      <c r="CQ447"/>
      <c r="CR447"/>
      <c r="CS447"/>
      <c r="DQ447"/>
      <c r="DR447"/>
      <c r="DS447"/>
      <c r="DT447"/>
      <c r="DU447"/>
    </row>
    <row r="448" spans="1:125">
      <c r="A448"/>
      <c r="B448"/>
      <c r="C448"/>
      <c r="D448"/>
      <c r="E448"/>
      <c r="G448"/>
      <c r="K448"/>
      <c r="V448"/>
      <c r="AC448"/>
      <c r="AI448"/>
      <c r="AJ448"/>
      <c r="AK448"/>
      <c r="AL448"/>
      <c r="AM448"/>
      <c r="AP448"/>
      <c r="AQ448"/>
      <c r="AR448"/>
      <c r="AS448" s="180"/>
      <c r="AT448"/>
      <c r="AU448"/>
      <c r="AV448"/>
      <c r="AW448"/>
      <c r="AX448"/>
      <c r="AY448"/>
      <c r="AZ448"/>
      <c r="BA448"/>
      <c r="BB448"/>
      <c r="BC448"/>
      <c r="BD448"/>
      <c r="BE448"/>
      <c r="BJ448"/>
      <c r="BK448"/>
      <c r="BL448"/>
      <c r="BP448"/>
      <c r="BQ448"/>
      <c r="BR448"/>
      <c r="CD448"/>
      <c r="CE448"/>
      <c r="CF448"/>
      <c r="CQ448"/>
      <c r="CR448"/>
      <c r="CS448"/>
      <c r="DQ448"/>
      <c r="DR448"/>
      <c r="DS448"/>
      <c r="DT448"/>
      <c r="DU448"/>
    </row>
    <row r="449" spans="1:125">
      <c r="A449"/>
      <c r="B449"/>
      <c r="C449"/>
      <c r="D449"/>
      <c r="E449"/>
      <c r="G449"/>
      <c r="K449"/>
      <c r="V449"/>
      <c r="AC449"/>
      <c r="AI449"/>
      <c r="AJ449"/>
      <c r="AK449"/>
      <c r="AL449"/>
      <c r="AM449"/>
      <c r="AP449"/>
      <c r="AQ449"/>
      <c r="AR449"/>
      <c r="AS449" s="180"/>
      <c r="AT449"/>
      <c r="AU449"/>
      <c r="AV449"/>
      <c r="AW449"/>
      <c r="AX449"/>
      <c r="AY449"/>
      <c r="AZ449"/>
      <c r="BA449"/>
      <c r="BB449"/>
      <c r="BC449"/>
      <c r="BD449"/>
      <c r="BE449"/>
      <c r="BJ449"/>
      <c r="BK449"/>
      <c r="BL449"/>
      <c r="BP449"/>
      <c r="BQ449"/>
      <c r="BR449"/>
      <c r="CD449"/>
      <c r="CE449"/>
      <c r="CF449"/>
      <c r="CQ449"/>
      <c r="CR449"/>
      <c r="CS449"/>
      <c r="DQ449"/>
      <c r="DR449"/>
      <c r="DS449"/>
      <c r="DT449"/>
      <c r="DU449"/>
    </row>
    <row r="450" spans="1:125">
      <c r="A450"/>
      <c r="B450"/>
      <c r="C450"/>
      <c r="D450"/>
      <c r="E450"/>
      <c r="G450"/>
      <c r="K450"/>
      <c r="V450"/>
      <c r="AC450"/>
      <c r="AI450"/>
      <c r="AJ450"/>
      <c r="AK450"/>
      <c r="AL450"/>
      <c r="AM450"/>
      <c r="AP450"/>
      <c r="AQ450"/>
      <c r="AR450"/>
      <c r="AS450" s="180"/>
      <c r="AT450"/>
      <c r="AU450"/>
      <c r="AV450"/>
      <c r="AW450"/>
      <c r="AX450"/>
      <c r="AY450"/>
      <c r="AZ450"/>
      <c r="BA450"/>
      <c r="BB450"/>
      <c r="BC450"/>
      <c r="BD450"/>
      <c r="BE450"/>
      <c r="BJ450"/>
      <c r="BK450"/>
      <c r="BL450"/>
      <c r="BP450"/>
      <c r="BQ450"/>
      <c r="BR450"/>
      <c r="CD450"/>
      <c r="CE450"/>
      <c r="CF450"/>
      <c r="CQ450"/>
      <c r="CR450"/>
      <c r="CS450"/>
      <c r="DQ450"/>
      <c r="DR450"/>
      <c r="DS450"/>
      <c r="DT450"/>
      <c r="DU450"/>
    </row>
    <row r="451" spans="1:125">
      <c r="A451"/>
      <c r="B451"/>
      <c r="C451"/>
      <c r="D451"/>
      <c r="E451"/>
      <c r="G451"/>
      <c r="K451"/>
      <c r="V451"/>
      <c r="AC451"/>
      <c r="AI451"/>
      <c r="AJ451"/>
      <c r="AK451"/>
      <c r="AL451"/>
      <c r="AM451"/>
      <c r="AP451"/>
      <c r="AQ451"/>
      <c r="AR451"/>
      <c r="AS451" s="180"/>
      <c r="AT451"/>
      <c r="AU451"/>
      <c r="AV451"/>
      <c r="AW451"/>
      <c r="AX451"/>
      <c r="AY451"/>
      <c r="AZ451"/>
      <c r="BA451"/>
      <c r="BB451"/>
      <c r="BC451"/>
      <c r="BD451"/>
      <c r="BE451"/>
      <c r="BJ451"/>
      <c r="BK451"/>
      <c r="BL451"/>
      <c r="BP451"/>
      <c r="BQ451"/>
      <c r="BR451"/>
      <c r="CD451"/>
      <c r="CE451"/>
      <c r="CF451"/>
      <c r="CQ451"/>
      <c r="CR451"/>
      <c r="CS451"/>
      <c r="DQ451"/>
      <c r="DR451"/>
      <c r="DS451"/>
      <c r="DT451"/>
      <c r="DU451"/>
    </row>
    <row r="452" spans="1:125">
      <c r="A452"/>
      <c r="B452"/>
      <c r="C452"/>
      <c r="D452"/>
      <c r="E452"/>
      <c r="G452"/>
      <c r="K452"/>
      <c r="V452"/>
      <c r="AC452"/>
      <c r="AI452"/>
      <c r="AJ452"/>
      <c r="AK452"/>
      <c r="AL452"/>
      <c r="AM452"/>
      <c r="AP452"/>
      <c r="AQ452"/>
      <c r="AR452"/>
      <c r="AS452" s="180"/>
      <c r="AT452"/>
      <c r="AU452"/>
      <c r="AV452"/>
      <c r="AW452"/>
      <c r="AX452"/>
      <c r="AY452"/>
      <c r="AZ452"/>
      <c r="BA452"/>
      <c r="BB452"/>
      <c r="BC452"/>
      <c r="BD452"/>
      <c r="BE452"/>
      <c r="BJ452"/>
      <c r="BK452"/>
      <c r="BL452"/>
      <c r="BP452"/>
      <c r="BQ452"/>
      <c r="BR452"/>
      <c r="CD452"/>
      <c r="CE452"/>
      <c r="CF452"/>
      <c r="CQ452"/>
      <c r="CR452"/>
      <c r="CS452"/>
      <c r="DQ452"/>
      <c r="DR452"/>
      <c r="DS452"/>
      <c r="DT452"/>
      <c r="DU452"/>
    </row>
    <row r="453" spans="1:125">
      <c r="A453"/>
      <c r="B453"/>
      <c r="C453"/>
      <c r="D453"/>
      <c r="E453"/>
      <c r="G453"/>
      <c r="K453"/>
      <c r="V453"/>
      <c r="AC453"/>
      <c r="AI453"/>
      <c r="AJ453"/>
      <c r="AK453"/>
      <c r="AL453"/>
      <c r="AM453"/>
      <c r="AP453"/>
      <c r="AQ453"/>
      <c r="AR453"/>
      <c r="AS453" s="180"/>
      <c r="AT453"/>
      <c r="AU453"/>
      <c r="AV453"/>
      <c r="AW453"/>
      <c r="AX453"/>
      <c r="AY453"/>
      <c r="AZ453"/>
      <c r="BA453"/>
      <c r="BB453"/>
      <c r="BC453"/>
      <c r="BD453"/>
      <c r="BE453"/>
      <c r="BJ453"/>
      <c r="BK453"/>
      <c r="BL453"/>
      <c r="BP453"/>
      <c r="BQ453"/>
      <c r="BR453"/>
      <c r="CD453"/>
      <c r="CE453"/>
      <c r="CF453"/>
      <c r="CQ453"/>
      <c r="CR453"/>
      <c r="CS453"/>
      <c r="DQ453"/>
      <c r="DR453"/>
      <c r="DS453"/>
      <c r="DT453"/>
      <c r="DU453"/>
    </row>
    <row r="454" spans="1:125">
      <c r="A454"/>
      <c r="B454"/>
      <c r="C454"/>
      <c r="D454"/>
      <c r="E454"/>
      <c r="G454"/>
      <c r="K454"/>
      <c r="V454"/>
      <c r="AC454"/>
      <c r="AI454"/>
      <c r="AJ454"/>
      <c r="AK454"/>
      <c r="AL454"/>
      <c r="AM454"/>
      <c r="AP454"/>
      <c r="AQ454"/>
      <c r="AR454"/>
      <c r="AS454" s="180"/>
      <c r="AT454"/>
      <c r="AU454"/>
      <c r="AV454"/>
      <c r="AW454"/>
      <c r="AX454"/>
      <c r="AY454"/>
      <c r="AZ454"/>
      <c r="BA454"/>
      <c r="BB454"/>
      <c r="BC454"/>
      <c r="BD454"/>
      <c r="BE454"/>
      <c r="BJ454"/>
      <c r="BK454"/>
      <c r="BL454"/>
      <c r="BP454"/>
      <c r="BQ454"/>
      <c r="BR454"/>
      <c r="CD454"/>
      <c r="CE454"/>
      <c r="CF454"/>
      <c r="CQ454"/>
      <c r="CR454"/>
      <c r="CS454"/>
      <c r="DQ454"/>
      <c r="DR454"/>
      <c r="DS454"/>
      <c r="DT454"/>
      <c r="DU454"/>
    </row>
    <row r="455" spans="1:125">
      <c r="A455"/>
      <c r="B455"/>
      <c r="C455"/>
      <c r="D455"/>
      <c r="E455"/>
      <c r="G455"/>
      <c r="K455"/>
      <c r="V455"/>
      <c r="AC455"/>
      <c r="AI455"/>
      <c r="AJ455"/>
      <c r="AK455"/>
      <c r="AL455"/>
      <c r="AM455"/>
      <c r="AP455"/>
      <c r="AQ455"/>
      <c r="AR455"/>
      <c r="AS455" s="180"/>
      <c r="AT455"/>
      <c r="AU455"/>
      <c r="AV455"/>
      <c r="AW455"/>
      <c r="AX455"/>
      <c r="AY455"/>
      <c r="AZ455"/>
      <c r="BA455"/>
      <c r="BB455"/>
      <c r="BC455"/>
      <c r="BD455"/>
      <c r="BE455"/>
      <c r="BJ455"/>
      <c r="BK455"/>
      <c r="BL455"/>
      <c r="BP455"/>
      <c r="BQ455"/>
      <c r="BR455"/>
      <c r="CD455"/>
      <c r="CE455"/>
      <c r="CF455"/>
      <c r="CQ455"/>
      <c r="CR455"/>
      <c r="CS455"/>
      <c r="DQ455"/>
      <c r="DR455"/>
      <c r="DS455"/>
      <c r="DT455"/>
      <c r="DU455"/>
    </row>
    <row r="456" spans="1:125">
      <c r="A456"/>
      <c r="B456"/>
      <c r="C456"/>
      <c r="D456"/>
      <c r="E456"/>
      <c r="G456"/>
      <c r="K456"/>
      <c r="V456"/>
      <c r="AC456"/>
      <c r="AI456"/>
      <c r="AJ456"/>
      <c r="AK456"/>
      <c r="AL456"/>
      <c r="AM456"/>
      <c r="AP456"/>
      <c r="AQ456"/>
      <c r="AR456"/>
      <c r="AS456" s="180"/>
      <c r="AT456"/>
      <c r="AU456"/>
      <c r="AV456"/>
      <c r="AW456"/>
      <c r="AX456"/>
      <c r="AY456"/>
      <c r="AZ456"/>
      <c r="BA456"/>
      <c r="BB456"/>
      <c r="BC456"/>
      <c r="BD456"/>
      <c r="BE456"/>
      <c r="BJ456"/>
      <c r="BK456"/>
      <c r="BL456"/>
      <c r="BP456"/>
      <c r="BQ456"/>
      <c r="BR456"/>
      <c r="CD456"/>
      <c r="CE456"/>
      <c r="CF456"/>
      <c r="CQ456"/>
      <c r="CR456"/>
      <c r="CS456"/>
      <c r="DQ456"/>
      <c r="DR456"/>
      <c r="DS456"/>
      <c r="DT456"/>
      <c r="DU456"/>
    </row>
    <row r="457" spans="1:125">
      <c r="A457"/>
      <c r="B457"/>
      <c r="C457"/>
      <c r="D457"/>
      <c r="E457"/>
      <c r="G457"/>
      <c r="K457"/>
      <c r="V457"/>
      <c r="AC457"/>
      <c r="AI457"/>
      <c r="AJ457"/>
      <c r="AK457"/>
      <c r="AL457"/>
      <c r="AM457"/>
      <c r="AP457"/>
      <c r="AQ457"/>
      <c r="AR457"/>
      <c r="AS457" s="180"/>
      <c r="AT457"/>
      <c r="AU457"/>
      <c r="AV457"/>
      <c r="AW457"/>
      <c r="AX457"/>
      <c r="AY457"/>
      <c r="AZ457"/>
      <c r="BA457"/>
      <c r="BB457"/>
      <c r="BC457"/>
      <c r="BD457"/>
      <c r="BE457"/>
      <c r="BJ457"/>
      <c r="BK457"/>
      <c r="BL457"/>
      <c r="BP457"/>
      <c r="BQ457"/>
      <c r="BR457"/>
      <c r="CD457"/>
      <c r="CE457"/>
      <c r="CF457"/>
      <c r="CQ457"/>
      <c r="CR457"/>
      <c r="CS457"/>
      <c r="DQ457"/>
      <c r="DR457"/>
      <c r="DS457"/>
      <c r="DT457"/>
      <c r="DU457"/>
    </row>
    <row r="458" spans="1:125">
      <c r="A458"/>
      <c r="B458"/>
      <c r="C458"/>
      <c r="D458"/>
      <c r="E458"/>
      <c r="G458"/>
      <c r="K458"/>
      <c r="V458"/>
      <c r="AC458"/>
      <c r="AI458"/>
      <c r="AJ458"/>
      <c r="AK458"/>
      <c r="AL458"/>
      <c r="AM458"/>
      <c r="AP458"/>
      <c r="AQ458"/>
      <c r="AR458"/>
      <c r="AS458" s="180"/>
      <c r="AT458"/>
      <c r="AU458"/>
      <c r="AV458"/>
      <c r="AW458"/>
      <c r="AX458"/>
      <c r="AY458"/>
      <c r="AZ458"/>
      <c r="BA458"/>
      <c r="BB458"/>
      <c r="BC458"/>
      <c r="BD458"/>
      <c r="BE458"/>
      <c r="BJ458"/>
      <c r="BK458"/>
      <c r="BL458"/>
      <c r="BP458"/>
      <c r="BQ458"/>
      <c r="BR458"/>
      <c r="CD458"/>
      <c r="CE458"/>
      <c r="CF458"/>
      <c r="CQ458"/>
      <c r="CR458"/>
      <c r="CS458"/>
      <c r="DQ458"/>
      <c r="DR458"/>
      <c r="DS458"/>
      <c r="DT458"/>
      <c r="DU458"/>
    </row>
    <row r="459" spans="1:125">
      <c r="A459"/>
      <c r="B459"/>
      <c r="C459"/>
      <c r="D459"/>
      <c r="E459"/>
      <c r="G459"/>
      <c r="K459"/>
      <c r="V459"/>
      <c r="AC459"/>
      <c r="AI459"/>
      <c r="AJ459"/>
      <c r="AK459"/>
      <c r="AL459"/>
      <c r="AM459"/>
      <c r="AP459"/>
      <c r="AQ459"/>
      <c r="AR459"/>
      <c r="AS459" s="180"/>
      <c r="AT459"/>
      <c r="AU459"/>
      <c r="AV459"/>
      <c r="AW459"/>
      <c r="AX459"/>
      <c r="AY459"/>
      <c r="AZ459"/>
      <c r="BA459"/>
      <c r="BB459"/>
      <c r="BC459"/>
      <c r="BD459"/>
      <c r="BE459"/>
      <c r="BJ459"/>
      <c r="BK459"/>
      <c r="BL459"/>
      <c r="BP459"/>
      <c r="BQ459"/>
      <c r="BR459"/>
      <c r="CD459"/>
      <c r="CE459"/>
      <c r="CF459"/>
      <c r="CQ459"/>
      <c r="CR459"/>
      <c r="CS459"/>
      <c r="DQ459"/>
      <c r="DR459"/>
      <c r="DS459"/>
      <c r="DT459"/>
      <c r="DU459"/>
    </row>
    <row r="460" spans="1:125">
      <c r="A460"/>
      <c r="B460"/>
      <c r="C460"/>
      <c r="D460"/>
      <c r="E460"/>
      <c r="G460"/>
      <c r="K460"/>
      <c r="V460"/>
      <c r="AC460"/>
      <c r="AI460"/>
      <c r="AJ460"/>
      <c r="AK460"/>
      <c r="AL460"/>
      <c r="AM460"/>
      <c r="AP460"/>
      <c r="AQ460"/>
      <c r="AR460"/>
      <c r="AS460" s="180"/>
      <c r="AT460"/>
      <c r="AU460"/>
      <c r="AV460"/>
      <c r="AW460"/>
      <c r="AX460"/>
      <c r="AY460"/>
      <c r="AZ460"/>
      <c r="BA460"/>
      <c r="BB460"/>
      <c r="BC460"/>
      <c r="BD460"/>
      <c r="BE460"/>
      <c r="BJ460"/>
      <c r="BK460"/>
      <c r="BL460"/>
      <c r="BP460"/>
      <c r="BQ460"/>
      <c r="BR460"/>
      <c r="CD460"/>
      <c r="CE460"/>
      <c r="CF460"/>
      <c r="CQ460"/>
      <c r="CR460"/>
      <c r="CS460"/>
      <c r="DQ460"/>
      <c r="DR460"/>
      <c r="DS460"/>
      <c r="DT460"/>
      <c r="DU460"/>
    </row>
    <row r="461" spans="1:125">
      <c r="A461"/>
      <c r="B461"/>
      <c r="C461"/>
      <c r="D461"/>
      <c r="E461"/>
      <c r="G461"/>
      <c r="K461"/>
      <c r="V461"/>
      <c r="AC461"/>
      <c r="AI461"/>
      <c r="AJ461"/>
      <c r="AK461"/>
      <c r="AL461"/>
      <c r="AM461"/>
      <c r="AP461"/>
      <c r="AQ461"/>
      <c r="AR461"/>
      <c r="AS461" s="180"/>
      <c r="AT461"/>
      <c r="AU461"/>
      <c r="AV461"/>
      <c r="AW461"/>
      <c r="AX461"/>
      <c r="AY461"/>
      <c r="AZ461"/>
      <c r="BA461"/>
      <c r="BB461"/>
      <c r="BC461"/>
      <c r="BD461"/>
      <c r="BE461"/>
      <c r="BJ461"/>
      <c r="BK461"/>
      <c r="BL461"/>
      <c r="BP461"/>
      <c r="BQ461"/>
      <c r="BR461"/>
      <c r="CD461"/>
      <c r="CE461"/>
      <c r="CF461"/>
      <c r="CQ461"/>
      <c r="CR461"/>
      <c r="CS461"/>
      <c r="DQ461"/>
      <c r="DR461"/>
      <c r="DS461"/>
      <c r="DT461"/>
      <c r="DU461"/>
    </row>
    <row r="462" spans="1:125">
      <c r="A462"/>
      <c r="B462"/>
      <c r="C462"/>
      <c r="D462"/>
      <c r="E462"/>
      <c r="G462"/>
      <c r="K462"/>
      <c r="V462"/>
      <c r="AC462"/>
      <c r="AI462"/>
      <c r="AJ462"/>
      <c r="AK462"/>
      <c r="AL462"/>
      <c r="AM462"/>
      <c r="AP462"/>
      <c r="AQ462"/>
      <c r="AR462"/>
      <c r="AS462" s="180"/>
      <c r="AT462"/>
      <c r="AU462"/>
      <c r="AV462"/>
      <c r="AW462"/>
      <c r="AX462"/>
      <c r="AY462"/>
      <c r="AZ462"/>
      <c r="BA462"/>
      <c r="BB462"/>
      <c r="BC462"/>
      <c r="BD462"/>
      <c r="BE462"/>
      <c r="BJ462"/>
      <c r="BK462"/>
      <c r="BL462"/>
      <c r="BP462"/>
      <c r="BQ462"/>
      <c r="BR462"/>
      <c r="CD462"/>
      <c r="CE462"/>
      <c r="CF462"/>
      <c r="CQ462"/>
      <c r="CR462"/>
      <c r="CS462"/>
      <c r="DQ462"/>
      <c r="DR462"/>
      <c r="DS462"/>
      <c r="DT462"/>
      <c r="DU462"/>
    </row>
    <row r="463" spans="1:125">
      <c r="A463"/>
      <c r="B463"/>
      <c r="C463"/>
      <c r="D463"/>
      <c r="E463"/>
      <c r="G463"/>
      <c r="K463"/>
      <c r="V463"/>
      <c r="AC463"/>
      <c r="AI463"/>
      <c r="AJ463"/>
      <c r="AK463"/>
      <c r="AL463"/>
      <c r="AM463"/>
      <c r="AP463"/>
      <c r="AQ463"/>
      <c r="AR463"/>
      <c r="AS463" s="180"/>
      <c r="AT463"/>
      <c r="AU463"/>
      <c r="AV463"/>
      <c r="AW463"/>
      <c r="AX463"/>
      <c r="AY463"/>
      <c r="AZ463"/>
      <c r="BA463"/>
      <c r="BB463"/>
      <c r="BC463"/>
      <c r="BD463"/>
      <c r="BE463"/>
      <c r="BJ463"/>
      <c r="BK463"/>
      <c r="BL463"/>
      <c r="BP463"/>
      <c r="BQ463"/>
      <c r="BR463"/>
      <c r="CD463"/>
      <c r="CE463"/>
      <c r="CF463"/>
      <c r="CQ463"/>
      <c r="CR463"/>
      <c r="CS463"/>
      <c r="DQ463"/>
      <c r="DR463"/>
      <c r="DS463"/>
      <c r="DT463"/>
      <c r="DU463"/>
    </row>
    <row r="464" spans="1:125">
      <c r="A464"/>
      <c r="B464"/>
      <c r="C464"/>
      <c r="D464"/>
      <c r="E464"/>
      <c r="G464"/>
      <c r="K464"/>
      <c r="V464"/>
      <c r="AC464"/>
      <c r="AI464"/>
      <c r="AJ464"/>
      <c r="AK464"/>
      <c r="AL464"/>
      <c r="AM464"/>
      <c r="AP464"/>
      <c r="AQ464"/>
      <c r="AR464"/>
      <c r="AS464" s="180"/>
      <c r="AT464"/>
      <c r="AU464"/>
      <c r="AV464"/>
      <c r="AW464"/>
      <c r="AX464"/>
      <c r="AY464"/>
      <c r="AZ464"/>
      <c r="BA464"/>
      <c r="BB464"/>
      <c r="BC464"/>
      <c r="BD464"/>
      <c r="BE464"/>
      <c r="BJ464"/>
      <c r="BK464"/>
      <c r="BL464"/>
      <c r="BP464"/>
      <c r="BQ464"/>
      <c r="BR464"/>
      <c r="CD464"/>
      <c r="CE464"/>
      <c r="CF464"/>
      <c r="CQ464"/>
      <c r="CR464"/>
      <c r="CS464"/>
      <c r="DQ464"/>
      <c r="DR464"/>
      <c r="DS464"/>
      <c r="DT464"/>
      <c r="DU464"/>
    </row>
    <row r="465" spans="1:125">
      <c r="A465"/>
      <c r="B465"/>
      <c r="C465"/>
      <c r="D465"/>
      <c r="E465"/>
      <c r="G465"/>
      <c r="K465"/>
      <c r="V465"/>
      <c r="AC465"/>
      <c r="AI465"/>
      <c r="AJ465"/>
      <c r="AK465"/>
      <c r="AL465"/>
      <c r="AM465"/>
      <c r="AP465"/>
      <c r="AQ465"/>
      <c r="AR465"/>
      <c r="AS465" s="180"/>
      <c r="AT465"/>
      <c r="AU465"/>
      <c r="AV465"/>
      <c r="AW465"/>
      <c r="AX465"/>
      <c r="AY465"/>
      <c r="AZ465"/>
      <c r="BA465"/>
      <c r="BB465"/>
      <c r="BC465"/>
      <c r="BD465"/>
      <c r="BE465"/>
      <c r="BJ465"/>
      <c r="BK465"/>
      <c r="BL465"/>
      <c r="BP465"/>
      <c r="BQ465"/>
      <c r="BR465"/>
      <c r="CD465"/>
      <c r="CE465"/>
      <c r="CF465"/>
      <c r="CQ465"/>
      <c r="CR465"/>
      <c r="CS465"/>
      <c r="DQ465"/>
      <c r="DR465"/>
      <c r="DS465"/>
      <c r="DT465"/>
      <c r="DU465"/>
    </row>
    <row r="466" spans="1:125">
      <c r="A466"/>
      <c r="B466"/>
      <c r="C466"/>
      <c r="D466"/>
      <c r="E466"/>
      <c r="G466"/>
      <c r="K466"/>
      <c r="V466"/>
      <c r="AC466"/>
      <c r="AI466"/>
      <c r="AJ466"/>
      <c r="AK466"/>
      <c r="AL466"/>
      <c r="AM466"/>
      <c r="AP466"/>
      <c r="AQ466"/>
      <c r="AR466"/>
      <c r="AS466" s="180"/>
      <c r="AT466"/>
      <c r="AU466"/>
      <c r="AV466"/>
      <c r="AW466"/>
      <c r="AX466"/>
      <c r="AY466"/>
      <c r="AZ466"/>
      <c r="BA466"/>
      <c r="BB466"/>
      <c r="BC466"/>
      <c r="BD466"/>
      <c r="BE466"/>
      <c r="BJ466"/>
      <c r="BK466"/>
      <c r="BL466"/>
      <c r="BP466"/>
      <c r="BQ466"/>
      <c r="BR466"/>
      <c r="CD466"/>
      <c r="CE466"/>
      <c r="CF466"/>
      <c r="CQ466"/>
      <c r="CR466"/>
      <c r="CS466"/>
      <c r="DQ466"/>
      <c r="DR466"/>
      <c r="DS466"/>
      <c r="DT466"/>
      <c r="DU466"/>
    </row>
    <row r="467" spans="1:125">
      <c r="A467"/>
      <c r="B467"/>
      <c r="C467"/>
      <c r="D467"/>
      <c r="E467"/>
      <c r="G467"/>
      <c r="K467"/>
      <c r="V467"/>
      <c r="AC467"/>
      <c r="AI467"/>
      <c r="AJ467"/>
      <c r="AK467"/>
      <c r="AL467"/>
      <c r="AM467"/>
      <c r="AP467"/>
      <c r="AQ467"/>
      <c r="AR467"/>
      <c r="AS467" s="180"/>
      <c r="AT467"/>
      <c r="AU467"/>
      <c r="AV467"/>
      <c r="AW467"/>
      <c r="AX467"/>
      <c r="AY467"/>
      <c r="AZ467"/>
      <c r="BA467"/>
      <c r="BB467"/>
      <c r="BC467"/>
      <c r="BD467"/>
      <c r="BE467"/>
      <c r="BJ467"/>
      <c r="BK467"/>
      <c r="BL467"/>
      <c r="BP467"/>
      <c r="BQ467"/>
      <c r="BR467"/>
      <c r="CD467"/>
      <c r="CE467"/>
      <c r="CF467"/>
      <c r="CQ467"/>
      <c r="CR467"/>
      <c r="CS467"/>
      <c r="DQ467"/>
      <c r="DR467"/>
      <c r="DS467"/>
      <c r="DT467"/>
      <c r="DU467"/>
    </row>
    <row r="468" spans="1:125">
      <c r="A468"/>
      <c r="B468"/>
      <c r="C468"/>
      <c r="D468"/>
      <c r="E468"/>
      <c r="G468"/>
      <c r="K468"/>
      <c r="V468"/>
      <c r="AC468"/>
      <c r="AI468"/>
      <c r="AJ468"/>
      <c r="AK468"/>
      <c r="AL468"/>
      <c r="AM468"/>
      <c r="AP468"/>
      <c r="AQ468"/>
      <c r="AR468"/>
      <c r="AS468" s="180"/>
      <c r="AT468"/>
      <c r="AU468"/>
      <c r="AV468"/>
      <c r="AW468"/>
      <c r="AX468"/>
      <c r="AY468"/>
      <c r="AZ468"/>
      <c r="BA468"/>
      <c r="BB468"/>
      <c r="BC468"/>
      <c r="BD468"/>
      <c r="BE468"/>
      <c r="BJ468"/>
      <c r="BK468"/>
      <c r="BL468"/>
      <c r="BP468"/>
      <c r="BQ468"/>
      <c r="BR468"/>
      <c r="CD468"/>
      <c r="CE468"/>
      <c r="CF468"/>
      <c r="CQ468"/>
      <c r="CR468"/>
      <c r="CS468"/>
      <c r="DQ468"/>
      <c r="DR468"/>
      <c r="DS468"/>
      <c r="DT468"/>
      <c r="DU468"/>
    </row>
    <row r="469" spans="1:125">
      <c r="A469"/>
      <c r="B469"/>
      <c r="C469"/>
      <c r="D469"/>
      <c r="E469"/>
      <c r="G469"/>
      <c r="K469"/>
      <c r="V469"/>
      <c r="AC469"/>
      <c r="AI469"/>
      <c r="AJ469"/>
      <c r="AK469"/>
      <c r="AL469"/>
      <c r="AM469"/>
      <c r="AP469"/>
      <c r="AQ469"/>
      <c r="AR469"/>
      <c r="AS469" s="180"/>
      <c r="AT469"/>
      <c r="AU469"/>
      <c r="AV469"/>
      <c r="AW469"/>
      <c r="AX469"/>
      <c r="AY469"/>
      <c r="AZ469"/>
      <c r="BA469"/>
      <c r="BB469"/>
      <c r="BC469"/>
      <c r="BD469"/>
      <c r="BE469"/>
      <c r="BJ469"/>
      <c r="BK469"/>
      <c r="BL469"/>
      <c r="BP469"/>
      <c r="BQ469"/>
      <c r="BR469"/>
      <c r="CD469"/>
      <c r="CE469"/>
      <c r="CF469"/>
      <c r="CQ469"/>
      <c r="CR469"/>
      <c r="CS469"/>
      <c r="DQ469"/>
      <c r="DR469"/>
      <c r="DS469"/>
      <c r="DT469"/>
      <c r="DU469"/>
    </row>
    <row r="470" spans="1:125">
      <c r="A470"/>
      <c r="B470"/>
      <c r="C470"/>
      <c r="D470"/>
      <c r="E470"/>
      <c r="G470"/>
      <c r="K470"/>
      <c r="V470"/>
      <c r="AC470"/>
      <c r="AI470"/>
      <c r="AJ470"/>
      <c r="AK470"/>
      <c r="AL470"/>
      <c r="AM470"/>
      <c r="AP470"/>
      <c r="AQ470"/>
      <c r="AR470"/>
      <c r="AS470" s="180"/>
      <c r="AT470"/>
      <c r="AU470"/>
      <c r="AV470"/>
      <c r="AW470"/>
      <c r="AX470"/>
      <c r="AY470"/>
      <c r="AZ470"/>
      <c r="BA470"/>
      <c r="BB470"/>
      <c r="BC470"/>
      <c r="BD470"/>
      <c r="BE470"/>
      <c r="BJ470"/>
      <c r="BK470"/>
      <c r="BL470"/>
      <c r="BP470"/>
      <c r="BQ470"/>
      <c r="BR470"/>
      <c r="CD470"/>
      <c r="CE470"/>
      <c r="CF470"/>
      <c r="CQ470"/>
      <c r="CR470"/>
      <c r="CS470"/>
      <c r="DQ470"/>
      <c r="DR470"/>
      <c r="DS470"/>
      <c r="DT470"/>
      <c r="DU470"/>
    </row>
    <row r="471" spans="1:125">
      <c r="A471"/>
      <c r="B471"/>
      <c r="C471"/>
      <c r="D471"/>
      <c r="E471"/>
      <c r="G471"/>
      <c r="K471"/>
      <c r="V471"/>
      <c r="AC471"/>
      <c r="AI471"/>
      <c r="AJ471"/>
      <c r="AK471"/>
      <c r="AL471"/>
      <c r="AM471"/>
      <c r="AP471"/>
      <c r="AQ471"/>
      <c r="AR471"/>
      <c r="AS471" s="180"/>
      <c r="AT471"/>
      <c r="AU471"/>
      <c r="AV471"/>
      <c r="AW471"/>
      <c r="AX471"/>
      <c r="AY471"/>
      <c r="AZ471"/>
      <c r="BA471"/>
      <c r="BB471"/>
      <c r="BC471"/>
      <c r="BD471"/>
      <c r="BE471"/>
      <c r="BJ471"/>
      <c r="BK471"/>
      <c r="BL471"/>
      <c r="BP471"/>
      <c r="BQ471"/>
      <c r="BR471"/>
      <c r="CD471"/>
      <c r="CE471"/>
      <c r="CF471"/>
      <c r="CQ471"/>
      <c r="CR471"/>
      <c r="CS471"/>
      <c r="DQ471"/>
      <c r="DR471"/>
      <c r="DS471"/>
      <c r="DT471"/>
      <c r="DU471"/>
    </row>
    <row r="472" spans="1:125">
      <c r="A472"/>
      <c r="B472"/>
      <c r="C472"/>
      <c r="D472"/>
      <c r="E472"/>
      <c r="G472"/>
      <c r="K472"/>
      <c r="V472"/>
      <c r="AC472"/>
      <c r="AI472"/>
      <c r="AJ472"/>
      <c r="AK472"/>
      <c r="AL472"/>
      <c r="AM472"/>
      <c r="AP472"/>
      <c r="AQ472"/>
      <c r="AR472"/>
      <c r="AS472" s="180"/>
      <c r="AT472"/>
      <c r="AU472"/>
      <c r="AV472"/>
      <c r="AW472"/>
      <c r="AX472"/>
      <c r="AY472"/>
      <c r="AZ472"/>
      <c r="BA472"/>
      <c r="BB472"/>
      <c r="BC472"/>
      <c r="BD472"/>
      <c r="BE472"/>
      <c r="BJ472"/>
      <c r="BK472"/>
      <c r="BL472"/>
      <c r="BP472"/>
      <c r="BQ472"/>
      <c r="BR472"/>
      <c r="CD472"/>
      <c r="CE472"/>
      <c r="CF472"/>
      <c r="CQ472"/>
      <c r="CR472"/>
      <c r="CS472"/>
      <c r="DQ472"/>
      <c r="DR472"/>
      <c r="DS472"/>
      <c r="DT472"/>
      <c r="DU472"/>
    </row>
    <row r="473" spans="1:125">
      <c r="A473"/>
      <c r="B473"/>
      <c r="C473"/>
      <c r="D473"/>
      <c r="E473"/>
      <c r="G473"/>
      <c r="K473"/>
      <c r="V473"/>
      <c r="AC473"/>
      <c r="AI473"/>
      <c r="AJ473"/>
      <c r="AK473"/>
      <c r="AL473"/>
      <c r="AM473"/>
      <c r="AP473"/>
      <c r="AQ473"/>
      <c r="AR473"/>
      <c r="AS473" s="180"/>
      <c r="AT473"/>
      <c r="AU473"/>
      <c r="AV473"/>
      <c r="AW473"/>
      <c r="AX473"/>
      <c r="AY473"/>
      <c r="AZ473"/>
      <c r="BA473"/>
      <c r="BB473"/>
      <c r="BC473"/>
      <c r="BD473"/>
      <c r="BE473"/>
      <c r="BJ473"/>
      <c r="BK473"/>
      <c r="BL473"/>
      <c r="BP473"/>
      <c r="BQ473"/>
      <c r="BR473"/>
      <c r="CD473"/>
      <c r="CE473"/>
      <c r="CF473"/>
      <c r="CQ473"/>
      <c r="CR473"/>
      <c r="CS473"/>
      <c r="DQ473"/>
      <c r="DR473"/>
      <c r="DS473"/>
      <c r="DT473"/>
      <c r="DU473"/>
    </row>
    <row r="474" spans="1:125">
      <c r="A474"/>
      <c r="B474"/>
      <c r="C474"/>
      <c r="D474"/>
      <c r="E474"/>
      <c r="G474"/>
      <c r="K474"/>
      <c r="V474"/>
      <c r="AC474"/>
      <c r="AI474"/>
      <c r="AJ474"/>
      <c r="AK474"/>
      <c r="AL474"/>
      <c r="AM474"/>
      <c r="AP474"/>
      <c r="AQ474"/>
      <c r="AR474"/>
      <c r="AS474" s="180"/>
      <c r="AT474"/>
      <c r="AU474"/>
      <c r="AV474"/>
      <c r="AW474"/>
      <c r="AX474"/>
      <c r="AY474"/>
      <c r="AZ474"/>
      <c r="BA474"/>
      <c r="BB474"/>
      <c r="BC474"/>
      <c r="BD474"/>
      <c r="BE474"/>
      <c r="BJ474"/>
      <c r="BK474"/>
      <c r="BL474"/>
      <c r="BP474"/>
      <c r="BQ474"/>
      <c r="BR474"/>
      <c r="CD474"/>
      <c r="CE474"/>
      <c r="CF474"/>
      <c r="CQ474"/>
      <c r="CR474"/>
      <c r="CS474"/>
      <c r="DQ474"/>
      <c r="DR474"/>
      <c r="DS474"/>
      <c r="DT474"/>
      <c r="DU474"/>
    </row>
    <row r="475" spans="1:125">
      <c r="A475"/>
      <c r="B475"/>
      <c r="C475"/>
      <c r="D475"/>
      <c r="E475"/>
      <c r="G475"/>
      <c r="K475"/>
      <c r="V475"/>
      <c r="AC475"/>
      <c r="AI475"/>
      <c r="AJ475"/>
      <c r="AK475"/>
      <c r="AL475"/>
      <c r="AM475"/>
      <c r="AP475"/>
      <c r="AQ475"/>
      <c r="AR475"/>
      <c r="AS475" s="180"/>
      <c r="AT475"/>
      <c r="AU475"/>
      <c r="AV475"/>
      <c r="AW475"/>
      <c r="AX475"/>
      <c r="AY475"/>
      <c r="AZ475"/>
      <c r="BA475"/>
      <c r="BB475"/>
      <c r="BC475"/>
      <c r="BD475"/>
      <c r="BE475"/>
      <c r="BJ475"/>
      <c r="BK475"/>
      <c r="BL475"/>
      <c r="BP475"/>
      <c r="BQ475"/>
      <c r="BR475"/>
      <c r="CD475"/>
      <c r="CE475"/>
      <c r="CF475"/>
      <c r="CQ475"/>
      <c r="CR475"/>
      <c r="CS475"/>
      <c r="DQ475"/>
      <c r="DR475"/>
      <c r="DS475"/>
      <c r="DT475"/>
      <c r="DU475"/>
    </row>
    <row r="476" spans="1:125">
      <c r="A476"/>
      <c r="B476"/>
      <c r="C476"/>
      <c r="D476"/>
      <c r="E476"/>
      <c r="G476"/>
      <c r="K476"/>
      <c r="V476"/>
      <c r="AC476"/>
      <c r="AI476"/>
      <c r="AJ476"/>
      <c r="AK476"/>
      <c r="AL476"/>
      <c r="AM476"/>
      <c r="AP476"/>
      <c r="AQ476"/>
      <c r="AR476"/>
      <c r="AS476" s="180"/>
      <c r="AT476"/>
      <c r="AU476"/>
      <c r="AV476"/>
      <c r="AW476"/>
      <c r="AX476"/>
      <c r="AY476"/>
      <c r="AZ476"/>
      <c r="BA476"/>
      <c r="BB476"/>
      <c r="BC476"/>
      <c r="BD476"/>
      <c r="BE476"/>
      <c r="BJ476"/>
      <c r="BK476"/>
      <c r="BL476"/>
      <c r="BP476"/>
      <c r="BQ476"/>
      <c r="BR476"/>
      <c r="CD476"/>
      <c r="CE476"/>
      <c r="CF476"/>
      <c r="CQ476"/>
      <c r="CR476"/>
      <c r="CS476"/>
      <c r="DQ476"/>
      <c r="DR476"/>
      <c r="DS476"/>
      <c r="DT476"/>
      <c r="DU476"/>
    </row>
    <row r="477" spans="1:125">
      <c r="A477"/>
      <c r="B477"/>
      <c r="C477"/>
      <c r="D477"/>
      <c r="E477"/>
      <c r="G477"/>
      <c r="K477"/>
      <c r="V477"/>
      <c r="AC477"/>
      <c r="AI477"/>
      <c r="AJ477"/>
      <c r="AK477"/>
      <c r="AL477"/>
      <c r="AM477"/>
      <c r="AP477"/>
      <c r="AQ477"/>
      <c r="AR477"/>
      <c r="AS477" s="180"/>
      <c r="AT477"/>
      <c r="AU477"/>
      <c r="AV477"/>
      <c r="AW477"/>
      <c r="AX477"/>
      <c r="AY477"/>
      <c r="AZ477"/>
      <c r="BA477"/>
      <c r="BB477"/>
      <c r="BC477"/>
      <c r="BD477"/>
      <c r="BE477"/>
      <c r="BJ477"/>
      <c r="BK477"/>
      <c r="BL477"/>
      <c r="BP477"/>
      <c r="BQ477"/>
      <c r="BR477"/>
      <c r="CD477"/>
      <c r="CE477"/>
      <c r="CF477"/>
      <c r="CQ477"/>
      <c r="CR477"/>
      <c r="CS477"/>
      <c r="DQ477"/>
      <c r="DR477"/>
      <c r="DS477"/>
      <c r="DT477"/>
      <c r="DU477"/>
    </row>
    <row r="478" spans="1:125">
      <c r="A478"/>
      <c r="B478"/>
      <c r="C478"/>
      <c r="D478"/>
      <c r="E478"/>
      <c r="G478"/>
      <c r="K478"/>
      <c r="V478"/>
      <c r="AC478"/>
      <c r="AI478"/>
      <c r="AJ478"/>
      <c r="AK478"/>
      <c r="AL478"/>
      <c r="AM478"/>
      <c r="AP478"/>
      <c r="AQ478"/>
      <c r="AR478"/>
      <c r="AS478" s="180"/>
      <c r="AT478"/>
      <c r="AU478"/>
      <c r="AV478"/>
      <c r="AW478"/>
      <c r="AX478"/>
      <c r="AY478"/>
      <c r="AZ478"/>
      <c r="BA478"/>
      <c r="BB478"/>
      <c r="BC478"/>
      <c r="BD478"/>
      <c r="BE478"/>
      <c r="BJ478"/>
      <c r="BK478"/>
      <c r="BL478"/>
      <c r="BP478"/>
      <c r="BQ478"/>
      <c r="BR478"/>
      <c r="CD478"/>
      <c r="CE478"/>
      <c r="CF478"/>
      <c r="CQ478"/>
      <c r="CR478"/>
      <c r="CS478"/>
      <c r="DQ478"/>
      <c r="DR478"/>
      <c r="DS478"/>
      <c r="DT478"/>
      <c r="DU478"/>
    </row>
    <row r="479" spans="1:125">
      <c r="A479"/>
      <c r="B479"/>
      <c r="C479"/>
      <c r="D479"/>
      <c r="E479"/>
      <c r="G479"/>
      <c r="K479"/>
      <c r="V479"/>
      <c r="AC479"/>
      <c r="AI479"/>
      <c r="AJ479"/>
      <c r="AK479"/>
      <c r="AL479"/>
      <c r="AM479"/>
      <c r="AP479"/>
      <c r="AQ479"/>
      <c r="AR479"/>
      <c r="AS479" s="180"/>
      <c r="AT479"/>
      <c r="AU479"/>
      <c r="AV479"/>
      <c r="AW479"/>
      <c r="AX479"/>
      <c r="AY479"/>
      <c r="AZ479"/>
      <c r="BA479"/>
      <c r="BB479"/>
      <c r="BC479"/>
      <c r="BD479"/>
      <c r="BE479"/>
      <c r="BJ479"/>
      <c r="BK479"/>
      <c r="BL479"/>
      <c r="BP479"/>
      <c r="BQ479"/>
      <c r="BR479"/>
      <c r="CD479"/>
      <c r="CE479"/>
      <c r="CF479"/>
      <c r="CQ479"/>
      <c r="CR479"/>
      <c r="CS479"/>
      <c r="DQ479"/>
      <c r="DR479"/>
      <c r="DS479"/>
      <c r="DT479"/>
      <c r="DU479"/>
    </row>
    <row r="480" spans="1:125">
      <c r="A480"/>
      <c r="B480"/>
      <c r="C480"/>
      <c r="D480"/>
      <c r="E480"/>
      <c r="G480"/>
      <c r="K480"/>
      <c r="V480"/>
      <c r="AC480"/>
      <c r="AI480"/>
      <c r="AJ480"/>
      <c r="AK480"/>
      <c r="AL480"/>
      <c r="AM480"/>
      <c r="AP480"/>
      <c r="AQ480"/>
      <c r="AR480"/>
      <c r="AS480" s="180"/>
      <c r="AT480"/>
      <c r="AU480"/>
      <c r="AV480"/>
      <c r="AW480"/>
      <c r="AX480"/>
      <c r="AY480"/>
      <c r="AZ480"/>
      <c r="BA480"/>
      <c r="BB480"/>
      <c r="BC480"/>
      <c r="BD480"/>
      <c r="BE480"/>
      <c r="BJ480"/>
      <c r="BK480"/>
      <c r="BL480"/>
      <c r="BP480"/>
      <c r="BQ480"/>
      <c r="BR480"/>
      <c r="CD480"/>
      <c r="CE480"/>
      <c r="CF480"/>
      <c r="CQ480"/>
      <c r="CR480"/>
      <c r="CS480"/>
      <c r="DQ480"/>
      <c r="DR480"/>
      <c r="DS480"/>
      <c r="DT480"/>
      <c r="DU480"/>
    </row>
    <row r="481" spans="1:125">
      <c r="A481"/>
      <c r="B481"/>
      <c r="C481"/>
      <c r="D481"/>
      <c r="E481"/>
      <c r="G481"/>
      <c r="K481"/>
      <c r="V481"/>
      <c r="AC481"/>
      <c r="AI481"/>
      <c r="AJ481"/>
      <c r="AK481"/>
      <c r="AL481"/>
      <c r="AM481"/>
      <c r="AP481"/>
      <c r="AQ481"/>
      <c r="AR481"/>
      <c r="AS481" s="180"/>
      <c r="AT481"/>
      <c r="AU481"/>
      <c r="AV481"/>
      <c r="AW481"/>
      <c r="AX481"/>
      <c r="AY481"/>
      <c r="AZ481"/>
      <c r="BA481"/>
      <c r="BB481"/>
      <c r="BC481"/>
      <c r="BD481"/>
      <c r="BE481"/>
      <c r="BJ481"/>
      <c r="BK481"/>
      <c r="BL481"/>
      <c r="BP481"/>
      <c r="BQ481"/>
      <c r="BR481"/>
      <c r="CD481"/>
      <c r="CE481"/>
      <c r="CF481"/>
      <c r="CQ481"/>
      <c r="CR481"/>
      <c r="CS481"/>
      <c r="DQ481"/>
      <c r="DR481"/>
      <c r="DS481"/>
      <c r="DT481"/>
      <c r="DU481"/>
    </row>
    <row r="482" spans="1:125">
      <c r="A482"/>
      <c r="B482"/>
      <c r="C482"/>
      <c r="D482"/>
      <c r="E482"/>
      <c r="G482"/>
      <c r="K482"/>
      <c r="V482"/>
      <c r="AC482"/>
      <c r="AI482"/>
      <c r="AJ482"/>
      <c r="AK482"/>
      <c r="AL482"/>
      <c r="AM482"/>
      <c r="AP482"/>
      <c r="AQ482"/>
      <c r="AR482"/>
      <c r="AS482" s="180"/>
      <c r="AT482"/>
      <c r="AU482"/>
      <c r="AV482"/>
      <c r="AW482"/>
      <c r="AX482"/>
      <c r="AY482"/>
      <c r="AZ482"/>
      <c r="BA482"/>
      <c r="BB482"/>
      <c r="BC482"/>
      <c r="BD482"/>
      <c r="BE482"/>
      <c r="BJ482"/>
      <c r="BK482"/>
      <c r="BL482"/>
      <c r="BP482"/>
      <c r="BQ482"/>
      <c r="BR482"/>
      <c r="CD482"/>
      <c r="CE482"/>
      <c r="CF482"/>
      <c r="CQ482"/>
      <c r="CR482"/>
      <c r="CS482"/>
      <c r="DQ482"/>
      <c r="DR482"/>
      <c r="DS482"/>
      <c r="DT482"/>
      <c r="DU482"/>
    </row>
    <row r="483" spans="1:125">
      <c r="A483"/>
      <c r="B483"/>
      <c r="C483"/>
      <c r="D483"/>
      <c r="E483"/>
      <c r="G483"/>
      <c r="K483"/>
      <c r="V483"/>
      <c r="AC483"/>
      <c r="AI483"/>
      <c r="AJ483"/>
      <c r="AK483"/>
      <c r="AL483"/>
      <c r="AM483"/>
      <c r="AP483"/>
      <c r="AQ483"/>
      <c r="AR483"/>
      <c r="AS483" s="180"/>
      <c r="AT483"/>
      <c r="AU483"/>
      <c r="AV483"/>
      <c r="AW483"/>
      <c r="AX483"/>
      <c r="AY483"/>
      <c r="AZ483"/>
      <c r="BA483"/>
      <c r="BB483"/>
      <c r="BC483"/>
      <c r="BD483"/>
      <c r="BE483"/>
      <c r="BJ483"/>
      <c r="BK483"/>
      <c r="BL483"/>
      <c r="BP483"/>
      <c r="BQ483"/>
      <c r="BR483"/>
      <c r="CD483"/>
      <c r="CE483"/>
      <c r="CF483"/>
      <c r="CQ483"/>
      <c r="CR483"/>
      <c r="CS483"/>
      <c r="DQ483"/>
      <c r="DR483"/>
      <c r="DS483"/>
      <c r="DT483"/>
      <c r="DU483"/>
    </row>
    <row r="484" spans="1:125">
      <c r="A484"/>
      <c r="B484"/>
      <c r="C484"/>
      <c r="D484"/>
      <c r="E484"/>
      <c r="G484"/>
      <c r="K484"/>
      <c r="V484"/>
      <c r="AC484"/>
      <c r="AI484"/>
      <c r="AJ484"/>
      <c r="AK484"/>
      <c r="AL484"/>
      <c r="AM484"/>
      <c r="AP484"/>
      <c r="AQ484"/>
      <c r="AR484"/>
      <c r="AS484" s="180"/>
      <c r="AT484"/>
      <c r="AU484"/>
      <c r="AV484"/>
      <c r="AW484"/>
      <c r="AX484"/>
      <c r="AY484"/>
      <c r="AZ484"/>
      <c r="BA484"/>
      <c r="BB484"/>
      <c r="BC484"/>
      <c r="BD484"/>
      <c r="BE484"/>
      <c r="BJ484"/>
      <c r="BK484"/>
      <c r="BL484"/>
      <c r="BP484"/>
      <c r="BQ484"/>
      <c r="BR484"/>
      <c r="CD484"/>
      <c r="CE484"/>
      <c r="CF484"/>
      <c r="CQ484"/>
      <c r="CR484"/>
      <c r="CS484"/>
      <c r="DQ484"/>
      <c r="DR484"/>
      <c r="DS484"/>
      <c r="DT484"/>
      <c r="DU484"/>
    </row>
    <row r="485" spans="1:125">
      <c r="A485"/>
      <c r="B485"/>
      <c r="C485"/>
      <c r="D485"/>
      <c r="E485"/>
      <c r="G485"/>
      <c r="K485"/>
      <c r="V485"/>
      <c r="AC485"/>
      <c r="AI485"/>
      <c r="AJ485"/>
      <c r="AK485"/>
      <c r="AL485"/>
      <c r="AM485"/>
      <c r="AP485"/>
      <c r="AQ485"/>
      <c r="AR485"/>
      <c r="AS485" s="180"/>
      <c r="AT485"/>
      <c r="AU485"/>
      <c r="AV485"/>
      <c r="AW485"/>
      <c r="AX485"/>
      <c r="AY485"/>
      <c r="AZ485"/>
      <c r="BA485"/>
      <c r="BB485"/>
      <c r="BC485"/>
      <c r="BD485"/>
      <c r="BE485"/>
      <c r="BJ485"/>
      <c r="BK485"/>
      <c r="BL485"/>
      <c r="BP485"/>
      <c r="BQ485"/>
      <c r="BR485"/>
      <c r="CD485"/>
      <c r="CE485"/>
      <c r="CF485"/>
      <c r="CQ485"/>
      <c r="CR485"/>
      <c r="CS485"/>
      <c r="DQ485"/>
      <c r="DR485"/>
      <c r="DS485"/>
      <c r="DT485"/>
      <c r="DU485"/>
    </row>
    <row r="486" spans="1:125">
      <c r="A486"/>
      <c r="B486"/>
      <c r="C486"/>
      <c r="D486"/>
      <c r="E486"/>
      <c r="G486"/>
      <c r="K486"/>
      <c r="V486"/>
      <c r="AC486"/>
      <c r="AI486"/>
      <c r="AJ486"/>
      <c r="AK486"/>
      <c r="AL486"/>
      <c r="AM486"/>
      <c r="AP486"/>
      <c r="AQ486"/>
      <c r="AR486"/>
      <c r="AS486" s="180"/>
      <c r="AT486"/>
      <c r="AU486"/>
      <c r="AV486"/>
      <c r="AW486"/>
      <c r="AX486"/>
      <c r="AY486"/>
      <c r="AZ486"/>
      <c r="BA486"/>
      <c r="BB486"/>
      <c r="BC486"/>
      <c r="BD486"/>
      <c r="BE486"/>
      <c r="BJ486"/>
      <c r="BK486"/>
      <c r="BL486"/>
      <c r="BP486"/>
      <c r="BQ486"/>
      <c r="BR486"/>
      <c r="CD486"/>
      <c r="CE486"/>
      <c r="CF486"/>
      <c r="CQ486"/>
      <c r="CR486"/>
      <c r="CS486"/>
      <c r="DQ486"/>
      <c r="DR486"/>
      <c r="DS486"/>
      <c r="DT486"/>
      <c r="DU486"/>
    </row>
    <row r="487" spans="1:125">
      <c r="A487"/>
      <c r="B487"/>
      <c r="C487"/>
      <c r="D487"/>
      <c r="E487"/>
      <c r="G487"/>
      <c r="K487"/>
      <c r="V487"/>
      <c r="AC487"/>
      <c r="AI487"/>
      <c r="AJ487"/>
      <c r="AK487"/>
      <c r="AL487"/>
      <c r="AM487"/>
      <c r="AP487"/>
      <c r="AQ487"/>
      <c r="AR487"/>
      <c r="AS487" s="180"/>
      <c r="AT487"/>
      <c r="AU487"/>
      <c r="AV487"/>
      <c r="AW487"/>
      <c r="AX487"/>
      <c r="AY487"/>
      <c r="AZ487"/>
      <c r="BA487"/>
      <c r="BB487"/>
      <c r="BC487"/>
      <c r="BD487"/>
      <c r="BE487"/>
      <c r="BJ487"/>
      <c r="BK487"/>
      <c r="BL487"/>
      <c r="BP487"/>
      <c r="BQ487"/>
      <c r="BR487"/>
      <c r="CD487"/>
      <c r="CE487"/>
      <c r="CF487"/>
      <c r="CQ487"/>
      <c r="CR487"/>
      <c r="CS487"/>
      <c r="DQ487"/>
      <c r="DR487"/>
      <c r="DS487"/>
      <c r="DT487"/>
      <c r="DU487"/>
    </row>
    <row r="488" spans="1:125">
      <c r="A488"/>
      <c r="B488"/>
      <c r="C488"/>
      <c r="D488"/>
      <c r="E488"/>
      <c r="G488"/>
      <c r="K488"/>
      <c r="V488"/>
      <c r="AC488"/>
      <c r="AI488"/>
      <c r="AJ488"/>
      <c r="AK488"/>
      <c r="AL488"/>
      <c r="AM488"/>
      <c r="AP488"/>
      <c r="AQ488"/>
      <c r="AR488"/>
      <c r="AS488" s="180"/>
      <c r="AT488"/>
      <c r="AU488"/>
      <c r="AV488"/>
      <c r="AW488"/>
      <c r="AX488"/>
      <c r="AY488"/>
      <c r="AZ488"/>
      <c r="BA488"/>
      <c r="BB488"/>
      <c r="BC488"/>
      <c r="BD488"/>
      <c r="BE488"/>
      <c r="BJ488"/>
      <c r="BK488"/>
      <c r="BL488"/>
      <c r="BP488"/>
      <c r="BQ488"/>
      <c r="BR488"/>
      <c r="CD488"/>
      <c r="CE488"/>
      <c r="CF488"/>
      <c r="CQ488"/>
      <c r="CR488"/>
      <c r="CS488"/>
      <c r="DQ488"/>
      <c r="DR488"/>
      <c r="DS488"/>
      <c r="DT488"/>
      <c r="DU488"/>
    </row>
    <row r="489" spans="1:125">
      <c r="A489"/>
      <c r="B489"/>
      <c r="C489"/>
      <c r="D489"/>
      <c r="E489"/>
      <c r="G489"/>
      <c r="K489"/>
      <c r="V489"/>
      <c r="AC489"/>
      <c r="AI489"/>
      <c r="AJ489"/>
      <c r="AK489"/>
      <c r="AL489"/>
      <c r="AM489"/>
      <c r="AP489"/>
      <c r="AQ489"/>
      <c r="AR489"/>
      <c r="AS489" s="180"/>
      <c r="AT489"/>
      <c r="AU489"/>
      <c r="AV489"/>
      <c r="AW489"/>
      <c r="AX489"/>
      <c r="AY489"/>
      <c r="AZ489"/>
      <c r="BA489"/>
      <c r="BB489"/>
      <c r="BC489"/>
      <c r="BD489"/>
      <c r="BE489"/>
      <c r="BJ489"/>
      <c r="BK489"/>
      <c r="BL489"/>
      <c r="BP489"/>
      <c r="BQ489"/>
      <c r="BR489"/>
      <c r="CD489"/>
      <c r="CE489"/>
      <c r="CF489"/>
      <c r="CQ489"/>
      <c r="CR489"/>
      <c r="CS489"/>
      <c r="DQ489"/>
      <c r="DR489"/>
      <c r="DS489"/>
      <c r="DT489"/>
      <c r="DU489"/>
    </row>
    <row r="490" spans="1:125">
      <c r="A490"/>
      <c r="B490"/>
      <c r="C490"/>
      <c r="D490"/>
      <c r="E490"/>
      <c r="G490"/>
      <c r="K490"/>
      <c r="V490"/>
      <c r="AC490"/>
      <c r="AI490"/>
      <c r="AJ490"/>
      <c r="AK490"/>
      <c r="AL490"/>
      <c r="AM490"/>
      <c r="AP490"/>
      <c r="AQ490"/>
      <c r="AR490"/>
      <c r="AS490" s="180"/>
      <c r="AT490"/>
      <c r="AU490"/>
      <c r="AV490"/>
      <c r="AW490"/>
      <c r="AX490"/>
      <c r="AY490"/>
      <c r="AZ490"/>
      <c r="BA490"/>
      <c r="BB490"/>
      <c r="BC490"/>
      <c r="BD490"/>
      <c r="BE490"/>
      <c r="BJ490"/>
      <c r="BK490"/>
      <c r="BL490"/>
      <c r="BP490"/>
      <c r="BQ490"/>
      <c r="BR490"/>
      <c r="CD490"/>
      <c r="CE490"/>
      <c r="CF490"/>
      <c r="CQ490"/>
      <c r="CR490"/>
      <c r="CS490"/>
      <c r="DQ490"/>
      <c r="DR490"/>
      <c r="DS490"/>
      <c r="DT490"/>
      <c r="DU490"/>
    </row>
    <row r="491" spans="1:125">
      <c r="A491"/>
      <c r="B491"/>
      <c r="C491"/>
      <c r="D491"/>
      <c r="E491"/>
      <c r="G491"/>
      <c r="K491"/>
      <c r="V491"/>
      <c r="AC491"/>
      <c r="AI491"/>
      <c r="AJ491"/>
      <c r="AK491"/>
      <c r="AL491"/>
      <c r="AM491"/>
      <c r="AP491"/>
      <c r="AQ491"/>
      <c r="AR491"/>
      <c r="AS491" s="180"/>
      <c r="AT491"/>
      <c r="AU491"/>
      <c r="AV491"/>
      <c r="AW491"/>
      <c r="AX491"/>
      <c r="AY491"/>
      <c r="AZ491"/>
      <c r="BA491"/>
      <c r="BB491"/>
      <c r="BC491"/>
      <c r="BD491"/>
      <c r="BE491"/>
      <c r="BJ491"/>
      <c r="BK491"/>
      <c r="BL491"/>
      <c r="BP491"/>
      <c r="BQ491"/>
      <c r="BR491"/>
      <c r="CD491"/>
      <c r="CE491"/>
      <c r="CF491"/>
      <c r="CQ491"/>
      <c r="CR491"/>
      <c r="CS491"/>
      <c r="DQ491"/>
      <c r="DR491"/>
      <c r="DS491"/>
      <c r="DT491"/>
      <c r="DU491"/>
    </row>
    <row r="492" spans="1:125">
      <c r="A492"/>
      <c r="B492"/>
      <c r="C492"/>
      <c r="D492"/>
      <c r="E492"/>
      <c r="G492"/>
      <c r="K492"/>
      <c r="V492"/>
      <c r="AC492"/>
      <c r="AI492"/>
      <c r="AJ492"/>
      <c r="AK492"/>
      <c r="AL492"/>
      <c r="AM492"/>
      <c r="AP492"/>
      <c r="AQ492"/>
      <c r="AR492"/>
      <c r="AS492" s="180"/>
      <c r="AT492"/>
      <c r="AU492"/>
      <c r="AV492"/>
      <c r="AW492"/>
      <c r="AX492"/>
      <c r="AY492"/>
      <c r="AZ492"/>
      <c r="BA492"/>
      <c r="BB492"/>
      <c r="BC492"/>
      <c r="BD492"/>
      <c r="BE492"/>
      <c r="BJ492"/>
      <c r="BK492"/>
      <c r="BL492"/>
      <c r="BP492"/>
      <c r="BQ492"/>
      <c r="BR492"/>
      <c r="CD492"/>
      <c r="CE492"/>
      <c r="CF492"/>
      <c r="CQ492"/>
      <c r="CR492"/>
      <c r="CS492"/>
      <c r="DQ492"/>
      <c r="DR492"/>
      <c r="DS492"/>
      <c r="DT492"/>
      <c r="DU492"/>
    </row>
    <row r="493" spans="1:125">
      <c r="A493"/>
      <c r="B493"/>
      <c r="C493"/>
      <c r="D493"/>
      <c r="E493"/>
      <c r="G493"/>
      <c r="K493"/>
      <c r="V493"/>
      <c r="AC493"/>
      <c r="AI493"/>
      <c r="AJ493"/>
      <c r="AK493"/>
      <c r="AL493"/>
      <c r="AM493"/>
      <c r="AP493"/>
      <c r="AQ493"/>
      <c r="AR493"/>
      <c r="AS493" s="180"/>
      <c r="AT493"/>
      <c r="AU493"/>
      <c r="AV493"/>
      <c r="AW493"/>
      <c r="AX493"/>
      <c r="AY493"/>
      <c r="AZ493"/>
      <c r="BA493"/>
      <c r="BB493"/>
      <c r="BC493"/>
      <c r="BD493"/>
      <c r="BE493"/>
      <c r="BJ493"/>
      <c r="BK493"/>
      <c r="BL493"/>
      <c r="BP493"/>
      <c r="BQ493"/>
      <c r="BR493"/>
      <c r="CD493"/>
      <c r="CE493"/>
      <c r="CF493"/>
      <c r="CQ493"/>
      <c r="CR493"/>
      <c r="CS493"/>
      <c r="DQ493"/>
      <c r="DR493"/>
      <c r="DS493"/>
      <c r="DT493"/>
      <c r="DU493"/>
    </row>
    <row r="494" spans="1:125">
      <c r="A494"/>
      <c r="B494"/>
      <c r="C494"/>
      <c r="D494"/>
      <c r="E494"/>
      <c r="G494"/>
      <c r="K494"/>
      <c r="V494"/>
      <c r="AC494"/>
      <c r="AI494"/>
      <c r="AJ494"/>
      <c r="AK494"/>
      <c r="AL494"/>
      <c r="AM494"/>
      <c r="AP494"/>
      <c r="AQ494"/>
      <c r="AR494"/>
      <c r="AS494" s="180"/>
      <c r="AT494"/>
      <c r="AU494"/>
      <c r="AV494"/>
      <c r="AW494"/>
      <c r="AX494"/>
      <c r="AY494"/>
      <c r="AZ494"/>
      <c r="BA494"/>
      <c r="BB494"/>
      <c r="BC494"/>
      <c r="BD494"/>
      <c r="BE494"/>
      <c r="BJ494"/>
      <c r="BK494"/>
      <c r="BL494"/>
      <c r="BP494"/>
      <c r="BQ494"/>
      <c r="BR494"/>
      <c r="CD494"/>
      <c r="CE494"/>
      <c r="CF494"/>
      <c r="CQ494"/>
      <c r="CR494"/>
      <c r="CS494"/>
      <c r="DQ494"/>
      <c r="DR494"/>
      <c r="DS494"/>
      <c r="DT494"/>
      <c r="DU494"/>
    </row>
    <row r="495" spans="1:125">
      <c r="A495"/>
      <c r="B495"/>
      <c r="C495"/>
      <c r="D495"/>
      <c r="E495"/>
      <c r="G495"/>
      <c r="K495"/>
      <c r="V495"/>
      <c r="AC495"/>
      <c r="AI495"/>
      <c r="AJ495"/>
      <c r="AK495"/>
      <c r="AL495"/>
      <c r="AM495"/>
      <c r="AP495"/>
      <c r="AQ495"/>
      <c r="AR495"/>
      <c r="AS495" s="180"/>
      <c r="AT495"/>
      <c r="AU495"/>
      <c r="AV495"/>
      <c r="AW495"/>
      <c r="AX495"/>
      <c r="AY495"/>
      <c r="AZ495"/>
      <c r="BA495"/>
      <c r="BB495"/>
      <c r="BC495"/>
      <c r="BD495"/>
      <c r="BE495"/>
      <c r="BJ495"/>
      <c r="BK495"/>
      <c r="BL495"/>
      <c r="BP495"/>
      <c r="BQ495"/>
      <c r="BR495"/>
      <c r="CD495"/>
      <c r="CE495"/>
      <c r="CF495"/>
      <c r="CQ495"/>
      <c r="CR495"/>
      <c r="CS495"/>
      <c r="DQ495"/>
      <c r="DR495"/>
      <c r="DS495"/>
      <c r="DT495"/>
      <c r="DU495"/>
    </row>
    <row r="496" spans="1:125">
      <c r="A496"/>
      <c r="B496"/>
      <c r="C496"/>
      <c r="D496"/>
      <c r="E496"/>
      <c r="G496"/>
      <c r="K496"/>
      <c r="V496"/>
      <c r="AC496"/>
      <c r="AI496"/>
      <c r="AJ496"/>
      <c r="AK496"/>
      <c r="AL496"/>
      <c r="AM496"/>
      <c r="AP496"/>
      <c r="AQ496"/>
      <c r="AR496"/>
      <c r="AS496" s="180"/>
      <c r="AT496"/>
      <c r="AU496"/>
      <c r="AV496"/>
      <c r="AW496"/>
      <c r="AX496"/>
      <c r="AY496"/>
      <c r="AZ496"/>
      <c r="BA496"/>
      <c r="BB496"/>
      <c r="BC496"/>
      <c r="BD496"/>
      <c r="BE496"/>
      <c r="BJ496"/>
      <c r="BK496"/>
      <c r="BL496"/>
      <c r="BP496"/>
      <c r="BQ496"/>
      <c r="BR496"/>
      <c r="CD496"/>
      <c r="CE496"/>
      <c r="CF496"/>
      <c r="CQ496"/>
      <c r="CR496"/>
      <c r="CS496"/>
      <c r="DQ496"/>
      <c r="DR496"/>
      <c r="DS496"/>
      <c r="DT496"/>
      <c r="DU496"/>
    </row>
    <row r="497" spans="1:125">
      <c r="A497"/>
      <c r="B497"/>
      <c r="C497"/>
      <c r="D497"/>
      <c r="E497"/>
      <c r="G497"/>
      <c r="K497"/>
      <c r="V497"/>
      <c r="AC497"/>
      <c r="AI497"/>
      <c r="AJ497"/>
      <c r="AK497"/>
      <c r="AL497"/>
      <c r="AM497"/>
      <c r="AP497"/>
      <c r="AQ497"/>
      <c r="AR497"/>
      <c r="AS497" s="180"/>
      <c r="AT497"/>
      <c r="AU497"/>
      <c r="AV497"/>
      <c r="AW497"/>
      <c r="AX497"/>
      <c r="AY497"/>
      <c r="AZ497"/>
      <c r="BA497"/>
      <c r="BB497"/>
      <c r="BC497"/>
      <c r="BD497"/>
      <c r="BE497"/>
      <c r="BJ497"/>
      <c r="BK497"/>
      <c r="BL497"/>
      <c r="BP497"/>
      <c r="BQ497"/>
      <c r="BR497"/>
      <c r="CD497"/>
      <c r="CE497"/>
      <c r="CF497"/>
      <c r="CQ497"/>
      <c r="CR497"/>
      <c r="CS497"/>
      <c r="DQ497"/>
      <c r="DR497"/>
      <c r="DS497"/>
      <c r="DT497"/>
      <c r="DU497"/>
    </row>
    <row r="498" spans="1:125">
      <c r="A498"/>
      <c r="B498"/>
      <c r="C498"/>
      <c r="D498"/>
      <c r="E498"/>
      <c r="G498"/>
      <c r="K498"/>
      <c r="V498"/>
      <c r="AC498"/>
      <c r="AI498"/>
      <c r="AJ498"/>
      <c r="AK498"/>
      <c r="AL498"/>
      <c r="AM498"/>
      <c r="AP498"/>
      <c r="AQ498"/>
      <c r="AR498"/>
      <c r="AS498" s="180"/>
      <c r="AT498"/>
      <c r="AU498"/>
      <c r="AV498"/>
      <c r="AW498"/>
      <c r="AX498"/>
      <c r="AY498"/>
      <c r="AZ498"/>
      <c r="BA498"/>
      <c r="BB498"/>
      <c r="BC498"/>
      <c r="BD498"/>
      <c r="BE498"/>
      <c r="BJ498"/>
      <c r="BK498"/>
      <c r="BL498"/>
      <c r="BP498"/>
      <c r="BQ498"/>
      <c r="BR498"/>
      <c r="CD498"/>
      <c r="CE498"/>
      <c r="CF498"/>
      <c r="CQ498"/>
      <c r="CR498"/>
      <c r="CS498"/>
      <c r="DQ498"/>
      <c r="DR498"/>
      <c r="DS498"/>
      <c r="DT498"/>
      <c r="DU498"/>
    </row>
    <row r="499" spans="1:125">
      <c r="A499"/>
      <c r="B499"/>
      <c r="C499"/>
      <c r="D499"/>
      <c r="E499"/>
      <c r="G499"/>
      <c r="K499"/>
      <c r="V499"/>
      <c r="AC499"/>
      <c r="AI499"/>
      <c r="AJ499"/>
      <c r="AK499"/>
      <c r="AL499"/>
      <c r="AM499"/>
      <c r="AP499"/>
      <c r="AQ499"/>
      <c r="AR499"/>
      <c r="AS499" s="180"/>
      <c r="AT499"/>
      <c r="AU499"/>
      <c r="AV499"/>
      <c r="AW499"/>
      <c r="AX499"/>
      <c r="AY499"/>
      <c r="AZ499"/>
      <c r="BA499"/>
      <c r="BB499"/>
      <c r="BC499"/>
      <c r="BD499"/>
      <c r="BE499"/>
      <c r="BJ499"/>
      <c r="BK499"/>
      <c r="BL499"/>
      <c r="BP499"/>
      <c r="BQ499"/>
      <c r="BR499"/>
      <c r="CD499"/>
      <c r="CE499"/>
      <c r="CF499"/>
      <c r="CQ499"/>
      <c r="CR499"/>
      <c r="CS499"/>
      <c r="DQ499"/>
      <c r="DR499"/>
      <c r="DS499"/>
      <c r="DT499"/>
      <c r="DU499"/>
    </row>
    <row r="500" spans="1:125">
      <c r="A500"/>
      <c r="B500"/>
      <c r="C500"/>
      <c r="D500"/>
      <c r="E500"/>
      <c r="G500"/>
      <c r="K500"/>
      <c r="V500"/>
      <c r="AC500"/>
      <c r="AI500"/>
      <c r="AJ500"/>
      <c r="AK500"/>
      <c r="AL500"/>
      <c r="AM500"/>
      <c r="AP500"/>
      <c r="AQ500"/>
      <c r="AR500"/>
      <c r="AS500" s="180"/>
      <c r="AT500"/>
      <c r="AU500"/>
      <c r="AV500"/>
      <c r="AW500"/>
      <c r="AX500"/>
      <c r="AY500"/>
      <c r="AZ500"/>
      <c r="BA500"/>
      <c r="BB500"/>
      <c r="BC500"/>
      <c r="BD500"/>
      <c r="BE500"/>
      <c r="BJ500"/>
      <c r="BK500"/>
      <c r="BL500"/>
      <c r="BP500"/>
      <c r="BQ500"/>
      <c r="BR500"/>
      <c r="CD500"/>
      <c r="CE500"/>
      <c r="CF500"/>
      <c r="CQ500"/>
      <c r="CR500"/>
      <c r="CS500"/>
      <c r="DQ500"/>
      <c r="DR500"/>
      <c r="DS500"/>
      <c r="DT500"/>
      <c r="DU500"/>
    </row>
    <row r="501" spans="1:125">
      <c r="A501"/>
      <c r="B501"/>
      <c r="C501"/>
      <c r="D501"/>
      <c r="E501"/>
      <c r="G501"/>
      <c r="K501"/>
      <c r="V501"/>
      <c r="AC501"/>
      <c r="AI501"/>
      <c r="AJ501"/>
      <c r="AK501"/>
      <c r="AL501"/>
      <c r="AM501"/>
      <c r="AP501"/>
      <c r="AQ501"/>
      <c r="AR501"/>
      <c r="AS501" s="180"/>
      <c r="AT501"/>
      <c r="AU501"/>
      <c r="AV501"/>
      <c r="AW501"/>
      <c r="AX501"/>
      <c r="AY501"/>
      <c r="AZ501"/>
      <c r="BA501"/>
      <c r="BB501"/>
      <c r="BC501"/>
      <c r="BD501"/>
      <c r="BE501"/>
      <c r="BJ501"/>
      <c r="BK501"/>
      <c r="BL501"/>
      <c r="BP501"/>
      <c r="BQ501"/>
      <c r="BR501"/>
      <c r="CD501"/>
      <c r="CE501"/>
      <c r="CF501"/>
      <c r="CQ501"/>
      <c r="CR501"/>
      <c r="CS501"/>
      <c r="DQ501"/>
      <c r="DR501"/>
      <c r="DS501"/>
      <c r="DT501"/>
      <c r="DU501"/>
    </row>
    <row r="502" spans="1:125">
      <c r="A502"/>
      <c r="B502"/>
      <c r="C502"/>
      <c r="D502"/>
      <c r="E502"/>
      <c r="G502"/>
      <c r="K502"/>
      <c r="V502"/>
      <c r="AC502"/>
      <c r="AI502"/>
      <c r="AJ502"/>
      <c r="AK502"/>
      <c r="AL502"/>
      <c r="AM502"/>
      <c r="AP502"/>
      <c r="AQ502"/>
      <c r="AR502"/>
      <c r="AS502" s="180"/>
      <c r="AT502"/>
      <c r="AU502"/>
      <c r="AV502"/>
      <c r="AW502"/>
      <c r="AX502"/>
      <c r="AY502"/>
      <c r="AZ502"/>
      <c r="BA502"/>
      <c r="BB502"/>
      <c r="BC502"/>
      <c r="BD502"/>
      <c r="BE502"/>
      <c r="BJ502"/>
      <c r="BK502"/>
      <c r="BL502"/>
      <c r="BP502"/>
      <c r="BQ502"/>
      <c r="BR502"/>
      <c r="CD502"/>
      <c r="CE502"/>
      <c r="CF502"/>
      <c r="CQ502"/>
      <c r="CR502"/>
      <c r="CS502"/>
      <c r="DQ502"/>
      <c r="DR502"/>
      <c r="DS502"/>
      <c r="DT502"/>
      <c r="DU502"/>
    </row>
    <row r="503" spans="1:125">
      <c r="A503"/>
      <c r="B503"/>
      <c r="C503"/>
      <c r="D503"/>
      <c r="E503"/>
      <c r="G503"/>
      <c r="K503"/>
      <c r="V503"/>
      <c r="AC503"/>
      <c r="AI503"/>
      <c r="AJ503"/>
      <c r="AK503"/>
      <c r="AL503"/>
      <c r="AM503"/>
      <c r="AP503"/>
      <c r="AQ503"/>
      <c r="AR503"/>
      <c r="AS503" s="180"/>
      <c r="AT503"/>
      <c r="AU503"/>
      <c r="AV503"/>
      <c r="AW503"/>
      <c r="AX503"/>
      <c r="AY503"/>
      <c r="AZ503"/>
      <c r="BA503"/>
      <c r="BB503"/>
      <c r="BC503"/>
      <c r="BD503"/>
      <c r="BE503"/>
      <c r="BJ503"/>
      <c r="BK503"/>
      <c r="BL503"/>
      <c r="BP503"/>
      <c r="BQ503"/>
      <c r="BR503"/>
      <c r="CD503"/>
      <c r="CE503"/>
      <c r="CF503"/>
      <c r="CQ503"/>
      <c r="CR503"/>
      <c r="CS503"/>
      <c r="DQ503"/>
      <c r="DR503"/>
      <c r="DS503"/>
      <c r="DT503"/>
      <c r="DU503"/>
    </row>
    <row r="504" spans="1:125">
      <c r="A504"/>
      <c r="B504"/>
      <c r="C504"/>
      <c r="D504"/>
      <c r="E504"/>
      <c r="G504"/>
      <c r="K504"/>
      <c r="V504"/>
      <c r="AC504"/>
      <c r="AI504"/>
      <c r="AJ504"/>
      <c r="AK504"/>
      <c r="AL504"/>
      <c r="AM504"/>
      <c r="AP504"/>
      <c r="AQ504"/>
      <c r="AR504"/>
      <c r="AS504" s="180"/>
      <c r="AT504"/>
      <c r="AU504"/>
      <c r="AV504"/>
      <c r="AW504"/>
      <c r="AX504"/>
      <c r="AY504"/>
      <c r="AZ504"/>
      <c r="BA504"/>
      <c r="BB504"/>
      <c r="BC504"/>
      <c r="BD504"/>
      <c r="BE504"/>
      <c r="BJ504"/>
      <c r="BK504"/>
      <c r="BL504"/>
      <c r="BP504"/>
      <c r="BQ504"/>
      <c r="BR504"/>
      <c r="CD504"/>
      <c r="CE504"/>
      <c r="CF504"/>
      <c r="CQ504"/>
      <c r="CR504"/>
      <c r="CS504"/>
      <c r="DQ504"/>
      <c r="DR504"/>
      <c r="DS504"/>
      <c r="DT504"/>
      <c r="DU504"/>
    </row>
    <row r="505" spans="1:125">
      <c r="A505"/>
      <c r="B505"/>
      <c r="C505"/>
      <c r="D505"/>
      <c r="E505"/>
      <c r="G505"/>
      <c r="K505"/>
      <c r="V505"/>
      <c r="AC505"/>
      <c r="AI505"/>
      <c r="AJ505"/>
      <c r="AK505"/>
      <c r="AL505"/>
      <c r="AM505"/>
      <c r="AP505"/>
      <c r="AQ505"/>
      <c r="AR505"/>
      <c r="AS505" s="180"/>
      <c r="AT505"/>
      <c r="AU505"/>
      <c r="AV505"/>
      <c r="AW505"/>
      <c r="AX505"/>
      <c r="AY505"/>
      <c r="AZ505"/>
      <c r="BA505"/>
      <c r="BB505"/>
      <c r="BC505"/>
      <c r="BD505"/>
      <c r="BE505"/>
      <c r="BJ505"/>
      <c r="BK505"/>
      <c r="BL505"/>
      <c r="BP505"/>
      <c r="BQ505"/>
      <c r="BR505"/>
      <c r="CD505"/>
      <c r="CE505"/>
      <c r="CF505"/>
      <c r="CQ505"/>
      <c r="CR505"/>
      <c r="CS505"/>
      <c r="DQ505"/>
      <c r="DR505"/>
      <c r="DS505"/>
      <c r="DT505"/>
      <c r="DU505"/>
    </row>
    <row r="506" spans="1:125">
      <c r="A506"/>
      <c r="B506"/>
      <c r="C506"/>
      <c r="D506"/>
      <c r="E506"/>
      <c r="G506"/>
      <c r="K506"/>
      <c r="V506"/>
      <c r="AC506"/>
      <c r="AI506"/>
      <c r="AJ506"/>
      <c r="AK506"/>
      <c r="AL506"/>
      <c r="AM506"/>
      <c r="AP506"/>
      <c r="AQ506"/>
      <c r="AR506"/>
      <c r="AS506" s="180"/>
      <c r="AT506"/>
      <c r="AU506"/>
      <c r="AV506"/>
      <c r="AW506"/>
      <c r="AX506"/>
      <c r="AY506"/>
      <c r="AZ506"/>
      <c r="BA506"/>
      <c r="BB506"/>
      <c r="BC506"/>
      <c r="BD506"/>
      <c r="BE506"/>
      <c r="BJ506"/>
      <c r="BK506"/>
      <c r="BL506"/>
      <c r="BP506"/>
      <c r="BQ506"/>
      <c r="BR506"/>
      <c r="CD506"/>
      <c r="CE506"/>
      <c r="CF506"/>
      <c r="CQ506"/>
      <c r="CR506"/>
      <c r="CS506"/>
      <c r="DQ506"/>
      <c r="DR506"/>
      <c r="DS506"/>
      <c r="DT506"/>
      <c r="DU506"/>
    </row>
    <row r="507" spans="1:125">
      <c r="A507"/>
      <c r="B507"/>
      <c r="C507"/>
      <c r="D507"/>
      <c r="E507"/>
      <c r="G507"/>
      <c r="K507"/>
      <c r="V507"/>
      <c r="AC507"/>
      <c r="AI507"/>
      <c r="AJ507"/>
      <c r="AK507"/>
      <c r="AL507"/>
      <c r="AM507"/>
      <c r="AP507"/>
      <c r="AQ507"/>
      <c r="AR507"/>
      <c r="AS507" s="180"/>
      <c r="AT507"/>
      <c r="AU507"/>
      <c r="AV507"/>
      <c r="AW507"/>
      <c r="AX507"/>
      <c r="AY507"/>
      <c r="AZ507"/>
      <c r="BA507"/>
      <c r="BB507"/>
      <c r="BC507"/>
      <c r="BD507"/>
      <c r="BE507"/>
      <c r="BJ507"/>
      <c r="BK507"/>
      <c r="BL507"/>
      <c r="BP507"/>
      <c r="BQ507"/>
      <c r="BR507"/>
      <c r="CD507"/>
      <c r="CE507"/>
      <c r="CF507"/>
      <c r="CQ507"/>
      <c r="CR507"/>
      <c r="CS507"/>
      <c r="DQ507"/>
      <c r="DR507"/>
      <c r="DS507"/>
      <c r="DT507"/>
      <c r="DU507"/>
    </row>
    <row r="508" spans="1:125">
      <c r="A508"/>
      <c r="B508"/>
      <c r="C508"/>
      <c r="D508"/>
      <c r="E508"/>
      <c r="G508"/>
      <c r="K508"/>
      <c r="V508"/>
      <c r="AC508"/>
      <c r="AI508"/>
      <c r="AJ508"/>
      <c r="AK508"/>
      <c r="AL508"/>
      <c r="AM508"/>
      <c r="AP508"/>
      <c r="AQ508"/>
      <c r="AR508"/>
      <c r="AS508" s="180"/>
      <c r="AT508"/>
      <c r="AU508"/>
      <c r="AV508"/>
      <c r="AW508"/>
      <c r="AX508"/>
      <c r="AY508"/>
      <c r="AZ508"/>
      <c r="BA508"/>
      <c r="BB508"/>
      <c r="BC508"/>
      <c r="BD508"/>
      <c r="BE508"/>
      <c r="BJ508"/>
      <c r="BK508"/>
      <c r="BL508"/>
      <c r="BP508"/>
      <c r="BQ508"/>
      <c r="BR508"/>
      <c r="CD508"/>
      <c r="CE508"/>
      <c r="CF508"/>
      <c r="CQ508"/>
      <c r="CR508"/>
      <c r="CS508"/>
      <c r="DQ508"/>
      <c r="DR508"/>
      <c r="DS508"/>
      <c r="DT508"/>
      <c r="DU508"/>
    </row>
    <row r="509" spans="1:125">
      <c r="A509"/>
      <c r="B509"/>
      <c r="C509"/>
      <c r="D509"/>
      <c r="E509"/>
      <c r="G509"/>
      <c r="K509"/>
      <c r="V509"/>
      <c r="AC509"/>
      <c r="AI509"/>
      <c r="AJ509"/>
      <c r="AK509"/>
      <c r="AL509"/>
      <c r="AM509"/>
      <c r="AP509"/>
      <c r="AQ509"/>
      <c r="AR509"/>
      <c r="AS509" s="180"/>
      <c r="AT509"/>
      <c r="AU509"/>
      <c r="AV509"/>
      <c r="AW509"/>
      <c r="AX509"/>
      <c r="AY509"/>
      <c r="AZ509"/>
      <c r="BA509"/>
      <c r="BB509"/>
      <c r="BC509"/>
      <c r="BD509"/>
      <c r="BE509"/>
      <c r="BJ509"/>
      <c r="BK509"/>
      <c r="BL509"/>
      <c r="BP509"/>
      <c r="BQ509"/>
      <c r="BR509"/>
      <c r="CD509"/>
      <c r="CE509"/>
      <c r="CF509"/>
      <c r="CQ509"/>
      <c r="CR509"/>
      <c r="CS509"/>
      <c r="DQ509"/>
      <c r="DR509"/>
      <c r="DS509"/>
      <c r="DT509"/>
      <c r="DU509"/>
    </row>
    <row r="510" spans="1:125">
      <c r="A510"/>
      <c r="B510"/>
      <c r="C510"/>
      <c r="D510"/>
      <c r="E510"/>
      <c r="G510"/>
      <c r="K510"/>
      <c r="V510"/>
      <c r="AC510"/>
      <c r="AI510"/>
      <c r="AJ510"/>
      <c r="AK510"/>
      <c r="AL510"/>
      <c r="AM510"/>
      <c r="AP510"/>
      <c r="AQ510"/>
      <c r="AR510"/>
      <c r="AS510" s="180"/>
      <c r="AT510"/>
      <c r="AU510"/>
      <c r="AV510"/>
      <c r="AW510"/>
      <c r="AX510"/>
      <c r="AY510"/>
      <c r="AZ510"/>
      <c r="BA510"/>
      <c r="BB510"/>
      <c r="BC510"/>
      <c r="BD510"/>
      <c r="BE510"/>
      <c r="BJ510"/>
      <c r="BK510"/>
      <c r="BL510"/>
      <c r="BP510"/>
      <c r="BQ510"/>
      <c r="BR510"/>
      <c r="CD510"/>
      <c r="CE510"/>
      <c r="CF510"/>
      <c r="CQ510"/>
      <c r="CR510"/>
      <c r="CS510"/>
      <c r="DQ510"/>
      <c r="DR510"/>
      <c r="DS510"/>
      <c r="DT510"/>
      <c r="DU510"/>
    </row>
    <row r="511" spans="1:125">
      <c r="A511"/>
      <c r="B511"/>
      <c r="C511"/>
      <c r="D511"/>
      <c r="E511"/>
      <c r="G511"/>
      <c r="K511"/>
      <c r="V511"/>
      <c r="AC511"/>
      <c r="AI511"/>
      <c r="AJ511"/>
      <c r="AK511"/>
      <c r="AL511"/>
      <c r="AM511"/>
      <c r="AP511"/>
      <c r="AQ511"/>
      <c r="AR511"/>
      <c r="AS511" s="180"/>
      <c r="AT511"/>
      <c r="AU511"/>
      <c r="AV511"/>
      <c r="AW511"/>
      <c r="AX511"/>
      <c r="AY511"/>
      <c r="AZ511"/>
      <c r="BA511"/>
      <c r="BB511"/>
      <c r="BC511"/>
      <c r="BD511"/>
      <c r="BE511"/>
      <c r="BJ511"/>
      <c r="BK511"/>
      <c r="BL511"/>
      <c r="BP511"/>
      <c r="BQ511"/>
      <c r="BR511"/>
      <c r="CD511"/>
      <c r="CE511"/>
      <c r="CF511"/>
      <c r="CQ511"/>
      <c r="CR511"/>
      <c r="CS511"/>
      <c r="DQ511"/>
      <c r="DR511"/>
      <c r="DS511"/>
      <c r="DT511"/>
      <c r="DU511"/>
    </row>
    <row r="512" spans="1:125">
      <c r="A512"/>
      <c r="B512"/>
      <c r="C512"/>
      <c r="D512"/>
      <c r="E512"/>
      <c r="G512"/>
      <c r="K512"/>
      <c r="V512"/>
      <c r="AC512"/>
      <c r="AI512"/>
      <c r="AJ512"/>
      <c r="AK512"/>
      <c r="AL512"/>
      <c r="AM512"/>
      <c r="AP512"/>
      <c r="AQ512"/>
      <c r="AR512"/>
      <c r="AS512" s="180"/>
      <c r="AT512"/>
      <c r="AU512"/>
      <c r="AV512"/>
      <c r="AW512"/>
      <c r="AX512"/>
      <c r="AY512"/>
      <c r="AZ512"/>
      <c r="BA512"/>
      <c r="BB512"/>
      <c r="BC512"/>
      <c r="BD512"/>
      <c r="BE512"/>
      <c r="BJ512"/>
      <c r="BK512"/>
      <c r="BL512"/>
      <c r="BP512"/>
      <c r="BQ512"/>
      <c r="BR512"/>
      <c r="CD512"/>
      <c r="CE512"/>
      <c r="CF512"/>
      <c r="CQ512"/>
      <c r="CR512"/>
      <c r="CS512"/>
      <c r="DQ512"/>
      <c r="DR512"/>
      <c r="DS512"/>
      <c r="DT512"/>
      <c r="DU512"/>
    </row>
    <row r="513" spans="1:125">
      <c r="A513"/>
      <c r="B513"/>
      <c r="C513"/>
      <c r="D513"/>
      <c r="E513"/>
      <c r="G513"/>
      <c r="K513"/>
      <c r="V513"/>
      <c r="AC513"/>
      <c r="AI513"/>
      <c r="AJ513"/>
      <c r="AK513"/>
      <c r="AL513"/>
      <c r="AM513"/>
      <c r="AP513"/>
      <c r="AQ513"/>
      <c r="AR513"/>
      <c r="AS513" s="180"/>
      <c r="AT513"/>
      <c r="AU513"/>
      <c r="AV513"/>
      <c r="AW513"/>
      <c r="AX513"/>
      <c r="AY513"/>
      <c r="AZ513"/>
      <c r="BA513"/>
      <c r="BB513"/>
      <c r="BC513"/>
      <c r="BD513"/>
      <c r="BE513"/>
      <c r="BJ513"/>
      <c r="BK513"/>
      <c r="BL513"/>
      <c r="BP513"/>
      <c r="BQ513"/>
      <c r="BR513"/>
      <c r="CD513"/>
      <c r="CE513"/>
      <c r="CF513"/>
      <c r="CQ513"/>
      <c r="CR513"/>
      <c r="CS513"/>
      <c r="DQ513"/>
      <c r="DR513"/>
      <c r="DS513"/>
      <c r="DT513"/>
      <c r="DU513"/>
    </row>
    <row r="514" spans="1:125">
      <c r="A514"/>
      <c r="B514"/>
      <c r="C514"/>
      <c r="D514"/>
      <c r="E514"/>
      <c r="G514"/>
      <c r="K514"/>
      <c r="V514"/>
      <c r="AC514"/>
      <c r="AI514"/>
      <c r="AJ514"/>
      <c r="AK514"/>
      <c r="AL514"/>
      <c r="AM514"/>
      <c r="AP514"/>
      <c r="AQ514"/>
      <c r="AR514"/>
      <c r="AS514" s="180"/>
      <c r="AT514"/>
      <c r="AU514"/>
      <c r="AV514"/>
      <c r="AW514"/>
      <c r="AX514"/>
      <c r="AY514"/>
      <c r="AZ514"/>
      <c r="BA514"/>
      <c r="BB514"/>
      <c r="BC514"/>
      <c r="BD514"/>
      <c r="BE514"/>
      <c r="BJ514"/>
      <c r="BK514"/>
      <c r="BL514"/>
      <c r="BP514"/>
      <c r="BQ514"/>
      <c r="BR514"/>
      <c r="CD514"/>
      <c r="CE514"/>
      <c r="CF514"/>
      <c r="CQ514"/>
      <c r="CR514"/>
      <c r="CS514"/>
      <c r="DQ514"/>
      <c r="DR514"/>
      <c r="DS514"/>
      <c r="DT514"/>
      <c r="DU514"/>
    </row>
    <row r="515" spans="1:125">
      <c r="A515"/>
      <c r="B515"/>
      <c r="C515"/>
      <c r="D515"/>
      <c r="E515"/>
      <c r="G515"/>
      <c r="K515"/>
      <c r="V515"/>
      <c r="AC515"/>
      <c r="AI515"/>
      <c r="AJ515"/>
      <c r="AK515"/>
      <c r="AL515"/>
      <c r="AM515"/>
      <c r="AP515"/>
      <c r="AQ515"/>
      <c r="AR515"/>
      <c r="AS515" s="180"/>
      <c r="AT515"/>
      <c r="AU515"/>
      <c r="AV515"/>
      <c r="AW515"/>
      <c r="AX515"/>
      <c r="AY515"/>
      <c r="AZ515"/>
      <c r="BA515"/>
      <c r="BB515"/>
      <c r="BC515"/>
      <c r="BD515"/>
      <c r="BE515"/>
      <c r="BJ515"/>
      <c r="BK515"/>
      <c r="BL515"/>
      <c r="BP515"/>
      <c r="BQ515"/>
      <c r="BR515"/>
      <c r="CD515"/>
      <c r="CE515"/>
      <c r="CF515"/>
      <c r="CQ515"/>
      <c r="CR515"/>
      <c r="CS515"/>
      <c r="DQ515"/>
      <c r="DR515"/>
      <c r="DS515"/>
      <c r="DT515"/>
      <c r="DU515"/>
    </row>
    <row r="516" spans="1:125">
      <c r="A516"/>
      <c r="B516"/>
      <c r="C516"/>
      <c r="D516"/>
      <c r="E516"/>
      <c r="G516"/>
      <c r="K516"/>
      <c r="V516"/>
      <c r="AC516"/>
      <c r="AI516"/>
      <c r="AJ516"/>
      <c r="AK516"/>
      <c r="AL516"/>
      <c r="AM516"/>
      <c r="AP516"/>
      <c r="AQ516"/>
      <c r="AR516"/>
      <c r="AS516" s="180"/>
      <c r="AT516"/>
      <c r="AU516"/>
      <c r="AV516"/>
      <c r="AW516"/>
      <c r="AX516"/>
      <c r="AY516"/>
      <c r="AZ516"/>
      <c r="BA516"/>
      <c r="BB516"/>
      <c r="BC516"/>
      <c r="BD516"/>
      <c r="BE516"/>
      <c r="BJ516"/>
      <c r="BK516"/>
      <c r="BL516"/>
      <c r="BP516"/>
      <c r="BQ516"/>
      <c r="BR516"/>
      <c r="CD516"/>
      <c r="CE516"/>
      <c r="CF516"/>
      <c r="CQ516"/>
      <c r="CR516"/>
      <c r="CS516"/>
      <c r="DQ516"/>
      <c r="DR516"/>
      <c r="DS516"/>
      <c r="DT516"/>
      <c r="DU516"/>
    </row>
    <row r="517" spans="1:125">
      <c r="A517"/>
      <c r="B517"/>
      <c r="C517"/>
      <c r="D517"/>
      <c r="E517"/>
      <c r="G517"/>
      <c r="K517"/>
      <c r="V517"/>
      <c r="AC517"/>
      <c r="AI517"/>
      <c r="AJ517"/>
      <c r="AK517"/>
      <c r="AL517"/>
      <c r="AM517"/>
      <c r="AP517"/>
      <c r="AQ517"/>
      <c r="AR517"/>
      <c r="AS517" s="180"/>
      <c r="AT517"/>
      <c r="AU517"/>
      <c r="AV517"/>
      <c r="AW517"/>
      <c r="AX517"/>
      <c r="AY517"/>
      <c r="AZ517"/>
      <c r="BA517"/>
      <c r="BB517"/>
      <c r="BC517"/>
      <c r="BD517"/>
      <c r="BE517"/>
      <c r="BJ517"/>
      <c r="BK517"/>
      <c r="BL517"/>
      <c r="BP517"/>
      <c r="BQ517"/>
      <c r="BR517"/>
      <c r="CD517"/>
      <c r="CE517"/>
      <c r="CF517"/>
      <c r="CQ517"/>
      <c r="CR517"/>
      <c r="CS517"/>
      <c r="DQ517"/>
      <c r="DR517"/>
      <c r="DS517"/>
      <c r="DT517"/>
      <c r="DU517"/>
    </row>
    <row r="518" spans="1:125">
      <c r="A518"/>
      <c r="B518"/>
      <c r="C518"/>
      <c r="D518"/>
      <c r="E518"/>
      <c r="G518"/>
      <c r="K518"/>
      <c r="V518"/>
      <c r="AC518"/>
      <c r="AI518"/>
      <c r="AJ518"/>
      <c r="AK518"/>
      <c r="AL518"/>
      <c r="AM518"/>
      <c r="AP518"/>
      <c r="AQ518"/>
      <c r="AR518"/>
      <c r="AS518" s="180"/>
      <c r="AT518"/>
      <c r="AU518"/>
      <c r="AV518"/>
      <c r="AW518"/>
      <c r="AX518"/>
      <c r="AY518"/>
      <c r="AZ518"/>
      <c r="BA518"/>
      <c r="BB518"/>
      <c r="BC518"/>
      <c r="BD518"/>
      <c r="BE518"/>
      <c r="BJ518"/>
      <c r="BK518"/>
      <c r="BL518"/>
      <c r="BP518"/>
      <c r="BQ518"/>
      <c r="BR518"/>
      <c r="CD518"/>
      <c r="CE518"/>
      <c r="CF518"/>
      <c r="CQ518"/>
      <c r="CR518"/>
      <c r="CS518"/>
      <c r="DQ518"/>
      <c r="DR518"/>
      <c r="DS518"/>
      <c r="DT518"/>
      <c r="DU518"/>
    </row>
    <row r="519" spans="1:125">
      <c r="A519"/>
      <c r="B519"/>
      <c r="C519"/>
      <c r="D519"/>
      <c r="E519"/>
      <c r="G519"/>
      <c r="K519"/>
      <c r="V519"/>
      <c r="AC519"/>
      <c r="AI519"/>
      <c r="AJ519"/>
      <c r="AK519"/>
      <c r="AL519"/>
      <c r="AM519"/>
      <c r="AP519"/>
      <c r="AQ519"/>
      <c r="AR519"/>
      <c r="AS519" s="180"/>
      <c r="AT519"/>
      <c r="AU519"/>
      <c r="AV519"/>
      <c r="AW519"/>
      <c r="AX519"/>
      <c r="AY519"/>
      <c r="AZ519"/>
      <c r="BA519"/>
      <c r="BB519"/>
      <c r="BC519"/>
      <c r="BD519"/>
      <c r="BE519"/>
      <c r="BJ519"/>
      <c r="BK519"/>
      <c r="BL519"/>
      <c r="BP519"/>
      <c r="BQ519"/>
      <c r="BR519"/>
      <c r="CD519"/>
      <c r="CE519"/>
      <c r="CF519"/>
      <c r="CQ519"/>
      <c r="CR519"/>
      <c r="CS519"/>
      <c r="DQ519"/>
      <c r="DR519"/>
      <c r="DS519"/>
      <c r="DT519"/>
      <c r="DU519"/>
    </row>
    <row r="520" spans="1:125">
      <c r="A520"/>
      <c r="B520"/>
      <c r="C520"/>
      <c r="D520"/>
      <c r="E520"/>
      <c r="G520"/>
      <c r="K520"/>
      <c r="V520"/>
      <c r="AC520"/>
      <c r="AI520"/>
      <c r="AJ520"/>
      <c r="AK520"/>
      <c r="AL520"/>
      <c r="AM520"/>
      <c r="AP520"/>
      <c r="AQ520"/>
      <c r="AR520"/>
      <c r="AS520" s="180"/>
      <c r="AT520"/>
      <c r="AU520"/>
      <c r="AV520"/>
      <c r="AW520"/>
      <c r="AX520"/>
      <c r="AY520"/>
      <c r="AZ520"/>
      <c r="BA520"/>
      <c r="BB520"/>
      <c r="BC520"/>
      <c r="BD520"/>
      <c r="BE520"/>
      <c r="BJ520"/>
      <c r="BK520"/>
      <c r="BL520"/>
      <c r="BP520"/>
      <c r="BQ520"/>
      <c r="BR520"/>
      <c r="CD520"/>
      <c r="CE520"/>
      <c r="CF520"/>
      <c r="CQ520"/>
      <c r="CR520"/>
      <c r="CS520"/>
      <c r="DQ520"/>
      <c r="DR520"/>
      <c r="DS520"/>
      <c r="DT520"/>
      <c r="DU520"/>
    </row>
    <row r="521" spans="1:125">
      <c r="A521"/>
      <c r="B521"/>
      <c r="C521"/>
      <c r="D521"/>
      <c r="E521"/>
      <c r="G521"/>
      <c r="K521"/>
      <c r="V521"/>
      <c r="AC521"/>
      <c r="AI521"/>
      <c r="AJ521"/>
      <c r="AK521"/>
      <c r="AL521"/>
      <c r="AM521"/>
      <c r="AP521"/>
      <c r="AQ521"/>
      <c r="AR521"/>
      <c r="AS521" s="180"/>
      <c r="AT521"/>
      <c r="AU521"/>
      <c r="AV521"/>
      <c r="AW521"/>
      <c r="AX521"/>
      <c r="AY521"/>
      <c r="AZ521"/>
      <c r="BA521"/>
      <c r="BB521"/>
      <c r="BC521"/>
      <c r="BD521"/>
      <c r="BE521"/>
      <c r="BJ521"/>
      <c r="BK521"/>
      <c r="BL521"/>
      <c r="BP521"/>
      <c r="BQ521"/>
      <c r="BR521"/>
      <c r="CD521"/>
      <c r="CE521"/>
      <c r="CF521"/>
      <c r="CQ521"/>
      <c r="CR521"/>
      <c r="CS521"/>
      <c r="DQ521"/>
      <c r="DR521"/>
      <c r="DS521"/>
      <c r="DT521"/>
      <c r="DU521"/>
    </row>
    <row r="522" spans="1:125">
      <c r="A522"/>
      <c r="B522"/>
      <c r="C522"/>
      <c r="D522"/>
      <c r="E522"/>
      <c r="G522"/>
      <c r="K522"/>
      <c r="V522"/>
      <c r="AC522"/>
      <c r="AI522"/>
      <c r="AJ522"/>
      <c r="AK522"/>
      <c r="AL522"/>
      <c r="AM522"/>
      <c r="AP522"/>
      <c r="AQ522"/>
      <c r="AR522"/>
      <c r="AS522" s="180"/>
      <c r="AT522"/>
      <c r="AU522"/>
      <c r="AV522"/>
      <c r="AW522"/>
      <c r="AX522"/>
      <c r="AY522"/>
      <c r="AZ522"/>
      <c r="BA522"/>
      <c r="BB522"/>
      <c r="BC522"/>
      <c r="BD522"/>
      <c r="BE522"/>
      <c r="BJ522"/>
      <c r="BK522"/>
      <c r="BL522"/>
      <c r="BP522"/>
      <c r="BQ522"/>
      <c r="BR522"/>
      <c r="CD522"/>
      <c r="CE522"/>
      <c r="CF522"/>
      <c r="CQ522"/>
      <c r="CR522"/>
      <c r="CS522"/>
      <c r="DQ522"/>
      <c r="DR522"/>
      <c r="DS522"/>
      <c r="DT522"/>
      <c r="DU522"/>
    </row>
    <row r="523" spans="1:125">
      <c r="A523"/>
      <c r="B523"/>
      <c r="C523"/>
      <c r="D523"/>
      <c r="E523"/>
      <c r="G523"/>
      <c r="K523"/>
      <c r="V523"/>
      <c r="AC523"/>
      <c r="AI523"/>
      <c r="AJ523"/>
      <c r="AK523"/>
      <c r="AL523"/>
      <c r="AM523"/>
      <c r="AP523"/>
      <c r="AQ523"/>
      <c r="AR523"/>
      <c r="AS523" s="180"/>
      <c r="AT523"/>
      <c r="AU523"/>
      <c r="AV523"/>
      <c r="AW523"/>
      <c r="AX523"/>
      <c r="AY523"/>
      <c r="AZ523"/>
      <c r="BA523"/>
      <c r="BB523"/>
      <c r="BC523"/>
      <c r="BD523"/>
      <c r="BE523"/>
      <c r="BJ523"/>
      <c r="BK523"/>
      <c r="BL523"/>
      <c r="BP523"/>
      <c r="BQ523"/>
      <c r="BR523"/>
      <c r="CD523"/>
      <c r="CE523"/>
      <c r="CF523"/>
      <c r="CQ523"/>
      <c r="CR523"/>
      <c r="CS523"/>
      <c r="DQ523"/>
      <c r="DR523"/>
      <c r="DS523"/>
      <c r="DT523"/>
      <c r="DU523"/>
    </row>
    <row r="524" spans="1:125">
      <c r="A524"/>
      <c r="B524"/>
      <c r="C524"/>
      <c r="D524"/>
      <c r="E524"/>
      <c r="G524"/>
      <c r="K524"/>
      <c r="V524"/>
      <c r="AC524"/>
      <c r="AI524"/>
      <c r="AJ524"/>
      <c r="AK524"/>
      <c r="AL524"/>
      <c r="AM524"/>
      <c r="AP524"/>
      <c r="AQ524"/>
      <c r="AR524"/>
      <c r="AS524" s="180"/>
      <c r="AT524"/>
      <c r="AU524"/>
      <c r="AV524"/>
      <c r="AW524"/>
      <c r="AX524"/>
      <c r="AY524"/>
      <c r="AZ524"/>
      <c r="BA524"/>
      <c r="BB524"/>
      <c r="BC524"/>
      <c r="BD524"/>
      <c r="BE524"/>
      <c r="BJ524"/>
      <c r="BK524"/>
      <c r="BL524"/>
      <c r="BP524"/>
      <c r="BQ524"/>
      <c r="BR524"/>
      <c r="CD524"/>
      <c r="CE524"/>
      <c r="CF524"/>
      <c r="CQ524"/>
      <c r="CR524"/>
      <c r="CS524"/>
      <c r="DQ524"/>
      <c r="DR524"/>
      <c r="DS524"/>
      <c r="DT524"/>
      <c r="DU524"/>
    </row>
    <row r="525" spans="1:125">
      <c r="A525"/>
      <c r="B525"/>
      <c r="C525"/>
      <c r="D525"/>
      <c r="E525"/>
      <c r="G525"/>
      <c r="K525"/>
      <c r="V525"/>
      <c r="AC525"/>
      <c r="AI525"/>
      <c r="AJ525"/>
      <c r="AK525"/>
      <c r="AL525"/>
      <c r="AM525"/>
      <c r="AP525"/>
      <c r="AQ525"/>
      <c r="AR525"/>
      <c r="AS525" s="180"/>
      <c r="AT525"/>
      <c r="AU525"/>
      <c r="AV525"/>
      <c r="AW525"/>
      <c r="AX525"/>
      <c r="AY525"/>
      <c r="AZ525"/>
      <c r="BA525"/>
      <c r="BB525"/>
      <c r="BC525"/>
      <c r="BD525"/>
      <c r="BE525"/>
      <c r="BJ525"/>
      <c r="BK525"/>
      <c r="BL525"/>
      <c r="BP525"/>
      <c r="BQ525"/>
      <c r="BR525"/>
      <c r="CD525"/>
      <c r="CE525"/>
      <c r="CF525"/>
      <c r="CQ525"/>
      <c r="CR525"/>
      <c r="CS525"/>
      <c r="DQ525"/>
      <c r="DR525"/>
      <c r="DS525"/>
      <c r="DT525"/>
      <c r="DU525"/>
    </row>
    <row r="526" spans="1:125">
      <c r="A526"/>
      <c r="B526"/>
      <c r="C526"/>
      <c r="D526"/>
      <c r="E526"/>
      <c r="G526"/>
      <c r="K526"/>
      <c r="V526"/>
      <c r="AC526"/>
      <c r="AI526"/>
      <c r="AJ526"/>
      <c r="AK526"/>
      <c r="AL526"/>
      <c r="AM526"/>
      <c r="AP526"/>
      <c r="AQ526"/>
      <c r="AR526"/>
      <c r="AS526" s="180"/>
      <c r="AT526"/>
      <c r="AU526"/>
      <c r="AV526"/>
      <c r="AW526"/>
      <c r="AX526"/>
      <c r="AY526"/>
      <c r="AZ526"/>
      <c r="BA526"/>
      <c r="BB526"/>
      <c r="BC526"/>
      <c r="BD526"/>
      <c r="BE526"/>
      <c r="BJ526"/>
      <c r="BK526"/>
      <c r="BL526"/>
      <c r="BP526"/>
      <c r="BQ526"/>
      <c r="BR526"/>
      <c r="CD526"/>
      <c r="CE526"/>
      <c r="CF526"/>
      <c r="CQ526"/>
      <c r="CR526"/>
      <c r="CS526"/>
      <c r="DQ526"/>
      <c r="DR526"/>
      <c r="DS526"/>
      <c r="DT526"/>
      <c r="DU526"/>
    </row>
    <row r="527" spans="1:125">
      <c r="A527"/>
      <c r="B527"/>
      <c r="C527"/>
      <c r="D527"/>
      <c r="E527"/>
      <c r="G527"/>
      <c r="K527"/>
      <c r="V527"/>
      <c r="AC527"/>
      <c r="AI527"/>
      <c r="AJ527"/>
      <c r="AK527"/>
      <c r="AL527"/>
      <c r="AM527"/>
      <c r="AP527"/>
      <c r="AQ527"/>
      <c r="AR527"/>
      <c r="AS527" s="180"/>
      <c r="AT527"/>
      <c r="AU527"/>
      <c r="AV527"/>
      <c r="AW527"/>
      <c r="AX527"/>
      <c r="AY527"/>
      <c r="AZ527"/>
      <c r="BA527"/>
      <c r="BB527"/>
      <c r="BC527"/>
      <c r="BD527"/>
      <c r="BE527"/>
      <c r="BJ527"/>
      <c r="BK527"/>
      <c r="BL527"/>
      <c r="BP527"/>
      <c r="BQ527"/>
      <c r="BR527"/>
      <c r="CD527"/>
      <c r="CE527"/>
      <c r="CF527"/>
      <c r="CQ527"/>
      <c r="CR527"/>
      <c r="CS527"/>
      <c r="DQ527"/>
      <c r="DR527"/>
      <c r="DS527"/>
      <c r="DT527"/>
      <c r="DU527"/>
    </row>
    <row r="528" spans="1:125">
      <c r="A528"/>
      <c r="B528"/>
      <c r="C528"/>
      <c r="D528"/>
      <c r="E528"/>
      <c r="G528"/>
      <c r="K528"/>
      <c r="V528"/>
      <c r="AC528"/>
      <c r="AI528"/>
      <c r="AJ528"/>
      <c r="AK528"/>
      <c r="AL528"/>
      <c r="AM528"/>
      <c r="AP528"/>
      <c r="AQ528"/>
      <c r="AR528"/>
      <c r="AS528" s="180"/>
      <c r="AT528"/>
      <c r="AU528"/>
      <c r="AV528"/>
      <c r="AW528"/>
      <c r="AX528"/>
      <c r="AY528"/>
      <c r="AZ528"/>
      <c r="BA528"/>
      <c r="BB528"/>
      <c r="BC528"/>
      <c r="BD528"/>
      <c r="BE528"/>
      <c r="BJ528"/>
      <c r="BK528"/>
      <c r="BL528"/>
      <c r="BP528"/>
      <c r="BQ528"/>
      <c r="BR528"/>
      <c r="CD528"/>
      <c r="CE528"/>
      <c r="CF528"/>
      <c r="CQ528"/>
      <c r="CR528"/>
      <c r="CS528"/>
      <c r="DQ528"/>
      <c r="DR528"/>
      <c r="DS528"/>
      <c r="DT528"/>
      <c r="DU528"/>
    </row>
    <row r="529" spans="1:125">
      <c r="A529"/>
      <c r="B529"/>
      <c r="C529"/>
      <c r="D529"/>
      <c r="E529"/>
      <c r="G529"/>
      <c r="K529"/>
      <c r="V529"/>
      <c r="AC529"/>
      <c r="AI529"/>
      <c r="AJ529"/>
      <c r="AK529"/>
      <c r="AL529"/>
      <c r="AM529"/>
      <c r="AP529"/>
      <c r="AQ529"/>
      <c r="AR529"/>
      <c r="AS529" s="180"/>
      <c r="AT529"/>
      <c r="AU529"/>
      <c r="AV529"/>
      <c r="AW529"/>
      <c r="AX529"/>
      <c r="AY529"/>
      <c r="AZ529"/>
      <c r="BA529"/>
      <c r="BB529"/>
      <c r="BC529"/>
      <c r="BD529"/>
      <c r="BE529"/>
      <c r="BJ529"/>
      <c r="BK529"/>
      <c r="BL529"/>
      <c r="BP529"/>
      <c r="BQ529"/>
      <c r="BR529"/>
      <c r="CD529"/>
      <c r="CE529"/>
      <c r="CF529"/>
      <c r="CQ529"/>
      <c r="CR529"/>
      <c r="CS529"/>
      <c r="DQ529"/>
      <c r="DR529"/>
      <c r="DS529"/>
      <c r="DT529"/>
      <c r="DU529"/>
    </row>
    <row r="530" spans="1:125">
      <c r="A530"/>
      <c r="B530"/>
      <c r="C530"/>
      <c r="D530"/>
      <c r="E530"/>
      <c r="G530"/>
      <c r="K530"/>
      <c r="V530"/>
      <c r="AC530"/>
      <c r="AI530"/>
      <c r="AJ530"/>
      <c r="AK530"/>
      <c r="AL530"/>
      <c r="AM530"/>
      <c r="AP530"/>
      <c r="AQ530"/>
      <c r="AR530"/>
      <c r="AS530" s="180"/>
      <c r="AT530"/>
      <c r="AU530"/>
      <c r="AV530"/>
      <c r="AW530"/>
      <c r="AX530"/>
      <c r="AY530"/>
      <c r="AZ530"/>
      <c r="BA530"/>
      <c r="BB530"/>
      <c r="BC530"/>
      <c r="BD530"/>
      <c r="BE530"/>
      <c r="BJ530"/>
      <c r="BK530"/>
      <c r="BL530"/>
      <c r="BP530"/>
      <c r="BQ530"/>
      <c r="BR530"/>
      <c r="CD530"/>
      <c r="CE530"/>
      <c r="CF530"/>
      <c r="CQ530"/>
      <c r="CR530"/>
      <c r="CS530"/>
      <c r="DQ530"/>
      <c r="DR530"/>
      <c r="DS530"/>
      <c r="DT530"/>
      <c r="DU530"/>
    </row>
    <row r="531" spans="1:125">
      <c r="A531"/>
      <c r="B531"/>
      <c r="C531"/>
      <c r="D531"/>
      <c r="E531"/>
      <c r="G531"/>
      <c r="K531"/>
      <c r="V531"/>
      <c r="AC531"/>
      <c r="AI531"/>
      <c r="AJ531"/>
      <c r="AK531"/>
      <c r="AL531"/>
      <c r="AM531"/>
      <c r="AP531"/>
      <c r="AQ531"/>
      <c r="AR531"/>
      <c r="AS531" s="180"/>
      <c r="AT531"/>
      <c r="AU531"/>
      <c r="AV531"/>
      <c r="AW531"/>
      <c r="AX531"/>
      <c r="AY531"/>
      <c r="AZ531"/>
      <c r="BA531"/>
      <c r="BB531"/>
      <c r="BC531"/>
      <c r="BD531"/>
      <c r="BE531"/>
      <c r="BJ531"/>
      <c r="BK531"/>
      <c r="BL531"/>
      <c r="BP531"/>
      <c r="BQ531"/>
      <c r="BR531"/>
      <c r="CD531"/>
      <c r="CE531"/>
      <c r="CF531"/>
      <c r="CQ531"/>
      <c r="CR531"/>
      <c r="CS531"/>
      <c r="DQ531"/>
      <c r="DR531"/>
      <c r="DS531"/>
      <c r="DT531"/>
      <c r="DU531"/>
    </row>
    <row r="532" spans="1:125">
      <c r="A532"/>
      <c r="B532"/>
      <c r="C532"/>
      <c r="D532"/>
      <c r="E532"/>
      <c r="G532"/>
      <c r="K532"/>
      <c r="V532"/>
      <c r="AC532"/>
      <c r="AI532"/>
      <c r="AJ532"/>
      <c r="AK532"/>
      <c r="AL532"/>
      <c r="AM532"/>
      <c r="AP532"/>
      <c r="AQ532"/>
      <c r="AR532"/>
      <c r="AS532" s="180"/>
      <c r="AT532"/>
      <c r="AU532"/>
      <c r="AV532"/>
      <c r="AW532"/>
      <c r="AX532"/>
      <c r="AY532"/>
      <c r="AZ532"/>
      <c r="BA532"/>
      <c r="BB532"/>
      <c r="BC532"/>
      <c r="BD532"/>
      <c r="BE532"/>
      <c r="BJ532"/>
      <c r="BK532"/>
      <c r="BL532"/>
      <c r="BP532"/>
      <c r="BQ532"/>
      <c r="BR532"/>
      <c r="CD532"/>
      <c r="CE532"/>
      <c r="CF532"/>
      <c r="CQ532"/>
      <c r="CR532"/>
      <c r="CS532"/>
      <c r="DQ532"/>
      <c r="DR532"/>
      <c r="DS532"/>
      <c r="DT532"/>
      <c r="DU532"/>
    </row>
    <row r="533" spans="1:125">
      <c r="A533"/>
      <c r="B533"/>
      <c r="C533"/>
      <c r="D533"/>
      <c r="E533"/>
      <c r="G533"/>
      <c r="K533"/>
      <c r="V533"/>
      <c r="AC533"/>
      <c r="AI533"/>
      <c r="AJ533"/>
      <c r="AK533"/>
      <c r="AL533"/>
      <c r="AM533"/>
      <c r="AP533"/>
      <c r="AQ533"/>
      <c r="AR533"/>
      <c r="AS533" s="180"/>
      <c r="AT533"/>
      <c r="AU533"/>
      <c r="AV533"/>
      <c r="AW533"/>
      <c r="AX533"/>
      <c r="AY533"/>
      <c r="AZ533"/>
      <c r="BA533"/>
      <c r="BB533"/>
      <c r="BC533"/>
      <c r="BD533"/>
      <c r="BE533"/>
      <c r="BJ533"/>
      <c r="BK533"/>
      <c r="BL533"/>
      <c r="BP533"/>
      <c r="BQ533"/>
      <c r="BR533"/>
      <c r="CD533"/>
      <c r="CE533"/>
      <c r="CF533"/>
      <c r="CQ533"/>
      <c r="CR533"/>
      <c r="CS533"/>
      <c r="DQ533"/>
      <c r="DR533"/>
      <c r="DS533"/>
      <c r="DT533"/>
      <c r="DU533"/>
    </row>
    <row r="534" spans="1:125">
      <c r="A534"/>
      <c r="B534"/>
      <c r="C534"/>
      <c r="D534"/>
      <c r="E534"/>
      <c r="G534"/>
      <c r="K534"/>
      <c r="V534"/>
      <c r="AC534"/>
      <c r="AI534"/>
      <c r="AJ534"/>
      <c r="AK534"/>
      <c r="AL534"/>
      <c r="AM534"/>
      <c r="AP534"/>
      <c r="AQ534"/>
      <c r="AR534"/>
      <c r="AS534" s="180"/>
      <c r="AT534"/>
      <c r="AU534"/>
      <c r="AV534"/>
      <c r="AW534"/>
      <c r="AX534"/>
      <c r="AY534"/>
      <c r="AZ534"/>
      <c r="BA534"/>
      <c r="BB534"/>
      <c r="BC534"/>
      <c r="BD534"/>
      <c r="BE534"/>
      <c r="BJ534"/>
      <c r="BK534"/>
      <c r="BL534"/>
      <c r="BP534"/>
      <c r="BQ534"/>
      <c r="BR534"/>
      <c r="CD534"/>
      <c r="CE534"/>
      <c r="CF534"/>
      <c r="CQ534"/>
      <c r="CR534"/>
      <c r="CS534"/>
      <c r="DQ534"/>
      <c r="DR534"/>
      <c r="DS534"/>
      <c r="DT534"/>
      <c r="DU534"/>
    </row>
    <row r="535" spans="1:125">
      <c r="A535"/>
      <c r="B535"/>
      <c r="C535"/>
      <c r="D535"/>
      <c r="E535"/>
      <c r="G535"/>
      <c r="K535"/>
      <c r="V535"/>
      <c r="AC535"/>
      <c r="AI535"/>
      <c r="AJ535"/>
      <c r="AK535"/>
      <c r="AL535"/>
      <c r="AM535"/>
      <c r="AP535"/>
      <c r="AQ535"/>
      <c r="AR535"/>
      <c r="AS535" s="180"/>
      <c r="AT535"/>
      <c r="AU535"/>
      <c r="AV535"/>
      <c r="AW535"/>
      <c r="AX535"/>
      <c r="AY535"/>
      <c r="AZ535"/>
      <c r="BA535"/>
      <c r="BB535"/>
      <c r="BC535"/>
      <c r="BD535"/>
      <c r="BE535"/>
      <c r="BJ535"/>
      <c r="BK535"/>
      <c r="BL535"/>
      <c r="BP535"/>
      <c r="BQ535"/>
      <c r="BR535"/>
      <c r="CD535"/>
      <c r="CE535"/>
      <c r="CF535"/>
      <c r="CQ535"/>
      <c r="CR535"/>
      <c r="CS535"/>
      <c r="DQ535"/>
      <c r="DR535"/>
      <c r="DS535"/>
      <c r="DT535"/>
      <c r="DU535"/>
    </row>
    <row r="536" spans="1:125">
      <c r="A536"/>
      <c r="B536"/>
      <c r="C536"/>
      <c r="D536"/>
      <c r="E536"/>
      <c r="G536"/>
      <c r="K536"/>
      <c r="V536"/>
      <c r="AC536"/>
      <c r="AI536"/>
      <c r="AJ536"/>
      <c r="AK536"/>
      <c r="AL536"/>
      <c r="AM536"/>
      <c r="AP536"/>
      <c r="AQ536"/>
      <c r="AR536"/>
      <c r="AS536" s="180"/>
      <c r="AT536"/>
      <c r="AU536"/>
      <c r="AV536"/>
      <c r="AW536"/>
      <c r="AX536"/>
      <c r="AY536"/>
      <c r="AZ536"/>
      <c r="BA536"/>
      <c r="BB536"/>
      <c r="BC536"/>
      <c r="BD536"/>
      <c r="BE536"/>
      <c r="BJ536"/>
      <c r="BK536"/>
      <c r="BL536"/>
      <c r="BP536"/>
      <c r="BQ536"/>
      <c r="BR536"/>
      <c r="CD536"/>
      <c r="CE536"/>
      <c r="CF536"/>
      <c r="CQ536"/>
      <c r="CR536"/>
      <c r="CS536"/>
      <c r="DQ536"/>
      <c r="DR536"/>
      <c r="DS536"/>
      <c r="DT536"/>
      <c r="DU536"/>
    </row>
    <row r="537" spans="1:125">
      <c r="A537"/>
      <c r="B537"/>
      <c r="C537"/>
      <c r="D537"/>
      <c r="E537"/>
      <c r="G537"/>
      <c r="K537"/>
      <c r="V537"/>
      <c r="AC537"/>
      <c r="AI537"/>
      <c r="AJ537"/>
      <c r="AK537"/>
      <c r="AL537"/>
      <c r="AM537"/>
      <c r="AP537"/>
      <c r="AQ537"/>
      <c r="AR537"/>
      <c r="AS537" s="180"/>
      <c r="AT537"/>
      <c r="AU537"/>
      <c r="AV537"/>
      <c r="AW537"/>
      <c r="AX537"/>
      <c r="AY537"/>
      <c r="AZ537"/>
      <c r="BA537"/>
      <c r="BB537"/>
      <c r="BC537"/>
      <c r="BD537"/>
      <c r="BE537"/>
      <c r="BJ537"/>
      <c r="BK537"/>
      <c r="BL537"/>
      <c r="BP537"/>
      <c r="BQ537"/>
      <c r="BR537"/>
      <c r="CD537"/>
      <c r="CE537"/>
      <c r="CF537"/>
      <c r="CQ537"/>
      <c r="CR537"/>
      <c r="CS537"/>
      <c r="DQ537"/>
      <c r="DR537"/>
      <c r="DS537"/>
      <c r="DT537"/>
      <c r="DU537"/>
    </row>
    <row r="538" spans="1:125">
      <c r="A538"/>
      <c r="B538"/>
      <c r="C538"/>
      <c r="D538"/>
      <c r="E538"/>
      <c r="G538"/>
      <c r="K538"/>
      <c r="V538"/>
      <c r="AC538"/>
      <c r="AI538"/>
      <c r="AJ538"/>
      <c r="AK538"/>
      <c r="AL538"/>
      <c r="AM538"/>
      <c r="AP538"/>
      <c r="AQ538"/>
      <c r="AR538"/>
      <c r="AS538" s="180"/>
      <c r="AT538"/>
      <c r="AU538"/>
      <c r="AV538"/>
      <c r="AW538"/>
      <c r="AX538"/>
      <c r="AY538"/>
      <c r="AZ538"/>
      <c r="BA538"/>
      <c r="BB538"/>
      <c r="BC538"/>
      <c r="BD538"/>
      <c r="BE538"/>
      <c r="BJ538"/>
      <c r="BK538"/>
      <c r="BL538"/>
      <c r="BP538"/>
      <c r="BQ538"/>
      <c r="BR538"/>
      <c r="CD538"/>
      <c r="CE538"/>
      <c r="CF538"/>
      <c r="CQ538"/>
      <c r="CR538"/>
      <c r="CS538"/>
      <c r="DQ538"/>
      <c r="DR538"/>
      <c r="DS538"/>
      <c r="DT538"/>
      <c r="DU538"/>
    </row>
    <row r="539" spans="1:125">
      <c r="A539"/>
      <c r="B539"/>
      <c r="C539"/>
      <c r="D539"/>
      <c r="E539"/>
      <c r="G539"/>
      <c r="K539"/>
      <c r="V539"/>
      <c r="AC539"/>
      <c r="AI539"/>
      <c r="AJ539"/>
      <c r="AK539"/>
      <c r="AL539"/>
      <c r="AM539"/>
      <c r="AP539"/>
      <c r="AQ539"/>
      <c r="AR539"/>
      <c r="AS539" s="180"/>
      <c r="AT539"/>
      <c r="AU539"/>
      <c r="AV539"/>
      <c r="AW539"/>
      <c r="AX539"/>
      <c r="AY539"/>
      <c r="AZ539"/>
      <c r="BA539"/>
      <c r="BB539"/>
      <c r="BC539"/>
      <c r="BD539"/>
      <c r="BE539"/>
      <c r="BJ539"/>
      <c r="BK539"/>
      <c r="BL539"/>
      <c r="BP539"/>
      <c r="BQ539"/>
      <c r="BR539"/>
      <c r="CD539"/>
      <c r="CE539"/>
      <c r="CF539"/>
      <c r="CQ539"/>
      <c r="CR539"/>
      <c r="CS539"/>
      <c r="DQ539"/>
      <c r="DR539"/>
      <c r="DS539"/>
      <c r="DT539"/>
      <c r="DU539"/>
    </row>
    <row r="540" spans="1:125">
      <c r="A540"/>
      <c r="B540"/>
      <c r="C540"/>
      <c r="D540"/>
      <c r="E540"/>
      <c r="G540"/>
      <c r="K540"/>
      <c r="V540"/>
      <c r="AC540"/>
      <c r="AI540"/>
      <c r="AJ540"/>
      <c r="AK540"/>
      <c r="AL540"/>
      <c r="AM540"/>
      <c r="AP540"/>
      <c r="AQ540"/>
      <c r="AR540"/>
      <c r="AS540" s="180"/>
      <c r="AT540"/>
      <c r="AU540"/>
      <c r="AV540"/>
      <c r="AW540"/>
      <c r="AX540"/>
      <c r="AY540"/>
      <c r="AZ540"/>
      <c r="BA540"/>
      <c r="BB540"/>
      <c r="BC540"/>
      <c r="BD540"/>
      <c r="BE540"/>
      <c r="BJ540"/>
      <c r="BK540"/>
      <c r="BL540"/>
      <c r="BP540"/>
      <c r="BQ540"/>
      <c r="BR540"/>
      <c r="CD540"/>
      <c r="CE540"/>
      <c r="CF540"/>
      <c r="CQ540"/>
      <c r="CR540"/>
      <c r="CS540"/>
      <c r="DQ540"/>
      <c r="DR540"/>
      <c r="DS540"/>
      <c r="DT540"/>
      <c r="DU540"/>
    </row>
    <row r="541" spans="1:125">
      <c r="A541"/>
      <c r="B541"/>
      <c r="C541"/>
      <c r="D541"/>
      <c r="E541"/>
      <c r="G541"/>
      <c r="K541"/>
      <c r="V541"/>
      <c r="AC541"/>
      <c r="AI541"/>
      <c r="AJ541"/>
      <c r="AK541"/>
      <c r="AL541"/>
      <c r="AM541"/>
      <c r="AP541"/>
      <c r="AQ541"/>
      <c r="AR541"/>
      <c r="AS541" s="180"/>
      <c r="AT541"/>
      <c r="AU541"/>
      <c r="AV541"/>
      <c r="AW541"/>
      <c r="AX541"/>
      <c r="AY541"/>
      <c r="AZ541"/>
      <c r="BA541"/>
      <c r="BB541"/>
      <c r="BC541"/>
      <c r="BD541"/>
      <c r="BE541"/>
      <c r="BJ541"/>
      <c r="BK541"/>
      <c r="BL541"/>
      <c r="BP541"/>
      <c r="BQ541"/>
      <c r="BR541"/>
      <c r="CD541"/>
      <c r="CE541"/>
      <c r="CF541"/>
      <c r="CQ541"/>
      <c r="CR541"/>
      <c r="CS541"/>
      <c r="DQ541"/>
      <c r="DR541"/>
      <c r="DS541"/>
      <c r="DT541"/>
      <c r="DU541"/>
    </row>
    <row r="542" spans="1:125">
      <c r="A542"/>
      <c r="B542"/>
      <c r="C542"/>
      <c r="D542"/>
      <c r="E542"/>
      <c r="G542"/>
      <c r="K542"/>
      <c r="V542"/>
      <c r="AC542"/>
      <c r="AI542"/>
      <c r="AJ542"/>
      <c r="AK542"/>
      <c r="AL542"/>
      <c r="AM542"/>
      <c r="AP542"/>
      <c r="AQ542"/>
      <c r="AR542"/>
      <c r="AS542" s="180"/>
      <c r="AT542"/>
      <c r="AU542"/>
      <c r="AV542"/>
      <c r="AW542"/>
      <c r="AX542"/>
      <c r="AY542"/>
      <c r="AZ542"/>
      <c r="BA542"/>
      <c r="BB542"/>
      <c r="BC542"/>
      <c r="BD542"/>
      <c r="BE542"/>
      <c r="BJ542"/>
      <c r="BK542"/>
      <c r="BL542"/>
      <c r="BP542"/>
      <c r="BQ542"/>
      <c r="BR542"/>
      <c r="CD542"/>
      <c r="CE542"/>
      <c r="CF542"/>
      <c r="CQ542"/>
      <c r="CR542"/>
      <c r="CS542"/>
      <c r="DQ542"/>
      <c r="DR542"/>
      <c r="DS542"/>
      <c r="DT542"/>
      <c r="DU542"/>
    </row>
    <row r="543" spans="1:125">
      <c r="A543"/>
      <c r="B543"/>
      <c r="C543"/>
      <c r="D543"/>
      <c r="E543"/>
      <c r="G543"/>
      <c r="K543"/>
      <c r="V543"/>
      <c r="AC543"/>
      <c r="AI543"/>
      <c r="AJ543"/>
      <c r="AK543"/>
      <c r="AL543"/>
      <c r="AM543"/>
      <c r="AP543"/>
      <c r="AQ543"/>
      <c r="AR543"/>
      <c r="AS543" s="180"/>
      <c r="AT543"/>
      <c r="AU543"/>
      <c r="AV543"/>
      <c r="AW543"/>
      <c r="AX543"/>
      <c r="AY543"/>
      <c r="AZ543"/>
      <c r="BA543"/>
      <c r="BB543"/>
      <c r="BC543"/>
      <c r="BD543"/>
      <c r="BE543"/>
      <c r="BJ543"/>
      <c r="BK543"/>
      <c r="BL543"/>
      <c r="BP543"/>
      <c r="BQ543"/>
      <c r="BR543"/>
      <c r="CD543"/>
      <c r="CE543"/>
      <c r="CF543"/>
      <c r="CQ543"/>
      <c r="CR543"/>
      <c r="CS543"/>
      <c r="DQ543"/>
      <c r="DR543"/>
      <c r="DS543"/>
      <c r="DT543"/>
      <c r="DU543"/>
    </row>
    <row r="544" spans="1:125">
      <c r="A544"/>
      <c r="B544"/>
      <c r="C544"/>
      <c r="D544"/>
      <c r="E544"/>
      <c r="G544"/>
      <c r="K544"/>
      <c r="V544"/>
      <c r="AC544"/>
      <c r="AI544"/>
      <c r="AJ544"/>
      <c r="AK544"/>
      <c r="AL544"/>
      <c r="AM544"/>
      <c r="AP544"/>
      <c r="AQ544"/>
      <c r="AR544"/>
      <c r="AS544" s="180"/>
      <c r="AT544"/>
      <c r="AU544"/>
      <c r="AV544"/>
      <c r="AW544"/>
      <c r="AX544"/>
      <c r="AY544"/>
      <c r="AZ544"/>
      <c r="BA544"/>
      <c r="BB544"/>
      <c r="BC544"/>
      <c r="BD544"/>
      <c r="BE544"/>
      <c r="BJ544"/>
      <c r="BK544"/>
      <c r="BL544"/>
      <c r="BP544"/>
      <c r="BQ544"/>
      <c r="BR544"/>
      <c r="CD544"/>
      <c r="CE544"/>
      <c r="CF544"/>
      <c r="CQ544"/>
      <c r="CR544"/>
      <c r="CS544"/>
      <c r="DQ544"/>
      <c r="DR544"/>
      <c r="DS544"/>
      <c r="DT544"/>
      <c r="DU544"/>
    </row>
    <row r="545" spans="1:125">
      <c r="A545"/>
      <c r="B545"/>
      <c r="C545"/>
      <c r="D545"/>
      <c r="E545"/>
      <c r="G545"/>
      <c r="K545"/>
      <c r="V545"/>
      <c r="AC545"/>
      <c r="AI545"/>
      <c r="AJ545"/>
      <c r="AK545"/>
      <c r="AL545"/>
      <c r="AM545"/>
      <c r="AP545"/>
      <c r="AQ545"/>
      <c r="AR545"/>
      <c r="AS545" s="180"/>
      <c r="AT545"/>
      <c r="AU545"/>
      <c r="AV545"/>
      <c r="AW545"/>
      <c r="AX545"/>
      <c r="AY545"/>
      <c r="AZ545"/>
      <c r="BA545"/>
      <c r="BB545"/>
      <c r="BC545"/>
      <c r="BD545"/>
      <c r="BE545"/>
      <c r="BJ545"/>
      <c r="BK545"/>
      <c r="BL545"/>
      <c r="BP545"/>
      <c r="BQ545"/>
      <c r="BR545"/>
      <c r="CD545"/>
      <c r="CE545"/>
      <c r="CF545"/>
      <c r="CQ545"/>
      <c r="CR545"/>
      <c r="CS545"/>
      <c r="DQ545"/>
      <c r="DR545"/>
      <c r="DS545"/>
      <c r="DT545"/>
      <c r="DU545"/>
    </row>
    <row r="546" spans="1:125">
      <c r="A546"/>
      <c r="B546"/>
      <c r="C546"/>
      <c r="D546"/>
      <c r="E546"/>
      <c r="G546"/>
      <c r="K546"/>
      <c r="V546"/>
      <c r="AC546"/>
      <c r="AI546"/>
      <c r="AJ546"/>
      <c r="AK546"/>
      <c r="AL546"/>
      <c r="AM546"/>
      <c r="AP546"/>
      <c r="AQ546"/>
      <c r="AR546"/>
      <c r="AS546" s="180"/>
      <c r="AT546"/>
      <c r="AU546"/>
      <c r="AV546"/>
      <c r="AW546"/>
      <c r="AX546"/>
      <c r="AY546"/>
      <c r="AZ546"/>
      <c r="BA546"/>
      <c r="BB546"/>
      <c r="BC546"/>
      <c r="BD546"/>
      <c r="BE546"/>
      <c r="BJ546"/>
      <c r="BK546"/>
      <c r="BL546"/>
      <c r="BP546"/>
      <c r="BQ546"/>
      <c r="BR546"/>
      <c r="CD546"/>
      <c r="CE546"/>
      <c r="CF546"/>
      <c r="CQ546"/>
      <c r="CR546"/>
      <c r="CS546"/>
      <c r="DQ546"/>
      <c r="DR546"/>
      <c r="DS546"/>
      <c r="DT546"/>
      <c r="DU546"/>
    </row>
    <row r="547" spans="1:125">
      <c r="A547"/>
      <c r="B547"/>
      <c r="C547"/>
      <c r="D547"/>
      <c r="E547"/>
      <c r="G547"/>
      <c r="K547"/>
      <c r="V547"/>
      <c r="AC547"/>
      <c r="AI547"/>
      <c r="AJ547"/>
      <c r="AK547"/>
      <c r="AL547"/>
      <c r="AM547"/>
      <c r="AP547"/>
      <c r="AQ547"/>
      <c r="AR547"/>
      <c r="AS547" s="180"/>
      <c r="AT547"/>
      <c r="AU547"/>
      <c r="AV547"/>
      <c r="AW547"/>
      <c r="AX547"/>
      <c r="AY547"/>
      <c r="AZ547"/>
      <c r="BA547"/>
      <c r="BB547"/>
      <c r="BC547"/>
      <c r="BD547"/>
      <c r="BE547"/>
      <c r="BJ547"/>
      <c r="BK547"/>
      <c r="BL547"/>
      <c r="BP547"/>
      <c r="BQ547"/>
      <c r="BR547"/>
      <c r="CD547"/>
      <c r="CE547"/>
      <c r="CF547"/>
      <c r="CQ547"/>
      <c r="CR547"/>
      <c r="CS547"/>
      <c r="DQ547"/>
      <c r="DR547"/>
      <c r="DS547"/>
      <c r="DT547"/>
      <c r="DU547"/>
    </row>
    <row r="548" spans="1:125">
      <c r="A548"/>
      <c r="B548"/>
      <c r="C548"/>
      <c r="D548"/>
      <c r="E548"/>
      <c r="G548"/>
      <c r="K548"/>
      <c r="V548"/>
      <c r="AC548"/>
      <c r="AI548"/>
      <c r="AJ548"/>
      <c r="AK548"/>
      <c r="AL548"/>
      <c r="AM548"/>
      <c r="AP548"/>
      <c r="AQ548"/>
      <c r="AR548"/>
      <c r="AS548" s="180"/>
      <c r="AT548"/>
      <c r="AU548"/>
      <c r="AV548"/>
      <c r="AW548"/>
      <c r="AX548"/>
      <c r="AY548"/>
      <c r="AZ548"/>
      <c r="BA548"/>
      <c r="BB548"/>
      <c r="BC548"/>
      <c r="BD548"/>
      <c r="BE548"/>
      <c r="BJ548"/>
      <c r="BK548"/>
      <c r="BL548"/>
      <c r="BP548"/>
      <c r="BQ548"/>
      <c r="BR548"/>
      <c r="CD548"/>
      <c r="CE548"/>
      <c r="CF548"/>
      <c r="CQ548"/>
      <c r="CR548"/>
      <c r="CS548"/>
      <c r="DQ548"/>
      <c r="DR548"/>
      <c r="DS548"/>
      <c r="DT548"/>
      <c r="DU548"/>
    </row>
    <row r="549" spans="1:125">
      <c r="A549"/>
      <c r="B549"/>
      <c r="C549"/>
      <c r="D549"/>
      <c r="E549"/>
      <c r="G549"/>
      <c r="K549"/>
      <c r="V549"/>
      <c r="AC549"/>
      <c r="AI549"/>
      <c r="AJ549"/>
      <c r="AK549"/>
      <c r="AL549"/>
      <c r="AM549"/>
      <c r="AP549"/>
      <c r="AQ549"/>
      <c r="AR549"/>
      <c r="AS549" s="180"/>
      <c r="AT549"/>
      <c r="AU549"/>
      <c r="AV549"/>
      <c r="AW549"/>
      <c r="AX549"/>
      <c r="AY549"/>
      <c r="AZ549"/>
      <c r="BA549"/>
      <c r="BB549"/>
      <c r="BC549"/>
      <c r="BD549"/>
      <c r="BE549"/>
      <c r="BJ549"/>
      <c r="BK549"/>
      <c r="BL549"/>
      <c r="BP549"/>
      <c r="BQ549"/>
      <c r="BR549"/>
      <c r="CD549"/>
      <c r="CE549"/>
      <c r="CF549"/>
      <c r="CQ549"/>
      <c r="CR549"/>
      <c r="CS549"/>
      <c r="DQ549"/>
      <c r="DR549"/>
      <c r="DS549"/>
      <c r="DT549"/>
      <c r="DU549"/>
    </row>
    <row r="550" spans="1:125">
      <c r="A550"/>
      <c r="B550"/>
      <c r="C550"/>
      <c r="D550"/>
      <c r="E550"/>
      <c r="G550"/>
      <c r="K550"/>
      <c r="V550"/>
      <c r="AC550"/>
      <c r="AI550"/>
      <c r="AJ550"/>
      <c r="AK550"/>
      <c r="AL550"/>
      <c r="AM550"/>
      <c r="AP550"/>
      <c r="AQ550"/>
      <c r="AR550"/>
      <c r="AS550" s="180"/>
      <c r="AT550"/>
      <c r="AU550"/>
      <c r="AV550"/>
      <c r="AW550"/>
      <c r="AX550"/>
      <c r="AY550"/>
      <c r="AZ550"/>
      <c r="BA550"/>
      <c r="BB550"/>
      <c r="BC550"/>
      <c r="BD550"/>
      <c r="BE550"/>
      <c r="BJ550"/>
      <c r="BK550"/>
      <c r="BL550"/>
      <c r="BP550"/>
      <c r="BQ550"/>
      <c r="BR550"/>
      <c r="CD550"/>
      <c r="CE550"/>
      <c r="CF550"/>
      <c r="CQ550"/>
      <c r="CR550"/>
      <c r="CS550"/>
      <c r="DQ550"/>
      <c r="DR550"/>
      <c r="DS550"/>
      <c r="DT550"/>
      <c r="DU550"/>
    </row>
    <row r="551" spans="1:125">
      <c r="A551"/>
      <c r="B551"/>
      <c r="C551"/>
      <c r="D551"/>
      <c r="E551"/>
      <c r="G551"/>
      <c r="K551"/>
      <c r="V551"/>
      <c r="AC551"/>
      <c r="AI551"/>
      <c r="AJ551"/>
      <c r="AK551"/>
      <c r="AL551"/>
      <c r="AM551"/>
      <c r="AP551"/>
      <c r="AQ551"/>
      <c r="AR551"/>
      <c r="AS551" s="180"/>
      <c r="AT551"/>
      <c r="AU551"/>
      <c r="AV551"/>
      <c r="AW551"/>
      <c r="AX551"/>
      <c r="AY551"/>
      <c r="AZ551"/>
      <c r="BA551"/>
      <c r="BB551"/>
      <c r="BC551"/>
      <c r="BD551"/>
      <c r="BE551"/>
      <c r="BJ551"/>
      <c r="BK551"/>
      <c r="BL551"/>
      <c r="BP551"/>
      <c r="BQ551"/>
      <c r="BR551"/>
      <c r="CD551"/>
      <c r="CE551"/>
      <c r="CF551"/>
      <c r="CQ551"/>
      <c r="CR551"/>
      <c r="CS551"/>
      <c r="DQ551"/>
      <c r="DR551"/>
      <c r="DS551"/>
      <c r="DT551"/>
      <c r="DU551"/>
    </row>
    <row r="552" spans="1:125">
      <c r="A552"/>
      <c r="B552"/>
      <c r="C552"/>
      <c r="D552"/>
      <c r="E552"/>
      <c r="G552"/>
      <c r="K552"/>
      <c r="V552"/>
      <c r="AC552"/>
      <c r="AI552"/>
      <c r="AJ552"/>
      <c r="AK552"/>
      <c r="AL552"/>
      <c r="AM552"/>
      <c r="AP552"/>
      <c r="AQ552"/>
      <c r="AR552"/>
      <c r="AS552" s="180"/>
      <c r="AT552"/>
      <c r="AU552"/>
      <c r="AV552"/>
      <c r="AW552"/>
      <c r="AX552"/>
      <c r="AY552"/>
      <c r="AZ552"/>
      <c r="BA552"/>
      <c r="BB552"/>
      <c r="BC552"/>
      <c r="BD552"/>
      <c r="BE552"/>
      <c r="BJ552"/>
      <c r="BK552"/>
      <c r="BL552"/>
      <c r="BP552"/>
      <c r="BQ552"/>
      <c r="BR552"/>
      <c r="CD552"/>
      <c r="CE552"/>
      <c r="CF552"/>
      <c r="CQ552"/>
      <c r="CR552"/>
      <c r="CS552"/>
      <c r="DQ552"/>
      <c r="DR552"/>
      <c r="DS552"/>
      <c r="DT552"/>
      <c r="DU552"/>
    </row>
    <row r="553" spans="1:125">
      <c r="A553"/>
      <c r="B553"/>
      <c r="C553"/>
      <c r="D553"/>
      <c r="E553"/>
      <c r="G553"/>
      <c r="K553"/>
      <c r="V553"/>
      <c r="AC553"/>
      <c r="AI553"/>
      <c r="AJ553"/>
      <c r="AK553"/>
      <c r="AL553"/>
      <c r="AM553"/>
      <c r="AP553"/>
      <c r="AQ553"/>
      <c r="AR553"/>
      <c r="AS553" s="180"/>
      <c r="AT553"/>
      <c r="AU553"/>
      <c r="AV553"/>
      <c r="AW553"/>
      <c r="AX553"/>
      <c r="AY553"/>
      <c r="AZ553"/>
      <c r="BA553"/>
      <c r="BB553"/>
      <c r="BC553"/>
      <c r="BD553"/>
      <c r="BE553"/>
      <c r="BJ553"/>
      <c r="BK553"/>
      <c r="BL553"/>
      <c r="BP553"/>
      <c r="BQ553"/>
      <c r="BR553"/>
      <c r="CD553"/>
      <c r="CE553"/>
      <c r="CF553"/>
      <c r="CQ553"/>
      <c r="CR553"/>
      <c r="CS553"/>
      <c r="DQ553"/>
      <c r="DR553"/>
      <c r="DS553"/>
      <c r="DT553"/>
      <c r="DU553"/>
    </row>
    <row r="554" spans="1:125">
      <c r="A554"/>
      <c r="B554"/>
      <c r="C554"/>
      <c r="D554"/>
      <c r="E554"/>
      <c r="G554"/>
      <c r="K554"/>
      <c r="V554"/>
      <c r="AC554"/>
      <c r="AI554"/>
      <c r="AJ554"/>
      <c r="AK554"/>
      <c r="AL554"/>
      <c r="AM554"/>
      <c r="AP554"/>
      <c r="AQ554"/>
      <c r="AR554"/>
      <c r="AS554" s="180"/>
      <c r="AT554"/>
      <c r="AU554"/>
      <c r="AV554"/>
      <c r="AW554"/>
      <c r="AX554"/>
      <c r="AY554"/>
      <c r="AZ554"/>
      <c r="BA554"/>
      <c r="BB554"/>
      <c r="BC554"/>
      <c r="BD554"/>
      <c r="BE554"/>
      <c r="BJ554"/>
      <c r="BK554"/>
      <c r="BL554"/>
      <c r="BP554"/>
      <c r="BQ554"/>
      <c r="BR554"/>
      <c r="CD554"/>
      <c r="CE554"/>
      <c r="CF554"/>
      <c r="CQ554"/>
      <c r="CR554"/>
      <c r="CS554"/>
      <c r="DQ554"/>
      <c r="DR554"/>
      <c r="DS554"/>
      <c r="DT554"/>
      <c r="DU554"/>
    </row>
    <row r="555" spans="1:125">
      <c r="A555"/>
      <c r="B555"/>
      <c r="C555"/>
      <c r="D555"/>
      <c r="E555"/>
      <c r="G555"/>
      <c r="K555"/>
      <c r="V555"/>
      <c r="AC555"/>
      <c r="AI555"/>
      <c r="AJ555"/>
      <c r="AK555"/>
      <c r="AL555"/>
      <c r="AM555"/>
      <c r="AP555"/>
      <c r="AQ555"/>
      <c r="AR555"/>
      <c r="AS555" s="180"/>
      <c r="AT555"/>
      <c r="AU555"/>
      <c r="AV555"/>
      <c r="AW555"/>
      <c r="AX555"/>
      <c r="AY555"/>
      <c r="AZ555"/>
      <c r="BA555"/>
      <c r="BB555"/>
      <c r="BC555"/>
      <c r="BD555"/>
      <c r="BE555"/>
      <c r="BJ555"/>
      <c r="BK555"/>
      <c r="BL555"/>
      <c r="BP555"/>
      <c r="BQ555"/>
      <c r="BR555"/>
      <c r="CD555"/>
      <c r="CE555"/>
      <c r="CF555"/>
      <c r="CQ555"/>
      <c r="CR555"/>
      <c r="CS555"/>
      <c r="DQ555"/>
      <c r="DR555"/>
      <c r="DS555"/>
      <c r="DT555"/>
      <c r="DU555"/>
    </row>
    <row r="556" spans="1:125">
      <c r="A556"/>
      <c r="B556"/>
      <c r="C556"/>
      <c r="D556"/>
      <c r="E556"/>
      <c r="G556"/>
      <c r="K556"/>
      <c r="V556"/>
      <c r="AC556"/>
      <c r="AI556"/>
      <c r="AJ556"/>
      <c r="AK556"/>
      <c r="AL556"/>
      <c r="AM556"/>
      <c r="AP556"/>
      <c r="AQ556"/>
      <c r="AR556"/>
      <c r="AS556" s="180"/>
      <c r="AT556"/>
      <c r="AU556"/>
      <c r="AV556"/>
      <c r="AW556"/>
      <c r="AX556"/>
      <c r="AY556"/>
      <c r="AZ556"/>
      <c r="BA556"/>
      <c r="BB556"/>
      <c r="BC556"/>
      <c r="BD556"/>
      <c r="BE556"/>
      <c r="BJ556"/>
      <c r="BK556"/>
      <c r="BL556"/>
      <c r="BP556"/>
      <c r="BQ556"/>
      <c r="BR556"/>
      <c r="CD556"/>
      <c r="CE556"/>
      <c r="CF556"/>
      <c r="CQ556"/>
      <c r="CR556"/>
      <c r="CS556"/>
      <c r="DQ556"/>
      <c r="DR556"/>
      <c r="DS556"/>
      <c r="DT556"/>
      <c r="DU556"/>
    </row>
    <row r="557" spans="1:125">
      <c r="A557"/>
      <c r="B557"/>
      <c r="C557"/>
      <c r="D557"/>
      <c r="E557"/>
      <c r="G557"/>
      <c r="K557"/>
      <c r="V557"/>
      <c r="AC557"/>
      <c r="AI557"/>
      <c r="AJ557"/>
      <c r="AK557"/>
      <c r="AL557"/>
      <c r="AM557"/>
      <c r="AP557"/>
      <c r="AQ557"/>
      <c r="AR557"/>
      <c r="AS557" s="180"/>
      <c r="AT557"/>
      <c r="AU557"/>
      <c r="AV557"/>
      <c r="AW557"/>
      <c r="AX557"/>
      <c r="AY557"/>
      <c r="AZ557"/>
      <c r="BA557"/>
      <c r="BB557"/>
      <c r="BC557"/>
      <c r="BD557"/>
      <c r="BE557"/>
      <c r="BJ557"/>
      <c r="BK557"/>
      <c r="BL557"/>
      <c r="BP557"/>
      <c r="BQ557"/>
      <c r="BR557"/>
      <c r="CD557"/>
      <c r="CE557"/>
      <c r="CF557"/>
      <c r="CQ557"/>
      <c r="CR557"/>
      <c r="CS557"/>
      <c r="DQ557"/>
      <c r="DR557"/>
      <c r="DS557"/>
      <c r="DT557"/>
      <c r="DU557"/>
    </row>
    <row r="558" spans="1:125">
      <c r="A558"/>
      <c r="B558"/>
      <c r="C558"/>
      <c r="D558"/>
      <c r="E558"/>
      <c r="G558"/>
      <c r="K558"/>
      <c r="V558"/>
      <c r="AC558"/>
      <c r="AI558"/>
      <c r="AJ558"/>
      <c r="AK558"/>
      <c r="AL558"/>
      <c r="AM558"/>
      <c r="AP558"/>
      <c r="AQ558"/>
      <c r="AR558"/>
      <c r="AS558" s="180"/>
      <c r="AT558"/>
      <c r="AU558"/>
      <c r="AV558"/>
      <c r="AW558"/>
      <c r="AX558"/>
      <c r="AY558"/>
      <c r="AZ558"/>
      <c r="BA558"/>
      <c r="BB558"/>
      <c r="BC558"/>
      <c r="BD558"/>
      <c r="BE558"/>
      <c r="BJ558"/>
      <c r="BK558"/>
      <c r="BL558"/>
      <c r="BP558"/>
      <c r="BQ558"/>
      <c r="BR558"/>
      <c r="CD558"/>
      <c r="CE558"/>
      <c r="CF558"/>
      <c r="CQ558"/>
      <c r="CR558"/>
      <c r="CS558"/>
      <c r="DQ558"/>
      <c r="DR558"/>
      <c r="DS558"/>
      <c r="DT558"/>
      <c r="DU558"/>
    </row>
    <row r="559" spans="1:125">
      <c r="A559"/>
      <c r="B559"/>
      <c r="C559"/>
      <c r="D559"/>
      <c r="E559"/>
      <c r="G559"/>
      <c r="K559"/>
      <c r="V559"/>
      <c r="AC559"/>
      <c r="AI559"/>
      <c r="AJ559"/>
      <c r="AK559"/>
      <c r="AL559"/>
      <c r="AM559"/>
      <c r="AP559"/>
      <c r="AQ559"/>
      <c r="AR559"/>
      <c r="AS559" s="180"/>
      <c r="AT559"/>
      <c r="AU559"/>
      <c r="AV559"/>
      <c r="AW559"/>
      <c r="AX559"/>
      <c r="AY559"/>
      <c r="AZ559"/>
      <c r="BA559"/>
      <c r="BB559"/>
      <c r="BC559"/>
      <c r="BD559"/>
      <c r="BE559"/>
      <c r="BJ559"/>
      <c r="BK559"/>
      <c r="BL559"/>
      <c r="BP559"/>
      <c r="BQ559"/>
      <c r="BR559"/>
      <c r="CD559"/>
      <c r="CE559"/>
      <c r="CF559"/>
      <c r="CQ559"/>
      <c r="CR559"/>
      <c r="CS559"/>
      <c r="DQ559"/>
      <c r="DR559"/>
      <c r="DS559"/>
      <c r="DT559"/>
      <c r="DU559"/>
    </row>
    <row r="560" spans="1:125">
      <c r="A560"/>
      <c r="B560"/>
      <c r="C560"/>
      <c r="D560"/>
      <c r="E560"/>
      <c r="G560"/>
      <c r="K560"/>
      <c r="V560"/>
      <c r="AC560"/>
      <c r="AI560"/>
      <c r="AJ560"/>
      <c r="AK560"/>
      <c r="AL560"/>
      <c r="AM560"/>
      <c r="AP560"/>
      <c r="AQ560"/>
      <c r="AR560"/>
      <c r="AS560" s="180"/>
      <c r="AT560"/>
      <c r="AU560"/>
      <c r="AV560"/>
      <c r="AW560"/>
      <c r="AX560"/>
      <c r="AY560"/>
      <c r="AZ560"/>
      <c r="BA560"/>
      <c r="BB560"/>
      <c r="BC560"/>
      <c r="BD560"/>
      <c r="BE560"/>
      <c r="BJ560"/>
      <c r="BK560"/>
      <c r="BL560"/>
      <c r="BP560"/>
      <c r="BQ560"/>
      <c r="BR560"/>
      <c r="CD560"/>
      <c r="CE560"/>
      <c r="CF560"/>
      <c r="CQ560"/>
      <c r="CR560"/>
      <c r="CS560"/>
      <c r="DQ560"/>
      <c r="DR560"/>
      <c r="DS560"/>
      <c r="DT560"/>
      <c r="DU560"/>
    </row>
    <row r="561" spans="1:125">
      <c r="A561"/>
      <c r="B561"/>
      <c r="C561"/>
      <c r="D561"/>
      <c r="E561"/>
      <c r="G561"/>
      <c r="K561"/>
      <c r="V561"/>
      <c r="AC561"/>
      <c r="AI561"/>
      <c r="AJ561"/>
      <c r="AK561"/>
      <c r="AL561"/>
      <c r="AM561"/>
      <c r="AP561"/>
      <c r="AQ561"/>
      <c r="AR561"/>
      <c r="AS561" s="180"/>
      <c r="AT561"/>
      <c r="AU561"/>
      <c r="AV561"/>
      <c r="AW561"/>
      <c r="AX561"/>
      <c r="AY561"/>
      <c r="AZ561"/>
      <c r="BA561"/>
      <c r="BB561"/>
      <c r="BC561"/>
      <c r="BD561"/>
      <c r="BE561"/>
      <c r="BJ561"/>
      <c r="BK561"/>
      <c r="BL561"/>
      <c r="BP561"/>
      <c r="BQ561"/>
      <c r="BR561"/>
      <c r="CD561"/>
      <c r="CE561"/>
      <c r="CF561"/>
      <c r="CQ561"/>
      <c r="CR561"/>
      <c r="CS561"/>
      <c r="DQ561"/>
      <c r="DR561"/>
      <c r="DS561"/>
      <c r="DT561"/>
      <c r="DU561"/>
    </row>
    <row r="562" spans="1:125">
      <c r="A562"/>
      <c r="B562"/>
      <c r="C562"/>
      <c r="D562"/>
      <c r="E562"/>
      <c r="G562"/>
      <c r="K562"/>
      <c r="V562"/>
      <c r="AC562"/>
      <c r="AI562"/>
      <c r="AJ562"/>
      <c r="AK562"/>
      <c r="AL562"/>
      <c r="AM562"/>
      <c r="AP562"/>
      <c r="AQ562"/>
      <c r="AR562"/>
      <c r="AS562" s="180"/>
      <c r="AT562"/>
      <c r="AU562"/>
      <c r="AV562"/>
      <c r="AW562"/>
      <c r="AX562"/>
      <c r="AY562"/>
      <c r="AZ562"/>
      <c r="BA562"/>
      <c r="BB562"/>
      <c r="BC562"/>
      <c r="BD562"/>
      <c r="BE562"/>
      <c r="BJ562"/>
      <c r="BK562"/>
      <c r="BL562"/>
      <c r="BP562"/>
      <c r="BQ562"/>
      <c r="BR562"/>
      <c r="CD562"/>
      <c r="CE562"/>
      <c r="CF562"/>
      <c r="CQ562"/>
      <c r="CR562"/>
      <c r="CS562"/>
      <c r="DQ562"/>
      <c r="DR562"/>
      <c r="DS562"/>
      <c r="DT562"/>
      <c r="DU562"/>
    </row>
    <row r="563" spans="1:125">
      <c r="A563"/>
      <c r="B563"/>
      <c r="C563"/>
      <c r="D563"/>
      <c r="E563"/>
      <c r="G563"/>
      <c r="K563"/>
      <c r="V563"/>
      <c r="AC563"/>
      <c r="AI563"/>
      <c r="AJ563"/>
      <c r="AK563"/>
      <c r="AL563"/>
      <c r="AM563"/>
      <c r="AP563"/>
      <c r="AQ563"/>
      <c r="AR563"/>
      <c r="AS563" s="180"/>
      <c r="AT563"/>
      <c r="AU563"/>
      <c r="AV563"/>
      <c r="AW563"/>
      <c r="AX563"/>
      <c r="AY563"/>
      <c r="AZ563"/>
      <c r="BA563"/>
      <c r="BB563"/>
      <c r="BC563"/>
      <c r="BD563"/>
      <c r="BE563"/>
      <c r="BJ563"/>
      <c r="BK563"/>
      <c r="BL563"/>
      <c r="BP563"/>
      <c r="BQ563"/>
      <c r="BR563"/>
      <c r="CD563"/>
      <c r="CE563"/>
      <c r="CF563"/>
      <c r="CQ563"/>
      <c r="CR563"/>
      <c r="CS563"/>
      <c r="DQ563"/>
      <c r="DR563"/>
      <c r="DS563"/>
      <c r="DT563"/>
      <c r="DU563"/>
    </row>
    <row r="564" spans="1:125">
      <c r="A564"/>
      <c r="B564"/>
      <c r="C564"/>
      <c r="D564"/>
      <c r="E564"/>
      <c r="G564"/>
      <c r="K564"/>
      <c r="V564"/>
      <c r="AC564"/>
      <c r="AI564"/>
      <c r="AJ564"/>
      <c r="AK564"/>
      <c r="AL564"/>
      <c r="AM564"/>
      <c r="AP564"/>
      <c r="AQ564"/>
      <c r="AR564"/>
      <c r="AS564" s="180"/>
      <c r="AT564"/>
      <c r="AU564"/>
      <c r="AV564"/>
      <c r="AW564"/>
      <c r="AX564"/>
      <c r="AY564"/>
      <c r="AZ564"/>
      <c r="BA564"/>
      <c r="BB564"/>
      <c r="BC564"/>
      <c r="BD564"/>
      <c r="BE564"/>
      <c r="BJ564"/>
      <c r="BK564"/>
      <c r="BL564"/>
      <c r="BP564"/>
      <c r="BQ564"/>
      <c r="BR564"/>
      <c r="CD564"/>
      <c r="CE564"/>
      <c r="CF564"/>
      <c r="CQ564"/>
      <c r="CR564"/>
      <c r="CS564"/>
      <c r="DQ564"/>
      <c r="DR564"/>
      <c r="DS564"/>
      <c r="DT564"/>
      <c r="DU564"/>
    </row>
    <row r="565" spans="1:125">
      <c r="A565"/>
      <c r="B565"/>
      <c r="C565"/>
      <c r="D565"/>
      <c r="E565"/>
      <c r="G565"/>
      <c r="K565"/>
      <c r="V565"/>
      <c r="AC565"/>
      <c r="AI565"/>
      <c r="AJ565"/>
      <c r="AK565"/>
      <c r="AL565"/>
      <c r="AM565"/>
      <c r="AP565"/>
      <c r="AQ565"/>
      <c r="AR565"/>
      <c r="AS565" s="180"/>
      <c r="AT565"/>
      <c r="AU565"/>
      <c r="AV565"/>
      <c r="AW565"/>
      <c r="AX565"/>
      <c r="AY565"/>
      <c r="AZ565"/>
      <c r="BA565"/>
      <c r="BB565"/>
      <c r="BC565"/>
      <c r="BD565"/>
      <c r="BE565"/>
      <c r="BJ565"/>
      <c r="BK565"/>
      <c r="BL565"/>
      <c r="BP565"/>
      <c r="BQ565"/>
      <c r="BR565"/>
      <c r="CD565"/>
      <c r="CE565"/>
      <c r="CF565"/>
      <c r="CQ565"/>
      <c r="CR565"/>
      <c r="CS565"/>
      <c r="DQ565"/>
      <c r="DR565"/>
      <c r="DS565"/>
      <c r="DT565"/>
      <c r="DU565"/>
    </row>
    <row r="566" spans="1:125">
      <c r="A566"/>
      <c r="B566"/>
      <c r="C566"/>
      <c r="D566"/>
      <c r="E566"/>
      <c r="G566"/>
      <c r="K566"/>
      <c r="V566"/>
      <c r="AC566"/>
      <c r="AI566"/>
      <c r="AJ566"/>
      <c r="AK566"/>
      <c r="AL566"/>
      <c r="AM566"/>
      <c r="AP566"/>
      <c r="AQ566"/>
      <c r="AR566"/>
      <c r="AS566" s="180"/>
      <c r="AT566"/>
      <c r="AU566"/>
      <c r="AV566"/>
      <c r="AW566"/>
      <c r="AX566"/>
      <c r="AY566"/>
      <c r="AZ566"/>
      <c r="BA566"/>
      <c r="BB566"/>
      <c r="BC566"/>
      <c r="BD566"/>
      <c r="BE566"/>
      <c r="BJ566"/>
      <c r="BK566"/>
      <c r="BL566"/>
      <c r="BP566"/>
      <c r="BQ566"/>
      <c r="BR566"/>
      <c r="CD566"/>
      <c r="CE566"/>
      <c r="CF566"/>
      <c r="CQ566"/>
      <c r="CR566"/>
      <c r="CS566"/>
      <c r="DQ566"/>
      <c r="DR566"/>
      <c r="DS566"/>
      <c r="DT566"/>
      <c r="DU566"/>
    </row>
    <row r="567" spans="1:125">
      <c r="A567"/>
      <c r="B567"/>
      <c r="C567"/>
      <c r="D567"/>
      <c r="E567"/>
      <c r="G567"/>
      <c r="K567"/>
      <c r="V567"/>
      <c r="AC567"/>
      <c r="AI567"/>
      <c r="AJ567"/>
      <c r="AK567"/>
      <c r="AL567"/>
      <c r="AM567"/>
      <c r="AP567"/>
      <c r="AQ567"/>
      <c r="AR567"/>
      <c r="AS567" s="180"/>
      <c r="AT567"/>
      <c r="AU567"/>
      <c r="AV567"/>
      <c r="AW567"/>
      <c r="AX567"/>
      <c r="AY567"/>
      <c r="AZ567"/>
      <c r="BA567"/>
      <c r="BB567"/>
      <c r="BC567"/>
      <c r="BD567"/>
      <c r="BE567"/>
      <c r="BJ567"/>
      <c r="BK567"/>
      <c r="BL567"/>
      <c r="BP567"/>
      <c r="BQ567"/>
      <c r="BR567"/>
      <c r="CD567"/>
      <c r="CE567"/>
      <c r="CF567"/>
      <c r="CQ567"/>
      <c r="CR567"/>
      <c r="CS567"/>
      <c r="DQ567"/>
      <c r="DR567"/>
      <c r="DS567"/>
      <c r="DT567"/>
      <c r="DU567"/>
    </row>
    <row r="568" spans="1:125">
      <c r="A568"/>
      <c r="B568"/>
      <c r="C568"/>
      <c r="D568"/>
      <c r="E568"/>
      <c r="G568"/>
      <c r="K568"/>
      <c r="V568"/>
      <c r="AC568"/>
      <c r="AI568"/>
      <c r="AJ568"/>
      <c r="AK568"/>
      <c r="AL568"/>
      <c r="AM568"/>
      <c r="AP568"/>
      <c r="AQ568"/>
      <c r="AR568"/>
      <c r="AS568" s="180"/>
      <c r="AT568"/>
      <c r="AU568"/>
      <c r="AV568"/>
      <c r="AW568"/>
      <c r="AX568"/>
      <c r="AY568"/>
      <c r="AZ568"/>
      <c r="BA568"/>
      <c r="BB568"/>
      <c r="BC568"/>
      <c r="BD568"/>
      <c r="BE568"/>
      <c r="BJ568"/>
      <c r="BK568"/>
      <c r="BL568"/>
      <c r="BP568"/>
      <c r="BQ568"/>
      <c r="BR568"/>
      <c r="CD568"/>
      <c r="CE568"/>
      <c r="CF568"/>
      <c r="CQ568"/>
      <c r="CR568"/>
      <c r="CS568"/>
      <c r="DQ568"/>
      <c r="DR568"/>
      <c r="DS568"/>
      <c r="DT568"/>
      <c r="DU568"/>
    </row>
    <row r="569" spans="1:125">
      <c r="A569"/>
      <c r="B569"/>
      <c r="C569"/>
      <c r="D569"/>
      <c r="E569"/>
      <c r="G569"/>
      <c r="K569"/>
      <c r="V569"/>
      <c r="AC569"/>
      <c r="AI569"/>
      <c r="AJ569"/>
      <c r="AK569"/>
      <c r="AL569"/>
      <c r="AM569"/>
      <c r="AP569"/>
      <c r="AQ569"/>
      <c r="AR569"/>
      <c r="AS569" s="180"/>
      <c r="AT569"/>
      <c r="AU569"/>
      <c r="AV569"/>
      <c r="AW569"/>
      <c r="AX569"/>
      <c r="AY569"/>
      <c r="AZ569"/>
      <c r="BA569"/>
      <c r="BB569"/>
      <c r="BC569"/>
      <c r="BD569"/>
      <c r="BE569"/>
      <c r="BJ569"/>
      <c r="BK569"/>
      <c r="BL569"/>
      <c r="BP569"/>
      <c r="BQ569"/>
      <c r="BR569"/>
      <c r="CD569"/>
      <c r="CE569"/>
      <c r="CF569"/>
      <c r="CQ569"/>
      <c r="CR569"/>
      <c r="CS569"/>
      <c r="DQ569"/>
      <c r="DR569"/>
      <c r="DS569"/>
      <c r="DT569"/>
      <c r="DU569"/>
    </row>
    <row r="570" spans="1:125">
      <c r="A570"/>
      <c r="B570"/>
      <c r="C570"/>
      <c r="D570"/>
      <c r="E570"/>
      <c r="G570"/>
      <c r="K570"/>
      <c r="V570"/>
      <c r="AC570"/>
      <c r="AI570"/>
      <c r="AJ570"/>
      <c r="AK570"/>
      <c r="AL570"/>
      <c r="AM570"/>
      <c r="AP570"/>
      <c r="AQ570"/>
      <c r="AR570"/>
      <c r="AS570" s="180"/>
      <c r="AT570"/>
      <c r="AU570"/>
      <c r="AV570"/>
      <c r="AW570"/>
      <c r="AX570"/>
      <c r="AY570"/>
      <c r="AZ570"/>
      <c r="BA570"/>
      <c r="BB570"/>
      <c r="BC570"/>
      <c r="BD570"/>
      <c r="BE570"/>
      <c r="BJ570"/>
      <c r="BK570"/>
      <c r="BL570"/>
      <c r="BP570"/>
      <c r="BQ570"/>
      <c r="BR570"/>
      <c r="CD570"/>
      <c r="CE570"/>
      <c r="CF570"/>
      <c r="CQ570"/>
      <c r="CR570"/>
      <c r="CS570"/>
      <c r="DQ570"/>
      <c r="DR570"/>
      <c r="DS570"/>
      <c r="DT570"/>
      <c r="DU570"/>
    </row>
    <row r="571" spans="1:125">
      <c r="A571"/>
      <c r="B571"/>
      <c r="C571"/>
      <c r="D571"/>
      <c r="E571"/>
      <c r="G571"/>
      <c r="K571"/>
      <c r="V571"/>
      <c r="AC571"/>
      <c r="AI571"/>
      <c r="AJ571"/>
      <c r="AK571"/>
      <c r="AL571"/>
      <c r="AM571"/>
      <c r="AP571"/>
      <c r="AQ571"/>
      <c r="AR571"/>
      <c r="AS571" s="180"/>
      <c r="AT571"/>
      <c r="AU571"/>
      <c r="AV571"/>
      <c r="AW571"/>
      <c r="AX571"/>
      <c r="AY571"/>
      <c r="AZ571"/>
      <c r="BA571"/>
      <c r="BB571"/>
      <c r="BC571"/>
      <c r="BD571"/>
      <c r="BE571"/>
      <c r="BJ571"/>
      <c r="BK571"/>
      <c r="BL571"/>
      <c r="BP571"/>
      <c r="BQ571"/>
      <c r="BR571"/>
      <c r="CD571"/>
      <c r="CE571"/>
      <c r="CF571"/>
      <c r="CQ571"/>
      <c r="CR571"/>
      <c r="CS571"/>
      <c r="DQ571"/>
      <c r="DR571"/>
      <c r="DS571"/>
      <c r="DT571"/>
      <c r="DU571"/>
    </row>
    <row r="572" spans="1:125">
      <c r="A572"/>
      <c r="B572"/>
      <c r="C572"/>
      <c r="D572"/>
      <c r="E572"/>
      <c r="G572"/>
      <c r="K572"/>
      <c r="V572"/>
      <c r="AC572"/>
      <c r="AI572"/>
      <c r="AJ572"/>
      <c r="AK572"/>
      <c r="AL572"/>
      <c r="AM572"/>
      <c r="AP572"/>
      <c r="AQ572"/>
      <c r="AR572"/>
      <c r="AS572" s="180"/>
      <c r="AT572"/>
      <c r="AU572"/>
      <c r="AV572"/>
      <c r="AW572"/>
      <c r="AX572"/>
      <c r="AY572"/>
      <c r="AZ572"/>
      <c r="BA572"/>
      <c r="BB572"/>
      <c r="BC572"/>
      <c r="BD572"/>
      <c r="BE572"/>
      <c r="BJ572"/>
      <c r="BK572"/>
      <c r="BL572"/>
      <c r="BP572"/>
      <c r="BQ572"/>
      <c r="BR572"/>
      <c r="CD572"/>
      <c r="CE572"/>
      <c r="CF572"/>
      <c r="CQ572"/>
      <c r="CR572"/>
      <c r="CS572"/>
      <c r="DQ572"/>
      <c r="DR572"/>
      <c r="DS572"/>
      <c r="DT572"/>
      <c r="DU572"/>
    </row>
    <row r="573" spans="1:125">
      <c r="A573"/>
      <c r="B573"/>
      <c r="C573"/>
      <c r="D573"/>
      <c r="E573"/>
      <c r="G573"/>
      <c r="K573"/>
      <c r="V573"/>
      <c r="AC573"/>
      <c r="AI573"/>
      <c r="AJ573"/>
      <c r="AK573"/>
      <c r="AL573"/>
      <c r="AM573"/>
      <c r="AP573"/>
      <c r="AQ573"/>
      <c r="AR573"/>
      <c r="AS573" s="180"/>
      <c r="AT573"/>
      <c r="AU573"/>
      <c r="AV573"/>
      <c r="AW573"/>
      <c r="AX573"/>
      <c r="AY573"/>
      <c r="AZ573"/>
      <c r="BA573"/>
      <c r="BB573"/>
      <c r="BC573"/>
      <c r="BD573"/>
      <c r="BE573"/>
      <c r="BJ573"/>
      <c r="BK573"/>
      <c r="BL573"/>
      <c r="BP573"/>
      <c r="BQ573"/>
      <c r="BR573"/>
      <c r="CD573"/>
      <c r="CE573"/>
      <c r="CF573"/>
      <c r="CQ573"/>
      <c r="CR573"/>
      <c r="CS573"/>
      <c r="DQ573"/>
      <c r="DR573"/>
      <c r="DS573"/>
      <c r="DT573"/>
      <c r="DU573"/>
    </row>
    <row r="574" spans="1:125">
      <c r="A574"/>
      <c r="B574"/>
      <c r="C574"/>
      <c r="D574"/>
      <c r="E574"/>
      <c r="G574"/>
      <c r="K574"/>
      <c r="V574"/>
      <c r="AC574"/>
      <c r="AI574"/>
      <c r="AJ574"/>
      <c r="AK574"/>
      <c r="AL574"/>
      <c r="AM574"/>
      <c r="AP574"/>
      <c r="AQ574"/>
      <c r="AR574"/>
      <c r="AS574" s="180"/>
      <c r="AT574"/>
      <c r="AU574"/>
      <c r="AV574"/>
      <c r="AW574"/>
      <c r="AX574"/>
      <c r="AY574"/>
      <c r="AZ574"/>
      <c r="BA574"/>
      <c r="BB574"/>
      <c r="BC574"/>
      <c r="BD574"/>
      <c r="BE574"/>
      <c r="BJ574"/>
      <c r="BK574"/>
      <c r="BL574"/>
      <c r="BP574"/>
      <c r="BQ574"/>
      <c r="BR574"/>
      <c r="CD574"/>
      <c r="CE574"/>
      <c r="CF574"/>
      <c r="CQ574"/>
      <c r="CR574"/>
      <c r="CS574"/>
      <c r="DQ574"/>
      <c r="DR574"/>
      <c r="DS574"/>
      <c r="DT574"/>
      <c r="DU574"/>
    </row>
    <row r="575" spans="1:125">
      <c r="A575"/>
      <c r="B575"/>
      <c r="C575"/>
      <c r="D575"/>
      <c r="E575"/>
      <c r="G575"/>
      <c r="K575"/>
      <c r="V575"/>
      <c r="AC575"/>
      <c r="AI575"/>
      <c r="AJ575"/>
      <c r="AK575"/>
      <c r="AL575"/>
      <c r="AM575"/>
      <c r="AP575"/>
      <c r="AQ575"/>
      <c r="AR575"/>
      <c r="AS575" s="180"/>
      <c r="AT575"/>
      <c r="AU575"/>
      <c r="AV575"/>
      <c r="AW575"/>
      <c r="AX575"/>
      <c r="AY575"/>
      <c r="AZ575"/>
      <c r="BA575"/>
      <c r="BB575"/>
      <c r="BC575"/>
      <c r="BD575"/>
      <c r="BE575"/>
      <c r="BJ575"/>
      <c r="BK575"/>
      <c r="BL575"/>
      <c r="BP575"/>
      <c r="BQ575"/>
      <c r="BR575"/>
      <c r="CD575"/>
      <c r="CE575"/>
      <c r="CF575"/>
      <c r="CQ575"/>
      <c r="CR575"/>
      <c r="CS575"/>
      <c r="DQ575"/>
      <c r="DR575"/>
      <c r="DS575"/>
      <c r="DT575"/>
      <c r="DU575"/>
    </row>
    <row r="576" spans="1:125">
      <c r="A576"/>
      <c r="B576"/>
      <c r="C576"/>
      <c r="D576"/>
      <c r="E576"/>
      <c r="G576"/>
      <c r="K576"/>
      <c r="V576"/>
      <c r="AC576"/>
      <c r="AI576"/>
      <c r="AJ576"/>
      <c r="AK576"/>
      <c r="AL576"/>
      <c r="AM576"/>
      <c r="AP576"/>
      <c r="AQ576"/>
      <c r="AR576"/>
      <c r="AS576" s="180"/>
      <c r="AT576"/>
      <c r="AU576"/>
      <c r="AV576"/>
      <c r="AW576"/>
      <c r="AX576"/>
      <c r="AY576"/>
      <c r="AZ576"/>
      <c r="BA576"/>
      <c r="BB576"/>
      <c r="BC576"/>
      <c r="BD576"/>
      <c r="BE576"/>
      <c r="BJ576"/>
      <c r="BK576"/>
      <c r="BL576"/>
      <c r="BP576"/>
      <c r="BQ576"/>
      <c r="BR576"/>
      <c r="CD576"/>
      <c r="CE576"/>
      <c r="CF576"/>
      <c r="CQ576"/>
      <c r="CR576"/>
      <c r="CS576"/>
      <c r="DQ576"/>
      <c r="DR576"/>
      <c r="DS576"/>
      <c r="DT576"/>
      <c r="DU576"/>
    </row>
    <row r="577" spans="1:125">
      <c r="A577"/>
      <c r="B577"/>
      <c r="C577"/>
      <c r="D577"/>
      <c r="E577"/>
      <c r="G577"/>
      <c r="K577"/>
      <c r="V577"/>
      <c r="AC577"/>
      <c r="AI577"/>
      <c r="AJ577"/>
      <c r="AK577"/>
      <c r="AL577"/>
      <c r="AM577"/>
      <c r="AP577"/>
      <c r="AQ577"/>
      <c r="AR577"/>
      <c r="AS577" s="180"/>
      <c r="AT577"/>
      <c r="AU577"/>
      <c r="AV577"/>
      <c r="AW577"/>
      <c r="AX577"/>
      <c r="AY577"/>
      <c r="AZ577"/>
      <c r="BA577"/>
      <c r="BB577"/>
      <c r="BC577"/>
      <c r="BD577"/>
      <c r="BE577"/>
      <c r="BJ577"/>
      <c r="BK577"/>
      <c r="BL577"/>
      <c r="BP577"/>
      <c r="BQ577"/>
      <c r="BR577"/>
      <c r="CD577"/>
      <c r="CE577"/>
      <c r="CF577"/>
      <c r="CQ577"/>
      <c r="CR577"/>
      <c r="CS577"/>
      <c r="DQ577"/>
      <c r="DR577"/>
      <c r="DS577"/>
      <c r="DT577"/>
      <c r="DU577"/>
    </row>
    <row r="578" spans="1:125">
      <c r="A578"/>
      <c r="B578"/>
      <c r="C578"/>
      <c r="D578"/>
      <c r="E578"/>
      <c r="G578"/>
      <c r="K578"/>
      <c r="V578"/>
      <c r="AC578"/>
      <c r="AI578"/>
      <c r="AJ578"/>
      <c r="AK578"/>
      <c r="AL578"/>
      <c r="AM578"/>
      <c r="AP578"/>
      <c r="AQ578"/>
      <c r="AR578"/>
      <c r="AS578" s="180"/>
      <c r="AT578"/>
      <c r="AU578"/>
      <c r="AV578"/>
      <c r="AW578"/>
      <c r="AX578"/>
      <c r="AY578"/>
      <c r="AZ578"/>
      <c r="BA578"/>
      <c r="BB578"/>
      <c r="BC578"/>
      <c r="BD578"/>
      <c r="BE578"/>
      <c r="BJ578"/>
      <c r="BK578"/>
      <c r="BL578"/>
      <c r="BP578"/>
      <c r="BQ578"/>
      <c r="BR578"/>
      <c r="CD578"/>
      <c r="CE578"/>
      <c r="CF578"/>
      <c r="CQ578"/>
      <c r="CR578"/>
      <c r="CS578"/>
      <c r="DQ578"/>
      <c r="DR578"/>
      <c r="DS578"/>
      <c r="DT578"/>
      <c r="DU578"/>
    </row>
    <row r="579" spans="1:125">
      <c r="A579"/>
      <c r="B579"/>
      <c r="C579"/>
      <c r="D579"/>
      <c r="E579"/>
      <c r="G579"/>
      <c r="K579"/>
      <c r="V579"/>
      <c r="AC579"/>
      <c r="AI579"/>
      <c r="AJ579"/>
      <c r="AK579"/>
      <c r="AL579"/>
      <c r="AM579"/>
      <c r="AP579"/>
      <c r="AQ579"/>
      <c r="AR579"/>
      <c r="AS579" s="180"/>
      <c r="AT579"/>
      <c r="AU579"/>
      <c r="AV579"/>
      <c r="AW579"/>
      <c r="AX579"/>
      <c r="AY579"/>
      <c r="AZ579"/>
      <c r="BA579"/>
      <c r="BB579"/>
      <c r="BC579"/>
      <c r="BD579"/>
      <c r="BE579"/>
      <c r="BJ579"/>
      <c r="BK579"/>
      <c r="BL579"/>
      <c r="BP579"/>
      <c r="BQ579"/>
      <c r="BR579"/>
      <c r="CD579"/>
      <c r="CE579"/>
      <c r="CF579"/>
      <c r="CQ579"/>
      <c r="CR579"/>
      <c r="CS579"/>
      <c r="DQ579"/>
      <c r="DR579"/>
      <c r="DS579"/>
      <c r="DT579"/>
      <c r="DU579"/>
    </row>
    <row r="580" spans="1:125">
      <c r="A580"/>
      <c r="B580"/>
      <c r="C580"/>
      <c r="D580"/>
      <c r="E580"/>
      <c r="G580"/>
      <c r="K580"/>
      <c r="V580"/>
      <c r="AC580"/>
      <c r="AI580"/>
      <c r="AJ580"/>
      <c r="AK580"/>
      <c r="AL580"/>
      <c r="AM580"/>
      <c r="AP580"/>
      <c r="AQ580"/>
      <c r="AR580"/>
      <c r="AS580" s="180"/>
      <c r="AT580"/>
      <c r="AU580"/>
      <c r="AV580"/>
      <c r="AW580"/>
      <c r="AX580"/>
      <c r="AY580"/>
      <c r="AZ580"/>
      <c r="BA580"/>
      <c r="BB580"/>
      <c r="BC580"/>
      <c r="BD580"/>
      <c r="BE580"/>
      <c r="BJ580"/>
      <c r="BK580"/>
      <c r="BL580"/>
      <c r="BP580"/>
      <c r="BQ580"/>
      <c r="BR580"/>
      <c r="CD580"/>
      <c r="CE580"/>
      <c r="CF580"/>
      <c r="CQ580"/>
      <c r="CR580"/>
      <c r="CS580"/>
      <c r="DQ580"/>
      <c r="DR580"/>
      <c r="DS580"/>
      <c r="DT580"/>
      <c r="DU580"/>
    </row>
    <row r="581" spans="1:125">
      <c r="A581"/>
      <c r="B581"/>
      <c r="C581"/>
      <c r="D581"/>
      <c r="E581"/>
      <c r="G581"/>
      <c r="K581"/>
      <c r="V581"/>
      <c r="AC581"/>
      <c r="AI581"/>
      <c r="AJ581"/>
      <c r="AK581"/>
      <c r="AL581"/>
      <c r="AM581"/>
      <c r="AP581"/>
      <c r="AQ581"/>
      <c r="AR581"/>
      <c r="AS581" s="180"/>
      <c r="AT581"/>
      <c r="AU581"/>
      <c r="AV581"/>
      <c r="AW581"/>
      <c r="AX581"/>
      <c r="AY581"/>
      <c r="AZ581"/>
      <c r="BA581"/>
      <c r="BB581"/>
      <c r="BC581"/>
      <c r="BD581"/>
      <c r="BE581"/>
      <c r="BJ581"/>
      <c r="BK581"/>
      <c r="BL581"/>
      <c r="BP581"/>
      <c r="BQ581"/>
      <c r="BR581"/>
      <c r="CD581"/>
      <c r="CE581"/>
      <c r="CF581"/>
      <c r="CQ581"/>
      <c r="CR581"/>
      <c r="CS581"/>
      <c r="DQ581"/>
      <c r="DR581"/>
      <c r="DS581"/>
      <c r="DT581"/>
      <c r="DU581"/>
    </row>
    <row r="582" spans="1:125">
      <c r="A582"/>
      <c r="B582"/>
      <c r="C582"/>
      <c r="D582"/>
      <c r="E582"/>
      <c r="G582"/>
      <c r="K582"/>
      <c r="V582"/>
      <c r="AC582"/>
      <c r="AI582"/>
      <c r="AJ582"/>
      <c r="AK582"/>
      <c r="AL582"/>
      <c r="AM582"/>
      <c r="AP582"/>
      <c r="AQ582"/>
      <c r="AR582"/>
      <c r="AS582" s="180"/>
      <c r="AT582"/>
      <c r="AU582"/>
      <c r="AV582"/>
      <c r="AW582"/>
      <c r="AX582"/>
      <c r="AY582"/>
      <c r="AZ582"/>
      <c r="BA582"/>
      <c r="BB582"/>
      <c r="BC582"/>
      <c r="BD582"/>
      <c r="BE582"/>
      <c r="BJ582"/>
      <c r="BK582"/>
      <c r="BL582"/>
      <c r="BP582"/>
      <c r="BQ582"/>
      <c r="BR582"/>
      <c r="CD582"/>
      <c r="CE582"/>
      <c r="CF582"/>
      <c r="CQ582"/>
      <c r="CR582"/>
      <c r="CS582"/>
      <c r="DQ582"/>
      <c r="DR582"/>
      <c r="DS582"/>
      <c r="DT582"/>
      <c r="DU582"/>
    </row>
    <row r="583" spans="1:125">
      <c r="A583"/>
      <c r="B583"/>
      <c r="C583"/>
      <c r="D583"/>
      <c r="E583"/>
      <c r="G583"/>
      <c r="K583"/>
      <c r="V583"/>
      <c r="AC583"/>
      <c r="AI583"/>
      <c r="AJ583"/>
      <c r="AK583"/>
      <c r="AL583"/>
      <c r="AM583"/>
      <c r="AP583"/>
      <c r="AQ583"/>
      <c r="AR583"/>
      <c r="AS583" s="180"/>
      <c r="AT583"/>
      <c r="AU583"/>
      <c r="AV583"/>
      <c r="AW583"/>
      <c r="AX583"/>
      <c r="AY583"/>
      <c r="AZ583"/>
      <c r="BA583"/>
      <c r="BB583"/>
      <c r="BC583"/>
      <c r="BD583"/>
      <c r="BE583"/>
      <c r="BJ583"/>
      <c r="BK583"/>
      <c r="BL583"/>
      <c r="BP583"/>
      <c r="BQ583"/>
      <c r="BR583"/>
      <c r="CD583"/>
      <c r="CE583"/>
      <c r="CF583"/>
      <c r="CQ583"/>
      <c r="CR583"/>
      <c r="CS583"/>
      <c r="DQ583"/>
      <c r="DR583"/>
      <c r="DS583"/>
      <c r="DT583"/>
      <c r="DU583"/>
    </row>
    <row r="584" spans="1:125">
      <c r="A584"/>
      <c r="B584"/>
      <c r="C584"/>
      <c r="D584"/>
      <c r="E584"/>
      <c r="G584"/>
      <c r="K584"/>
      <c r="V584"/>
      <c r="AC584"/>
      <c r="AI584"/>
      <c r="AJ584"/>
      <c r="AK584"/>
      <c r="AL584"/>
      <c r="AM584"/>
      <c r="AP584"/>
      <c r="AQ584"/>
      <c r="AR584"/>
      <c r="AS584" s="180"/>
      <c r="AT584"/>
      <c r="AU584"/>
      <c r="AV584"/>
      <c r="AW584"/>
      <c r="AX584"/>
      <c r="AY584"/>
      <c r="AZ584"/>
      <c r="BA584"/>
      <c r="BB584"/>
      <c r="BC584"/>
      <c r="BD584"/>
      <c r="BE584"/>
      <c r="BJ584"/>
      <c r="BK584"/>
      <c r="BL584"/>
      <c r="BP584"/>
      <c r="BQ584"/>
      <c r="BR584"/>
      <c r="CD584"/>
      <c r="CE584"/>
      <c r="CF584"/>
      <c r="CQ584"/>
      <c r="CR584"/>
      <c r="CS584"/>
      <c r="DQ584"/>
      <c r="DR584"/>
      <c r="DS584"/>
      <c r="DT584"/>
      <c r="DU584"/>
    </row>
    <row r="585" spans="1:125">
      <c r="A585"/>
      <c r="B585"/>
      <c r="C585"/>
      <c r="D585"/>
      <c r="E585"/>
      <c r="G585"/>
      <c r="K585"/>
      <c r="V585"/>
      <c r="AC585"/>
      <c r="AI585"/>
      <c r="AJ585"/>
      <c r="AK585"/>
      <c r="AL585"/>
      <c r="AM585"/>
      <c r="AP585"/>
      <c r="AQ585"/>
      <c r="AR585"/>
      <c r="AS585" s="180"/>
      <c r="AT585"/>
      <c r="AU585"/>
      <c r="AV585"/>
      <c r="AW585"/>
      <c r="AX585"/>
      <c r="AY585"/>
      <c r="AZ585"/>
      <c r="BA585"/>
      <c r="BB585"/>
      <c r="BC585"/>
      <c r="BD585"/>
      <c r="BE585"/>
      <c r="BJ585"/>
      <c r="BK585"/>
      <c r="BL585"/>
      <c r="BP585"/>
      <c r="BQ585"/>
      <c r="BR585"/>
      <c r="CD585"/>
      <c r="CE585"/>
      <c r="CF585"/>
      <c r="CQ585"/>
      <c r="CR585"/>
      <c r="CS585"/>
      <c r="DQ585"/>
      <c r="DR585"/>
      <c r="DS585"/>
      <c r="DT585"/>
      <c r="DU585"/>
    </row>
    <row r="586" spans="1:125">
      <c r="A586"/>
      <c r="B586"/>
      <c r="C586"/>
      <c r="D586"/>
      <c r="E586"/>
      <c r="G586"/>
      <c r="K586"/>
      <c r="V586"/>
      <c r="AC586"/>
      <c r="AI586"/>
      <c r="AJ586"/>
      <c r="AK586"/>
      <c r="AL586"/>
      <c r="AM586"/>
      <c r="AP586"/>
      <c r="AQ586"/>
      <c r="AR586"/>
      <c r="AS586" s="180"/>
      <c r="AT586"/>
      <c r="AU586"/>
      <c r="AV586"/>
      <c r="AW586"/>
      <c r="AX586"/>
      <c r="AY586"/>
      <c r="AZ586"/>
      <c r="BA586"/>
      <c r="BB586"/>
      <c r="BC586"/>
      <c r="BD586"/>
      <c r="BE586"/>
      <c r="BJ586"/>
      <c r="BK586"/>
      <c r="BL586"/>
      <c r="BP586"/>
      <c r="BQ586"/>
      <c r="BR586"/>
      <c r="CD586"/>
      <c r="CE586"/>
      <c r="CF586"/>
      <c r="CQ586"/>
      <c r="CR586"/>
      <c r="CS586"/>
      <c r="DQ586"/>
      <c r="DR586"/>
      <c r="DS586"/>
      <c r="DT586"/>
      <c r="DU586"/>
    </row>
    <row r="587" spans="1:125">
      <c r="A587"/>
      <c r="B587"/>
      <c r="C587"/>
      <c r="D587"/>
      <c r="E587"/>
      <c r="G587"/>
      <c r="K587"/>
      <c r="V587"/>
      <c r="AC587"/>
      <c r="AI587"/>
      <c r="AJ587"/>
      <c r="AK587"/>
      <c r="AL587"/>
      <c r="AM587"/>
      <c r="AP587"/>
      <c r="AQ587"/>
      <c r="AR587"/>
      <c r="AS587" s="180"/>
      <c r="AT587"/>
      <c r="AU587"/>
      <c r="AV587"/>
      <c r="AW587"/>
      <c r="AX587"/>
      <c r="AY587"/>
      <c r="AZ587"/>
      <c r="BA587"/>
      <c r="BB587"/>
      <c r="BC587"/>
      <c r="BD587"/>
      <c r="BE587"/>
      <c r="BJ587"/>
      <c r="BK587"/>
      <c r="BL587"/>
      <c r="BP587"/>
      <c r="BQ587"/>
      <c r="BR587"/>
      <c r="CD587"/>
      <c r="CE587"/>
      <c r="CF587"/>
      <c r="CQ587"/>
      <c r="CR587"/>
      <c r="CS587"/>
      <c r="DQ587"/>
      <c r="DR587"/>
      <c r="DS587"/>
      <c r="DT587"/>
      <c r="DU587"/>
    </row>
    <row r="588" spans="1:125">
      <c r="A588"/>
      <c r="B588"/>
      <c r="C588"/>
      <c r="D588"/>
      <c r="E588"/>
      <c r="G588"/>
      <c r="K588"/>
      <c r="V588"/>
      <c r="AC588"/>
      <c r="AI588"/>
      <c r="AJ588"/>
      <c r="AK588"/>
      <c r="AL588"/>
      <c r="AM588"/>
      <c r="AP588"/>
      <c r="AQ588"/>
      <c r="AR588"/>
      <c r="AS588" s="180"/>
      <c r="AT588"/>
      <c r="AU588"/>
      <c r="AV588"/>
      <c r="AW588"/>
      <c r="AX588"/>
      <c r="AY588"/>
      <c r="AZ588"/>
      <c r="BA588"/>
      <c r="BB588"/>
      <c r="BC588"/>
      <c r="BD588"/>
      <c r="BE588"/>
      <c r="BJ588"/>
      <c r="BK588"/>
      <c r="BL588"/>
      <c r="BP588"/>
      <c r="BQ588"/>
      <c r="BR588"/>
      <c r="CD588"/>
      <c r="CE588"/>
      <c r="CF588"/>
      <c r="CQ588"/>
      <c r="CR588"/>
      <c r="CS588"/>
      <c r="DQ588"/>
      <c r="DR588"/>
      <c r="DS588"/>
      <c r="DT588"/>
      <c r="DU588"/>
    </row>
    <row r="589" spans="1:125">
      <c r="A589"/>
      <c r="B589"/>
      <c r="C589"/>
      <c r="D589"/>
      <c r="E589"/>
      <c r="G589"/>
      <c r="K589"/>
      <c r="V589"/>
      <c r="AC589"/>
      <c r="AI589"/>
      <c r="AJ589"/>
      <c r="AK589"/>
      <c r="AL589"/>
      <c r="AM589"/>
      <c r="AP589"/>
      <c r="AQ589"/>
      <c r="AR589"/>
      <c r="AS589" s="180"/>
      <c r="AT589"/>
      <c r="AU589"/>
      <c r="AV589"/>
      <c r="AW589"/>
      <c r="AX589"/>
      <c r="AY589"/>
      <c r="AZ589"/>
      <c r="BA589"/>
      <c r="BB589"/>
      <c r="BC589"/>
      <c r="BD589"/>
      <c r="BE589"/>
      <c r="BJ589"/>
      <c r="BK589"/>
      <c r="BL589"/>
      <c r="BP589"/>
      <c r="BQ589"/>
      <c r="BR589"/>
      <c r="CD589"/>
      <c r="CE589"/>
      <c r="CF589"/>
      <c r="CQ589"/>
      <c r="CR589"/>
      <c r="CS589"/>
      <c r="DQ589"/>
      <c r="DR589"/>
      <c r="DS589"/>
      <c r="DT589"/>
      <c r="DU589"/>
    </row>
    <row r="590" spans="1:125">
      <c r="A590"/>
      <c r="B590"/>
      <c r="C590"/>
      <c r="D590"/>
      <c r="E590"/>
      <c r="G590"/>
      <c r="K590"/>
      <c r="V590"/>
      <c r="AC590"/>
      <c r="AI590"/>
      <c r="AJ590"/>
      <c r="AK590"/>
      <c r="AL590"/>
      <c r="AM590"/>
      <c r="AP590"/>
      <c r="AQ590"/>
      <c r="AR590"/>
      <c r="AS590" s="180"/>
      <c r="AT590"/>
      <c r="AU590"/>
      <c r="AV590"/>
      <c r="AW590"/>
      <c r="AX590"/>
      <c r="AY590"/>
      <c r="AZ590"/>
      <c r="BA590"/>
      <c r="BB590"/>
      <c r="BC590"/>
      <c r="BD590"/>
      <c r="BE590"/>
      <c r="BJ590"/>
      <c r="BK590"/>
      <c r="BL590"/>
      <c r="BP590"/>
      <c r="BQ590"/>
      <c r="BR590"/>
      <c r="CD590"/>
      <c r="CE590"/>
      <c r="CF590"/>
      <c r="CQ590"/>
      <c r="CR590"/>
      <c r="CS590"/>
      <c r="DQ590"/>
      <c r="DR590"/>
      <c r="DS590"/>
      <c r="DT590"/>
      <c r="DU590"/>
    </row>
    <row r="591" spans="1:125">
      <c r="A591"/>
      <c r="B591"/>
      <c r="C591"/>
      <c r="D591"/>
      <c r="E591"/>
      <c r="G591"/>
      <c r="K591"/>
      <c r="V591"/>
      <c r="AC591"/>
      <c r="AI591"/>
      <c r="AJ591"/>
      <c r="AK591"/>
      <c r="AL591"/>
      <c r="AM591"/>
      <c r="AP591"/>
      <c r="AQ591"/>
      <c r="AR591"/>
      <c r="AS591" s="180"/>
      <c r="AT591"/>
      <c r="AU591"/>
      <c r="AV591"/>
      <c r="AW591"/>
      <c r="AX591"/>
      <c r="AY591"/>
      <c r="AZ591"/>
      <c r="BA591"/>
      <c r="BB591"/>
      <c r="BC591"/>
      <c r="BD591"/>
      <c r="BE591"/>
      <c r="BJ591"/>
      <c r="BK591"/>
      <c r="BL591"/>
      <c r="BP591"/>
      <c r="BQ591"/>
      <c r="BR591"/>
      <c r="CD591"/>
      <c r="CE591"/>
      <c r="CF591"/>
      <c r="CQ591"/>
      <c r="CR591"/>
      <c r="CS591"/>
      <c r="DQ591"/>
      <c r="DR591"/>
      <c r="DS591"/>
      <c r="DT591"/>
      <c r="DU591"/>
    </row>
    <row r="592" spans="1:125">
      <c r="A592"/>
      <c r="B592"/>
      <c r="C592"/>
      <c r="D592"/>
      <c r="E592"/>
      <c r="G592"/>
      <c r="K592"/>
      <c r="V592"/>
      <c r="AC592"/>
      <c r="AI592"/>
      <c r="AJ592"/>
      <c r="AK592"/>
      <c r="AL592"/>
      <c r="AM592"/>
      <c r="AP592"/>
      <c r="AQ592"/>
      <c r="AR592"/>
      <c r="AS592" s="180"/>
      <c r="AT592"/>
      <c r="AU592"/>
      <c r="AV592"/>
      <c r="AW592"/>
      <c r="AX592"/>
      <c r="AY592"/>
      <c r="AZ592"/>
      <c r="BA592"/>
      <c r="BB592"/>
      <c r="BC592"/>
      <c r="BD592"/>
      <c r="BE592"/>
      <c r="BJ592"/>
      <c r="BK592"/>
      <c r="BL592"/>
      <c r="BP592"/>
      <c r="BQ592"/>
      <c r="BR592"/>
      <c r="CD592"/>
      <c r="CE592"/>
      <c r="CF592"/>
      <c r="CQ592"/>
      <c r="CR592"/>
      <c r="CS592"/>
      <c r="DQ592"/>
      <c r="DR592"/>
      <c r="DS592"/>
      <c r="DT592"/>
      <c r="DU592"/>
    </row>
    <row r="593" spans="1:125">
      <c r="A593"/>
      <c r="B593"/>
      <c r="C593"/>
      <c r="D593"/>
      <c r="E593"/>
      <c r="G593"/>
      <c r="K593"/>
      <c r="V593"/>
      <c r="AC593"/>
      <c r="AI593"/>
      <c r="AJ593"/>
      <c r="AK593"/>
      <c r="AL593"/>
      <c r="AM593"/>
      <c r="AP593"/>
      <c r="AQ593"/>
      <c r="AR593"/>
      <c r="AS593" s="180"/>
      <c r="AT593"/>
      <c r="AU593"/>
      <c r="AV593"/>
      <c r="AW593"/>
      <c r="AX593"/>
      <c r="AY593"/>
      <c r="AZ593"/>
      <c r="BA593"/>
      <c r="BB593"/>
      <c r="BC593"/>
      <c r="BD593"/>
      <c r="BE593"/>
      <c r="BJ593"/>
      <c r="BK593"/>
      <c r="BL593"/>
      <c r="BP593"/>
      <c r="BQ593"/>
      <c r="BR593"/>
      <c r="CD593"/>
      <c r="CE593"/>
      <c r="CF593"/>
      <c r="CQ593"/>
      <c r="CR593"/>
      <c r="CS593"/>
      <c r="DQ593"/>
      <c r="DR593"/>
      <c r="DS593"/>
      <c r="DT593"/>
      <c r="DU593"/>
    </row>
    <row r="594" spans="1:125">
      <c r="A594"/>
      <c r="B594"/>
      <c r="C594"/>
      <c r="D594"/>
      <c r="E594"/>
      <c r="G594"/>
      <c r="K594"/>
      <c r="V594"/>
      <c r="AC594"/>
      <c r="AI594"/>
      <c r="AJ594"/>
      <c r="AK594"/>
      <c r="AL594"/>
      <c r="AM594"/>
      <c r="AP594"/>
      <c r="AQ594"/>
      <c r="AR594"/>
      <c r="AS594" s="180"/>
      <c r="AT594"/>
      <c r="AU594"/>
      <c r="AV594"/>
      <c r="AW594"/>
      <c r="AX594"/>
      <c r="AY594"/>
      <c r="AZ594"/>
      <c r="BA594"/>
      <c r="BB594"/>
      <c r="BC594"/>
      <c r="BD594"/>
      <c r="BE594"/>
      <c r="BJ594"/>
      <c r="BK594"/>
      <c r="BL594"/>
      <c r="BP594"/>
      <c r="BQ594"/>
      <c r="BR594"/>
      <c r="CD594"/>
      <c r="CE594"/>
      <c r="CF594"/>
      <c r="CQ594"/>
      <c r="CR594"/>
      <c r="CS594"/>
      <c r="DQ594"/>
      <c r="DR594"/>
      <c r="DS594"/>
      <c r="DT594"/>
      <c r="DU594"/>
    </row>
    <row r="595" spans="1:125">
      <c r="A595"/>
      <c r="B595"/>
      <c r="C595"/>
      <c r="D595"/>
      <c r="E595"/>
      <c r="G595"/>
      <c r="K595"/>
      <c r="V595"/>
      <c r="AC595"/>
      <c r="AI595"/>
      <c r="AJ595"/>
      <c r="AK595"/>
      <c r="AL595"/>
      <c r="AM595"/>
      <c r="AP595"/>
      <c r="AQ595"/>
      <c r="AR595"/>
      <c r="AS595" s="180"/>
      <c r="AT595"/>
      <c r="AU595"/>
      <c r="AV595"/>
      <c r="AW595"/>
      <c r="AX595"/>
      <c r="AY595"/>
      <c r="AZ595"/>
      <c r="BA595"/>
      <c r="BB595"/>
      <c r="BC595"/>
      <c r="BD595"/>
      <c r="BE595"/>
      <c r="BJ595"/>
      <c r="BK595"/>
      <c r="BL595"/>
      <c r="BP595"/>
      <c r="BQ595"/>
      <c r="BR595"/>
      <c r="CD595"/>
      <c r="CE595"/>
      <c r="CF595"/>
      <c r="CQ595"/>
      <c r="CR595"/>
      <c r="CS595"/>
      <c r="DQ595"/>
      <c r="DR595"/>
      <c r="DS595"/>
      <c r="DT595"/>
      <c r="DU595"/>
    </row>
    <row r="596" spans="1:125">
      <c r="A596"/>
      <c r="B596"/>
      <c r="C596"/>
      <c r="D596"/>
      <c r="E596"/>
      <c r="G596"/>
      <c r="K596"/>
      <c r="V596"/>
      <c r="AC596"/>
      <c r="AI596"/>
      <c r="AJ596"/>
      <c r="AK596"/>
      <c r="AL596"/>
      <c r="AM596"/>
      <c r="AP596"/>
      <c r="AQ596"/>
      <c r="AR596"/>
      <c r="AS596" s="180"/>
      <c r="AT596"/>
      <c r="AU596"/>
      <c r="AV596"/>
      <c r="AW596"/>
      <c r="AX596"/>
      <c r="AY596"/>
      <c r="AZ596"/>
      <c r="BA596"/>
      <c r="BB596"/>
      <c r="BC596"/>
      <c r="BD596"/>
      <c r="BE596"/>
      <c r="BJ596"/>
      <c r="BK596"/>
      <c r="BL596"/>
      <c r="BP596"/>
      <c r="BQ596"/>
      <c r="BR596"/>
      <c r="CD596"/>
      <c r="CE596"/>
      <c r="CF596"/>
      <c r="CQ596"/>
      <c r="CR596"/>
      <c r="CS596"/>
      <c r="DQ596"/>
      <c r="DR596"/>
      <c r="DS596"/>
      <c r="DT596"/>
      <c r="DU596"/>
    </row>
    <row r="597" spans="1:125">
      <c r="A597"/>
      <c r="B597"/>
      <c r="C597"/>
      <c r="D597"/>
      <c r="E597"/>
      <c r="G597"/>
      <c r="K597"/>
      <c r="V597"/>
      <c r="AC597"/>
      <c r="AI597"/>
      <c r="AJ597"/>
      <c r="AK597"/>
      <c r="AL597"/>
      <c r="AM597"/>
      <c r="AP597"/>
      <c r="AQ597"/>
      <c r="AR597"/>
      <c r="AS597" s="180"/>
      <c r="AT597"/>
      <c r="AU597"/>
      <c r="AV597"/>
      <c r="AW597"/>
      <c r="AX597"/>
      <c r="AY597"/>
      <c r="AZ597"/>
      <c r="BA597"/>
      <c r="BB597"/>
      <c r="BC597"/>
      <c r="BD597"/>
      <c r="BE597"/>
      <c r="BJ597"/>
      <c r="BK597"/>
      <c r="BL597"/>
      <c r="BP597"/>
      <c r="BQ597"/>
      <c r="BR597"/>
      <c r="CD597"/>
      <c r="CE597"/>
      <c r="CF597"/>
      <c r="CQ597"/>
      <c r="CR597"/>
      <c r="CS597"/>
      <c r="DQ597"/>
      <c r="DR597"/>
      <c r="DS597"/>
      <c r="DT597"/>
      <c r="DU597"/>
    </row>
    <row r="598" spans="1:125">
      <c r="A598"/>
      <c r="B598"/>
      <c r="C598"/>
      <c r="D598"/>
      <c r="E598"/>
      <c r="G598"/>
      <c r="K598"/>
      <c r="V598"/>
      <c r="AC598"/>
      <c r="AI598"/>
      <c r="AJ598"/>
      <c r="AK598"/>
      <c r="AL598"/>
      <c r="AM598"/>
      <c r="AP598"/>
      <c r="AQ598"/>
      <c r="AR598"/>
      <c r="AS598" s="180"/>
      <c r="AT598"/>
      <c r="AU598"/>
      <c r="AV598"/>
      <c r="AW598"/>
      <c r="AX598"/>
      <c r="AY598"/>
      <c r="AZ598"/>
      <c r="BA598"/>
      <c r="BB598"/>
      <c r="BC598"/>
      <c r="BD598"/>
      <c r="BE598"/>
      <c r="BJ598"/>
      <c r="BK598"/>
      <c r="BL598"/>
      <c r="BP598"/>
      <c r="BQ598"/>
      <c r="BR598"/>
      <c r="CD598"/>
      <c r="CE598"/>
      <c r="CF598"/>
      <c r="CQ598"/>
      <c r="CR598"/>
      <c r="CS598"/>
      <c r="DQ598"/>
      <c r="DR598"/>
      <c r="DS598"/>
      <c r="DT598"/>
      <c r="DU598"/>
    </row>
    <row r="599" spans="1:125">
      <c r="A599"/>
      <c r="B599"/>
      <c r="C599"/>
      <c r="D599"/>
      <c r="E599"/>
      <c r="G599"/>
      <c r="K599"/>
      <c r="V599"/>
      <c r="AC599"/>
      <c r="AI599"/>
      <c r="AJ599"/>
      <c r="AK599"/>
      <c r="AL599"/>
      <c r="AM599"/>
      <c r="AP599"/>
      <c r="AQ599"/>
      <c r="AR599"/>
      <c r="AS599" s="180"/>
      <c r="AT599"/>
      <c r="AU599"/>
      <c r="AV599"/>
      <c r="AW599"/>
      <c r="AX599"/>
      <c r="AY599"/>
      <c r="AZ599"/>
      <c r="BA599"/>
      <c r="BB599"/>
      <c r="BC599"/>
      <c r="BD599"/>
      <c r="BE599"/>
      <c r="BJ599"/>
      <c r="BK599"/>
      <c r="BL599"/>
      <c r="BP599"/>
      <c r="BQ599"/>
      <c r="BR599"/>
      <c r="CD599"/>
      <c r="CE599"/>
      <c r="CF599"/>
      <c r="CQ599"/>
      <c r="CR599"/>
      <c r="CS599"/>
      <c r="DQ599"/>
      <c r="DR599"/>
      <c r="DS599"/>
      <c r="DT599"/>
      <c r="DU599"/>
    </row>
    <row r="600" spans="1:125">
      <c r="A600"/>
      <c r="B600"/>
      <c r="C600"/>
      <c r="D600"/>
      <c r="E600"/>
      <c r="G600"/>
      <c r="K600"/>
      <c r="V600"/>
      <c r="AC600"/>
      <c r="AI600"/>
      <c r="AJ600"/>
      <c r="AK600"/>
      <c r="AL600"/>
      <c r="AM600"/>
      <c r="AP600"/>
      <c r="AQ600"/>
      <c r="AR600"/>
      <c r="AS600" s="180"/>
      <c r="AT600"/>
      <c r="AU600"/>
      <c r="AV600"/>
      <c r="AW600"/>
      <c r="AX600"/>
      <c r="AY600"/>
      <c r="AZ600"/>
      <c r="BA600"/>
      <c r="BB600"/>
      <c r="BC600"/>
      <c r="BD600"/>
      <c r="BE600"/>
      <c r="BJ600"/>
      <c r="BK600"/>
      <c r="BL600"/>
      <c r="BP600"/>
      <c r="BQ600"/>
      <c r="BR600"/>
      <c r="CD600"/>
      <c r="CE600"/>
      <c r="CF600"/>
      <c r="CQ600"/>
      <c r="CR600"/>
      <c r="CS600"/>
      <c r="DQ600"/>
      <c r="DR600"/>
      <c r="DS600"/>
      <c r="DT600"/>
      <c r="DU600"/>
    </row>
    <row r="601" spans="1:125">
      <c r="A601"/>
      <c r="B601"/>
      <c r="C601"/>
      <c r="D601"/>
      <c r="E601"/>
      <c r="G601"/>
      <c r="K601"/>
      <c r="V601"/>
      <c r="AC601"/>
      <c r="AI601"/>
      <c r="AJ601"/>
      <c r="AK601"/>
      <c r="AL601"/>
      <c r="AM601"/>
      <c r="AP601"/>
      <c r="AQ601"/>
      <c r="AR601"/>
      <c r="AS601" s="180"/>
      <c r="AT601"/>
      <c r="AU601"/>
      <c r="AV601"/>
      <c r="AW601"/>
      <c r="AX601"/>
      <c r="AY601"/>
      <c r="AZ601"/>
      <c r="BA601"/>
      <c r="BB601"/>
      <c r="BC601"/>
      <c r="BD601"/>
      <c r="BE601"/>
      <c r="BJ601"/>
      <c r="BK601"/>
      <c r="BL601"/>
      <c r="BP601"/>
      <c r="BQ601"/>
      <c r="BR601"/>
      <c r="CD601"/>
      <c r="CE601"/>
      <c r="CF601"/>
      <c r="CQ601"/>
      <c r="CR601"/>
      <c r="CS601"/>
      <c r="DQ601"/>
      <c r="DR601"/>
      <c r="DS601"/>
      <c r="DT601"/>
      <c r="DU601"/>
    </row>
    <row r="602" spans="1:125">
      <c r="A602"/>
      <c r="B602"/>
      <c r="C602"/>
      <c r="D602"/>
      <c r="E602"/>
      <c r="G602"/>
      <c r="K602"/>
      <c r="V602"/>
      <c r="AC602"/>
      <c r="AI602"/>
      <c r="AJ602"/>
      <c r="AK602"/>
      <c r="AL602"/>
      <c r="AM602"/>
      <c r="AP602"/>
      <c r="AQ602"/>
      <c r="AR602"/>
      <c r="AS602" s="180"/>
      <c r="AT602"/>
      <c r="AU602"/>
      <c r="AV602"/>
      <c r="AW602"/>
      <c r="AX602"/>
      <c r="AY602"/>
      <c r="AZ602"/>
      <c r="BA602"/>
      <c r="BB602"/>
      <c r="BC602"/>
      <c r="BD602"/>
      <c r="BE602"/>
      <c r="BJ602"/>
      <c r="BK602"/>
      <c r="BL602"/>
      <c r="BP602"/>
      <c r="BQ602"/>
      <c r="BR602"/>
      <c r="CD602"/>
      <c r="CE602"/>
      <c r="CF602"/>
      <c r="CQ602"/>
      <c r="CR602"/>
      <c r="CS602"/>
      <c r="DQ602"/>
      <c r="DR602"/>
      <c r="DS602"/>
      <c r="DT602"/>
      <c r="DU602"/>
    </row>
    <row r="603" spans="1:125">
      <c r="A603"/>
      <c r="B603"/>
      <c r="C603"/>
      <c r="D603"/>
      <c r="E603"/>
      <c r="G603"/>
      <c r="K603"/>
      <c r="V603"/>
      <c r="AC603"/>
      <c r="AI603"/>
      <c r="AJ603"/>
      <c r="AK603"/>
      <c r="AL603"/>
      <c r="AM603"/>
      <c r="AP603"/>
      <c r="AQ603"/>
      <c r="AR603"/>
      <c r="AS603" s="180"/>
      <c r="AT603"/>
      <c r="AU603"/>
      <c r="AV603"/>
      <c r="AW603"/>
      <c r="AX603"/>
      <c r="AY603"/>
      <c r="AZ603"/>
      <c r="BA603"/>
      <c r="BB603"/>
      <c r="BC603"/>
      <c r="BD603"/>
      <c r="BE603"/>
      <c r="BJ603"/>
      <c r="BK603"/>
      <c r="BL603"/>
      <c r="BP603"/>
      <c r="BQ603"/>
      <c r="BR603"/>
      <c r="CD603"/>
      <c r="CE603"/>
      <c r="CF603"/>
      <c r="CQ603"/>
      <c r="CR603"/>
      <c r="CS603"/>
      <c r="DQ603"/>
      <c r="DR603"/>
      <c r="DS603"/>
      <c r="DT603"/>
      <c r="DU603"/>
    </row>
    <row r="604" spans="1:125">
      <c r="A604"/>
      <c r="B604"/>
      <c r="C604"/>
      <c r="D604"/>
      <c r="E604"/>
      <c r="G604"/>
      <c r="K604"/>
      <c r="V604"/>
      <c r="AC604"/>
      <c r="AI604"/>
      <c r="AJ604"/>
      <c r="AK604"/>
      <c r="AL604"/>
      <c r="AM604"/>
      <c r="AP604"/>
      <c r="AQ604"/>
      <c r="AR604"/>
      <c r="AS604" s="180"/>
      <c r="AT604"/>
      <c r="AU604"/>
      <c r="AV604"/>
      <c r="AW604"/>
      <c r="AX604"/>
      <c r="AY604"/>
      <c r="AZ604"/>
      <c r="BA604"/>
      <c r="BB604"/>
      <c r="BC604"/>
      <c r="BD604"/>
      <c r="BE604"/>
      <c r="BJ604"/>
      <c r="BK604"/>
      <c r="BL604"/>
      <c r="BP604"/>
      <c r="BQ604"/>
      <c r="BR604"/>
      <c r="CD604"/>
      <c r="CE604"/>
      <c r="CF604"/>
      <c r="CQ604"/>
      <c r="CR604"/>
      <c r="CS604"/>
      <c r="DQ604"/>
      <c r="DR604"/>
      <c r="DS604"/>
      <c r="DT604"/>
      <c r="DU604"/>
    </row>
    <row r="605" spans="1:125">
      <c r="A605"/>
      <c r="B605"/>
      <c r="C605"/>
      <c r="D605"/>
      <c r="E605"/>
      <c r="G605"/>
      <c r="K605"/>
      <c r="V605"/>
      <c r="AC605"/>
      <c r="AI605"/>
      <c r="AJ605"/>
      <c r="AK605"/>
      <c r="AL605"/>
      <c r="AM605"/>
      <c r="AP605"/>
      <c r="AQ605"/>
      <c r="AR605"/>
      <c r="AS605" s="180"/>
      <c r="AT605"/>
      <c r="AU605"/>
      <c r="AV605"/>
      <c r="AW605"/>
      <c r="AX605"/>
      <c r="AY605"/>
      <c r="AZ605"/>
      <c r="BA605"/>
      <c r="BB605"/>
      <c r="BC605"/>
      <c r="BD605"/>
      <c r="BE605"/>
      <c r="BJ605"/>
      <c r="BK605"/>
      <c r="BL605"/>
      <c r="BP605"/>
      <c r="BQ605"/>
      <c r="BR605"/>
      <c r="CD605"/>
      <c r="CE605"/>
      <c r="CF605"/>
      <c r="CQ605"/>
      <c r="CR605"/>
      <c r="CS605"/>
      <c r="DQ605"/>
      <c r="DR605"/>
      <c r="DS605"/>
      <c r="DT605"/>
      <c r="DU605"/>
    </row>
    <row r="606" spans="1:125">
      <c r="A606"/>
      <c r="B606"/>
      <c r="C606"/>
      <c r="D606"/>
      <c r="E606"/>
      <c r="G606"/>
      <c r="K606"/>
      <c r="V606"/>
      <c r="AC606"/>
      <c r="AI606"/>
      <c r="AJ606"/>
      <c r="AK606"/>
      <c r="AL606"/>
      <c r="AM606"/>
      <c r="AP606"/>
      <c r="AQ606"/>
      <c r="AR606"/>
      <c r="AS606" s="180"/>
      <c r="AT606"/>
      <c r="AU606"/>
      <c r="AV606"/>
      <c r="AW606"/>
      <c r="AX606"/>
      <c r="AY606"/>
      <c r="AZ606"/>
      <c r="BA606"/>
      <c r="BB606"/>
      <c r="BC606"/>
      <c r="BD606"/>
      <c r="BE606"/>
      <c r="BJ606"/>
      <c r="BK606"/>
      <c r="BL606"/>
      <c r="BP606"/>
      <c r="BQ606"/>
      <c r="BR606"/>
      <c r="CD606"/>
      <c r="CE606"/>
      <c r="CF606"/>
      <c r="CQ606"/>
      <c r="CR606"/>
      <c r="CS606"/>
      <c r="DQ606"/>
      <c r="DR606"/>
      <c r="DS606"/>
      <c r="DT606"/>
      <c r="DU606"/>
    </row>
    <row r="607" spans="1:125">
      <c r="A607"/>
      <c r="B607"/>
      <c r="C607"/>
      <c r="D607"/>
      <c r="E607"/>
      <c r="G607"/>
      <c r="K607"/>
      <c r="V607"/>
      <c r="AC607"/>
      <c r="AI607"/>
      <c r="AJ607"/>
      <c r="AK607"/>
      <c r="AL607"/>
      <c r="AM607"/>
      <c r="AP607"/>
      <c r="AQ607"/>
      <c r="AR607"/>
      <c r="AS607" s="180"/>
      <c r="AT607"/>
      <c r="AU607"/>
      <c r="AV607"/>
      <c r="AW607"/>
      <c r="AX607"/>
      <c r="AY607"/>
      <c r="AZ607"/>
      <c r="BA607"/>
      <c r="BB607"/>
      <c r="BC607"/>
      <c r="BD607"/>
      <c r="BE607"/>
      <c r="BJ607"/>
      <c r="BK607"/>
      <c r="BL607"/>
      <c r="BP607"/>
      <c r="BQ607"/>
      <c r="BR607"/>
      <c r="CD607"/>
      <c r="CE607"/>
      <c r="CF607"/>
      <c r="CQ607"/>
      <c r="CR607"/>
      <c r="CS607"/>
      <c r="DQ607"/>
      <c r="DR607"/>
      <c r="DS607"/>
      <c r="DT607"/>
      <c r="DU607"/>
    </row>
    <row r="608" spans="1:125">
      <c r="A608"/>
      <c r="B608"/>
      <c r="C608"/>
      <c r="D608"/>
      <c r="E608"/>
      <c r="G608"/>
      <c r="K608"/>
      <c r="V608"/>
      <c r="AC608"/>
      <c r="AI608"/>
      <c r="AJ608"/>
      <c r="AK608"/>
      <c r="AL608"/>
      <c r="AM608"/>
      <c r="AP608"/>
      <c r="AQ608"/>
      <c r="AR608"/>
      <c r="AS608" s="180"/>
      <c r="AT608"/>
      <c r="AU608"/>
      <c r="AV608"/>
      <c r="AW608"/>
      <c r="AX608"/>
      <c r="AY608"/>
      <c r="AZ608"/>
      <c r="BA608"/>
      <c r="BB608"/>
      <c r="BC608"/>
      <c r="BD608"/>
      <c r="BE608"/>
      <c r="BJ608"/>
      <c r="BK608"/>
      <c r="BL608"/>
      <c r="BP608"/>
      <c r="BQ608"/>
      <c r="BR608"/>
      <c r="CD608"/>
      <c r="CE608"/>
      <c r="CF608"/>
      <c r="CQ608"/>
      <c r="CR608"/>
      <c r="CS608"/>
      <c r="DQ608"/>
      <c r="DR608"/>
      <c r="DS608"/>
      <c r="DT608"/>
      <c r="DU608"/>
    </row>
    <row r="609" spans="1:125">
      <c r="A609"/>
      <c r="B609"/>
      <c r="C609"/>
      <c r="D609"/>
      <c r="E609"/>
      <c r="G609"/>
      <c r="K609"/>
      <c r="V609"/>
      <c r="AC609"/>
      <c r="AI609"/>
      <c r="AJ609"/>
      <c r="AK609"/>
      <c r="AL609"/>
      <c r="AM609"/>
      <c r="AP609"/>
      <c r="AQ609"/>
      <c r="AR609"/>
      <c r="AS609" s="180"/>
      <c r="AT609"/>
      <c r="AU609"/>
      <c r="AV609"/>
      <c r="AW609"/>
      <c r="AX609"/>
      <c r="AY609"/>
      <c r="AZ609"/>
      <c r="BA609"/>
      <c r="BB609"/>
      <c r="BC609"/>
      <c r="BD609"/>
      <c r="BE609"/>
      <c r="BJ609"/>
      <c r="BK609"/>
      <c r="BL609"/>
      <c r="BP609"/>
      <c r="BQ609"/>
      <c r="BR609"/>
      <c r="CD609"/>
      <c r="CE609"/>
      <c r="CF609"/>
      <c r="CQ609"/>
      <c r="CR609"/>
      <c r="CS609"/>
      <c r="DQ609"/>
      <c r="DR609"/>
      <c r="DS609"/>
      <c r="DT609"/>
      <c r="DU609"/>
    </row>
    <row r="610" spans="1:125">
      <c r="A610"/>
      <c r="B610"/>
      <c r="C610"/>
      <c r="D610"/>
      <c r="E610"/>
      <c r="G610"/>
      <c r="K610"/>
      <c r="V610"/>
      <c r="AC610"/>
      <c r="AI610"/>
      <c r="AJ610"/>
      <c r="AK610"/>
      <c r="AL610"/>
      <c r="AM610"/>
      <c r="AP610"/>
      <c r="AQ610"/>
      <c r="AR610"/>
      <c r="AS610" s="180"/>
      <c r="AT610"/>
      <c r="AU610"/>
      <c r="AV610"/>
      <c r="AW610"/>
      <c r="AX610"/>
      <c r="AY610"/>
      <c r="AZ610"/>
      <c r="BA610"/>
      <c r="BB610"/>
      <c r="BC610"/>
      <c r="BD610"/>
      <c r="BE610"/>
      <c r="BJ610"/>
      <c r="BK610"/>
      <c r="BL610"/>
      <c r="BP610"/>
      <c r="BQ610"/>
      <c r="BR610"/>
      <c r="CD610"/>
      <c r="CE610"/>
      <c r="CF610"/>
      <c r="CQ610"/>
      <c r="CR610"/>
      <c r="CS610"/>
      <c r="DQ610"/>
      <c r="DR610"/>
      <c r="DS610"/>
      <c r="DT610"/>
      <c r="DU610"/>
    </row>
    <row r="611" spans="1:125">
      <c r="A611"/>
      <c r="B611"/>
      <c r="C611"/>
      <c r="D611"/>
      <c r="E611"/>
      <c r="G611"/>
      <c r="K611"/>
      <c r="V611"/>
      <c r="AC611"/>
      <c r="AI611"/>
      <c r="AJ611"/>
      <c r="AK611"/>
      <c r="AL611"/>
      <c r="AM611"/>
      <c r="AP611"/>
      <c r="AQ611"/>
      <c r="AR611"/>
      <c r="AS611" s="180"/>
      <c r="AT611"/>
      <c r="AU611"/>
      <c r="AV611"/>
      <c r="AW611"/>
      <c r="AX611"/>
      <c r="AY611"/>
      <c r="AZ611"/>
      <c r="BA611"/>
      <c r="BB611"/>
      <c r="BC611"/>
      <c r="BD611"/>
      <c r="BE611"/>
      <c r="BJ611"/>
      <c r="BK611"/>
      <c r="BL611"/>
      <c r="BP611"/>
      <c r="BQ611"/>
      <c r="BR611"/>
      <c r="CD611"/>
      <c r="CE611"/>
      <c r="CF611"/>
      <c r="CQ611"/>
      <c r="CR611"/>
      <c r="CS611"/>
      <c r="DQ611"/>
      <c r="DR611"/>
      <c r="DS611"/>
      <c r="DT611"/>
      <c r="DU611"/>
    </row>
    <row r="612" spans="1:125">
      <c r="A612"/>
      <c r="B612"/>
      <c r="C612"/>
      <c r="D612"/>
      <c r="E612"/>
      <c r="G612"/>
      <c r="K612"/>
      <c r="V612"/>
      <c r="AC612"/>
      <c r="AI612"/>
      <c r="AJ612"/>
      <c r="AK612"/>
      <c r="AL612"/>
      <c r="AM612"/>
      <c r="AP612"/>
      <c r="AQ612"/>
      <c r="AR612"/>
      <c r="AS612" s="180"/>
      <c r="AT612"/>
      <c r="AU612"/>
      <c r="AV612"/>
      <c r="AW612"/>
      <c r="AX612"/>
      <c r="AY612"/>
      <c r="AZ612"/>
      <c r="BA612"/>
      <c r="BB612"/>
      <c r="BC612"/>
      <c r="BD612"/>
      <c r="BE612"/>
      <c r="BJ612"/>
      <c r="BK612"/>
      <c r="BL612"/>
      <c r="BP612"/>
      <c r="BQ612"/>
      <c r="BR612"/>
      <c r="CD612"/>
      <c r="CE612"/>
      <c r="CF612"/>
      <c r="CQ612"/>
      <c r="CR612"/>
      <c r="CS612"/>
      <c r="DQ612"/>
      <c r="DR612"/>
      <c r="DS612"/>
      <c r="DT612"/>
      <c r="DU612"/>
    </row>
    <row r="613" spans="1:125">
      <c r="A613"/>
      <c r="B613"/>
      <c r="C613"/>
      <c r="D613"/>
      <c r="E613"/>
      <c r="G613"/>
      <c r="K613"/>
      <c r="V613"/>
      <c r="AC613"/>
      <c r="AI613"/>
      <c r="AJ613"/>
      <c r="AK613"/>
      <c r="AL613"/>
      <c r="AM613"/>
      <c r="AP613"/>
      <c r="AQ613"/>
      <c r="AR613"/>
      <c r="AS613" s="180"/>
      <c r="AT613"/>
      <c r="AU613"/>
      <c r="AV613"/>
      <c r="AW613"/>
      <c r="AX613"/>
      <c r="AY613"/>
      <c r="AZ613"/>
      <c r="BA613"/>
      <c r="BB613"/>
      <c r="BC613"/>
      <c r="BD613"/>
      <c r="BE613"/>
      <c r="BJ613"/>
      <c r="BK613"/>
      <c r="BL613"/>
      <c r="BP613"/>
      <c r="BQ613"/>
      <c r="BR613"/>
      <c r="CD613"/>
      <c r="CE613"/>
      <c r="CF613"/>
      <c r="CQ613"/>
      <c r="CR613"/>
      <c r="CS613"/>
      <c r="DQ613"/>
      <c r="DR613"/>
      <c r="DS613"/>
      <c r="DT613"/>
      <c r="DU613"/>
    </row>
    <row r="614" spans="1:125">
      <c r="A614"/>
      <c r="B614"/>
      <c r="C614"/>
      <c r="D614"/>
      <c r="E614"/>
      <c r="G614"/>
      <c r="K614"/>
      <c r="V614"/>
      <c r="AC614"/>
      <c r="AI614"/>
      <c r="AJ614"/>
      <c r="AK614"/>
      <c r="AL614"/>
      <c r="AM614"/>
      <c r="AP614"/>
      <c r="AQ614"/>
      <c r="AR614"/>
      <c r="AS614" s="180"/>
      <c r="AT614"/>
      <c r="AU614"/>
      <c r="AV614"/>
      <c r="AW614"/>
      <c r="AX614"/>
      <c r="AY614"/>
      <c r="AZ614"/>
      <c r="BA614"/>
      <c r="BB614"/>
      <c r="BC614"/>
      <c r="BD614"/>
      <c r="BE614"/>
      <c r="BJ614"/>
      <c r="BK614"/>
      <c r="BL614"/>
      <c r="BP614"/>
      <c r="BQ614"/>
      <c r="BR614"/>
      <c r="CD614"/>
      <c r="CE614"/>
      <c r="CF614"/>
      <c r="CQ614"/>
      <c r="CR614"/>
      <c r="CS614"/>
      <c r="DQ614"/>
      <c r="DR614"/>
      <c r="DS614"/>
      <c r="DT614"/>
      <c r="DU614"/>
    </row>
    <row r="615" spans="1:125">
      <c r="A615"/>
      <c r="B615"/>
      <c r="C615"/>
      <c r="D615"/>
      <c r="E615"/>
      <c r="G615"/>
      <c r="K615"/>
      <c r="V615"/>
      <c r="AC615"/>
      <c r="AI615"/>
      <c r="AJ615"/>
      <c r="AK615"/>
      <c r="AL615"/>
      <c r="AM615"/>
      <c r="AP615"/>
      <c r="AQ615"/>
      <c r="AR615"/>
      <c r="AS615" s="180"/>
      <c r="AT615"/>
      <c r="AU615"/>
      <c r="AV615"/>
      <c r="AW615"/>
      <c r="AX615"/>
      <c r="AY615"/>
      <c r="AZ615"/>
      <c r="BA615"/>
      <c r="BB615"/>
      <c r="BC615"/>
      <c r="BD615"/>
      <c r="BE615"/>
      <c r="BJ615"/>
      <c r="BK615"/>
      <c r="BL615"/>
      <c r="BP615"/>
      <c r="BQ615"/>
      <c r="BR615"/>
      <c r="CD615"/>
      <c r="CE615"/>
      <c r="CF615"/>
      <c r="CQ615"/>
      <c r="CR615"/>
      <c r="CS615"/>
      <c r="DQ615"/>
      <c r="DR615"/>
      <c r="DS615"/>
      <c r="DT615"/>
      <c r="DU615"/>
    </row>
    <row r="616" spans="1:125">
      <c r="A616"/>
      <c r="B616"/>
      <c r="C616"/>
      <c r="D616"/>
      <c r="E616"/>
      <c r="G616"/>
      <c r="K616"/>
      <c r="V616"/>
      <c r="AC616"/>
      <c r="AI616"/>
      <c r="AJ616"/>
      <c r="AK616"/>
      <c r="AL616"/>
      <c r="AM616"/>
      <c r="AP616"/>
      <c r="AQ616"/>
      <c r="AR616"/>
      <c r="AS616" s="180"/>
      <c r="AT616"/>
      <c r="AU616"/>
      <c r="AV616"/>
      <c r="AW616"/>
      <c r="AX616"/>
      <c r="AY616"/>
      <c r="AZ616"/>
      <c r="BA616"/>
      <c r="BB616"/>
      <c r="BC616"/>
      <c r="BD616"/>
      <c r="BE616"/>
      <c r="BJ616"/>
      <c r="BK616"/>
      <c r="BL616"/>
      <c r="BP616"/>
      <c r="BQ616"/>
      <c r="BR616"/>
      <c r="CD616"/>
      <c r="CE616"/>
      <c r="CF616"/>
      <c r="CQ616"/>
      <c r="CR616"/>
      <c r="CS616"/>
      <c r="DQ616"/>
      <c r="DR616"/>
      <c r="DS616"/>
      <c r="DT616"/>
      <c r="DU616"/>
    </row>
    <row r="617" spans="1:125">
      <c r="A617"/>
      <c r="B617"/>
      <c r="C617"/>
      <c r="D617"/>
      <c r="E617"/>
      <c r="G617"/>
      <c r="K617"/>
      <c r="V617"/>
      <c r="AC617"/>
      <c r="AI617"/>
      <c r="AJ617"/>
      <c r="AK617"/>
      <c r="AL617"/>
      <c r="AM617"/>
      <c r="AP617"/>
      <c r="AQ617"/>
      <c r="AR617"/>
      <c r="AS617" s="180"/>
      <c r="AT617"/>
      <c r="AU617"/>
      <c r="AV617"/>
      <c r="AW617"/>
      <c r="AX617"/>
      <c r="AY617"/>
      <c r="AZ617"/>
      <c r="BA617"/>
      <c r="BB617"/>
      <c r="BC617"/>
      <c r="BD617"/>
      <c r="BE617"/>
      <c r="BJ617"/>
      <c r="BK617"/>
      <c r="BL617"/>
      <c r="BP617"/>
      <c r="BQ617"/>
      <c r="BR617"/>
      <c r="CD617"/>
      <c r="CE617"/>
      <c r="CF617"/>
      <c r="CQ617"/>
      <c r="CR617"/>
      <c r="CS617"/>
      <c r="DQ617"/>
      <c r="DR617"/>
      <c r="DS617"/>
      <c r="DT617"/>
      <c r="DU617"/>
    </row>
    <row r="618" spans="1:125">
      <c r="A618"/>
      <c r="B618"/>
      <c r="C618"/>
      <c r="D618"/>
      <c r="E618"/>
      <c r="G618"/>
      <c r="K618"/>
      <c r="V618"/>
      <c r="AC618"/>
      <c r="AI618"/>
      <c r="AJ618"/>
      <c r="AK618"/>
      <c r="AL618"/>
      <c r="AM618"/>
      <c r="AP618"/>
      <c r="AQ618"/>
      <c r="AR618"/>
      <c r="AS618" s="180"/>
      <c r="AT618"/>
      <c r="AU618"/>
      <c r="AV618"/>
      <c r="AW618"/>
      <c r="AX618"/>
      <c r="AY618"/>
      <c r="AZ618"/>
      <c r="BA618"/>
      <c r="BB618"/>
      <c r="BC618"/>
      <c r="BD618"/>
      <c r="BE618"/>
      <c r="BJ618"/>
      <c r="BK618"/>
      <c r="BL618"/>
      <c r="BP618"/>
      <c r="BQ618"/>
      <c r="BR618"/>
      <c r="CD618"/>
      <c r="CE618"/>
      <c r="CF618"/>
      <c r="CQ618"/>
      <c r="CR618"/>
      <c r="CS618"/>
      <c r="DQ618"/>
      <c r="DR618"/>
      <c r="DS618"/>
      <c r="DT618"/>
      <c r="DU618"/>
    </row>
    <row r="619" spans="1:125">
      <c r="A619"/>
      <c r="B619"/>
      <c r="C619"/>
      <c r="D619"/>
      <c r="E619"/>
      <c r="G619"/>
      <c r="K619"/>
      <c r="V619"/>
      <c r="AC619"/>
      <c r="AI619"/>
      <c r="AJ619"/>
      <c r="AK619"/>
      <c r="AL619"/>
      <c r="AM619"/>
      <c r="AP619"/>
      <c r="AQ619"/>
      <c r="AR619"/>
      <c r="AS619" s="180"/>
      <c r="AT619"/>
      <c r="AU619"/>
      <c r="AV619"/>
      <c r="AW619"/>
      <c r="AX619"/>
      <c r="AY619"/>
      <c r="AZ619"/>
      <c r="BA619"/>
      <c r="BB619"/>
      <c r="BC619"/>
      <c r="BD619"/>
      <c r="BE619"/>
      <c r="BJ619"/>
      <c r="BK619"/>
      <c r="BL619"/>
      <c r="BP619"/>
      <c r="BQ619"/>
      <c r="BR619"/>
      <c r="CD619"/>
      <c r="CE619"/>
      <c r="CF619"/>
      <c r="CQ619"/>
      <c r="CR619"/>
      <c r="CS619"/>
      <c r="DQ619"/>
      <c r="DR619"/>
      <c r="DS619"/>
      <c r="DT619"/>
      <c r="DU619"/>
    </row>
    <row r="620" spans="1:125">
      <c r="A620"/>
      <c r="B620"/>
      <c r="C620"/>
      <c r="D620"/>
      <c r="E620"/>
      <c r="G620"/>
      <c r="K620"/>
      <c r="V620"/>
      <c r="AC620"/>
      <c r="AI620"/>
      <c r="AJ620"/>
      <c r="AK620"/>
      <c r="AL620"/>
      <c r="AM620"/>
      <c r="AP620"/>
      <c r="AQ620"/>
      <c r="AR620"/>
      <c r="AS620" s="180"/>
      <c r="AT620"/>
      <c r="AU620"/>
      <c r="AV620"/>
      <c r="AW620"/>
      <c r="AX620"/>
      <c r="AY620"/>
      <c r="AZ620"/>
      <c r="BA620"/>
      <c r="BB620"/>
      <c r="BC620"/>
      <c r="BD620"/>
      <c r="BE620"/>
      <c r="BJ620"/>
      <c r="BK620"/>
      <c r="BL620"/>
      <c r="BP620"/>
      <c r="BQ620"/>
      <c r="BR620"/>
      <c r="CD620"/>
      <c r="CE620"/>
      <c r="CF620"/>
      <c r="CQ620"/>
      <c r="CR620"/>
      <c r="CS620"/>
      <c r="DQ620"/>
      <c r="DR620"/>
      <c r="DS620"/>
      <c r="DT620"/>
      <c r="DU620"/>
    </row>
    <row r="621" spans="1:125">
      <c r="A621"/>
      <c r="B621"/>
      <c r="C621"/>
      <c r="D621"/>
      <c r="E621"/>
      <c r="G621"/>
      <c r="K621"/>
      <c r="V621"/>
      <c r="AC621"/>
      <c r="AI621"/>
      <c r="AJ621"/>
      <c r="AK621"/>
      <c r="AL621"/>
      <c r="AM621"/>
      <c r="AP621"/>
      <c r="AQ621"/>
      <c r="AR621"/>
      <c r="AS621" s="180"/>
      <c r="AT621"/>
      <c r="AU621"/>
      <c r="AV621"/>
      <c r="AW621"/>
      <c r="AX621"/>
      <c r="AY621"/>
      <c r="AZ621"/>
      <c r="BA621"/>
      <c r="BB621"/>
      <c r="BC621"/>
      <c r="BD621"/>
      <c r="BE621"/>
      <c r="BJ621"/>
      <c r="BK621"/>
      <c r="BL621"/>
      <c r="BP621"/>
      <c r="BQ621"/>
      <c r="BR621"/>
      <c r="CD621"/>
      <c r="CE621"/>
      <c r="CF621"/>
      <c r="CQ621"/>
      <c r="CR621"/>
      <c r="CS621"/>
      <c r="DQ621"/>
      <c r="DR621"/>
      <c r="DS621"/>
      <c r="DT621"/>
      <c r="DU621"/>
    </row>
    <row r="622" spans="1:125">
      <c r="A622"/>
      <c r="B622"/>
      <c r="C622"/>
      <c r="D622"/>
      <c r="E622"/>
      <c r="G622"/>
      <c r="K622"/>
      <c r="V622"/>
      <c r="AC622"/>
      <c r="AI622"/>
      <c r="AJ622"/>
      <c r="AK622"/>
      <c r="AL622"/>
      <c r="AM622"/>
      <c r="AP622"/>
      <c r="AQ622"/>
      <c r="AR622"/>
      <c r="AS622" s="180"/>
      <c r="AT622"/>
      <c r="AU622"/>
      <c r="AV622"/>
      <c r="AW622"/>
      <c r="AX622"/>
      <c r="AY622"/>
      <c r="AZ622"/>
      <c r="BA622"/>
      <c r="BB622"/>
      <c r="BC622"/>
      <c r="BD622"/>
      <c r="BE622"/>
      <c r="BJ622"/>
      <c r="BK622"/>
      <c r="BL622"/>
      <c r="BP622"/>
      <c r="BQ622"/>
      <c r="BR622"/>
      <c r="CD622"/>
      <c r="CE622"/>
      <c r="CF622"/>
      <c r="CQ622"/>
      <c r="CR622"/>
      <c r="CS622"/>
      <c r="DQ622"/>
      <c r="DR622"/>
      <c r="DS622"/>
      <c r="DT622"/>
      <c r="DU622"/>
    </row>
    <row r="623" spans="1:125">
      <c r="A623"/>
      <c r="B623"/>
      <c r="C623"/>
      <c r="D623"/>
      <c r="E623"/>
      <c r="G623"/>
      <c r="K623"/>
      <c r="V623"/>
      <c r="AC623"/>
      <c r="AI623"/>
      <c r="AJ623"/>
      <c r="AK623"/>
      <c r="AL623"/>
      <c r="AM623"/>
      <c r="AP623"/>
      <c r="AQ623"/>
      <c r="AR623"/>
      <c r="AS623" s="180"/>
      <c r="AT623"/>
      <c r="AU623"/>
      <c r="AV623"/>
      <c r="AW623"/>
      <c r="AX623"/>
      <c r="AY623"/>
      <c r="AZ623"/>
      <c r="BA623"/>
      <c r="BB623"/>
      <c r="BC623"/>
      <c r="BD623"/>
      <c r="BE623"/>
      <c r="BJ623"/>
      <c r="BK623"/>
      <c r="BL623"/>
      <c r="BP623"/>
      <c r="BQ623"/>
      <c r="BR623"/>
      <c r="CD623"/>
      <c r="CE623"/>
      <c r="CF623"/>
      <c r="CQ623"/>
      <c r="CR623"/>
      <c r="CS623"/>
      <c r="DQ623"/>
      <c r="DR623"/>
      <c r="DS623"/>
      <c r="DT623"/>
      <c r="DU623"/>
    </row>
    <row r="624" spans="1:125">
      <c r="A624"/>
      <c r="B624"/>
      <c r="C624"/>
      <c r="D624"/>
      <c r="E624"/>
      <c r="G624"/>
      <c r="K624"/>
      <c r="V624"/>
      <c r="AC624"/>
      <c r="AI624"/>
      <c r="AJ624"/>
      <c r="AK624"/>
      <c r="AL624"/>
      <c r="AM624"/>
      <c r="AP624"/>
      <c r="AQ624"/>
      <c r="AR624"/>
      <c r="AS624" s="180"/>
      <c r="AT624"/>
      <c r="AU624"/>
      <c r="AV624"/>
      <c r="AW624"/>
      <c r="AX624"/>
      <c r="AY624"/>
      <c r="AZ624"/>
      <c r="BA624"/>
      <c r="BB624"/>
      <c r="BC624"/>
      <c r="BD624"/>
      <c r="BE624"/>
      <c r="BJ624"/>
      <c r="BK624"/>
      <c r="BL624"/>
      <c r="BP624"/>
      <c r="BQ624"/>
      <c r="BR624"/>
      <c r="CD624"/>
      <c r="CE624"/>
      <c r="CF624"/>
      <c r="CQ624"/>
      <c r="CR624"/>
      <c r="CS624"/>
      <c r="DQ624"/>
      <c r="DR624"/>
      <c r="DS624"/>
      <c r="DT624"/>
      <c r="DU624"/>
    </row>
    <row r="625" spans="1:125">
      <c r="A625"/>
      <c r="B625"/>
      <c r="C625"/>
      <c r="D625"/>
      <c r="E625"/>
      <c r="G625"/>
      <c r="K625"/>
      <c r="V625"/>
      <c r="AC625"/>
      <c r="AI625"/>
      <c r="AJ625"/>
      <c r="AK625"/>
      <c r="AL625"/>
      <c r="AM625"/>
      <c r="AP625"/>
      <c r="AQ625"/>
      <c r="AR625"/>
      <c r="AS625" s="180"/>
      <c r="AT625"/>
      <c r="AU625"/>
      <c r="AV625"/>
      <c r="AW625"/>
      <c r="AX625"/>
      <c r="AY625"/>
      <c r="AZ625"/>
      <c r="BA625"/>
      <c r="BB625"/>
      <c r="BC625"/>
      <c r="BD625"/>
      <c r="BE625"/>
      <c r="BJ625"/>
      <c r="BK625"/>
      <c r="BL625"/>
      <c r="BP625"/>
      <c r="BQ625"/>
      <c r="BR625"/>
      <c r="CD625"/>
      <c r="CE625"/>
      <c r="CF625"/>
      <c r="CQ625"/>
      <c r="CR625"/>
      <c r="CS625"/>
      <c r="DQ625"/>
      <c r="DR625"/>
      <c r="DS625"/>
      <c r="DT625"/>
      <c r="DU625"/>
    </row>
    <row r="626" spans="1:125">
      <c r="A626"/>
      <c r="B626"/>
      <c r="C626"/>
      <c r="D626"/>
      <c r="E626"/>
      <c r="G626"/>
      <c r="K626"/>
      <c r="V626"/>
      <c r="AC626"/>
      <c r="AI626"/>
      <c r="AJ626"/>
      <c r="AK626"/>
      <c r="AL626"/>
      <c r="AM626"/>
      <c r="AP626"/>
      <c r="AQ626"/>
      <c r="AR626"/>
      <c r="AS626" s="180"/>
      <c r="AT626"/>
      <c r="AU626"/>
      <c r="AV626"/>
      <c r="AW626"/>
      <c r="AX626"/>
      <c r="AY626"/>
      <c r="AZ626"/>
      <c r="BA626"/>
      <c r="BB626"/>
      <c r="BC626"/>
      <c r="BD626"/>
      <c r="BE626"/>
      <c r="BJ626"/>
      <c r="BK626"/>
      <c r="BL626"/>
      <c r="BP626"/>
      <c r="BQ626"/>
      <c r="BR626"/>
      <c r="CD626"/>
      <c r="CE626"/>
      <c r="CF626"/>
      <c r="CQ626"/>
      <c r="CR626"/>
      <c r="CS626"/>
      <c r="DQ626"/>
      <c r="DR626"/>
      <c r="DS626"/>
      <c r="DT626"/>
      <c r="DU626"/>
    </row>
    <row r="627" spans="1:125">
      <c r="A627"/>
      <c r="B627"/>
      <c r="C627"/>
      <c r="D627"/>
      <c r="E627"/>
      <c r="G627"/>
      <c r="K627"/>
      <c r="V627"/>
      <c r="AC627"/>
      <c r="AI627"/>
      <c r="AJ627"/>
      <c r="AK627"/>
      <c r="AL627"/>
      <c r="AM627"/>
      <c r="AP627"/>
      <c r="AQ627"/>
      <c r="AR627"/>
      <c r="AS627" s="180"/>
      <c r="AT627"/>
      <c r="AU627"/>
      <c r="AV627"/>
      <c r="AW627"/>
      <c r="AX627"/>
      <c r="AY627"/>
      <c r="AZ627"/>
      <c r="BA627"/>
      <c r="BB627"/>
      <c r="BC627"/>
      <c r="BD627"/>
      <c r="BE627"/>
      <c r="BJ627"/>
      <c r="BK627"/>
      <c r="BL627"/>
      <c r="BP627"/>
      <c r="BQ627"/>
      <c r="BR627"/>
      <c r="CD627"/>
      <c r="CE627"/>
      <c r="CF627"/>
      <c r="CQ627"/>
      <c r="CR627"/>
      <c r="CS627"/>
      <c r="DQ627"/>
      <c r="DR627"/>
      <c r="DS627"/>
      <c r="DT627"/>
      <c r="DU627"/>
    </row>
    <row r="628" spans="1:125">
      <c r="A628"/>
      <c r="B628"/>
      <c r="C628"/>
      <c r="D628"/>
      <c r="E628"/>
      <c r="G628"/>
      <c r="K628"/>
      <c r="V628"/>
      <c r="AC628"/>
      <c r="AI628"/>
      <c r="AJ628"/>
      <c r="AK628"/>
      <c r="AL628"/>
      <c r="AM628"/>
      <c r="AP628"/>
      <c r="AQ628"/>
      <c r="AR628"/>
      <c r="AS628" s="180"/>
      <c r="AT628"/>
      <c r="AU628"/>
      <c r="AV628"/>
      <c r="AW628"/>
      <c r="AX628"/>
      <c r="AY628"/>
      <c r="AZ628"/>
      <c r="BA628"/>
      <c r="BB628"/>
      <c r="BC628"/>
      <c r="BD628"/>
      <c r="BE628"/>
      <c r="BJ628"/>
      <c r="BK628"/>
      <c r="BL628"/>
      <c r="BP628"/>
      <c r="BQ628"/>
      <c r="BR628"/>
      <c r="CD628"/>
      <c r="CE628"/>
      <c r="CF628"/>
      <c r="CQ628"/>
      <c r="CR628"/>
      <c r="CS628"/>
      <c r="DQ628"/>
      <c r="DR628"/>
      <c r="DS628"/>
      <c r="DT628"/>
      <c r="DU628"/>
    </row>
    <row r="629" spans="1:125">
      <c r="A629"/>
      <c r="B629"/>
      <c r="C629"/>
      <c r="D629"/>
      <c r="E629"/>
      <c r="G629"/>
      <c r="K629"/>
      <c r="V629"/>
      <c r="AC629"/>
      <c r="AI629"/>
      <c r="AJ629"/>
      <c r="AK629"/>
      <c r="AL629"/>
      <c r="AM629"/>
      <c r="AP629"/>
      <c r="AQ629"/>
      <c r="AR629"/>
      <c r="AS629" s="180"/>
      <c r="AT629"/>
      <c r="AU629"/>
      <c r="AV629"/>
      <c r="AW629"/>
      <c r="AX629"/>
      <c r="AY629"/>
      <c r="AZ629"/>
      <c r="BA629"/>
      <c r="BB629"/>
      <c r="BC629"/>
      <c r="BD629"/>
      <c r="BE629"/>
      <c r="BJ629"/>
      <c r="BK629"/>
      <c r="BL629"/>
      <c r="BP629"/>
      <c r="BQ629"/>
      <c r="BR629"/>
      <c r="CD629"/>
      <c r="CE629"/>
      <c r="CF629"/>
      <c r="CQ629"/>
      <c r="CR629"/>
      <c r="CS629"/>
      <c r="DQ629"/>
      <c r="DR629"/>
      <c r="DS629"/>
      <c r="DT629"/>
      <c r="DU629"/>
    </row>
    <row r="630" spans="1:125">
      <c r="A630"/>
      <c r="B630"/>
      <c r="C630"/>
      <c r="D630"/>
      <c r="E630"/>
      <c r="G630"/>
      <c r="K630"/>
      <c r="V630"/>
      <c r="AC630"/>
      <c r="AI630"/>
      <c r="AJ630"/>
      <c r="AK630"/>
      <c r="AL630"/>
      <c r="AM630"/>
      <c r="AP630"/>
      <c r="AQ630"/>
      <c r="AR630"/>
      <c r="AS630" s="180"/>
      <c r="AT630"/>
      <c r="AU630"/>
      <c r="AV630"/>
      <c r="AW630"/>
      <c r="AX630"/>
      <c r="AY630"/>
      <c r="AZ630"/>
      <c r="BA630"/>
      <c r="BB630"/>
      <c r="BC630"/>
      <c r="BD630"/>
      <c r="BE630"/>
      <c r="BJ630"/>
      <c r="BK630"/>
      <c r="BL630"/>
      <c r="BP630"/>
      <c r="BQ630"/>
      <c r="BR630"/>
      <c r="CD630"/>
      <c r="CE630"/>
      <c r="CF630"/>
      <c r="CQ630"/>
      <c r="CR630"/>
      <c r="CS630"/>
      <c r="DQ630"/>
      <c r="DR630"/>
      <c r="DS630"/>
      <c r="DT630"/>
      <c r="DU630"/>
    </row>
    <row r="631" spans="1:125">
      <c r="A631"/>
      <c r="B631"/>
      <c r="C631"/>
      <c r="D631"/>
      <c r="E631"/>
      <c r="G631"/>
      <c r="K631"/>
      <c r="V631"/>
      <c r="AC631"/>
      <c r="AI631"/>
      <c r="AJ631"/>
      <c r="AK631"/>
      <c r="AL631"/>
      <c r="AM631"/>
      <c r="AP631"/>
      <c r="AQ631"/>
      <c r="AR631"/>
      <c r="AS631" s="180"/>
      <c r="AT631"/>
      <c r="AU631"/>
      <c r="AV631"/>
      <c r="AW631"/>
      <c r="AX631"/>
      <c r="AY631"/>
      <c r="AZ631"/>
      <c r="BA631"/>
      <c r="BB631"/>
      <c r="BC631"/>
      <c r="BD631"/>
      <c r="BE631"/>
      <c r="BJ631"/>
      <c r="BK631"/>
      <c r="BL631"/>
      <c r="BP631"/>
      <c r="BQ631"/>
      <c r="BR631"/>
      <c r="CD631"/>
      <c r="CE631"/>
      <c r="CF631"/>
      <c r="CQ631"/>
      <c r="CR631"/>
      <c r="CS631"/>
      <c r="DQ631"/>
      <c r="DR631"/>
      <c r="DS631"/>
      <c r="DT631"/>
      <c r="DU631"/>
    </row>
    <row r="632" spans="1:125">
      <c r="A632"/>
      <c r="B632"/>
      <c r="C632"/>
      <c r="D632"/>
      <c r="E632"/>
      <c r="G632"/>
      <c r="K632"/>
      <c r="V632"/>
      <c r="AC632"/>
      <c r="AI632"/>
      <c r="AJ632"/>
      <c r="AK632"/>
      <c r="AL632"/>
      <c r="AM632"/>
      <c r="AP632"/>
      <c r="AQ632"/>
      <c r="AR632"/>
      <c r="AS632" s="180"/>
      <c r="AT632"/>
      <c r="AU632"/>
      <c r="AV632"/>
      <c r="AW632"/>
      <c r="AX632"/>
      <c r="AY632"/>
      <c r="AZ632"/>
      <c r="BA632"/>
      <c r="BB632"/>
      <c r="BC632"/>
      <c r="BD632"/>
      <c r="BE632"/>
      <c r="BJ632"/>
      <c r="BK632"/>
      <c r="BL632"/>
      <c r="BP632"/>
      <c r="BQ632"/>
      <c r="BR632"/>
      <c r="CD632"/>
      <c r="CE632"/>
      <c r="CF632"/>
      <c r="CQ632"/>
      <c r="CR632"/>
      <c r="CS632"/>
      <c r="DQ632"/>
      <c r="DR632"/>
      <c r="DS632"/>
      <c r="DT632"/>
      <c r="DU632"/>
    </row>
    <row r="633" spans="1:125">
      <c r="A633"/>
      <c r="B633"/>
      <c r="C633"/>
      <c r="D633"/>
      <c r="E633"/>
      <c r="G633"/>
      <c r="K633"/>
      <c r="V633"/>
      <c r="AC633"/>
      <c r="AI633"/>
      <c r="AJ633"/>
      <c r="AK633"/>
      <c r="AL633"/>
      <c r="AM633"/>
      <c r="AP633"/>
      <c r="AQ633"/>
      <c r="AR633"/>
      <c r="AS633" s="180"/>
      <c r="AT633"/>
      <c r="AU633"/>
      <c r="AV633"/>
      <c r="AW633"/>
      <c r="AX633"/>
      <c r="AY633"/>
      <c r="AZ633"/>
      <c r="BA633"/>
      <c r="BB633"/>
      <c r="BC633"/>
      <c r="BD633"/>
      <c r="BE633"/>
      <c r="BJ633"/>
      <c r="BK633"/>
      <c r="BL633"/>
      <c r="BP633"/>
      <c r="BQ633"/>
      <c r="BR633"/>
      <c r="CD633"/>
      <c r="CE633"/>
      <c r="CF633"/>
      <c r="CQ633"/>
      <c r="CR633"/>
      <c r="CS633"/>
      <c r="DQ633"/>
      <c r="DR633"/>
      <c r="DS633"/>
      <c r="DT633"/>
      <c r="DU633"/>
    </row>
    <row r="634" spans="1:125">
      <c r="A634"/>
      <c r="B634"/>
      <c r="C634"/>
      <c r="D634"/>
      <c r="E634"/>
      <c r="G634"/>
      <c r="K634"/>
      <c r="V634"/>
      <c r="AC634"/>
      <c r="AI634"/>
      <c r="AJ634"/>
      <c r="AK634"/>
      <c r="AL634"/>
      <c r="AM634"/>
      <c r="AP634"/>
      <c r="AQ634"/>
      <c r="AR634"/>
      <c r="AS634" s="180"/>
      <c r="AT634"/>
      <c r="AU634"/>
      <c r="AV634"/>
      <c r="AW634"/>
      <c r="AX634"/>
      <c r="AY634"/>
      <c r="AZ634"/>
      <c r="BA634"/>
      <c r="BB634"/>
      <c r="BC634"/>
      <c r="BD634"/>
      <c r="BE634"/>
      <c r="BJ634"/>
      <c r="BK634"/>
      <c r="BL634"/>
      <c r="BP634"/>
      <c r="BQ634"/>
      <c r="BR634"/>
      <c r="CD634"/>
      <c r="CE634"/>
      <c r="CF634"/>
      <c r="CQ634"/>
      <c r="CR634"/>
      <c r="CS634"/>
      <c r="DQ634"/>
      <c r="DR634"/>
      <c r="DS634"/>
      <c r="DT634"/>
      <c r="DU634"/>
    </row>
    <row r="635" spans="1:125">
      <c r="A635"/>
      <c r="B635"/>
      <c r="C635"/>
      <c r="D635"/>
      <c r="E635"/>
      <c r="G635"/>
      <c r="K635"/>
      <c r="V635"/>
      <c r="AC635"/>
      <c r="AI635"/>
      <c r="AJ635"/>
      <c r="AK635"/>
      <c r="AL635"/>
      <c r="AM635"/>
      <c r="AP635"/>
      <c r="AQ635"/>
      <c r="AR635"/>
      <c r="AS635" s="180"/>
      <c r="AT635"/>
      <c r="AU635"/>
      <c r="AV635"/>
      <c r="AW635"/>
      <c r="AX635"/>
      <c r="AY635"/>
      <c r="AZ635"/>
      <c r="BA635"/>
      <c r="BB635"/>
      <c r="BC635"/>
      <c r="BD635"/>
      <c r="BE635"/>
      <c r="BJ635"/>
      <c r="BK635"/>
      <c r="BL635"/>
      <c r="BP635"/>
      <c r="BQ635"/>
      <c r="BR635"/>
      <c r="CD635"/>
      <c r="CE635"/>
      <c r="CF635"/>
      <c r="CQ635"/>
      <c r="CR635"/>
      <c r="CS635"/>
      <c r="DQ635"/>
      <c r="DR635"/>
      <c r="DS635"/>
      <c r="DT635"/>
      <c r="DU635"/>
    </row>
    <row r="636" spans="1:125">
      <c r="A636"/>
      <c r="B636"/>
      <c r="C636"/>
      <c r="D636"/>
      <c r="E636"/>
      <c r="G636"/>
      <c r="K636"/>
      <c r="V636"/>
      <c r="AC636"/>
      <c r="AI636"/>
      <c r="AJ636"/>
      <c r="AK636"/>
      <c r="AL636"/>
      <c r="AM636"/>
      <c r="AP636"/>
      <c r="AQ636"/>
      <c r="AR636"/>
      <c r="AS636" s="180"/>
      <c r="AT636"/>
      <c r="AU636"/>
      <c r="AV636"/>
      <c r="AW636"/>
      <c r="AX636"/>
      <c r="AY636"/>
      <c r="AZ636"/>
      <c r="BA636"/>
      <c r="BB636"/>
      <c r="BC636"/>
      <c r="BD636"/>
      <c r="BE636"/>
      <c r="BJ636"/>
      <c r="BK636"/>
      <c r="BL636"/>
      <c r="BP636"/>
      <c r="BQ636"/>
      <c r="BR636"/>
      <c r="CD636"/>
      <c r="CE636"/>
      <c r="CF636"/>
      <c r="CQ636"/>
      <c r="CR636"/>
      <c r="CS636"/>
      <c r="DQ636"/>
      <c r="DR636"/>
      <c r="DS636"/>
      <c r="DT636"/>
      <c r="DU636"/>
    </row>
    <row r="637" spans="1:125">
      <c r="A637"/>
      <c r="B637"/>
      <c r="C637"/>
      <c r="D637"/>
      <c r="E637"/>
      <c r="G637"/>
      <c r="K637"/>
      <c r="V637"/>
      <c r="AC637"/>
      <c r="AI637"/>
      <c r="AJ637"/>
      <c r="AK637"/>
      <c r="AL637"/>
      <c r="AM637"/>
      <c r="AP637"/>
      <c r="AQ637"/>
      <c r="AR637"/>
      <c r="AS637" s="180"/>
      <c r="AT637"/>
      <c r="AU637"/>
      <c r="AV637"/>
      <c r="AW637"/>
      <c r="AX637"/>
      <c r="AY637"/>
      <c r="AZ637"/>
      <c r="BA637"/>
      <c r="BB637"/>
      <c r="BC637"/>
      <c r="BD637"/>
      <c r="BE637"/>
      <c r="BJ637"/>
      <c r="BK637"/>
      <c r="BL637"/>
      <c r="BP637"/>
      <c r="BQ637"/>
      <c r="BR637"/>
      <c r="CD637"/>
      <c r="CE637"/>
      <c r="CF637"/>
      <c r="CQ637"/>
      <c r="CR637"/>
      <c r="CS637"/>
      <c r="DQ637"/>
      <c r="DR637"/>
      <c r="DS637"/>
      <c r="DT637"/>
      <c r="DU637"/>
    </row>
    <row r="638" spans="1:125">
      <c r="A638"/>
      <c r="B638"/>
      <c r="C638"/>
      <c r="D638"/>
      <c r="E638"/>
      <c r="G638"/>
      <c r="K638"/>
      <c r="V638"/>
      <c r="AC638"/>
      <c r="AI638"/>
      <c r="AJ638"/>
      <c r="AK638"/>
      <c r="AL638"/>
      <c r="AM638"/>
      <c r="AP638"/>
      <c r="AQ638"/>
      <c r="AR638"/>
      <c r="AS638" s="180"/>
      <c r="AT638"/>
      <c r="AU638"/>
      <c r="AV638"/>
      <c r="AW638"/>
      <c r="AX638"/>
      <c r="AY638"/>
      <c r="AZ638"/>
      <c r="BA638"/>
      <c r="BB638"/>
      <c r="BC638"/>
      <c r="BD638"/>
      <c r="BE638"/>
      <c r="BJ638"/>
      <c r="BK638"/>
      <c r="BL638"/>
      <c r="BP638"/>
      <c r="BQ638"/>
      <c r="BR638"/>
      <c r="CD638"/>
      <c r="CE638"/>
      <c r="CF638"/>
      <c r="CQ638"/>
      <c r="CR638"/>
      <c r="CS638"/>
      <c r="DQ638"/>
      <c r="DR638"/>
      <c r="DS638"/>
      <c r="DT638"/>
      <c r="DU638"/>
    </row>
    <row r="639" spans="1:125">
      <c r="A639"/>
      <c r="B639"/>
      <c r="C639"/>
      <c r="D639"/>
      <c r="E639"/>
      <c r="G639"/>
      <c r="K639"/>
      <c r="V639"/>
      <c r="AC639"/>
      <c r="AI639"/>
      <c r="AJ639"/>
      <c r="AK639"/>
      <c r="AL639"/>
      <c r="AM639"/>
      <c r="AP639"/>
      <c r="AQ639"/>
      <c r="AR639"/>
      <c r="AS639" s="180"/>
      <c r="AT639"/>
      <c r="AU639"/>
      <c r="AV639"/>
      <c r="AW639"/>
      <c r="AX639"/>
      <c r="AY639"/>
      <c r="AZ639"/>
      <c r="BA639"/>
      <c r="BB639"/>
      <c r="BC639"/>
      <c r="BD639"/>
      <c r="BE639"/>
      <c r="BJ639"/>
      <c r="BK639"/>
      <c r="BL639"/>
      <c r="BP639"/>
      <c r="BQ639"/>
      <c r="BR639"/>
      <c r="CD639"/>
      <c r="CE639"/>
      <c r="CF639"/>
      <c r="CQ639"/>
      <c r="CR639"/>
      <c r="CS639"/>
      <c r="DQ639"/>
      <c r="DR639"/>
      <c r="DS639"/>
      <c r="DT639"/>
      <c r="DU639"/>
    </row>
    <row r="640" spans="1:125">
      <c r="A640"/>
      <c r="B640"/>
      <c r="C640"/>
      <c r="D640"/>
      <c r="E640"/>
      <c r="G640"/>
      <c r="K640"/>
      <c r="V640"/>
      <c r="AC640"/>
      <c r="AI640"/>
      <c r="AJ640"/>
      <c r="AK640"/>
      <c r="AL640"/>
      <c r="AM640"/>
      <c r="AP640"/>
      <c r="AQ640"/>
      <c r="AR640"/>
      <c r="AS640" s="180"/>
      <c r="AT640"/>
      <c r="AU640"/>
      <c r="AV640"/>
      <c r="AW640"/>
      <c r="AX640"/>
      <c r="AY640"/>
      <c r="AZ640"/>
      <c r="BA640"/>
      <c r="BB640"/>
      <c r="BC640"/>
      <c r="BD640"/>
      <c r="BE640"/>
      <c r="BJ640"/>
      <c r="BK640"/>
      <c r="BL640"/>
      <c r="BP640"/>
      <c r="BQ640"/>
      <c r="BR640"/>
      <c r="CD640"/>
      <c r="CE640"/>
      <c r="CF640"/>
      <c r="CQ640"/>
      <c r="CR640"/>
      <c r="CS640"/>
      <c r="DQ640"/>
      <c r="DR640"/>
      <c r="DS640"/>
      <c r="DT640"/>
      <c r="DU640"/>
    </row>
    <row r="641" spans="1:125">
      <c r="A641"/>
      <c r="B641"/>
      <c r="C641"/>
      <c r="D641"/>
      <c r="E641"/>
      <c r="G641"/>
      <c r="K641"/>
      <c r="V641"/>
      <c r="AC641"/>
      <c r="AI641"/>
      <c r="AJ641"/>
      <c r="AK641"/>
      <c r="AL641"/>
      <c r="AM641"/>
      <c r="AP641"/>
      <c r="AQ641"/>
      <c r="AR641"/>
      <c r="AS641" s="180"/>
      <c r="AT641"/>
      <c r="AU641"/>
      <c r="AV641"/>
      <c r="AW641"/>
      <c r="AX641"/>
      <c r="AY641"/>
      <c r="AZ641"/>
      <c r="BA641"/>
      <c r="BB641"/>
      <c r="BC641"/>
      <c r="BD641"/>
      <c r="BE641"/>
      <c r="BJ641"/>
      <c r="BK641"/>
      <c r="BL641"/>
      <c r="BP641"/>
      <c r="BQ641"/>
      <c r="BR641"/>
      <c r="CD641"/>
      <c r="CE641"/>
      <c r="CF641"/>
      <c r="CQ641"/>
      <c r="CR641"/>
      <c r="CS641"/>
      <c r="DQ641"/>
      <c r="DR641"/>
      <c r="DS641"/>
      <c r="DT641"/>
      <c r="DU641"/>
    </row>
    <row r="642" spans="1:125">
      <c r="A642"/>
      <c r="B642"/>
      <c r="C642"/>
      <c r="D642"/>
      <c r="E642"/>
      <c r="G642"/>
      <c r="K642"/>
      <c r="V642"/>
      <c r="AC642"/>
      <c r="AI642"/>
      <c r="AJ642"/>
      <c r="AK642"/>
      <c r="AL642"/>
      <c r="AM642"/>
      <c r="AP642"/>
      <c r="AQ642"/>
      <c r="AR642"/>
      <c r="AS642" s="180"/>
      <c r="AT642"/>
      <c r="AU642"/>
      <c r="AV642"/>
      <c r="AW642"/>
      <c r="AX642"/>
      <c r="AY642"/>
      <c r="AZ642"/>
      <c r="BA642"/>
      <c r="BB642"/>
      <c r="BC642"/>
      <c r="BD642"/>
      <c r="BE642"/>
      <c r="BJ642"/>
      <c r="BK642"/>
      <c r="BL642"/>
      <c r="BP642"/>
      <c r="BQ642"/>
      <c r="BR642"/>
      <c r="CD642"/>
      <c r="CE642"/>
      <c r="CF642"/>
      <c r="CQ642"/>
      <c r="CR642"/>
      <c r="CS642"/>
      <c r="DQ642"/>
      <c r="DR642"/>
      <c r="DS642"/>
      <c r="DT642"/>
      <c r="DU642"/>
    </row>
    <row r="643" spans="1:125">
      <c r="A643"/>
      <c r="B643"/>
      <c r="C643"/>
      <c r="D643"/>
      <c r="E643"/>
      <c r="G643"/>
      <c r="K643"/>
      <c r="V643"/>
      <c r="AC643"/>
      <c r="AI643"/>
      <c r="AJ643"/>
      <c r="AK643"/>
      <c r="AL643"/>
      <c r="AM643"/>
      <c r="AP643"/>
      <c r="AQ643"/>
      <c r="AR643"/>
      <c r="AS643" s="180"/>
      <c r="AT643"/>
      <c r="AU643"/>
      <c r="AV643"/>
      <c r="AW643"/>
      <c r="AX643"/>
      <c r="AY643"/>
      <c r="AZ643"/>
      <c r="BA643"/>
      <c r="BB643"/>
      <c r="BC643"/>
      <c r="BD643"/>
      <c r="BE643"/>
      <c r="BJ643"/>
      <c r="BK643"/>
      <c r="BL643"/>
      <c r="BP643"/>
      <c r="BQ643"/>
      <c r="BR643"/>
      <c r="CD643"/>
      <c r="CE643"/>
      <c r="CF643"/>
      <c r="CQ643"/>
      <c r="CR643"/>
      <c r="CS643"/>
      <c r="DQ643"/>
      <c r="DR643"/>
      <c r="DS643"/>
      <c r="DT643"/>
      <c r="DU643"/>
    </row>
    <row r="644" spans="1:125">
      <c r="A644"/>
      <c r="B644"/>
      <c r="C644"/>
      <c r="D644"/>
      <c r="E644"/>
      <c r="G644"/>
      <c r="K644"/>
      <c r="V644"/>
      <c r="AC644"/>
      <c r="AI644"/>
      <c r="AJ644"/>
      <c r="AK644"/>
      <c r="AL644"/>
      <c r="AM644"/>
      <c r="AP644"/>
      <c r="AQ644"/>
      <c r="AR644"/>
      <c r="AS644" s="180"/>
      <c r="AT644"/>
      <c r="AU644"/>
      <c r="AV644"/>
      <c r="AW644"/>
      <c r="AX644"/>
      <c r="AY644"/>
      <c r="AZ644"/>
      <c r="BA644"/>
      <c r="BB644"/>
      <c r="BC644"/>
      <c r="BD644"/>
      <c r="BE644"/>
      <c r="BJ644"/>
      <c r="BK644"/>
      <c r="BL644"/>
      <c r="BP644"/>
      <c r="BQ644"/>
      <c r="BR644"/>
      <c r="CD644"/>
      <c r="CE644"/>
      <c r="CF644"/>
      <c r="CQ644"/>
      <c r="CR644"/>
      <c r="CS644"/>
      <c r="DQ644"/>
      <c r="DR644"/>
      <c r="DS644"/>
      <c r="DT644"/>
      <c r="DU644"/>
    </row>
    <row r="645" spans="1:125">
      <c r="A645"/>
      <c r="B645"/>
      <c r="C645"/>
      <c r="D645"/>
      <c r="E645"/>
      <c r="G645"/>
      <c r="K645"/>
      <c r="V645"/>
      <c r="AC645"/>
      <c r="AI645"/>
      <c r="AJ645"/>
      <c r="AK645"/>
      <c r="AL645"/>
      <c r="AM645"/>
      <c r="AP645"/>
      <c r="AQ645"/>
      <c r="AR645"/>
      <c r="AS645" s="180"/>
      <c r="AT645"/>
      <c r="AU645"/>
      <c r="AV645"/>
      <c r="AW645"/>
      <c r="AX645"/>
      <c r="AY645"/>
      <c r="AZ645"/>
      <c r="BA645"/>
      <c r="BB645"/>
      <c r="BC645"/>
      <c r="BD645"/>
      <c r="BE645"/>
      <c r="BJ645"/>
      <c r="BK645"/>
      <c r="BL645"/>
      <c r="BP645"/>
      <c r="BQ645"/>
      <c r="BR645"/>
      <c r="CD645"/>
      <c r="CE645"/>
      <c r="CF645"/>
      <c r="CQ645"/>
      <c r="CR645"/>
      <c r="CS645"/>
      <c r="DQ645"/>
      <c r="DR645"/>
      <c r="DS645"/>
      <c r="DT645"/>
      <c r="DU645"/>
    </row>
    <row r="646" spans="1:125">
      <c r="A646"/>
      <c r="B646"/>
      <c r="C646"/>
      <c r="D646"/>
      <c r="E646"/>
      <c r="G646"/>
      <c r="K646"/>
      <c r="V646"/>
      <c r="AC646"/>
      <c r="AI646"/>
      <c r="AJ646"/>
      <c r="AK646"/>
      <c r="AL646"/>
      <c r="AM646"/>
      <c r="AP646"/>
      <c r="AQ646"/>
      <c r="AR646"/>
      <c r="AS646" s="180"/>
      <c r="AT646"/>
      <c r="AU646"/>
      <c r="AV646"/>
      <c r="AW646"/>
      <c r="AX646"/>
      <c r="AY646"/>
      <c r="AZ646"/>
      <c r="BA646"/>
      <c r="BB646"/>
      <c r="BC646"/>
      <c r="BD646"/>
      <c r="BE646"/>
      <c r="BJ646"/>
      <c r="BK646"/>
      <c r="BL646"/>
      <c r="BP646"/>
      <c r="BQ646"/>
      <c r="BR646"/>
      <c r="CD646"/>
      <c r="CE646"/>
      <c r="CF646"/>
      <c r="CQ646"/>
      <c r="CR646"/>
      <c r="CS646"/>
      <c r="DQ646"/>
      <c r="DR646"/>
      <c r="DS646"/>
      <c r="DT646"/>
      <c r="DU646"/>
    </row>
    <row r="647" spans="1:125">
      <c r="A647"/>
      <c r="B647"/>
      <c r="C647"/>
      <c r="D647"/>
      <c r="E647"/>
      <c r="G647"/>
      <c r="K647"/>
      <c r="V647"/>
      <c r="AC647"/>
      <c r="AI647"/>
      <c r="AJ647"/>
      <c r="AK647"/>
      <c r="AL647"/>
      <c r="AM647"/>
      <c r="AP647"/>
      <c r="AQ647"/>
      <c r="AR647"/>
      <c r="AS647" s="180"/>
      <c r="AT647"/>
      <c r="AU647"/>
      <c r="AV647"/>
      <c r="AW647"/>
      <c r="AX647"/>
      <c r="AY647"/>
      <c r="AZ647"/>
      <c r="BA647"/>
      <c r="BB647"/>
      <c r="BC647"/>
      <c r="BD647"/>
      <c r="BE647"/>
      <c r="BJ647"/>
      <c r="BK647"/>
      <c r="BL647"/>
      <c r="BP647"/>
      <c r="BQ647"/>
      <c r="BR647"/>
      <c r="CD647"/>
      <c r="CE647"/>
      <c r="CF647"/>
      <c r="CQ647"/>
      <c r="CR647"/>
      <c r="CS647"/>
      <c r="DQ647"/>
      <c r="DR647"/>
      <c r="DS647"/>
      <c r="DT647"/>
      <c r="DU647"/>
    </row>
    <row r="648" spans="1:125">
      <c r="A648"/>
      <c r="B648"/>
      <c r="C648"/>
      <c r="D648"/>
      <c r="E648"/>
      <c r="G648"/>
      <c r="K648"/>
      <c r="V648"/>
      <c r="AC648"/>
      <c r="AI648"/>
      <c r="AJ648"/>
      <c r="AK648"/>
      <c r="AL648"/>
      <c r="AM648"/>
      <c r="AP648"/>
      <c r="AQ648"/>
      <c r="AR648"/>
      <c r="AS648" s="180"/>
      <c r="AT648"/>
      <c r="AU648"/>
      <c r="AV648"/>
      <c r="AW648"/>
      <c r="AX648"/>
      <c r="AY648"/>
      <c r="AZ648"/>
      <c r="BA648"/>
      <c r="BB648"/>
      <c r="BC648"/>
      <c r="BD648"/>
      <c r="BE648"/>
      <c r="BJ648"/>
      <c r="BK648"/>
      <c r="BL648"/>
      <c r="BP648"/>
      <c r="BQ648"/>
      <c r="BR648"/>
      <c r="CD648"/>
      <c r="CE648"/>
      <c r="CF648"/>
      <c r="CQ648"/>
      <c r="CR648"/>
      <c r="CS648"/>
      <c r="DQ648"/>
      <c r="DR648"/>
      <c r="DS648"/>
      <c r="DT648"/>
      <c r="DU648"/>
    </row>
    <row r="649" spans="1:125">
      <c r="A649"/>
      <c r="B649"/>
      <c r="C649"/>
      <c r="D649"/>
      <c r="E649"/>
      <c r="G649"/>
      <c r="K649"/>
      <c r="V649"/>
      <c r="AC649"/>
      <c r="AI649"/>
      <c r="AJ649"/>
      <c r="AK649"/>
      <c r="AL649"/>
      <c r="AM649"/>
      <c r="AP649"/>
      <c r="AQ649"/>
      <c r="AR649"/>
      <c r="AS649" s="180"/>
      <c r="AT649"/>
      <c r="AU649"/>
      <c r="AV649"/>
      <c r="AW649"/>
      <c r="AX649"/>
      <c r="AY649"/>
      <c r="AZ649"/>
      <c r="BA649"/>
      <c r="BB649"/>
      <c r="BC649"/>
      <c r="BD649"/>
      <c r="BE649"/>
      <c r="BJ649"/>
      <c r="BK649"/>
      <c r="BL649"/>
      <c r="BP649"/>
      <c r="BQ649"/>
      <c r="BR649"/>
      <c r="CD649"/>
      <c r="CE649"/>
      <c r="CF649"/>
      <c r="CQ649"/>
      <c r="CR649"/>
      <c r="CS649"/>
      <c r="DQ649"/>
      <c r="DR649"/>
      <c r="DS649"/>
      <c r="DT649"/>
      <c r="DU649"/>
    </row>
    <row r="650" spans="1:125">
      <c r="A650"/>
      <c r="B650"/>
      <c r="C650"/>
      <c r="D650"/>
      <c r="E650"/>
      <c r="G650"/>
      <c r="K650"/>
      <c r="V650"/>
      <c r="AC650"/>
      <c r="AI650"/>
      <c r="AJ650"/>
      <c r="AK650"/>
      <c r="AL650"/>
      <c r="AM650"/>
      <c r="AP650"/>
      <c r="AQ650"/>
      <c r="AR650"/>
      <c r="AS650" s="180"/>
      <c r="AT650"/>
      <c r="AU650"/>
      <c r="AV650"/>
      <c r="AW650"/>
      <c r="AX650"/>
      <c r="AY650"/>
      <c r="AZ650"/>
      <c r="BA650"/>
      <c r="BB650"/>
      <c r="BC650"/>
      <c r="BD650"/>
      <c r="BE650"/>
      <c r="BJ650"/>
      <c r="BK650"/>
      <c r="BL650"/>
      <c r="BP650"/>
      <c r="BQ650"/>
      <c r="BR650"/>
      <c r="CD650"/>
      <c r="CE650"/>
      <c r="CF650"/>
      <c r="CQ650"/>
      <c r="CR650"/>
      <c r="CS650"/>
      <c r="DQ650"/>
      <c r="DR650"/>
      <c r="DS650"/>
      <c r="DT650"/>
      <c r="DU650"/>
    </row>
    <row r="651" spans="1:125">
      <c r="A651"/>
      <c r="B651"/>
      <c r="C651"/>
      <c r="D651"/>
      <c r="E651"/>
      <c r="G651"/>
      <c r="K651"/>
      <c r="V651"/>
      <c r="AC651"/>
      <c r="AI651"/>
      <c r="AJ651"/>
      <c r="AK651"/>
      <c r="AL651"/>
      <c r="AM651"/>
      <c r="AP651"/>
      <c r="AQ651"/>
      <c r="AR651"/>
      <c r="AS651" s="180"/>
      <c r="AT651"/>
      <c r="AU651"/>
      <c r="AV651"/>
      <c r="AW651"/>
      <c r="AX651"/>
      <c r="AY651"/>
      <c r="AZ651"/>
      <c r="BA651"/>
      <c r="BB651"/>
      <c r="BC651"/>
      <c r="BD651"/>
      <c r="BE651"/>
      <c r="BJ651"/>
      <c r="BK651"/>
      <c r="BL651"/>
      <c r="BP651"/>
      <c r="BQ651"/>
      <c r="BR651"/>
      <c r="CD651"/>
      <c r="CE651"/>
      <c r="CF651"/>
      <c r="CQ651"/>
      <c r="CR651"/>
      <c r="CS651"/>
      <c r="DQ651"/>
      <c r="DR651"/>
      <c r="DS651"/>
      <c r="DT651"/>
      <c r="DU651"/>
    </row>
    <row r="652" spans="1:125">
      <c r="A652"/>
      <c r="B652"/>
      <c r="C652"/>
      <c r="D652"/>
      <c r="E652"/>
      <c r="G652"/>
      <c r="K652"/>
      <c r="V652"/>
      <c r="AC652"/>
      <c r="AI652"/>
      <c r="AJ652"/>
      <c r="AK652"/>
      <c r="AL652"/>
      <c r="AM652"/>
      <c r="AP652"/>
      <c r="AQ652"/>
      <c r="AR652"/>
      <c r="AS652" s="180"/>
      <c r="AT652"/>
      <c r="AU652"/>
      <c r="AV652"/>
      <c r="AW652"/>
      <c r="AX652"/>
      <c r="AY652"/>
      <c r="AZ652"/>
      <c r="BA652"/>
      <c r="BB652"/>
      <c r="BC652"/>
      <c r="BD652"/>
      <c r="BE652"/>
      <c r="BJ652"/>
      <c r="BK652"/>
      <c r="BL652"/>
      <c r="BP652"/>
      <c r="BQ652"/>
      <c r="BR652"/>
      <c r="CD652"/>
      <c r="CE652"/>
      <c r="CF652"/>
      <c r="CQ652"/>
      <c r="CR652"/>
      <c r="CS652"/>
      <c r="DQ652"/>
      <c r="DR652"/>
      <c r="DS652"/>
      <c r="DT652"/>
      <c r="DU652"/>
    </row>
    <row r="653" spans="1:125">
      <c r="A653"/>
      <c r="B653"/>
      <c r="C653"/>
      <c r="D653"/>
      <c r="E653"/>
      <c r="G653"/>
      <c r="K653"/>
      <c r="V653"/>
      <c r="AC653"/>
      <c r="AI653"/>
      <c r="AJ653"/>
      <c r="AK653"/>
      <c r="AL653"/>
      <c r="AM653"/>
      <c r="AP653"/>
      <c r="AQ653"/>
      <c r="AR653"/>
      <c r="AS653" s="180"/>
      <c r="AT653"/>
      <c r="AU653"/>
      <c r="AV653"/>
      <c r="AW653"/>
      <c r="AX653"/>
      <c r="AY653"/>
      <c r="AZ653"/>
      <c r="BA653"/>
      <c r="BB653"/>
      <c r="BC653"/>
      <c r="BD653"/>
      <c r="BE653"/>
      <c r="BJ653"/>
      <c r="BK653"/>
      <c r="BL653"/>
      <c r="BP653"/>
      <c r="BQ653"/>
      <c r="BR653"/>
      <c r="CD653"/>
      <c r="CE653"/>
      <c r="CF653"/>
      <c r="CQ653"/>
      <c r="CR653"/>
      <c r="CS653"/>
      <c r="DQ653"/>
      <c r="DR653"/>
      <c r="DS653"/>
      <c r="DT653"/>
      <c r="DU653"/>
    </row>
    <row r="654" spans="1:125">
      <c r="A654"/>
      <c r="B654"/>
      <c r="C654"/>
      <c r="D654"/>
      <c r="E654"/>
      <c r="G654"/>
      <c r="K654"/>
      <c r="V654"/>
      <c r="AC654"/>
      <c r="AI654"/>
      <c r="AJ654"/>
      <c r="AK654"/>
      <c r="AL654"/>
      <c r="AM654"/>
      <c r="AP654"/>
      <c r="AQ654"/>
      <c r="AR654"/>
      <c r="AS654" s="180"/>
      <c r="AT654"/>
      <c r="AU654"/>
      <c r="AV654"/>
      <c r="AW654"/>
      <c r="AX654"/>
      <c r="AY654"/>
      <c r="AZ654"/>
      <c r="BA654"/>
      <c r="BB654"/>
      <c r="BC654"/>
      <c r="BD654"/>
      <c r="BE654"/>
      <c r="BJ654"/>
      <c r="BK654"/>
      <c r="BL654"/>
      <c r="BP654"/>
      <c r="BQ654"/>
      <c r="BR654"/>
      <c r="CD654"/>
      <c r="CE654"/>
      <c r="CF654"/>
      <c r="CQ654"/>
      <c r="CR654"/>
      <c r="CS654"/>
      <c r="DQ654"/>
      <c r="DR654"/>
      <c r="DS654"/>
      <c r="DT654"/>
      <c r="DU654"/>
    </row>
    <row r="655" spans="1:125">
      <c r="A655"/>
      <c r="B655"/>
      <c r="C655"/>
      <c r="D655"/>
      <c r="E655"/>
      <c r="G655"/>
      <c r="K655"/>
      <c r="V655"/>
      <c r="AC655"/>
      <c r="AI655"/>
      <c r="AJ655"/>
      <c r="AK655"/>
      <c r="AL655"/>
      <c r="AM655"/>
      <c r="AP655"/>
      <c r="AQ655"/>
      <c r="AR655"/>
      <c r="AS655" s="180"/>
      <c r="AT655"/>
      <c r="AU655"/>
      <c r="AV655"/>
      <c r="AW655"/>
      <c r="AX655"/>
      <c r="AY655"/>
      <c r="AZ655"/>
      <c r="BA655"/>
      <c r="BB655"/>
      <c r="BC655"/>
      <c r="BD655"/>
      <c r="BE655"/>
      <c r="BJ655"/>
      <c r="BK655"/>
      <c r="BL655"/>
      <c r="BP655"/>
      <c r="BQ655"/>
      <c r="BR655"/>
      <c r="CD655"/>
      <c r="CE655"/>
      <c r="CF655"/>
      <c r="CQ655"/>
      <c r="CR655"/>
      <c r="CS655"/>
      <c r="DQ655"/>
      <c r="DR655"/>
      <c r="DS655"/>
      <c r="DT655"/>
      <c r="DU655"/>
    </row>
    <row r="656" spans="1:125">
      <c r="A656"/>
      <c r="B656"/>
      <c r="C656"/>
      <c r="D656"/>
      <c r="E656"/>
      <c r="G656"/>
      <c r="K656"/>
      <c r="V656"/>
      <c r="AC656"/>
      <c r="AI656"/>
      <c r="AJ656"/>
      <c r="AK656"/>
      <c r="AL656"/>
      <c r="AM656"/>
      <c r="AP656"/>
      <c r="AQ656"/>
      <c r="AR656"/>
      <c r="AS656" s="180"/>
      <c r="AT656"/>
      <c r="AU656"/>
      <c r="AV656"/>
      <c r="AW656"/>
      <c r="AX656"/>
      <c r="AY656"/>
      <c r="AZ656"/>
      <c r="BA656"/>
      <c r="BB656"/>
      <c r="BC656"/>
      <c r="BD656"/>
      <c r="BE656"/>
      <c r="BJ656"/>
      <c r="BK656"/>
      <c r="BL656"/>
      <c r="BP656"/>
      <c r="BQ656"/>
      <c r="BR656"/>
      <c r="CD656"/>
      <c r="CE656"/>
      <c r="CF656"/>
      <c r="CQ656"/>
      <c r="CR656"/>
      <c r="CS656"/>
      <c r="DQ656"/>
      <c r="DR656"/>
      <c r="DS656"/>
      <c r="DT656"/>
      <c r="DU656"/>
    </row>
    <row r="657" spans="1:125">
      <c r="A657"/>
      <c r="B657"/>
      <c r="C657"/>
      <c r="D657"/>
      <c r="E657"/>
      <c r="G657"/>
      <c r="K657"/>
      <c r="V657"/>
      <c r="AC657"/>
      <c r="AI657"/>
      <c r="AJ657"/>
      <c r="AK657"/>
      <c r="AL657"/>
      <c r="AM657"/>
      <c r="AP657"/>
      <c r="AQ657"/>
      <c r="AR657"/>
      <c r="AS657" s="180"/>
      <c r="AT657"/>
      <c r="AU657"/>
      <c r="AV657"/>
      <c r="AW657"/>
      <c r="AX657"/>
      <c r="AY657"/>
      <c r="AZ657"/>
      <c r="BA657"/>
      <c r="BB657"/>
      <c r="BC657"/>
      <c r="BD657"/>
      <c r="BE657"/>
      <c r="BJ657"/>
      <c r="BK657"/>
      <c r="BL657"/>
      <c r="BP657"/>
      <c r="BQ657"/>
      <c r="BR657"/>
      <c r="CD657"/>
      <c r="CE657"/>
      <c r="CF657"/>
      <c r="CQ657"/>
      <c r="CR657"/>
      <c r="CS657"/>
      <c r="DQ657"/>
      <c r="DR657"/>
      <c r="DS657"/>
      <c r="DT657"/>
      <c r="DU657"/>
    </row>
    <row r="658" spans="1:125">
      <c r="A658"/>
      <c r="B658"/>
      <c r="C658"/>
      <c r="D658"/>
      <c r="E658"/>
      <c r="G658"/>
      <c r="K658"/>
      <c r="V658"/>
      <c r="AC658"/>
      <c r="AI658"/>
      <c r="AJ658"/>
      <c r="AK658"/>
      <c r="AL658"/>
      <c r="AM658"/>
      <c r="AP658"/>
      <c r="AQ658"/>
      <c r="AR658"/>
      <c r="AS658" s="180"/>
      <c r="AT658"/>
      <c r="AU658"/>
      <c r="AV658"/>
      <c r="AW658"/>
      <c r="AX658"/>
      <c r="AY658"/>
      <c r="AZ658"/>
      <c r="BA658"/>
      <c r="BB658"/>
      <c r="BC658"/>
      <c r="BD658"/>
      <c r="BE658"/>
      <c r="BJ658"/>
      <c r="BK658"/>
      <c r="BL658"/>
      <c r="BP658"/>
      <c r="BQ658"/>
      <c r="BR658"/>
      <c r="CD658"/>
      <c r="CE658"/>
      <c r="CF658"/>
      <c r="CQ658"/>
      <c r="CR658"/>
      <c r="CS658"/>
      <c r="DQ658"/>
      <c r="DR658"/>
      <c r="DS658"/>
      <c r="DT658"/>
      <c r="DU658"/>
    </row>
    <row r="659" spans="1:125">
      <c r="A659"/>
      <c r="B659"/>
      <c r="C659"/>
      <c r="D659"/>
      <c r="E659"/>
      <c r="G659"/>
      <c r="K659"/>
      <c r="V659"/>
      <c r="AC659"/>
      <c r="AI659"/>
      <c r="AJ659"/>
      <c r="AK659"/>
      <c r="AL659"/>
      <c r="AM659"/>
      <c r="AP659"/>
      <c r="AQ659"/>
      <c r="AR659"/>
      <c r="AS659" s="180"/>
      <c r="AT659"/>
      <c r="AU659"/>
      <c r="AV659"/>
      <c r="AW659"/>
      <c r="AX659"/>
      <c r="AY659"/>
      <c r="AZ659"/>
      <c r="BA659"/>
      <c r="BB659"/>
      <c r="BC659"/>
      <c r="BD659"/>
      <c r="BE659"/>
      <c r="BJ659"/>
      <c r="BK659"/>
      <c r="BL659"/>
      <c r="BP659"/>
      <c r="BQ659"/>
      <c r="BR659"/>
      <c r="CD659"/>
      <c r="CE659"/>
      <c r="CF659"/>
      <c r="CQ659"/>
      <c r="CR659"/>
      <c r="CS659"/>
      <c r="DQ659"/>
      <c r="DR659"/>
      <c r="DS659"/>
      <c r="DT659"/>
      <c r="DU659"/>
    </row>
    <row r="660" spans="1:125">
      <c r="A660"/>
      <c r="B660"/>
      <c r="C660"/>
      <c r="D660"/>
      <c r="E660"/>
      <c r="G660"/>
      <c r="K660"/>
      <c r="V660"/>
      <c r="AC660"/>
      <c r="AI660"/>
      <c r="AJ660"/>
      <c r="AK660"/>
      <c r="AL660"/>
      <c r="AM660"/>
      <c r="AP660"/>
      <c r="AQ660"/>
      <c r="AR660"/>
      <c r="AS660" s="180"/>
      <c r="AT660"/>
      <c r="AU660"/>
      <c r="AV660"/>
      <c r="AW660"/>
      <c r="AX660"/>
      <c r="AY660"/>
      <c r="AZ660"/>
      <c r="BA660"/>
      <c r="BB660"/>
      <c r="BC660"/>
      <c r="BD660"/>
      <c r="BE660"/>
      <c r="BJ660"/>
      <c r="BK660"/>
      <c r="BL660"/>
      <c r="BP660"/>
      <c r="BQ660"/>
      <c r="BR660"/>
      <c r="CD660"/>
      <c r="CE660"/>
      <c r="CF660"/>
      <c r="CQ660"/>
      <c r="CR660"/>
      <c r="CS660"/>
      <c r="DQ660"/>
      <c r="DR660"/>
      <c r="DS660"/>
      <c r="DT660"/>
      <c r="DU660"/>
    </row>
    <row r="661" spans="1:125">
      <c r="A661"/>
      <c r="B661"/>
      <c r="C661"/>
      <c r="D661"/>
      <c r="E661"/>
      <c r="G661"/>
      <c r="K661"/>
      <c r="V661"/>
      <c r="AC661"/>
      <c r="AI661"/>
      <c r="AJ661"/>
      <c r="AK661"/>
      <c r="AL661"/>
      <c r="AM661"/>
      <c r="AP661"/>
      <c r="AQ661"/>
      <c r="AR661"/>
      <c r="AS661" s="180"/>
      <c r="AT661"/>
      <c r="AU661"/>
      <c r="AV661"/>
      <c r="AW661"/>
      <c r="AX661"/>
      <c r="AY661"/>
      <c r="AZ661"/>
      <c r="BA661"/>
      <c r="BB661"/>
      <c r="BC661"/>
      <c r="BD661"/>
      <c r="BE661"/>
      <c r="BJ661"/>
      <c r="BK661"/>
      <c r="BL661"/>
      <c r="BP661"/>
      <c r="BQ661"/>
      <c r="BR661"/>
      <c r="CD661"/>
      <c r="CE661"/>
      <c r="CF661"/>
      <c r="CQ661"/>
      <c r="CR661"/>
      <c r="CS661"/>
      <c r="DQ661"/>
      <c r="DR661"/>
      <c r="DS661"/>
      <c r="DT661"/>
      <c r="DU661"/>
    </row>
    <row r="662" spans="1:125">
      <c r="A662"/>
      <c r="B662"/>
      <c r="C662"/>
      <c r="D662"/>
      <c r="E662"/>
      <c r="G662"/>
      <c r="K662"/>
      <c r="V662"/>
      <c r="AC662"/>
      <c r="AI662"/>
      <c r="AJ662"/>
      <c r="AK662"/>
      <c r="AL662"/>
      <c r="AM662"/>
      <c r="AP662"/>
      <c r="AQ662"/>
      <c r="AR662"/>
      <c r="AS662" s="180"/>
      <c r="AT662"/>
      <c r="AU662"/>
      <c r="AV662"/>
      <c r="AW662"/>
      <c r="AX662"/>
      <c r="AY662"/>
      <c r="AZ662"/>
      <c r="BA662"/>
      <c r="BB662"/>
      <c r="BC662"/>
      <c r="BD662"/>
      <c r="BE662"/>
      <c r="BJ662"/>
      <c r="BK662"/>
      <c r="BL662"/>
      <c r="BP662"/>
      <c r="BQ662"/>
      <c r="BR662"/>
      <c r="CD662"/>
      <c r="CE662"/>
      <c r="CF662"/>
      <c r="CQ662"/>
      <c r="CR662"/>
      <c r="CS662"/>
      <c r="DQ662"/>
      <c r="DR662"/>
      <c r="DS662"/>
      <c r="DT662"/>
      <c r="DU662"/>
    </row>
    <row r="663" spans="1:125">
      <c r="A663"/>
      <c r="B663"/>
      <c r="C663"/>
      <c r="D663"/>
      <c r="E663"/>
      <c r="G663"/>
      <c r="K663"/>
      <c r="V663"/>
      <c r="AC663"/>
      <c r="AI663"/>
      <c r="AJ663"/>
      <c r="AK663"/>
      <c r="AL663"/>
      <c r="AM663"/>
      <c r="AP663"/>
      <c r="AQ663"/>
      <c r="AR663"/>
      <c r="AS663" s="180"/>
      <c r="AT663"/>
      <c r="AU663"/>
      <c r="AV663"/>
      <c r="AW663"/>
      <c r="AX663"/>
      <c r="AY663"/>
      <c r="AZ663"/>
      <c r="BA663"/>
      <c r="BB663"/>
      <c r="BC663"/>
      <c r="BD663"/>
      <c r="BE663"/>
      <c r="BJ663"/>
      <c r="BK663"/>
      <c r="BL663"/>
      <c r="BP663"/>
      <c r="BQ663"/>
      <c r="BR663"/>
      <c r="CD663"/>
      <c r="CE663"/>
      <c r="CF663"/>
      <c r="CQ663"/>
      <c r="CR663"/>
      <c r="CS663"/>
      <c r="DQ663"/>
      <c r="DR663"/>
      <c r="DS663"/>
      <c r="DT663"/>
      <c r="DU663"/>
    </row>
    <row r="664" spans="1:125">
      <c r="A664"/>
      <c r="B664"/>
      <c r="C664"/>
      <c r="D664"/>
      <c r="E664"/>
      <c r="G664"/>
      <c r="K664"/>
      <c r="V664"/>
      <c r="AC664"/>
      <c r="AI664"/>
      <c r="AJ664"/>
      <c r="AK664"/>
      <c r="AL664"/>
      <c r="AM664"/>
      <c r="AP664"/>
      <c r="AQ664"/>
      <c r="AR664"/>
      <c r="AS664" s="180"/>
      <c r="AT664"/>
      <c r="AU664"/>
      <c r="AV664"/>
      <c r="AW664"/>
      <c r="AX664"/>
      <c r="AY664"/>
      <c r="AZ664"/>
      <c r="BA664"/>
      <c r="BB664"/>
      <c r="BC664"/>
      <c r="BD664"/>
      <c r="BE664"/>
      <c r="BJ664"/>
      <c r="BK664"/>
      <c r="BL664"/>
      <c r="BP664"/>
      <c r="BQ664"/>
      <c r="BR664"/>
      <c r="CD664"/>
      <c r="CE664"/>
      <c r="CF664"/>
      <c r="CQ664"/>
      <c r="CR664"/>
      <c r="CS664"/>
      <c r="DQ664"/>
      <c r="DR664"/>
      <c r="DS664"/>
      <c r="DT664"/>
      <c r="DU664"/>
    </row>
    <row r="665" spans="1:125">
      <c r="A665"/>
      <c r="B665"/>
      <c r="C665"/>
      <c r="D665"/>
      <c r="E665"/>
      <c r="G665"/>
      <c r="K665"/>
      <c r="V665"/>
      <c r="AC665"/>
      <c r="AI665"/>
      <c r="AJ665"/>
      <c r="AK665"/>
      <c r="AL665"/>
      <c r="AM665"/>
      <c r="AP665"/>
      <c r="AQ665"/>
      <c r="AR665"/>
      <c r="AS665" s="180"/>
      <c r="AT665"/>
      <c r="AU665"/>
      <c r="AV665"/>
      <c r="AW665"/>
      <c r="AX665"/>
      <c r="AY665"/>
      <c r="AZ665"/>
      <c r="BA665"/>
      <c r="BB665"/>
      <c r="BC665"/>
      <c r="BD665"/>
      <c r="BE665"/>
      <c r="BJ665"/>
      <c r="BK665"/>
      <c r="BL665"/>
      <c r="BP665"/>
      <c r="BQ665"/>
      <c r="BR665"/>
      <c r="CD665"/>
      <c r="CE665"/>
      <c r="CF665"/>
      <c r="CQ665"/>
      <c r="CR665"/>
      <c r="CS665"/>
      <c r="DQ665"/>
      <c r="DR665"/>
      <c r="DS665"/>
      <c r="DT665"/>
      <c r="DU665"/>
    </row>
    <row r="666" spans="1:125">
      <c r="A666"/>
      <c r="B666"/>
      <c r="C666"/>
      <c r="D666"/>
      <c r="E666"/>
      <c r="G666"/>
      <c r="K666"/>
      <c r="V666"/>
      <c r="AC666"/>
      <c r="AI666"/>
      <c r="AJ666"/>
      <c r="AK666"/>
      <c r="AL666"/>
      <c r="AM666"/>
      <c r="AP666"/>
      <c r="AQ666"/>
      <c r="AR666"/>
      <c r="AS666" s="180"/>
      <c r="AT666"/>
      <c r="AU666"/>
      <c r="AV666"/>
      <c r="AW666"/>
      <c r="AX666"/>
      <c r="AY666"/>
      <c r="AZ666"/>
      <c r="BA666"/>
      <c r="BB666"/>
      <c r="BC666"/>
      <c r="BD666"/>
      <c r="BE666"/>
      <c r="BJ666"/>
      <c r="BK666"/>
      <c r="BL666"/>
      <c r="BP666"/>
      <c r="BQ666"/>
      <c r="BR666"/>
      <c r="CD666"/>
      <c r="CE666"/>
      <c r="CF666"/>
      <c r="CQ666"/>
      <c r="CR666"/>
      <c r="CS666"/>
      <c r="DQ666"/>
      <c r="DR666"/>
      <c r="DS666"/>
      <c r="DT666"/>
      <c r="DU666"/>
    </row>
    <row r="667" spans="1:125">
      <c r="A667"/>
      <c r="B667"/>
      <c r="C667"/>
      <c r="D667"/>
      <c r="E667"/>
      <c r="G667"/>
      <c r="K667"/>
      <c r="V667"/>
      <c r="AC667"/>
      <c r="AI667"/>
      <c r="AJ667"/>
      <c r="AK667"/>
      <c r="AL667"/>
      <c r="AM667"/>
      <c r="AP667"/>
      <c r="AQ667"/>
      <c r="AR667"/>
      <c r="AS667" s="180"/>
      <c r="AT667"/>
      <c r="AU667"/>
      <c r="AV667"/>
      <c r="AW667"/>
      <c r="AX667"/>
      <c r="AY667"/>
      <c r="AZ667"/>
      <c r="BA667"/>
      <c r="BB667"/>
      <c r="BC667"/>
      <c r="BD667"/>
      <c r="BE667"/>
      <c r="BJ667"/>
      <c r="BK667"/>
      <c r="BL667"/>
      <c r="BP667"/>
      <c r="BQ667"/>
      <c r="BR667"/>
      <c r="CD667"/>
      <c r="CE667"/>
      <c r="CF667"/>
      <c r="CQ667"/>
      <c r="CR667"/>
      <c r="CS667"/>
      <c r="DQ667"/>
      <c r="DR667"/>
      <c r="DS667"/>
      <c r="DT667"/>
      <c r="DU667"/>
    </row>
    <row r="668" spans="1:125">
      <c r="A668"/>
      <c r="B668"/>
      <c r="C668"/>
      <c r="D668"/>
      <c r="E668"/>
      <c r="G668"/>
      <c r="K668"/>
      <c r="V668"/>
      <c r="AC668"/>
      <c r="AI668"/>
      <c r="AJ668"/>
      <c r="AK668"/>
      <c r="AL668"/>
      <c r="AM668"/>
      <c r="AP668"/>
      <c r="AQ668"/>
      <c r="AR668"/>
      <c r="AS668" s="180"/>
      <c r="AT668"/>
      <c r="AU668"/>
      <c r="AV668"/>
      <c r="AW668"/>
      <c r="AX668"/>
      <c r="AY668"/>
      <c r="AZ668"/>
      <c r="BA668"/>
      <c r="BB668"/>
      <c r="BC668"/>
      <c r="BD668"/>
      <c r="BE668"/>
      <c r="BJ668"/>
      <c r="BK668"/>
      <c r="BL668"/>
      <c r="BP668"/>
      <c r="BQ668"/>
      <c r="BR668"/>
      <c r="CD668"/>
      <c r="CE668"/>
      <c r="CF668"/>
      <c r="CQ668"/>
      <c r="CR668"/>
      <c r="CS668"/>
      <c r="DQ668"/>
      <c r="DR668"/>
      <c r="DS668"/>
      <c r="DT668"/>
      <c r="DU668"/>
    </row>
    <row r="669" spans="1:125">
      <c r="A669"/>
      <c r="B669"/>
      <c r="C669"/>
      <c r="D669"/>
      <c r="E669"/>
      <c r="G669"/>
      <c r="K669"/>
      <c r="V669"/>
      <c r="AC669"/>
      <c r="AI669"/>
      <c r="AJ669"/>
      <c r="AK669"/>
      <c r="AL669"/>
      <c r="AM669"/>
      <c r="AP669"/>
      <c r="AQ669"/>
      <c r="AR669"/>
      <c r="AS669" s="180"/>
      <c r="AT669"/>
      <c r="AU669"/>
      <c r="AV669"/>
      <c r="AW669"/>
      <c r="AX669"/>
      <c r="AY669"/>
      <c r="AZ669"/>
      <c r="BA669"/>
      <c r="BB669"/>
      <c r="BC669"/>
      <c r="BD669"/>
      <c r="BE669"/>
      <c r="BJ669"/>
      <c r="BK669"/>
      <c r="BL669"/>
      <c r="BP669"/>
      <c r="BQ669"/>
      <c r="BR669"/>
      <c r="CD669"/>
      <c r="CE669"/>
      <c r="CF669"/>
      <c r="CQ669"/>
      <c r="CR669"/>
      <c r="CS669"/>
      <c r="DQ669"/>
      <c r="DR669"/>
      <c r="DS669"/>
      <c r="DT669"/>
      <c r="DU669"/>
    </row>
    <row r="670" spans="1:125">
      <c r="A670"/>
      <c r="B670"/>
      <c r="C670"/>
      <c r="D670"/>
      <c r="E670"/>
      <c r="G670"/>
      <c r="K670"/>
      <c r="V670"/>
      <c r="AC670"/>
      <c r="AI670"/>
      <c r="AJ670"/>
      <c r="AK670"/>
      <c r="AL670"/>
      <c r="AM670"/>
      <c r="AP670"/>
      <c r="AQ670"/>
      <c r="AR670"/>
      <c r="AS670" s="180"/>
      <c r="AT670"/>
      <c r="AU670"/>
      <c r="AV670"/>
      <c r="AW670"/>
      <c r="AX670"/>
      <c r="AY670"/>
      <c r="AZ670"/>
      <c r="BA670"/>
      <c r="BB670"/>
      <c r="BC670"/>
      <c r="BD670"/>
      <c r="BE670"/>
      <c r="BJ670"/>
      <c r="BK670"/>
      <c r="BL670"/>
      <c r="BP670"/>
      <c r="BQ670"/>
      <c r="BR670"/>
      <c r="CD670"/>
      <c r="CE670"/>
      <c r="CF670"/>
      <c r="CQ670"/>
      <c r="CR670"/>
      <c r="CS670"/>
      <c r="DQ670"/>
      <c r="DR670"/>
      <c r="DS670"/>
      <c r="DT670"/>
      <c r="DU670"/>
    </row>
    <row r="671" spans="1:125">
      <c r="A671"/>
      <c r="B671"/>
      <c r="C671"/>
      <c r="D671"/>
      <c r="E671"/>
      <c r="G671"/>
      <c r="K671"/>
      <c r="V671"/>
      <c r="AC671"/>
      <c r="AI671"/>
      <c r="AJ671"/>
      <c r="AK671"/>
      <c r="AL671"/>
      <c r="AM671"/>
      <c r="AP671"/>
      <c r="AQ671"/>
      <c r="AR671"/>
      <c r="AS671" s="180"/>
      <c r="AT671"/>
      <c r="AU671"/>
      <c r="AV671"/>
      <c r="AW671"/>
      <c r="AX671"/>
      <c r="AY671"/>
      <c r="AZ671"/>
      <c r="BA671"/>
      <c r="BB671"/>
      <c r="BC671"/>
      <c r="BD671"/>
      <c r="BE671"/>
      <c r="BJ671"/>
      <c r="BK671"/>
      <c r="BL671"/>
      <c r="BP671"/>
      <c r="BQ671"/>
      <c r="BR671"/>
      <c r="CD671"/>
      <c r="CE671"/>
      <c r="CF671"/>
      <c r="CQ671"/>
      <c r="CR671"/>
      <c r="CS671"/>
      <c r="DQ671"/>
      <c r="DR671"/>
      <c r="DS671"/>
      <c r="DT671"/>
      <c r="DU671"/>
    </row>
    <row r="672" spans="1:125">
      <c r="A672"/>
      <c r="B672"/>
      <c r="C672"/>
      <c r="D672"/>
      <c r="E672"/>
      <c r="G672"/>
      <c r="K672"/>
      <c r="V672"/>
      <c r="AC672"/>
      <c r="AI672"/>
      <c r="AJ672"/>
      <c r="AK672"/>
      <c r="AL672"/>
      <c r="AM672"/>
      <c r="AP672"/>
      <c r="AQ672"/>
      <c r="AR672"/>
      <c r="AS672" s="180"/>
      <c r="AT672"/>
      <c r="AU672"/>
      <c r="AV672"/>
      <c r="AW672"/>
      <c r="AX672"/>
      <c r="AY672"/>
      <c r="AZ672"/>
      <c r="BA672"/>
      <c r="BB672"/>
      <c r="BC672"/>
      <c r="BD672"/>
      <c r="BE672"/>
      <c r="BJ672"/>
      <c r="BK672"/>
      <c r="BL672"/>
      <c r="BP672"/>
      <c r="BQ672"/>
      <c r="BR672"/>
      <c r="CD672"/>
      <c r="CE672"/>
      <c r="CF672"/>
      <c r="CQ672"/>
      <c r="CR672"/>
      <c r="CS672"/>
      <c r="DQ672"/>
      <c r="DR672"/>
      <c r="DS672"/>
      <c r="DT672"/>
      <c r="DU672"/>
    </row>
    <row r="673" spans="1:125">
      <c r="A673"/>
      <c r="B673"/>
      <c r="C673"/>
      <c r="D673"/>
      <c r="E673"/>
      <c r="G673"/>
      <c r="K673"/>
      <c r="V673"/>
      <c r="AC673"/>
      <c r="AI673"/>
      <c r="AJ673"/>
      <c r="AK673"/>
      <c r="AL673"/>
      <c r="AM673"/>
      <c r="AP673"/>
      <c r="AQ673"/>
      <c r="AR673"/>
      <c r="AS673" s="180"/>
      <c r="AT673"/>
      <c r="AU673"/>
      <c r="AV673"/>
      <c r="AW673"/>
      <c r="AX673"/>
      <c r="AY673"/>
      <c r="AZ673"/>
      <c r="BA673"/>
      <c r="BB673"/>
      <c r="BC673"/>
      <c r="BD673"/>
      <c r="BE673"/>
      <c r="BJ673"/>
      <c r="BK673"/>
      <c r="BL673"/>
      <c r="BP673"/>
      <c r="BQ673"/>
      <c r="BR673"/>
      <c r="CD673"/>
      <c r="CE673"/>
      <c r="CF673"/>
      <c r="CQ673"/>
      <c r="CR673"/>
      <c r="CS673"/>
      <c r="DQ673"/>
      <c r="DR673"/>
      <c r="DS673"/>
      <c r="DT673"/>
      <c r="DU673"/>
    </row>
    <row r="674" spans="1:125">
      <c r="A674"/>
      <c r="B674"/>
      <c r="C674"/>
      <c r="D674"/>
      <c r="E674"/>
      <c r="G674"/>
      <c r="K674"/>
      <c r="V674"/>
      <c r="AC674"/>
      <c r="AI674"/>
      <c r="AJ674"/>
      <c r="AK674"/>
      <c r="AL674"/>
      <c r="AM674"/>
      <c r="AP674"/>
      <c r="AQ674"/>
      <c r="AR674"/>
      <c r="AS674" s="180"/>
      <c r="AT674"/>
      <c r="AU674"/>
      <c r="AV674"/>
      <c r="AW674"/>
      <c r="AX674"/>
      <c r="AY674"/>
      <c r="AZ674"/>
      <c r="BA674"/>
      <c r="BB674"/>
      <c r="BC674"/>
      <c r="BD674"/>
      <c r="BE674"/>
      <c r="BJ674"/>
      <c r="BK674"/>
      <c r="BL674"/>
      <c r="BP674"/>
      <c r="BQ674"/>
      <c r="BR674"/>
      <c r="CD674"/>
      <c r="CE674"/>
      <c r="CF674"/>
      <c r="CQ674"/>
      <c r="CR674"/>
      <c r="CS674"/>
      <c r="DQ674"/>
      <c r="DR674"/>
      <c r="DS674"/>
      <c r="DT674"/>
      <c r="DU674"/>
    </row>
    <row r="675" spans="1:125">
      <c r="A675"/>
      <c r="B675"/>
      <c r="C675"/>
      <c r="D675"/>
      <c r="E675"/>
      <c r="G675"/>
      <c r="K675"/>
      <c r="V675"/>
      <c r="AC675"/>
      <c r="AI675"/>
      <c r="AJ675"/>
      <c r="AK675"/>
      <c r="AL675"/>
      <c r="AM675"/>
      <c r="AP675"/>
      <c r="AQ675"/>
      <c r="AR675"/>
      <c r="AS675" s="180"/>
      <c r="AT675"/>
      <c r="AU675"/>
      <c r="AV675"/>
      <c r="AW675"/>
      <c r="AX675"/>
      <c r="AY675"/>
      <c r="AZ675"/>
      <c r="BA675"/>
      <c r="BB675"/>
      <c r="BC675"/>
      <c r="BD675"/>
      <c r="BE675"/>
      <c r="BJ675"/>
      <c r="BK675"/>
      <c r="BL675"/>
      <c r="BP675"/>
      <c r="BQ675"/>
      <c r="BR675"/>
      <c r="CD675"/>
      <c r="CE675"/>
      <c r="CF675"/>
      <c r="CQ675"/>
      <c r="CR675"/>
      <c r="CS675"/>
      <c r="DQ675"/>
      <c r="DR675"/>
      <c r="DS675"/>
      <c r="DT675"/>
      <c r="DU675"/>
    </row>
    <row r="676" spans="1:125">
      <c r="A676"/>
      <c r="B676"/>
      <c r="C676"/>
      <c r="D676"/>
      <c r="E676"/>
      <c r="G676"/>
      <c r="K676"/>
      <c r="V676"/>
      <c r="AC676"/>
      <c r="AI676"/>
      <c r="AJ676"/>
      <c r="AK676"/>
      <c r="AL676"/>
      <c r="AM676"/>
      <c r="AP676"/>
      <c r="AQ676"/>
      <c r="AR676"/>
      <c r="AS676" s="180"/>
      <c r="AT676"/>
      <c r="AU676"/>
      <c r="AV676"/>
      <c r="AW676"/>
      <c r="AX676"/>
      <c r="AY676"/>
      <c r="AZ676"/>
      <c r="BA676"/>
      <c r="BB676"/>
      <c r="BC676"/>
      <c r="BD676"/>
      <c r="BE676"/>
      <c r="BJ676"/>
      <c r="BK676"/>
      <c r="BL676"/>
      <c r="BP676"/>
      <c r="BQ676"/>
      <c r="BR676"/>
      <c r="CD676"/>
      <c r="CE676"/>
      <c r="CF676"/>
      <c r="CQ676"/>
      <c r="CR676"/>
      <c r="CS676"/>
      <c r="DQ676"/>
      <c r="DR676"/>
      <c r="DS676"/>
      <c r="DT676"/>
      <c r="DU676"/>
    </row>
    <row r="677" spans="1:125">
      <c r="A677"/>
      <c r="B677"/>
      <c r="C677"/>
      <c r="D677"/>
      <c r="E677"/>
      <c r="G677"/>
      <c r="K677"/>
      <c r="V677"/>
      <c r="AC677"/>
      <c r="AI677"/>
      <c r="AJ677"/>
      <c r="AK677"/>
      <c r="AL677"/>
      <c r="AM677"/>
      <c r="AP677"/>
      <c r="AQ677"/>
      <c r="AR677"/>
      <c r="AS677" s="180"/>
      <c r="AT677"/>
      <c r="AU677"/>
      <c r="AV677"/>
      <c r="AW677"/>
      <c r="AX677"/>
      <c r="AY677"/>
      <c r="AZ677"/>
      <c r="BA677"/>
      <c r="BB677"/>
      <c r="BC677"/>
      <c r="BD677"/>
      <c r="BE677"/>
      <c r="BJ677"/>
      <c r="BK677"/>
      <c r="BL677"/>
      <c r="BP677"/>
      <c r="BQ677"/>
      <c r="BR677"/>
      <c r="CD677"/>
      <c r="CE677"/>
      <c r="CF677"/>
      <c r="CQ677"/>
      <c r="CR677"/>
      <c r="CS677"/>
      <c r="DQ677"/>
      <c r="DR677"/>
      <c r="DS677"/>
      <c r="DT677"/>
      <c r="DU677"/>
    </row>
    <row r="678" spans="1:125">
      <c r="A678"/>
      <c r="B678"/>
      <c r="C678"/>
      <c r="D678"/>
      <c r="E678"/>
      <c r="G678"/>
      <c r="K678"/>
      <c r="V678"/>
      <c r="AC678"/>
      <c r="AI678"/>
      <c r="AJ678"/>
      <c r="AK678"/>
      <c r="AL678"/>
      <c r="AM678"/>
      <c r="AP678"/>
      <c r="AQ678"/>
      <c r="AR678"/>
      <c r="AS678" s="180"/>
      <c r="AT678"/>
      <c r="AU678"/>
      <c r="AV678"/>
      <c r="AW678"/>
      <c r="AX678"/>
      <c r="AY678"/>
      <c r="AZ678"/>
      <c r="BA678"/>
      <c r="BB678"/>
      <c r="BC678"/>
      <c r="BD678"/>
      <c r="BE678"/>
      <c r="BJ678"/>
      <c r="BK678"/>
      <c r="BL678"/>
      <c r="BP678"/>
      <c r="BQ678"/>
      <c r="BR678"/>
      <c r="CD678"/>
      <c r="CE678"/>
      <c r="CF678"/>
      <c r="CQ678"/>
      <c r="CR678"/>
      <c r="CS678"/>
      <c r="DQ678"/>
      <c r="DR678"/>
      <c r="DS678"/>
      <c r="DT678"/>
      <c r="DU678"/>
    </row>
    <row r="679" spans="1:125">
      <c r="A679"/>
      <c r="B679"/>
      <c r="C679"/>
      <c r="D679"/>
      <c r="E679"/>
      <c r="G679"/>
      <c r="K679"/>
      <c r="V679"/>
      <c r="AC679"/>
      <c r="AI679"/>
      <c r="AJ679"/>
      <c r="AK679"/>
      <c r="AL679"/>
      <c r="AM679"/>
      <c r="AP679"/>
      <c r="AQ679"/>
      <c r="AR679"/>
      <c r="AS679" s="180"/>
      <c r="AT679"/>
      <c r="AU679"/>
      <c r="AV679"/>
      <c r="AW679"/>
      <c r="AX679"/>
      <c r="AY679"/>
      <c r="AZ679"/>
      <c r="BA679"/>
      <c r="BB679"/>
      <c r="BC679"/>
      <c r="BD679"/>
      <c r="BE679"/>
      <c r="BJ679"/>
      <c r="BK679"/>
      <c r="BL679"/>
      <c r="BP679"/>
      <c r="BQ679"/>
      <c r="BR679"/>
      <c r="CD679"/>
      <c r="CE679"/>
      <c r="CF679"/>
      <c r="CQ679"/>
      <c r="CR679"/>
      <c r="CS679"/>
      <c r="DQ679"/>
      <c r="DR679"/>
      <c r="DS679"/>
      <c r="DT679"/>
      <c r="DU679"/>
    </row>
    <row r="680" spans="1:125">
      <c r="A680"/>
      <c r="B680"/>
      <c r="C680"/>
      <c r="D680"/>
      <c r="E680"/>
      <c r="G680"/>
      <c r="K680"/>
      <c r="V680"/>
      <c r="AC680"/>
      <c r="AI680"/>
      <c r="AJ680"/>
      <c r="AK680"/>
      <c r="AL680"/>
      <c r="AM680"/>
      <c r="AP680"/>
      <c r="AQ680"/>
      <c r="AR680"/>
      <c r="AS680" s="180"/>
      <c r="AT680"/>
      <c r="AU680"/>
      <c r="AV680"/>
      <c r="AW680"/>
      <c r="AX680"/>
      <c r="AY680"/>
      <c r="AZ680"/>
      <c r="BA680"/>
      <c r="BB680"/>
      <c r="BC680"/>
      <c r="BD680"/>
      <c r="BE680"/>
      <c r="BJ680"/>
      <c r="BK680"/>
      <c r="BL680"/>
      <c r="BP680"/>
      <c r="BQ680"/>
      <c r="BR680"/>
      <c r="CD680"/>
      <c r="CE680"/>
      <c r="CF680"/>
      <c r="CQ680"/>
      <c r="CR680"/>
      <c r="CS680"/>
      <c r="DQ680"/>
      <c r="DR680"/>
      <c r="DS680"/>
      <c r="DT680"/>
      <c r="DU680"/>
    </row>
    <row r="681" spans="1:125">
      <c r="A681"/>
      <c r="B681"/>
      <c r="C681"/>
      <c r="D681"/>
      <c r="E681"/>
      <c r="G681"/>
      <c r="K681"/>
      <c r="V681"/>
      <c r="AC681"/>
      <c r="AI681"/>
      <c r="AJ681"/>
      <c r="AK681"/>
      <c r="AL681"/>
      <c r="AM681"/>
      <c r="AP681"/>
      <c r="AQ681"/>
      <c r="AR681"/>
      <c r="AS681" s="180"/>
      <c r="AT681"/>
      <c r="AU681"/>
      <c r="AV681"/>
      <c r="AW681"/>
      <c r="AX681"/>
      <c r="AY681"/>
      <c r="AZ681"/>
      <c r="BA681"/>
      <c r="BB681"/>
      <c r="BC681"/>
      <c r="BD681"/>
      <c r="BE681"/>
      <c r="BJ681"/>
      <c r="BK681"/>
      <c r="BL681"/>
      <c r="BP681"/>
      <c r="BQ681"/>
      <c r="BR681"/>
      <c r="CD681"/>
      <c r="CE681"/>
      <c r="CF681"/>
      <c r="CQ681"/>
      <c r="CR681"/>
      <c r="CS681"/>
      <c r="DQ681"/>
      <c r="DR681"/>
      <c r="DS681"/>
      <c r="DT681"/>
      <c r="DU681"/>
    </row>
    <row r="682" spans="1:125">
      <c r="A682"/>
      <c r="B682"/>
      <c r="C682"/>
      <c r="D682"/>
      <c r="E682"/>
      <c r="G682"/>
      <c r="K682"/>
      <c r="V682"/>
      <c r="AC682"/>
      <c r="AI682"/>
      <c r="AJ682"/>
      <c r="AK682"/>
      <c r="AL682"/>
      <c r="AM682"/>
      <c r="AP682"/>
      <c r="AQ682"/>
      <c r="AR682"/>
      <c r="AS682" s="180"/>
      <c r="AT682"/>
      <c r="AU682"/>
      <c r="AV682"/>
      <c r="AW682"/>
      <c r="AX682"/>
      <c r="AY682"/>
      <c r="AZ682"/>
      <c r="BA682"/>
      <c r="BB682"/>
      <c r="BC682"/>
      <c r="BD682"/>
      <c r="BE682"/>
      <c r="BJ682"/>
      <c r="BK682"/>
      <c r="BL682"/>
      <c r="BP682"/>
      <c r="BQ682"/>
      <c r="BR682"/>
      <c r="CD682"/>
      <c r="CE682"/>
      <c r="CF682"/>
      <c r="CQ682"/>
      <c r="CR682"/>
      <c r="CS682"/>
      <c r="DQ682"/>
      <c r="DR682"/>
      <c r="DS682"/>
      <c r="DT682"/>
      <c r="DU682"/>
    </row>
    <row r="683" spans="1:125">
      <c r="A683"/>
      <c r="B683"/>
      <c r="C683"/>
      <c r="D683"/>
      <c r="E683"/>
      <c r="G683"/>
      <c r="K683"/>
      <c r="V683"/>
      <c r="AC683"/>
      <c r="AI683"/>
      <c r="AJ683"/>
      <c r="AK683"/>
      <c r="AL683"/>
      <c r="AM683"/>
      <c r="AP683"/>
      <c r="AQ683"/>
      <c r="AR683"/>
      <c r="AS683" s="180"/>
      <c r="AT683"/>
      <c r="AU683"/>
      <c r="AV683"/>
      <c r="AW683"/>
      <c r="AX683"/>
      <c r="AY683"/>
      <c r="AZ683"/>
      <c r="BA683"/>
      <c r="BB683"/>
      <c r="BC683"/>
      <c r="BD683"/>
      <c r="BE683"/>
      <c r="BJ683"/>
      <c r="BK683"/>
      <c r="BL683"/>
      <c r="BP683"/>
      <c r="BQ683"/>
      <c r="BR683"/>
      <c r="CD683"/>
      <c r="CE683"/>
      <c r="CF683"/>
      <c r="CQ683"/>
      <c r="CR683"/>
      <c r="CS683"/>
      <c r="DQ683"/>
      <c r="DR683"/>
      <c r="DS683"/>
      <c r="DT683"/>
      <c r="DU683"/>
    </row>
    <row r="684" spans="1:125">
      <c r="A684"/>
      <c r="B684"/>
      <c r="C684"/>
      <c r="D684"/>
      <c r="E684"/>
      <c r="G684"/>
      <c r="K684"/>
      <c r="V684"/>
      <c r="AC684"/>
      <c r="AI684"/>
      <c r="AJ684"/>
      <c r="AK684"/>
      <c r="AL684"/>
      <c r="AM684"/>
      <c r="AP684"/>
      <c r="AQ684"/>
      <c r="AR684"/>
      <c r="AS684" s="180"/>
      <c r="AT684"/>
      <c r="AU684"/>
      <c r="AV684"/>
      <c r="AW684"/>
      <c r="AX684"/>
      <c r="AY684"/>
      <c r="AZ684"/>
      <c r="BA684"/>
      <c r="BB684"/>
      <c r="BC684"/>
      <c r="BD684"/>
      <c r="BE684"/>
      <c r="BJ684"/>
      <c r="BK684"/>
      <c r="BL684"/>
      <c r="BP684"/>
      <c r="BQ684"/>
      <c r="BR684"/>
      <c r="CD684"/>
      <c r="CE684"/>
      <c r="CF684"/>
      <c r="CQ684"/>
      <c r="CR684"/>
      <c r="CS684"/>
      <c r="DQ684"/>
      <c r="DR684"/>
      <c r="DS684"/>
      <c r="DT684"/>
      <c r="DU684"/>
    </row>
    <row r="685" spans="1:125">
      <c r="A685"/>
      <c r="B685"/>
      <c r="C685"/>
      <c r="D685"/>
      <c r="E685"/>
      <c r="G685"/>
      <c r="K685"/>
      <c r="V685"/>
      <c r="AC685"/>
      <c r="AI685"/>
      <c r="AJ685"/>
      <c r="AK685"/>
      <c r="AL685"/>
      <c r="AM685"/>
      <c r="AP685"/>
      <c r="AQ685"/>
      <c r="AR685"/>
      <c r="AS685" s="180"/>
      <c r="AT685"/>
      <c r="AU685"/>
      <c r="AV685"/>
      <c r="AW685"/>
      <c r="AX685"/>
      <c r="AY685"/>
      <c r="AZ685"/>
      <c r="BA685"/>
      <c r="BB685"/>
      <c r="BC685"/>
      <c r="BD685"/>
      <c r="BE685"/>
      <c r="BJ685"/>
      <c r="BK685"/>
      <c r="BL685"/>
      <c r="BP685"/>
      <c r="BQ685"/>
      <c r="BR685"/>
      <c r="CD685"/>
      <c r="CE685"/>
      <c r="CF685"/>
      <c r="CQ685"/>
      <c r="CR685"/>
      <c r="CS685"/>
      <c r="DQ685"/>
      <c r="DR685"/>
      <c r="DS685"/>
      <c r="DT685"/>
      <c r="DU685"/>
    </row>
    <row r="686" spans="1:125">
      <c r="A686"/>
      <c r="B686"/>
      <c r="C686"/>
      <c r="D686"/>
      <c r="E686"/>
      <c r="G686"/>
      <c r="K686"/>
      <c r="V686"/>
      <c r="AC686"/>
      <c r="AI686"/>
      <c r="AJ686"/>
      <c r="AK686"/>
      <c r="AL686"/>
      <c r="AM686"/>
      <c r="AP686"/>
      <c r="AQ686"/>
      <c r="AR686"/>
      <c r="AS686" s="180"/>
      <c r="AT686"/>
      <c r="AU686"/>
      <c r="AV686"/>
      <c r="AW686"/>
      <c r="AX686"/>
      <c r="AY686"/>
      <c r="AZ686"/>
      <c r="BA686"/>
      <c r="BB686"/>
      <c r="BC686"/>
      <c r="BD686"/>
      <c r="BE686"/>
      <c r="BJ686"/>
      <c r="BK686"/>
      <c r="BL686"/>
      <c r="BP686"/>
      <c r="BQ686"/>
      <c r="BR686"/>
      <c r="CD686"/>
      <c r="CE686"/>
      <c r="CF686"/>
      <c r="CQ686"/>
      <c r="CR686"/>
      <c r="CS686"/>
      <c r="DQ686"/>
      <c r="DR686"/>
      <c r="DS686"/>
      <c r="DT686"/>
      <c r="DU686"/>
    </row>
    <row r="687" spans="1:125">
      <c r="A687"/>
      <c r="B687"/>
      <c r="C687"/>
      <c r="D687"/>
      <c r="E687"/>
      <c r="G687"/>
      <c r="K687"/>
      <c r="V687"/>
      <c r="AC687"/>
      <c r="AI687"/>
      <c r="AJ687"/>
      <c r="AK687"/>
      <c r="AL687"/>
      <c r="AM687"/>
      <c r="AP687"/>
      <c r="AQ687"/>
      <c r="AR687"/>
      <c r="AS687" s="180"/>
      <c r="AT687"/>
      <c r="AU687"/>
      <c r="AV687"/>
      <c r="AW687"/>
      <c r="AX687"/>
      <c r="AY687"/>
      <c r="AZ687"/>
      <c r="BA687"/>
      <c r="BB687"/>
      <c r="BC687"/>
      <c r="BD687"/>
      <c r="BE687"/>
      <c r="BJ687"/>
      <c r="BK687"/>
      <c r="BL687"/>
      <c r="BP687"/>
      <c r="BQ687"/>
      <c r="BR687"/>
      <c r="CD687"/>
      <c r="CE687"/>
      <c r="CF687"/>
      <c r="CQ687"/>
      <c r="CR687"/>
      <c r="CS687"/>
      <c r="DQ687"/>
      <c r="DR687"/>
      <c r="DS687"/>
      <c r="DT687"/>
      <c r="DU687"/>
    </row>
    <row r="688" spans="1:125">
      <c r="A688"/>
      <c r="B688"/>
      <c r="C688"/>
      <c r="D688"/>
      <c r="E688"/>
      <c r="G688"/>
      <c r="K688"/>
      <c r="V688"/>
      <c r="AC688"/>
      <c r="AI688"/>
      <c r="AJ688"/>
      <c r="AK688"/>
      <c r="AL688"/>
      <c r="AM688"/>
      <c r="AP688"/>
      <c r="AQ688"/>
      <c r="AR688"/>
      <c r="AS688" s="180"/>
      <c r="AT688"/>
      <c r="AU688"/>
      <c r="AV688"/>
      <c r="AW688"/>
      <c r="AX688"/>
      <c r="AY688"/>
      <c r="AZ688"/>
      <c r="BA688"/>
      <c r="BB688"/>
      <c r="BC688"/>
      <c r="BD688"/>
      <c r="BE688"/>
      <c r="BJ688"/>
      <c r="BK688"/>
      <c r="BL688"/>
      <c r="BP688"/>
      <c r="BQ688"/>
      <c r="BR688"/>
      <c r="CD688"/>
      <c r="CE688"/>
      <c r="CF688"/>
      <c r="CQ688"/>
      <c r="CR688"/>
      <c r="CS688"/>
      <c r="DQ688"/>
      <c r="DR688"/>
      <c r="DS688"/>
      <c r="DT688"/>
      <c r="DU688"/>
    </row>
    <row r="689" spans="1:125">
      <c r="A689"/>
      <c r="B689"/>
      <c r="C689"/>
      <c r="D689"/>
      <c r="E689"/>
      <c r="G689"/>
      <c r="K689"/>
      <c r="V689"/>
      <c r="AC689"/>
      <c r="AI689"/>
      <c r="AJ689"/>
      <c r="AK689"/>
      <c r="AL689"/>
      <c r="AM689"/>
      <c r="AP689"/>
      <c r="AQ689"/>
      <c r="AR689"/>
      <c r="AS689" s="180"/>
      <c r="AT689"/>
      <c r="AU689"/>
      <c r="AV689"/>
      <c r="AW689"/>
      <c r="AX689"/>
      <c r="AY689"/>
      <c r="AZ689"/>
      <c r="BA689"/>
      <c r="BB689"/>
      <c r="BC689"/>
      <c r="BD689"/>
      <c r="BE689"/>
      <c r="BJ689"/>
      <c r="BK689"/>
      <c r="BL689"/>
      <c r="BP689"/>
      <c r="BQ689"/>
      <c r="BR689"/>
      <c r="CD689"/>
      <c r="CE689"/>
      <c r="CF689"/>
      <c r="CQ689"/>
      <c r="CR689"/>
      <c r="CS689"/>
      <c r="DQ689"/>
      <c r="DR689"/>
      <c r="DS689"/>
      <c r="DT689"/>
      <c r="DU689"/>
    </row>
    <row r="690" spans="1:125">
      <c r="A690"/>
      <c r="B690"/>
      <c r="C690"/>
      <c r="D690"/>
      <c r="E690"/>
      <c r="G690"/>
      <c r="K690"/>
      <c r="V690"/>
      <c r="AC690"/>
      <c r="AI690"/>
      <c r="AJ690"/>
      <c r="AK690"/>
      <c r="AL690"/>
      <c r="AM690"/>
      <c r="AP690"/>
      <c r="AQ690"/>
      <c r="AR690"/>
      <c r="AS690" s="180"/>
      <c r="AT690"/>
      <c r="AU690"/>
      <c r="AV690"/>
      <c r="AW690"/>
      <c r="AX690"/>
      <c r="AY690"/>
      <c r="AZ690"/>
      <c r="BA690"/>
      <c r="BB690"/>
      <c r="BC690"/>
      <c r="BD690"/>
      <c r="BE690"/>
      <c r="BJ690"/>
      <c r="BK690"/>
      <c r="BL690"/>
      <c r="BP690"/>
      <c r="BQ690"/>
      <c r="BR690"/>
      <c r="CD690"/>
      <c r="CE690"/>
      <c r="CF690"/>
      <c r="CQ690"/>
      <c r="CR690"/>
      <c r="CS690"/>
      <c r="DQ690"/>
      <c r="DR690"/>
      <c r="DS690"/>
      <c r="DT690"/>
      <c r="DU690"/>
    </row>
    <row r="691" spans="1:125">
      <c r="A691"/>
      <c r="B691"/>
      <c r="C691"/>
      <c r="D691"/>
      <c r="E691"/>
      <c r="G691"/>
      <c r="K691"/>
      <c r="V691"/>
      <c r="AC691"/>
      <c r="AI691"/>
      <c r="AJ691"/>
      <c r="AK691"/>
      <c r="AL691"/>
      <c r="AM691"/>
      <c r="AP691"/>
      <c r="AQ691"/>
      <c r="AR691"/>
      <c r="AS691" s="180"/>
      <c r="AT691"/>
      <c r="AU691"/>
      <c r="AV691"/>
      <c r="AW691"/>
      <c r="AX691"/>
      <c r="AY691"/>
      <c r="AZ691"/>
      <c r="BA691"/>
      <c r="BB691"/>
      <c r="BC691"/>
      <c r="BD691"/>
      <c r="BE691"/>
      <c r="BJ691"/>
      <c r="BK691"/>
      <c r="BL691"/>
      <c r="BP691"/>
      <c r="BQ691"/>
      <c r="BR691"/>
      <c r="CD691"/>
      <c r="CE691"/>
      <c r="CF691"/>
      <c r="CQ691"/>
      <c r="CR691"/>
      <c r="CS691"/>
      <c r="DQ691"/>
      <c r="DR691"/>
      <c r="DS691"/>
      <c r="DT691"/>
      <c r="DU691"/>
    </row>
    <row r="692" spans="1:125">
      <c r="A692"/>
      <c r="B692"/>
      <c r="C692"/>
      <c r="D692"/>
      <c r="E692"/>
      <c r="G692"/>
      <c r="K692"/>
      <c r="V692"/>
      <c r="AC692"/>
      <c r="AI692"/>
      <c r="AJ692"/>
      <c r="AK692"/>
      <c r="AL692"/>
      <c r="AM692"/>
      <c r="AP692"/>
      <c r="AQ692"/>
      <c r="AR692"/>
      <c r="AS692" s="180"/>
      <c r="AT692"/>
      <c r="AU692"/>
      <c r="AV692"/>
      <c r="AW692"/>
      <c r="AX692"/>
      <c r="AY692"/>
      <c r="AZ692"/>
      <c r="BA692"/>
      <c r="BB692"/>
      <c r="BC692"/>
      <c r="BD692"/>
      <c r="BE692"/>
      <c r="BJ692"/>
      <c r="BK692"/>
      <c r="BL692"/>
      <c r="BP692"/>
      <c r="BQ692"/>
      <c r="BR692"/>
      <c r="CD692"/>
      <c r="CE692"/>
      <c r="CF692"/>
      <c r="CQ692"/>
      <c r="CR692"/>
      <c r="CS692"/>
      <c r="DQ692"/>
      <c r="DR692"/>
      <c r="DS692"/>
      <c r="DT692"/>
      <c r="DU692"/>
    </row>
    <row r="693" spans="1:125">
      <c r="A693"/>
      <c r="B693"/>
      <c r="C693"/>
      <c r="D693"/>
      <c r="E693"/>
      <c r="G693"/>
      <c r="K693"/>
      <c r="V693"/>
      <c r="AC693"/>
      <c r="AI693"/>
      <c r="AJ693"/>
      <c r="AK693"/>
      <c r="AL693"/>
      <c r="AM693"/>
      <c r="AP693"/>
      <c r="AQ693"/>
      <c r="AR693"/>
      <c r="AS693" s="180"/>
      <c r="AT693"/>
      <c r="AU693"/>
      <c r="AV693"/>
      <c r="AW693"/>
      <c r="AX693"/>
      <c r="AY693"/>
      <c r="AZ693"/>
      <c r="BA693"/>
      <c r="BB693"/>
      <c r="BC693"/>
      <c r="BD693"/>
      <c r="BE693"/>
      <c r="BJ693"/>
      <c r="BK693"/>
      <c r="BL693"/>
      <c r="BP693"/>
      <c r="BQ693"/>
      <c r="BR693"/>
      <c r="CD693"/>
      <c r="CE693"/>
      <c r="CF693"/>
      <c r="CQ693"/>
      <c r="CR693"/>
      <c r="CS693"/>
      <c r="DQ693"/>
      <c r="DR693"/>
      <c r="DS693"/>
      <c r="DT693"/>
      <c r="DU693"/>
    </row>
    <row r="694" spans="1:125">
      <c r="A694"/>
      <c r="B694"/>
      <c r="C694"/>
      <c r="D694"/>
      <c r="E694"/>
      <c r="G694"/>
      <c r="K694"/>
      <c r="V694"/>
      <c r="AC694"/>
      <c r="AI694"/>
      <c r="AJ694"/>
      <c r="AK694"/>
      <c r="AL694"/>
      <c r="AM694"/>
      <c r="AP694"/>
      <c r="AQ694"/>
      <c r="AR694"/>
      <c r="AS694" s="180"/>
      <c r="AT694"/>
      <c r="AU694"/>
      <c r="AV694"/>
      <c r="AW694"/>
      <c r="AX694"/>
      <c r="AY694"/>
      <c r="AZ694"/>
      <c r="BA694"/>
      <c r="BB694"/>
      <c r="BC694"/>
      <c r="BD694"/>
      <c r="BE694"/>
      <c r="BJ694"/>
      <c r="BK694"/>
      <c r="BL694"/>
      <c r="BP694"/>
      <c r="BQ694"/>
      <c r="BR694"/>
      <c r="CD694"/>
      <c r="CE694"/>
      <c r="CF694"/>
      <c r="CQ694"/>
      <c r="CR694"/>
      <c r="CS694"/>
      <c r="DQ694"/>
      <c r="DR694"/>
      <c r="DS694"/>
      <c r="DT694"/>
      <c r="DU694"/>
    </row>
    <row r="695" spans="1:125">
      <c r="A695"/>
      <c r="B695"/>
      <c r="C695"/>
      <c r="D695"/>
      <c r="E695"/>
      <c r="G695"/>
      <c r="K695"/>
      <c r="V695"/>
      <c r="AC695"/>
      <c r="AI695"/>
      <c r="AJ695"/>
      <c r="AK695"/>
      <c r="AL695"/>
      <c r="AM695"/>
      <c r="AP695"/>
      <c r="AQ695"/>
      <c r="AR695"/>
      <c r="AS695" s="180"/>
      <c r="AT695"/>
      <c r="AU695"/>
      <c r="AV695"/>
      <c r="AW695"/>
      <c r="AX695"/>
      <c r="AY695"/>
      <c r="AZ695"/>
      <c r="BA695"/>
      <c r="BB695"/>
      <c r="BC695"/>
      <c r="BD695"/>
      <c r="BE695"/>
      <c r="BJ695"/>
      <c r="BK695"/>
      <c r="BL695"/>
      <c r="BP695"/>
      <c r="BQ695"/>
      <c r="BR695"/>
      <c r="CD695"/>
      <c r="CE695"/>
      <c r="CF695"/>
      <c r="CQ695"/>
      <c r="CR695"/>
      <c r="CS695"/>
      <c r="DQ695"/>
      <c r="DR695"/>
      <c r="DS695"/>
      <c r="DT695"/>
      <c r="DU695"/>
    </row>
    <row r="696" spans="1:125">
      <c r="A696"/>
      <c r="B696"/>
      <c r="C696"/>
      <c r="D696"/>
      <c r="E696"/>
      <c r="G696"/>
      <c r="K696"/>
      <c r="V696"/>
      <c r="AC696"/>
      <c r="AI696"/>
      <c r="AJ696"/>
      <c r="AK696"/>
      <c r="AL696"/>
      <c r="AM696"/>
      <c r="AP696"/>
      <c r="AQ696"/>
      <c r="AR696"/>
      <c r="AS696" s="180"/>
      <c r="AT696"/>
      <c r="AU696"/>
      <c r="AV696"/>
      <c r="AW696"/>
      <c r="AX696"/>
      <c r="AY696"/>
      <c r="AZ696"/>
      <c r="BA696"/>
      <c r="BB696"/>
      <c r="BC696"/>
      <c r="BD696"/>
      <c r="BE696"/>
      <c r="BJ696"/>
      <c r="BK696"/>
      <c r="BL696"/>
      <c r="BP696"/>
      <c r="BQ696"/>
      <c r="BR696"/>
      <c r="CD696"/>
      <c r="CE696"/>
      <c r="CF696"/>
      <c r="CQ696"/>
      <c r="CR696"/>
      <c r="CS696"/>
      <c r="DQ696"/>
      <c r="DR696"/>
      <c r="DS696"/>
      <c r="DT696"/>
      <c r="DU696"/>
    </row>
    <row r="697" spans="1:125">
      <c r="A697"/>
      <c r="B697"/>
      <c r="C697"/>
      <c r="D697"/>
      <c r="E697"/>
      <c r="G697"/>
      <c r="K697"/>
      <c r="V697"/>
      <c r="AC697"/>
      <c r="AI697"/>
      <c r="AJ697"/>
      <c r="AK697"/>
      <c r="AL697"/>
      <c r="AM697"/>
      <c r="AP697"/>
      <c r="AQ697"/>
      <c r="AR697"/>
      <c r="AS697" s="180"/>
      <c r="AT697"/>
      <c r="AU697"/>
      <c r="AV697"/>
      <c r="AW697"/>
      <c r="AX697"/>
      <c r="AY697"/>
      <c r="AZ697"/>
      <c r="BA697"/>
      <c r="BB697"/>
      <c r="BC697"/>
      <c r="BD697"/>
      <c r="BE697"/>
      <c r="BJ697"/>
      <c r="BK697"/>
      <c r="BL697"/>
      <c r="BP697"/>
      <c r="BQ697"/>
      <c r="BR697"/>
      <c r="CD697"/>
      <c r="CE697"/>
      <c r="CF697"/>
      <c r="CQ697"/>
      <c r="CR697"/>
      <c r="CS697"/>
      <c r="DQ697"/>
      <c r="DR697"/>
      <c r="DS697"/>
      <c r="DT697"/>
      <c r="DU697"/>
    </row>
    <row r="698" spans="1:125">
      <c r="A698"/>
      <c r="B698"/>
      <c r="C698"/>
      <c r="D698"/>
      <c r="E698"/>
      <c r="G698"/>
      <c r="K698"/>
      <c r="V698"/>
      <c r="AC698"/>
      <c r="AI698"/>
      <c r="AJ698"/>
      <c r="AK698"/>
      <c r="AL698"/>
      <c r="AM698"/>
      <c r="AP698"/>
      <c r="AQ698"/>
      <c r="AR698"/>
      <c r="AS698" s="180"/>
      <c r="AT698"/>
      <c r="AU698"/>
      <c r="AV698"/>
      <c r="AW698"/>
      <c r="AX698"/>
      <c r="AY698"/>
      <c r="AZ698"/>
      <c r="BA698"/>
      <c r="BB698"/>
      <c r="BC698"/>
      <c r="BD698"/>
      <c r="BE698"/>
      <c r="BJ698"/>
      <c r="BK698"/>
      <c r="BL698"/>
      <c r="BP698"/>
      <c r="BQ698"/>
      <c r="BR698"/>
      <c r="CD698"/>
      <c r="CE698"/>
      <c r="CF698"/>
      <c r="CQ698"/>
      <c r="CR698"/>
      <c r="CS698"/>
      <c r="DQ698"/>
      <c r="DR698"/>
      <c r="DS698"/>
      <c r="DT698"/>
      <c r="DU698"/>
    </row>
    <row r="699" spans="1:125">
      <c r="A699"/>
      <c r="B699"/>
      <c r="C699"/>
      <c r="D699"/>
      <c r="E699"/>
      <c r="G699"/>
      <c r="K699"/>
      <c r="V699"/>
      <c r="AC699"/>
      <c r="AI699"/>
      <c r="AJ699"/>
      <c r="AK699"/>
      <c r="AL699"/>
      <c r="AM699"/>
      <c r="AP699"/>
      <c r="AQ699"/>
      <c r="AR699"/>
      <c r="AS699" s="180"/>
      <c r="AT699"/>
      <c r="AU699"/>
      <c r="AV699"/>
      <c r="AW699"/>
      <c r="AX699"/>
      <c r="AY699"/>
      <c r="AZ699"/>
      <c r="BA699"/>
      <c r="BB699"/>
      <c r="BC699"/>
      <c r="BD699"/>
      <c r="BE699"/>
      <c r="BJ699"/>
      <c r="BK699"/>
      <c r="BL699"/>
      <c r="BP699"/>
      <c r="BQ699"/>
      <c r="BR699"/>
      <c r="CD699"/>
      <c r="CE699"/>
      <c r="CF699"/>
      <c r="CQ699"/>
      <c r="CR699"/>
      <c r="CS699"/>
      <c r="DQ699"/>
      <c r="DR699"/>
      <c r="DS699"/>
      <c r="DT699"/>
      <c r="DU699"/>
    </row>
    <row r="700" spans="1:125">
      <c r="A700"/>
      <c r="B700"/>
      <c r="C700"/>
      <c r="D700"/>
      <c r="E700"/>
      <c r="G700"/>
      <c r="K700"/>
      <c r="V700"/>
      <c r="AC700"/>
      <c r="AI700"/>
      <c r="AJ700"/>
      <c r="AK700"/>
      <c r="AL700"/>
      <c r="AM700"/>
      <c r="AP700"/>
      <c r="AQ700"/>
      <c r="AR700"/>
      <c r="AS700" s="180"/>
      <c r="AT700"/>
      <c r="AU700"/>
      <c r="AV700"/>
      <c r="AW700"/>
      <c r="AX700"/>
      <c r="AY700"/>
      <c r="AZ700"/>
      <c r="BA700"/>
      <c r="BB700"/>
      <c r="BC700"/>
      <c r="BD700"/>
      <c r="BE700"/>
      <c r="BJ700"/>
      <c r="BK700"/>
      <c r="BL700"/>
      <c r="BP700"/>
      <c r="BQ700"/>
      <c r="BR700"/>
      <c r="CD700"/>
      <c r="CE700"/>
      <c r="CF700"/>
      <c r="CQ700"/>
      <c r="CR700"/>
      <c r="CS700"/>
      <c r="DQ700"/>
      <c r="DR700"/>
      <c r="DS700"/>
      <c r="DT700"/>
      <c r="DU700"/>
    </row>
    <row r="701" spans="1:125">
      <c r="A701"/>
      <c r="B701"/>
      <c r="C701"/>
      <c r="D701"/>
      <c r="E701"/>
      <c r="G701"/>
      <c r="K701"/>
      <c r="V701"/>
      <c r="AC701"/>
      <c r="AI701"/>
      <c r="AJ701"/>
      <c r="AK701"/>
      <c r="AL701"/>
      <c r="AM701"/>
      <c r="AP701"/>
      <c r="AQ701"/>
      <c r="AR701"/>
      <c r="AS701" s="180"/>
      <c r="AT701"/>
      <c r="AU701"/>
      <c r="AV701"/>
      <c r="AW701"/>
      <c r="AX701"/>
      <c r="AY701"/>
      <c r="AZ701"/>
      <c r="BA701"/>
      <c r="BB701"/>
      <c r="BC701"/>
      <c r="BD701"/>
      <c r="BE701"/>
      <c r="BJ701"/>
      <c r="BK701"/>
      <c r="BL701"/>
      <c r="BP701"/>
      <c r="BQ701"/>
      <c r="BR701"/>
      <c r="CD701"/>
      <c r="CE701"/>
      <c r="CF701"/>
      <c r="CQ701"/>
      <c r="CR701"/>
      <c r="CS701"/>
      <c r="DQ701"/>
      <c r="DR701"/>
      <c r="DS701"/>
      <c r="DT701"/>
      <c r="DU701"/>
    </row>
    <row r="702" spans="1:125">
      <c r="A702"/>
      <c r="B702"/>
      <c r="C702"/>
      <c r="D702"/>
      <c r="E702"/>
      <c r="G702"/>
      <c r="K702"/>
      <c r="V702"/>
      <c r="AC702"/>
      <c r="AI702"/>
      <c r="AJ702"/>
      <c r="AK702"/>
      <c r="AL702"/>
      <c r="AM702"/>
      <c r="AP702"/>
      <c r="AQ702"/>
      <c r="AR702"/>
      <c r="AS702" s="180"/>
      <c r="AT702"/>
      <c r="AU702"/>
      <c r="AV702"/>
      <c r="AW702"/>
      <c r="AX702"/>
      <c r="AY702"/>
      <c r="AZ702"/>
      <c r="BA702"/>
      <c r="BB702"/>
      <c r="BC702"/>
      <c r="BD702"/>
      <c r="BE702"/>
      <c r="BJ702"/>
      <c r="BK702"/>
      <c r="BL702"/>
      <c r="BP702"/>
      <c r="BQ702"/>
      <c r="BR702"/>
      <c r="CD702"/>
      <c r="CE702"/>
      <c r="CF702"/>
      <c r="CQ702"/>
      <c r="CR702"/>
      <c r="CS702"/>
      <c r="DQ702"/>
      <c r="DR702"/>
      <c r="DS702"/>
      <c r="DT702"/>
      <c r="DU702"/>
    </row>
    <row r="703" spans="1:125">
      <c r="A703"/>
      <c r="B703"/>
      <c r="C703"/>
      <c r="D703"/>
      <c r="E703"/>
      <c r="G703"/>
      <c r="K703"/>
      <c r="V703"/>
      <c r="AC703"/>
      <c r="AI703"/>
      <c r="AJ703"/>
      <c r="AK703"/>
      <c r="AL703"/>
      <c r="AM703"/>
      <c r="AP703"/>
      <c r="AQ703"/>
      <c r="AR703"/>
      <c r="AS703" s="180"/>
      <c r="AT703"/>
      <c r="AU703"/>
      <c r="AV703"/>
      <c r="AW703"/>
      <c r="AX703"/>
      <c r="AY703"/>
      <c r="AZ703"/>
      <c r="BA703"/>
      <c r="BB703"/>
      <c r="BC703"/>
      <c r="BD703"/>
      <c r="BE703"/>
      <c r="BJ703"/>
      <c r="BK703"/>
      <c r="BL703"/>
      <c r="BP703"/>
      <c r="BQ703"/>
      <c r="BR703"/>
      <c r="CD703"/>
      <c r="CE703"/>
      <c r="CF703"/>
      <c r="CQ703"/>
      <c r="CR703"/>
      <c r="CS703"/>
      <c r="DQ703"/>
      <c r="DR703"/>
      <c r="DS703"/>
      <c r="DT703"/>
      <c r="DU703"/>
    </row>
    <row r="704" spans="1:125">
      <c r="A704"/>
      <c r="B704"/>
      <c r="C704"/>
      <c r="D704"/>
      <c r="E704"/>
      <c r="G704"/>
      <c r="K704"/>
      <c r="V704"/>
      <c r="AC704"/>
      <c r="AI704"/>
      <c r="AJ704"/>
      <c r="AK704"/>
      <c r="AL704"/>
      <c r="AM704"/>
      <c r="AP704"/>
      <c r="AQ704"/>
      <c r="AR704"/>
      <c r="AS704" s="180"/>
      <c r="AT704"/>
      <c r="AU704"/>
      <c r="AV704"/>
      <c r="AW704"/>
      <c r="AX704"/>
      <c r="AY704"/>
      <c r="AZ704"/>
      <c r="BA704"/>
      <c r="BB704"/>
      <c r="BC704"/>
      <c r="BD704"/>
      <c r="BE704"/>
      <c r="BJ704"/>
      <c r="BK704"/>
      <c r="BL704"/>
      <c r="BP704"/>
      <c r="BQ704"/>
      <c r="BR704"/>
      <c r="CD704"/>
      <c r="CE704"/>
      <c r="CF704"/>
      <c r="CQ704"/>
      <c r="CR704"/>
      <c r="CS704"/>
      <c r="DQ704"/>
      <c r="DR704"/>
      <c r="DS704"/>
      <c r="DT704"/>
      <c r="DU704"/>
    </row>
    <row r="705" spans="1:125">
      <c r="A705"/>
      <c r="B705"/>
      <c r="C705"/>
      <c r="D705"/>
      <c r="E705"/>
      <c r="G705"/>
      <c r="K705"/>
      <c r="V705"/>
      <c r="AC705"/>
      <c r="AI705"/>
      <c r="AJ705"/>
      <c r="AK705"/>
      <c r="AL705"/>
      <c r="AM705"/>
      <c r="AP705"/>
      <c r="AQ705"/>
      <c r="AR705"/>
      <c r="AS705" s="180"/>
      <c r="AT705"/>
      <c r="AU705"/>
      <c r="AV705"/>
      <c r="AW705"/>
      <c r="AX705"/>
      <c r="AY705"/>
      <c r="AZ705"/>
      <c r="BA705"/>
      <c r="BB705"/>
      <c r="BC705"/>
      <c r="BD705"/>
      <c r="BE705"/>
      <c r="BJ705"/>
      <c r="BK705"/>
      <c r="BL705"/>
      <c r="BP705"/>
      <c r="BQ705"/>
      <c r="BR705"/>
      <c r="CD705"/>
      <c r="CE705"/>
      <c r="CF705"/>
      <c r="CQ705"/>
      <c r="CR705"/>
      <c r="CS705"/>
      <c r="DQ705"/>
      <c r="DR705"/>
      <c r="DS705"/>
      <c r="DT705"/>
      <c r="DU705"/>
    </row>
    <row r="706" spans="1:125">
      <c r="A706"/>
      <c r="B706"/>
      <c r="C706"/>
      <c r="D706"/>
      <c r="E706"/>
      <c r="G706"/>
      <c r="K706"/>
      <c r="V706"/>
      <c r="AC706"/>
      <c r="AI706"/>
      <c r="AJ706"/>
      <c r="AK706"/>
      <c r="AL706"/>
      <c r="AM706"/>
      <c r="AP706"/>
      <c r="AQ706"/>
      <c r="AR706"/>
      <c r="AS706" s="180"/>
      <c r="AT706"/>
      <c r="AU706"/>
      <c r="AV706"/>
      <c r="AW706"/>
      <c r="AX706"/>
      <c r="AY706"/>
      <c r="AZ706"/>
      <c r="BA706"/>
      <c r="BB706"/>
      <c r="BC706"/>
      <c r="BD706"/>
      <c r="BE706"/>
      <c r="BJ706"/>
      <c r="BK706"/>
      <c r="BL706"/>
      <c r="BP706"/>
      <c r="BQ706"/>
      <c r="BR706"/>
      <c r="CD706"/>
      <c r="CE706"/>
      <c r="CF706"/>
      <c r="CQ706"/>
      <c r="CR706"/>
      <c r="CS706"/>
      <c r="DQ706"/>
      <c r="DR706"/>
      <c r="DS706"/>
      <c r="DT706"/>
      <c r="DU706"/>
    </row>
    <row r="707" spans="1:125">
      <c r="A707"/>
      <c r="B707"/>
      <c r="C707"/>
      <c r="D707"/>
      <c r="E707"/>
      <c r="G707"/>
      <c r="K707"/>
      <c r="V707"/>
      <c r="AC707"/>
      <c r="AI707"/>
      <c r="AJ707"/>
      <c r="AK707"/>
      <c r="AL707"/>
      <c r="AM707"/>
      <c r="AP707"/>
      <c r="AQ707"/>
      <c r="AR707"/>
      <c r="AS707" s="180"/>
      <c r="AT707"/>
      <c r="AU707"/>
      <c r="AV707"/>
      <c r="AW707"/>
      <c r="AX707"/>
      <c r="AY707"/>
      <c r="AZ707"/>
      <c r="BA707"/>
      <c r="BB707"/>
      <c r="BC707"/>
      <c r="BD707"/>
      <c r="BE707"/>
      <c r="BJ707"/>
      <c r="BK707"/>
      <c r="BL707"/>
      <c r="BP707"/>
      <c r="BQ707"/>
      <c r="BR707"/>
      <c r="CD707"/>
      <c r="CE707"/>
      <c r="CF707"/>
      <c r="CQ707"/>
      <c r="CR707"/>
      <c r="CS707"/>
      <c r="DQ707"/>
      <c r="DR707"/>
      <c r="DS707"/>
      <c r="DT707"/>
      <c r="DU707"/>
    </row>
    <row r="708" spans="1:125">
      <c r="A708"/>
      <c r="B708"/>
      <c r="C708"/>
      <c r="D708"/>
      <c r="E708"/>
      <c r="G708"/>
      <c r="K708"/>
      <c r="V708"/>
      <c r="AC708"/>
      <c r="AI708"/>
      <c r="AJ708"/>
      <c r="AK708"/>
      <c r="AL708"/>
      <c r="AM708"/>
      <c r="AP708"/>
      <c r="AQ708"/>
      <c r="AR708"/>
      <c r="AS708" s="180"/>
      <c r="AT708"/>
      <c r="AU708"/>
      <c r="AV708"/>
      <c r="AW708"/>
      <c r="AX708"/>
      <c r="AY708"/>
      <c r="AZ708"/>
      <c r="BA708"/>
      <c r="BB708"/>
      <c r="BC708"/>
      <c r="BD708"/>
      <c r="BE708"/>
      <c r="BJ708"/>
      <c r="BK708"/>
      <c r="BL708"/>
      <c r="BP708"/>
      <c r="BQ708"/>
      <c r="BR708"/>
      <c r="CD708"/>
      <c r="CE708"/>
      <c r="CF708"/>
      <c r="CQ708"/>
      <c r="CR708"/>
      <c r="CS708"/>
      <c r="DQ708"/>
      <c r="DR708"/>
      <c r="DS708"/>
      <c r="DT708"/>
      <c r="DU708"/>
    </row>
    <row r="709" spans="1:125">
      <c r="A709"/>
      <c r="B709"/>
      <c r="C709"/>
      <c r="D709"/>
      <c r="E709"/>
      <c r="G709"/>
      <c r="K709"/>
      <c r="V709"/>
      <c r="AC709"/>
      <c r="AI709"/>
      <c r="AJ709"/>
      <c r="AK709"/>
      <c r="AL709"/>
      <c r="AM709"/>
      <c r="AP709"/>
      <c r="AQ709"/>
      <c r="AR709"/>
      <c r="AS709" s="180"/>
      <c r="AT709"/>
      <c r="AU709"/>
      <c r="AV709"/>
      <c r="AW709"/>
      <c r="AX709"/>
      <c r="AY709"/>
      <c r="AZ709"/>
      <c r="BA709"/>
      <c r="BB709"/>
      <c r="BC709"/>
      <c r="BD709"/>
      <c r="BE709"/>
      <c r="BJ709"/>
      <c r="BK709"/>
      <c r="BL709"/>
      <c r="BP709"/>
      <c r="BQ709"/>
      <c r="BR709"/>
      <c r="CD709"/>
      <c r="CE709"/>
      <c r="CF709"/>
      <c r="CQ709"/>
      <c r="CR709"/>
      <c r="CS709"/>
      <c r="DQ709"/>
      <c r="DR709"/>
      <c r="DS709"/>
      <c r="DT709"/>
      <c r="DU709"/>
    </row>
    <row r="710" spans="1:125">
      <c r="A710"/>
      <c r="B710"/>
      <c r="C710"/>
      <c r="D710"/>
      <c r="E710"/>
      <c r="G710"/>
      <c r="K710"/>
      <c r="V710"/>
      <c r="AC710"/>
      <c r="AI710"/>
      <c r="AJ710"/>
      <c r="AK710"/>
      <c r="AL710"/>
      <c r="AM710"/>
      <c r="AP710"/>
      <c r="AQ710"/>
      <c r="AR710"/>
      <c r="AS710" s="180"/>
      <c r="AT710"/>
      <c r="AU710"/>
      <c r="AV710"/>
      <c r="AW710"/>
      <c r="AX710"/>
      <c r="AY710"/>
      <c r="AZ710"/>
      <c r="BA710"/>
      <c r="BB710"/>
      <c r="BC710"/>
      <c r="BD710"/>
      <c r="BE710"/>
      <c r="BJ710"/>
      <c r="BK710"/>
      <c r="BL710"/>
      <c r="BP710"/>
      <c r="BQ710"/>
      <c r="BR710"/>
      <c r="CD710"/>
      <c r="CE710"/>
      <c r="CF710"/>
      <c r="CQ710"/>
      <c r="CR710"/>
      <c r="CS710"/>
      <c r="DQ710"/>
      <c r="DR710"/>
      <c r="DS710"/>
      <c r="DT710"/>
      <c r="DU710"/>
    </row>
    <row r="711" spans="1:125">
      <c r="A711"/>
      <c r="B711"/>
      <c r="C711"/>
      <c r="D711"/>
      <c r="E711"/>
      <c r="G711"/>
      <c r="K711"/>
      <c r="V711"/>
      <c r="AC711"/>
      <c r="AI711"/>
      <c r="AJ711"/>
      <c r="AK711"/>
      <c r="AL711"/>
      <c r="AM711"/>
      <c r="AP711"/>
      <c r="AQ711"/>
      <c r="AR711"/>
      <c r="AS711" s="180"/>
      <c r="AT711"/>
      <c r="AU711"/>
      <c r="AV711"/>
      <c r="AW711"/>
      <c r="AX711"/>
      <c r="AY711"/>
      <c r="AZ711"/>
      <c r="BA711"/>
      <c r="BB711"/>
      <c r="BC711"/>
      <c r="BD711"/>
      <c r="BE711"/>
      <c r="BJ711"/>
      <c r="BK711"/>
      <c r="BL711"/>
      <c r="BP711"/>
      <c r="BQ711"/>
      <c r="BR711"/>
      <c r="CD711"/>
      <c r="CE711"/>
      <c r="CF711"/>
      <c r="CQ711"/>
      <c r="CR711"/>
      <c r="CS711"/>
      <c r="DQ711"/>
      <c r="DR711"/>
      <c r="DS711"/>
      <c r="DT711"/>
      <c r="DU711"/>
    </row>
    <row r="712" spans="1:125">
      <c r="A712"/>
      <c r="B712"/>
      <c r="C712"/>
      <c r="D712"/>
      <c r="E712"/>
      <c r="G712"/>
      <c r="K712"/>
      <c r="V712"/>
      <c r="AC712"/>
      <c r="AI712"/>
      <c r="AJ712"/>
      <c r="AK712"/>
      <c r="AL712"/>
      <c r="AM712"/>
      <c r="AP712"/>
      <c r="AQ712"/>
      <c r="AR712"/>
      <c r="AS712" s="180"/>
      <c r="AT712"/>
      <c r="AU712"/>
      <c r="AV712"/>
      <c r="AW712"/>
      <c r="AX712"/>
      <c r="AY712"/>
      <c r="AZ712"/>
      <c r="BA712"/>
      <c r="BB712"/>
      <c r="BC712"/>
      <c r="BD712"/>
      <c r="BE712"/>
      <c r="BJ712"/>
      <c r="BK712"/>
      <c r="BL712"/>
      <c r="BP712"/>
      <c r="BQ712"/>
      <c r="BR712"/>
      <c r="CD712"/>
      <c r="CE712"/>
      <c r="CF712"/>
      <c r="CQ712"/>
      <c r="CR712"/>
      <c r="CS712"/>
      <c r="DQ712"/>
      <c r="DR712"/>
      <c r="DS712"/>
      <c r="DT712"/>
      <c r="DU712"/>
    </row>
    <row r="713" spans="1:125">
      <c r="A713"/>
      <c r="B713"/>
      <c r="C713"/>
      <c r="D713"/>
      <c r="E713"/>
      <c r="G713"/>
      <c r="K713"/>
      <c r="V713"/>
      <c r="AC713"/>
      <c r="AI713"/>
      <c r="AJ713"/>
      <c r="AK713"/>
      <c r="AL713"/>
      <c r="AM713"/>
      <c r="AP713"/>
      <c r="AQ713"/>
      <c r="AR713"/>
      <c r="AS713" s="180"/>
      <c r="AT713"/>
      <c r="AU713"/>
      <c r="AV713"/>
      <c r="AW713"/>
      <c r="AX713"/>
      <c r="AY713"/>
      <c r="AZ713"/>
      <c r="BA713"/>
      <c r="BB713"/>
      <c r="BC713"/>
      <c r="BD713"/>
      <c r="BE713"/>
      <c r="BJ713"/>
      <c r="BK713"/>
      <c r="BL713"/>
      <c r="BP713"/>
      <c r="BQ713"/>
      <c r="BR713"/>
      <c r="CD713"/>
      <c r="CE713"/>
      <c r="CF713"/>
      <c r="CQ713"/>
      <c r="CR713"/>
      <c r="CS713"/>
      <c r="DQ713"/>
      <c r="DR713"/>
      <c r="DS713"/>
      <c r="DT713"/>
      <c r="DU713"/>
    </row>
    <row r="714" spans="1:125">
      <c r="A714"/>
      <c r="B714"/>
      <c r="C714"/>
      <c r="D714"/>
      <c r="E714"/>
      <c r="G714"/>
      <c r="K714"/>
      <c r="V714"/>
      <c r="AC714"/>
      <c r="AI714"/>
      <c r="AJ714"/>
      <c r="AK714"/>
      <c r="AL714"/>
      <c r="AM714"/>
      <c r="AP714"/>
      <c r="AQ714"/>
      <c r="AR714"/>
      <c r="AS714" s="180"/>
      <c r="AT714"/>
      <c r="AU714"/>
      <c r="AV714"/>
      <c r="AW714"/>
      <c r="AX714"/>
      <c r="AY714"/>
      <c r="AZ714"/>
      <c r="BA714"/>
      <c r="BB714"/>
      <c r="BC714"/>
      <c r="BD714"/>
      <c r="BE714"/>
      <c r="BJ714"/>
      <c r="BK714"/>
      <c r="BL714"/>
      <c r="BP714"/>
      <c r="BQ714"/>
      <c r="BR714"/>
      <c r="CD714"/>
      <c r="CE714"/>
      <c r="CF714"/>
      <c r="CQ714"/>
      <c r="CR714"/>
      <c r="CS714"/>
      <c r="DQ714"/>
      <c r="DR714"/>
      <c r="DS714"/>
      <c r="DT714"/>
      <c r="DU714"/>
    </row>
    <row r="715" spans="1:125">
      <c r="A715"/>
      <c r="B715"/>
      <c r="C715"/>
      <c r="D715"/>
      <c r="E715"/>
      <c r="G715"/>
      <c r="K715"/>
      <c r="V715"/>
      <c r="AC715"/>
      <c r="AI715"/>
      <c r="AJ715"/>
      <c r="AK715"/>
      <c r="AL715"/>
      <c r="AM715"/>
      <c r="AP715"/>
      <c r="AQ715"/>
      <c r="AR715"/>
      <c r="AS715" s="180"/>
      <c r="AT715"/>
      <c r="AU715"/>
      <c r="AV715"/>
      <c r="AW715"/>
      <c r="AX715"/>
      <c r="AY715"/>
      <c r="AZ715"/>
      <c r="BA715"/>
      <c r="BB715"/>
      <c r="BC715"/>
      <c r="BD715"/>
      <c r="BE715"/>
      <c r="BJ715"/>
      <c r="BK715"/>
      <c r="BL715"/>
      <c r="BP715"/>
      <c r="BQ715"/>
      <c r="BR715"/>
      <c r="CD715"/>
      <c r="CE715"/>
      <c r="CF715"/>
      <c r="CQ715"/>
      <c r="CR715"/>
      <c r="CS715"/>
      <c r="DQ715"/>
      <c r="DR715"/>
      <c r="DS715"/>
      <c r="DT715"/>
      <c r="DU715"/>
    </row>
    <row r="716" spans="1:125">
      <c r="A716"/>
      <c r="B716"/>
      <c r="C716"/>
      <c r="D716"/>
      <c r="E716"/>
      <c r="G716"/>
      <c r="K716"/>
      <c r="V716"/>
      <c r="AC716"/>
      <c r="AI716"/>
      <c r="AJ716"/>
      <c r="AK716"/>
      <c r="AL716"/>
      <c r="AM716"/>
      <c r="AP716"/>
      <c r="AQ716"/>
      <c r="AR716"/>
      <c r="AS716" s="180"/>
      <c r="AT716"/>
      <c r="AU716"/>
      <c r="AV716"/>
      <c r="AW716"/>
      <c r="AX716"/>
      <c r="AY716"/>
      <c r="AZ716"/>
      <c r="BA716"/>
      <c r="BB716"/>
      <c r="BC716"/>
      <c r="BD716"/>
      <c r="BE716"/>
      <c r="BJ716"/>
      <c r="BK716"/>
      <c r="BL716"/>
      <c r="BP716"/>
      <c r="BQ716"/>
      <c r="BR716"/>
      <c r="CD716"/>
      <c r="CE716"/>
      <c r="CF716"/>
      <c r="CQ716"/>
      <c r="CR716"/>
      <c r="CS716"/>
      <c r="DQ716"/>
      <c r="DR716"/>
      <c r="DS716"/>
      <c r="DT716"/>
      <c r="DU716"/>
    </row>
    <row r="717" spans="1:125">
      <c r="A717"/>
      <c r="B717"/>
      <c r="C717"/>
      <c r="D717"/>
      <c r="E717"/>
      <c r="G717"/>
      <c r="K717"/>
      <c r="V717"/>
      <c r="AC717"/>
      <c r="AI717"/>
      <c r="AJ717"/>
      <c r="AK717"/>
      <c r="AL717"/>
      <c r="AM717"/>
      <c r="AP717"/>
      <c r="AQ717"/>
      <c r="AR717"/>
      <c r="AS717" s="180"/>
      <c r="AT717"/>
      <c r="AU717"/>
      <c r="AV717"/>
      <c r="AW717"/>
      <c r="AX717"/>
      <c r="AY717"/>
      <c r="AZ717"/>
      <c r="BA717"/>
      <c r="BB717"/>
      <c r="BC717"/>
      <c r="BD717"/>
      <c r="BE717"/>
      <c r="BJ717"/>
      <c r="BK717"/>
      <c r="BL717"/>
      <c r="BP717"/>
      <c r="BQ717"/>
      <c r="BR717"/>
      <c r="CD717"/>
      <c r="CE717"/>
      <c r="CF717"/>
      <c r="CQ717"/>
      <c r="CR717"/>
      <c r="CS717"/>
      <c r="DQ717"/>
      <c r="DR717"/>
      <c r="DS717"/>
      <c r="DT717"/>
      <c r="DU717"/>
    </row>
    <row r="718" spans="1:125">
      <c r="A718"/>
      <c r="B718"/>
      <c r="C718"/>
      <c r="D718"/>
      <c r="E718"/>
      <c r="G718"/>
      <c r="K718"/>
      <c r="V718"/>
      <c r="AC718"/>
      <c r="AI718"/>
      <c r="AJ718"/>
      <c r="AK718"/>
      <c r="AL718"/>
      <c r="AM718"/>
      <c r="AP718"/>
      <c r="AQ718"/>
      <c r="AR718"/>
      <c r="AS718" s="180"/>
      <c r="AT718"/>
      <c r="AU718"/>
      <c r="AV718"/>
      <c r="AW718"/>
      <c r="AX718"/>
      <c r="AY718"/>
      <c r="AZ718"/>
      <c r="BA718"/>
      <c r="BB718"/>
      <c r="BC718"/>
      <c r="BD718"/>
      <c r="BE718"/>
      <c r="BJ718"/>
      <c r="BK718"/>
      <c r="BL718"/>
      <c r="BP718"/>
      <c r="BQ718"/>
      <c r="BR718"/>
      <c r="CD718"/>
      <c r="CE718"/>
      <c r="CF718"/>
      <c r="CQ718"/>
      <c r="CR718"/>
      <c r="CS718"/>
      <c r="DQ718"/>
      <c r="DR718"/>
      <c r="DS718"/>
      <c r="DT718"/>
      <c r="DU718"/>
    </row>
    <row r="719" spans="1:125">
      <c r="A719"/>
      <c r="B719"/>
      <c r="C719"/>
      <c r="D719"/>
      <c r="E719"/>
      <c r="G719"/>
      <c r="K719"/>
      <c r="V719"/>
      <c r="AC719"/>
      <c r="AI719"/>
      <c r="AJ719"/>
      <c r="AK719"/>
      <c r="AL719"/>
      <c r="AM719"/>
      <c r="AP719"/>
      <c r="AQ719"/>
      <c r="AR719"/>
      <c r="AS719" s="180"/>
      <c r="AT719"/>
      <c r="AU719"/>
      <c r="AV719"/>
      <c r="AW719"/>
      <c r="AX719"/>
      <c r="AY719"/>
      <c r="AZ719"/>
      <c r="BA719"/>
      <c r="BB719"/>
      <c r="BC719"/>
      <c r="BD719"/>
      <c r="BE719"/>
      <c r="BJ719"/>
      <c r="BK719"/>
      <c r="BL719"/>
      <c r="BP719"/>
      <c r="BQ719"/>
      <c r="BR719"/>
      <c r="CD719"/>
      <c r="CE719"/>
      <c r="CF719"/>
      <c r="CQ719"/>
      <c r="CR719"/>
      <c r="CS719"/>
      <c r="DQ719"/>
      <c r="DR719"/>
      <c r="DS719"/>
      <c r="DT719"/>
      <c r="DU719"/>
    </row>
    <row r="720" spans="1:125">
      <c r="A720"/>
      <c r="B720"/>
      <c r="C720"/>
      <c r="D720"/>
      <c r="E720"/>
      <c r="G720"/>
      <c r="K720"/>
      <c r="V720"/>
      <c r="AC720"/>
      <c r="AI720"/>
      <c r="AJ720"/>
      <c r="AK720"/>
      <c r="AL720"/>
      <c r="AM720"/>
      <c r="AP720"/>
      <c r="AQ720"/>
      <c r="AR720"/>
      <c r="AS720" s="180"/>
      <c r="AT720"/>
      <c r="AU720"/>
      <c r="AV720"/>
      <c r="AW720"/>
      <c r="AX720"/>
      <c r="AY720"/>
      <c r="AZ720"/>
      <c r="BA720"/>
      <c r="BB720"/>
      <c r="BC720"/>
      <c r="BD720"/>
      <c r="BE720"/>
      <c r="BJ720"/>
      <c r="BK720"/>
      <c r="BL720"/>
      <c r="BP720"/>
      <c r="BQ720"/>
      <c r="BR720"/>
      <c r="CD720"/>
      <c r="CE720"/>
      <c r="CF720"/>
      <c r="CQ720"/>
      <c r="CR720"/>
      <c r="CS720"/>
      <c r="DQ720"/>
      <c r="DR720"/>
      <c r="DS720"/>
      <c r="DT720"/>
      <c r="DU720"/>
    </row>
    <row r="721" spans="1:125">
      <c r="A721"/>
      <c r="B721"/>
      <c r="C721"/>
      <c r="D721"/>
      <c r="E721"/>
      <c r="G721"/>
      <c r="K721"/>
      <c r="V721"/>
      <c r="AC721"/>
      <c r="AI721"/>
      <c r="AJ721"/>
      <c r="AK721"/>
      <c r="AL721"/>
      <c r="AM721"/>
      <c r="AP721"/>
      <c r="AQ721"/>
      <c r="AR721"/>
      <c r="AS721" s="180"/>
      <c r="AT721"/>
      <c r="AU721"/>
      <c r="AV721"/>
      <c r="AW721"/>
      <c r="AX721"/>
      <c r="AY721"/>
      <c r="AZ721"/>
      <c r="BA721"/>
      <c r="BB721"/>
      <c r="BC721"/>
      <c r="BD721"/>
      <c r="BE721"/>
      <c r="BJ721"/>
      <c r="BK721"/>
      <c r="BL721"/>
      <c r="BP721"/>
      <c r="BQ721"/>
      <c r="BR721"/>
      <c r="CD721"/>
      <c r="CE721"/>
      <c r="CF721"/>
      <c r="CQ721"/>
      <c r="CR721"/>
      <c r="CS721"/>
      <c r="DQ721"/>
      <c r="DR721"/>
      <c r="DS721"/>
      <c r="DT721"/>
      <c r="DU721"/>
    </row>
    <row r="722" spans="1:125">
      <c r="A722"/>
      <c r="B722"/>
      <c r="C722"/>
      <c r="D722"/>
      <c r="E722"/>
      <c r="G722"/>
      <c r="K722"/>
      <c r="V722"/>
      <c r="AC722"/>
      <c r="AI722"/>
      <c r="AJ722"/>
      <c r="AK722"/>
      <c r="AL722"/>
      <c r="AM722"/>
      <c r="AP722"/>
      <c r="AQ722"/>
      <c r="AR722"/>
      <c r="AS722" s="180"/>
      <c r="AT722"/>
      <c r="AU722"/>
      <c r="AV722"/>
      <c r="AW722"/>
      <c r="AX722"/>
      <c r="AY722"/>
      <c r="AZ722"/>
      <c r="BA722"/>
      <c r="BB722"/>
      <c r="BC722"/>
      <c r="BD722"/>
      <c r="BE722"/>
      <c r="BJ722"/>
      <c r="BK722"/>
      <c r="BL722"/>
      <c r="BP722"/>
      <c r="BQ722"/>
      <c r="BR722"/>
      <c r="CD722"/>
      <c r="CE722"/>
      <c r="CF722"/>
      <c r="CQ722"/>
      <c r="CR722"/>
      <c r="CS722"/>
      <c r="DQ722"/>
      <c r="DR722"/>
      <c r="DS722"/>
      <c r="DT722"/>
      <c r="DU722"/>
    </row>
    <row r="723" spans="1:125">
      <c r="A723"/>
      <c r="B723"/>
      <c r="C723"/>
      <c r="D723"/>
      <c r="E723"/>
      <c r="G723"/>
      <c r="K723"/>
      <c r="V723"/>
      <c r="AC723"/>
      <c r="AI723"/>
      <c r="AJ723"/>
      <c r="AK723"/>
      <c r="AL723"/>
      <c r="AM723"/>
      <c r="AP723"/>
      <c r="AQ723"/>
      <c r="AR723"/>
      <c r="AS723" s="180"/>
      <c r="AT723"/>
      <c r="AU723"/>
      <c r="AV723"/>
      <c r="AW723"/>
      <c r="AX723"/>
      <c r="AY723"/>
      <c r="AZ723"/>
      <c r="BA723"/>
      <c r="BB723"/>
      <c r="BC723"/>
      <c r="BD723"/>
      <c r="BE723"/>
      <c r="BJ723"/>
      <c r="BK723"/>
      <c r="BL723"/>
      <c r="BP723"/>
      <c r="BQ723"/>
      <c r="BR723"/>
      <c r="CD723"/>
      <c r="CE723"/>
      <c r="CF723"/>
      <c r="CQ723"/>
      <c r="CR723"/>
      <c r="CS723"/>
      <c r="DQ723"/>
      <c r="DR723"/>
      <c r="DS723"/>
      <c r="DT723"/>
      <c r="DU723"/>
    </row>
    <row r="724" spans="1:125">
      <c r="A724"/>
      <c r="B724"/>
      <c r="C724"/>
      <c r="D724"/>
      <c r="E724"/>
      <c r="G724"/>
      <c r="K724"/>
      <c r="V724"/>
      <c r="AC724"/>
      <c r="AI724"/>
      <c r="AJ724"/>
      <c r="AK724"/>
      <c r="AL724"/>
      <c r="AM724"/>
      <c r="AP724"/>
      <c r="AQ724"/>
      <c r="AR724"/>
      <c r="AS724" s="180"/>
      <c r="AT724"/>
      <c r="AU724"/>
      <c r="AV724"/>
      <c r="AW724"/>
      <c r="AX724"/>
      <c r="AY724"/>
      <c r="AZ724"/>
      <c r="BA724"/>
      <c r="BB724"/>
      <c r="BC724"/>
      <c r="BD724"/>
      <c r="BE724"/>
      <c r="BJ724"/>
      <c r="BK724"/>
      <c r="BL724"/>
      <c r="BP724"/>
      <c r="BQ724"/>
      <c r="BR724"/>
      <c r="CD724"/>
      <c r="CE724"/>
      <c r="CF724"/>
      <c r="CQ724"/>
      <c r="CR724"/>
      <c r="CS724"/>
      <c r="DQ724"/>
      <c r="DR724"/>
      <c r="DS724"/>
      <c r="DT724"/>
      <c r="DU724"/>
    </row>
    <row r="725" spans="1:125">
      <c r="A725"/>
      <c r="B725"/>
      <c r="C725"/>
      <c r="D725"/>
      <c r="E725"/>
      <c r="G725"/>
      <c r="K725"/>
      <c r="V725"/>
      <c r="AC725"/>
      <c r="AI725"/>
      <c r="AJ725"/>
      <c r="AK725"/>
      <c r="AL725"/>
      <c r="AM725"/>
      <c r="AP725"/>
      <c r="AQ725"/>
      <c r="AR725"/>
      <c r="AS725" s="180"/>
      <c r="AT725"/>
      <c r="AU725"/>
      <c r="AV725"/>
      <c r="AW725"/>
      <c r="AX725"/>
      <c r="AY725"/>
      <c r="AZ725"/>
      <c r="BA725"/>
      <c r="BB725"/>
      <c r="BC725"/>
      <c r="BD725"/>
      <c r="BE725"/>
      <c r="BJ725"/>
      <c r="BK725"/>
      <c r="BL725"/>
      <c r="BP725"/>
      <c r="BQ725"/>
      <c r="BR725"/>
      <c r="CD725"/>
      <c r="CE725"/>
      <c r="CF725"/>
      <c r="CQ725"/>
      <c r="CR725"/>
      <c r="CS725"/>
      <c r="DQ725"/>
      <c r="DR725"/>
      <c r="DS725"/>
      <c r="DT725"/>
      <c r="DU725"/>
    </row>
    <row r="726" spans="1:125">
      <c r="A726"/>
      <c r="B726"/>
      <c r="C726"/>
      <c r="D726"/>
      <c r="E726"/>
      <c r="G726"/>
      <c r="K726"/>
      <c r="V726"/>
      <c r="AC726"/>
      <c r="AI726"/>
      <c r="AJ726"/>
      <c r="AK726"/>
      <c r="AL726"/>
      <c r="AM726"/>
      <c r="AP726"/>
      <c r="AQ726"/>
      <c r="AR726"/>
      <c r="AS726" s="180"/>
      <c r="AT726"/>
      <c r="AU726"/>
      <c r="AV726"/>
      <c r="AW726"/>
      <c r="AX726"/>
      <c r="AY726"/>
      <c r="AZ726"/>
      <c r="BA726"/>
      <c r="BB726"/>
      <c r="BC726"/>
      <c r="BD726"/>
      <c r="BE726"/>
      <c r="BJ726"/>
      <c r="BK726"/>
      <c r="BL726"/>
      <c r="BP726"/>
      <c r="BQ726"/>
      <c r="BR726"/>
      <c r="CD726"/>
      <c r="CE726"/>
      <c r="CF726"/>
      <c r="CQ726"/>
      <c r="CR726"/>
      <c r="CS726"/>
      <c r="DQ726"/>
      <c r="DR726"/>
      <c r="DS726"/>
      <c r="DT726"/>
      <c r="DU726"/>
    </row>
    <row r="727" spans="1:125">
      <c r="A727"/>
      <c r="B727"/>
      <c r="C727"/>
      <c r="D727"/>
      <c r="E727"/>
      <c r="G727"/>
      <c r="K727"/>
      <c r="V727"/>
      <c r="AC727"/>
      <c r="AI727"/>
      <c r="AJ727"/>
      <c r="AK727"/>
      <c r="AL727"/>
      <c r="AM727"/>
      <c r="AP727"/>
      <c r="AQ727"/>
      <c r="AR727"/>
      <c r="AS727" s="180"/>
      <c r="AT727"/>
      <c r="AU727"/>
      <c r="AV727"/>
      <c r="AW727"/>
      <c r="AX727"/>
      <c r="AY727"/>
      <c r="AZ727"/>
      <c r="BA727"/>
      <c r="BB727"/>
      <c r="BC727"/>
      <c r="BD727"/>
      <c r="BE727"/>
      <c r="BJ727"/>
      <c r="BK727"/>
      <c r="BL727"/>
      <c r="BP727"/>
      <c r="BQ727"/>
      <c r="BR727"/>
      <c r="CD727"/>
      <c r="CE727"/>
      <c r="CF727"/>
      <c r="CQ727"/>
      <c r="CR727"/>
      <c r="CS727"/>
      <c r="DQ727"/>
      <c r="DR727"/>
      <c r="DS727"/>
      <c r="DT727"/>
      <c r="DU727"/>
    </row>
    <row r="728" spans="1:125">
      <c r="A728"/>
      <c r="B728"/>
      <c r="C728"/>
      <c r="D728"/>
      <c r="E728"/>
      <c r="G728"/>
      <c r="K728"/>
      <c r="V728"/>
      <c r="AC728"/>
      <c r="AI728"/>
      <c r="AJ728"/>
      <c r="AK728"/>
      <c r="AL728"/>
      <c r="AM728"/>
      <c r="AP728"/>
      <c r="AQ728"/>
      <c r="AR728"/>
      <c r="AS728" s="180"/>
      <c r="AT728"/>
      <c r="AU728"/>
      <c r="AV728"/>
      <c r="AW728"/>
      <c r="AX728"/>
      <c r="AY728"/>
      <c r="AZ728"/>
      <c r="BA728"/>
      <c r="BB728"/>
      <c r="BC728"/>
      <c r="BD728"/>
      <c r="BE728"/>
      <c r="BJ728"/>
      <c r="BK728"/>
      <c r="BL728"/>
      <c r="BP728"/>
      <c r="BQ728"/>
      <c r="BR728"/>
      <c r="CD728"/>
      <c r="CE728"/>
      <c r="CF728"/>
      <c r="CQ728"/>
      <c r="CR728"/>
      <c r="CS728"/>
      <c r="DQ728"/>
      <c r="DR728"/>
      <c r="DS728"/>
      <c r="DT728"/>
      <c r="DU728"/>
    </row>
    <row r="729" spans="1:125">
      <c r="A729"/>
      <c r="B729"/>
      <c r="C729"/>
      <c r="D729"/>
      <c r="E729"/>
      <c r="G729"/>
      <c r="K729"/>
      <c r="V729"/>
      <c r="AC729"/>
      <c r="AI729"/>
      <c r="AJ729"/>
      <c r="AK729"/>
      <c r="AL729"/>
      <c r="AM729"/>
      <c r="AP729"/>
      <c r="AQ729"/>
      <c r="AR729"/>
      <c r="AS729" s="180"/>
      <c r="AT729"/>
      <c r="AU729"/>
      <c r="AV729"/>
      <c r="AW729"/>
      <c r="AX729"/>
      <c r="AY729"/>
      <c r="AZ729"/>
      <c r="BA729"/>
      <c r="BB729"/>
      <c r="BC729"/>
      <c r="BD729"/>
      <c r="BE729"/>
      <c r="BJ729"/>
      <c r="BK729"/>
      <c r="BL729"/>
      <c r="BP729"/>
      <c r="BQ729"/>
      <c r="BR729"/>
      <c r="CD729"/>
      <c r="CE729"/>
      <c r="CF729"/>
      <c r="CQ729"/>
      <c r="CR729"/>
      <c r="CS729"/>
      <c r="DQ729"/>
      <c r="DR729"/>
      <c r="DS729"/>
      <c r="DT729"/>
      <c r="DU729"/>
    </row>
    <row r="730" spans="1:125">
      <c r="A730"/>
      <c r="B730"/>
      <c r="C730"/>
      <c r="D730"/>
      <c r="E730"/>
      <c r="G730"/>
      <c r="K730"/>
      <c r="V730"/>
      <c r="AC730"/>
      <c r="AI730"/>
      <c r="AJ730"/>
      <c r="AK730"/>
      <c r="AL730"/>
      <c r="AM730"/>
      <c r="AP730"/>
      <c r="AQ730"/>
      <c r="AR730"/>
      <c r="AS730" s="180"/>
      <c r="AT730"/>
      <c r="AU730"/>
      <c r="AV730"/>
      <c r="AW730"/>
      <c r="AX730"/>
      <c r="AY730"/>
      <c r="AZ730"/>
      <c r="BA730"/>
      <c r="BB730"/>
      <c r="BC730"/>
      <c r="BD730"/>
      <c r="BE730"/>
      <c r="BJ730"/>
      <c r="BK730"/>
      <c r="BL730"/>
      <c r="BP730"/>
      <c r="BQ730"/>
      <c r="BR730"/>
      <c r="CD730"/>
      <c r="CE730"/>
      <c r="CF730"/>
      <c r="CQ730"/>
      <c r="CR730"/>
      <c r="CS730"/>
      <c r="DQ730"/>
      <c r="DR730"/>
      <c r="DS730"/>
      <c r="DT730"/>
      <c r="DU730"/>
    </row>
    <row r="731" spans="1:125">
      <c r="A731"/>
      <c r="B731"/>
      <c r="C731"/>
      <c r="D731"/>
      <c r="E731"/>
      <c r="G731"/>
      <c r="K731"/>
      <c r="V731"/>
      <c r="AC731"/>
      <c r="AI731"/>
      <c r="AJ731"/>
      <c r="AK731"/>
      <c r="AL731"/>
      <c r="AM731"/>
      <c r="AP731"/>
      <c r="AQ731"/>
      <c r="AR731"/>
      <c r="AS731" s="180"/>
      <c r="AT731"/>
      <c r="AU731"/>
      <c r="AV731"/>
      <c r="AW731"/>
      <c r="AX731"/>
      <c r="AY731"/>
      <c r="AZ731"/>
      <c r="BA731"/>
      <c r="BB731"/>
      <c r="BC731"/>
      <c r="BD731"/>
      <c r="BE731"/>
      <c r="BJ731"/>
      <c r="BK731"/>
      <c r="BL731"/>
      <c r="BP731"/>
      <c r="BQ731"/>
      <c r="BR731"/>
      <c r="CD731"/>
      <c r="CE731"/>
      <c r="CF731"/>
      <c r="CQ731"/>
      <c r="CR731"/>
      <c r="CS731"/>
      <c r="DQ731"/>
      <c r="DR731"/>
      <c r="DS731"/>
      <c r="DT731"/>
      <c r="DU731"/>
    </row>
    <row r="732" spans="1:125">
      <c r="A732"/>
      <c r="B732"/>
      <c r="C732"/>
      <c r="D732"/>
      <c r="E732"/>
      <c r="G732"/>
      <c r="K732"/>
      <c r="V732"/>
      <c r="AC732"/>
      <c r="AI732"/>
      <c r="AJ732"/>
      <c r="AK732"/>
      <c r="AL732"/>
      <c r="AM732"/>
      <c r="AP732"/>
      <c r="AQ732"/>
      <c r="AR732"/>
      <c r="AS732" s="180"/>
      <c r="AT732"/>
      <c r="AU732"/>
      <c r="AV732"/>
      <c r="AW732"/>
      <c r="AX732"/>
      <c r="AY732"/>
      <c r="AZ732"/>
      <c r="BA732"/>
      <c r="BB732"/>
      <c r="BC732"/>
      <c r="BD732"/>
      <c r="BE732"/>
      <c r="BJ732"/>
      <c r="BK732"/>
      <c r="BL732"/>
      <c r="BP732"/>
      <c r="BQ732"/>
      <c r="BR732"/>
      <c r="CD732"/>
      <c r="CE732"/>
      <c r="CF732"/>
      <c r="CQ732"/>
      <c r="CR732"/>
      <c r="CS732"/>
      <c r="DQ732"/>
      <c r="DR732"/>
      <c r="DS732"/>
      <c r="DT732"/>
      <c r="DU732"/>
    </row>
    <row r="733" spans="1:125">
      <c r="A733"/>
      <c r="B733"/>
      <c r="C733"/>
      <c r="D733"/>
      <c r="E733"/>
      <c r="G733"/>
      <c r="K733"/>
      <c r="V733"/>
      <c r="AC733"/>
      <c r="AI733"/>
      <c r="AJ733"/>
      <c r="AK733"/>
      <c r="AL733"/>
      <c r="AM733"/>
      <c r="AP733"/>
      <c r="AQ733"/>
      <c r="AR733"/>
      <c r="AS733" s="180"/>
      <c r="AT733"/>
      <c r="AU733"/>
      <c r="AV733"/>
      <c r="AW733"/>
      <c r="AX733"/>
      <c r="AY733"/>
      <c r="AZ733"/>
      <c r="BA733"/>
      <c r="BB733"/>
      <c r="BC733"/>
      <c r="BD733"/>
      <c r="BE733"/>
      <c r="BJ733"/>
      <c r="BK733"/>
      <c r="BL733"/>
      <c r="BP733"/>
      <c r="BQ733"/>
      <c r="BR733"/>
      <c r="CD733"/>
      <c r="CE733"/>
      <c r="CF733"/>
      <c r="CQ733"/>
      <c r="CR733"/>
      <c r="CS733"/>
      <c r="DQ733"/>
      <c r="DR733"/>
      <c r="DS733"/>
      <c r="DT733"/>
      <c r="DU733"/>
    </row>
    <row r="734" spans="1:125">
      <c r="A734"/>
      <c r="B734"/>
      <c r="C734"/>
      <c r="D734"/>
      <c r="E734"/>
      <c r="G734"/>
      <c r="K734"/>
      <c r="V734"/>
      <c r="AC734"/>
      <c r="AI734"/>
      <c r="AJ734"/>
      <c r="AK734"/>
      <c r="AL734"/>
      <c r="AM734"/>
      <c r="AP734"/>
      <c r="AQ734"/>
      <c r="AR734"/>
      <c r="AS734" s="180"/>
      <c r="AT734"/>
      <c r="AU734"/>
      <c r="AV734"/>
      <c r="AW734"/>
      <c r="AX734"/>
      <c r="AY734"/>
      <c r="AZ734"/>
      <c r="BA734"/>
      <c r="BB734"/>
      <c r="BC734"/>
      <c r="BD734"/>
      <c r="BE734"/>
      <c r="BJ734"/>
      <c r="BK734"/>
      <c r="BL734"/>
      <c r="BP734"/>
      <c r="BQ734"/>
      <c r="BR734"/>
      <c r="CD734"/>
      <c r="CE734"/>
      <c r="CF734"/>
      <c r="CQ734"/>
      <c r="CR734"/>
      <c r="CS734"/>
      <c r="DQ734"/>
      <c r="DR734"/>
      <c r="DS734"/>
      <c r="DT734"/>
      <c r="DU734"/>
    </row>
    <row r="735" spans="1:125">
      <c r="A735"/>
      <c r="B735"/>
      <c r="C735"/>
      <c r="D735"/>
      <c r="E735"/>
      <c r="G735"/>
      <c r="K735"/>
      <c r="V735"/>
      <c r="AC735"/>
      <c r="AI735"/>
      <c r="AJ735"/>
      <c r="AK735"/>
      <c r="AL735"/>
      <c r="AM735"/>
      <c r="AP735"/>
      <c r="AQ735"/>
      <c r="AR735"/>
      <c r="AS735" s="180"/>
      <c r="AT735"/>
      <c r="AU735"/>
      <c r="AV735"/>
      <c r="AW735"/>
      <c r="AX735"/>
      <c r="AY735"/>
      <c r="AZ735"/>
      <c r="BA735"/>
      <c r="BB735"/>
      <c r="BC735"/>
      <c r="BD735"/>
      <c r="BE735"/>
      <c r="BJ735"/>
      <c r="BK735"/>
      <c r="BL735"/>
      <c r="BP735"/>
      <c r="BQ735"/>
      <c r="BR735"/>
      <c r="CD735"/>
      <c r="CE735"/>
      <c r="CF735"/>
      <c r="CQ735"/>
      <c r="CR735"/>
      <c r="CS735"/>
      <c r="DQ735"/>
      <c r="DR735"/>
      <c r="DS735"/>
      <c r="DT735"/>
      <c r="DU735"/>
    </row>
    <row r="736" spans="1:125">
      <c r="A736"/>
      <c r="B736"/>
      <c r="C736"/>
      <c r="D736"/>
      <c r="E736"/>
      <c r="G736"/>
      <c r="K736"/>
      <c r="V736"/>
      <c r="AC736"/>
      <c r="AI736"/>
      <c r="AJ736"/>
      <c r="AK736"/>
      <c r="AL736"/>
      <c r="AM736"/>
      <c r="AP736"/>
      <c r="AQ736"/>
      <c r="AR736"/>
      <c r="AS736" s="180"/>
      <c r="AT736"/>
      <c r="AU736"/>
      <c r="AV736"/>
      <c r="AW736"/>
      <c r="AX736"/>
      <c r="AY736"/>
      <c r="AZ736"/>
      <c r="BA736"/>
      <c r="BB736"/>
      <c r="BC736"/>
      <c r="BD736"/>
      <c r="BE736"/>
      <c r="BJ736"/>
      <c r="BK736"/>
      <c r="BL736"/>
      <c r="BP736"/>
      <c r="BQ736"/>
      <c r="BR736"/>
      <c r="CD736"/>
      <c r="CE736"/>
      <c r="CF736"/>
      <c r="CQ736"/>
      <c r="CR736"/>
      <c r="CS736"/>
      <c r="DQ736"/>
      <c r="DR736"/>
      <c r="DS736"/>
      <c r="DT736"/>
      <c r="DU736"/>
    </row>
    <row r="737" spans="1:125">
      <c r="A737"/>
      <c r="B737"/>
      <c r="C737"/>
      <c r="D737"/>
      <c r="E737"/>
      <c r="G737"/>
      <c r="K737"/>
      <c r="V737"/>
      <c r="AC737"/>
      <c r="AI737"/>
      <c r="AJ737"/>
      <c r="AK737"/>
      <c r="AL737"/>
      <c r="AM737"/>
      <c r="AP737"/>
      <c r="AQ737"/>
      <c r="AR737"/>
      <c r="AS737" s="180"/>
      <c r="AT737"/>
      <c r="AU737"/>
      <c r="AV737"/>
      <c r="AW737"/>
      <c r="AX737"/>
      <c r="AY737"/>
      <c r="AZ737"/>
      <c r="BA737"/>
      <c r="BB737"/>
      <c r="BC737"/>
      <c r="BD737"/>
      <c r="BE737"/>
      <c r="BJ737"/>
      <c r="BK737"/>
      <c r="BL737"/>
      <c r="BP737"/>
      <c r="BQ737"/>
      <c r="BR737"/>
      <c r="CD737"/>
      <c r="CE737"/>
      <c r="CF737"/>
      <c r="CQ737"/>
      <c r="CR737"/>
      <c r="CS737"/>
      <c r="DQ737"/>
      <c r="DR737"/>
      <c r="DS737"/>
      <c r="DT737"/>
      <c r="DU737"/>
    </row>
    <row r="738" spans="1:125">
      <c r="A738"/>
      <c r="B738"/>
      <c r="C738"/>
      <c r="D738"/>
      <c r="E738"/>
      <c r="G738"/>
      <c r="K738"/>
      <c r="V738"/>
      <c r="AC738"/>
      <c r="AI738"/>
      <c r="AJ738"/>
      <c r="AK738"/>
      <c r="AL738"/>
      <c r="AM738"/>
      <c r="AP738"/>
      <c r="AQ738"/>
      <c r="AR738"/>
      <c r="AS738" s="180"/>
      <c r="AT738"/>
      <c r="AU738"/>
      <c r="AV738"/>
      <c r="AW738"/>
      <c r="AX738"/>
      <c r="AY738"/>
      <c r="AZ738"/>
      <c r="BA738"/>
      <c r="BB738"/>
      <c r="BC738"/>
      <c r="BD738"/>
      <c r="BE738"/>
      <c r="BJ738"/>
      <c r="BK738"/>
      <c r="BL738"/>
      <c r="BP738"/>
      <c r="BQ738"/>
      <c r="BR738"/>
      <c r="CD738"/>
      <c r="CE738"/>
      <c r="CF738"/>
      <c r="CQ738"/>
      <c r="CR738"/>
      <c r="CS738"/>
      <c r="DQ738"/>
      <c r="DR738"/>
      <c r="DS738"/>
      <c r="DT738"/>
      <c r="DU738"/>
    </row>
    <row r="739" spans="1:125">
      <c r="A739"/>
      <c r="B739"/>
      <c r="C739"/>
      <c r="D739"/>
      <c r="E739"/>
      <c r="G739"/>
      <c r="K739"/>
      <c r="V739"/>
      <c r="AC739"/>
      <c r="AI739"/>
      <c r="AJ739"/>
      <c r="AK739"/>
      <c r="AL739"/>
      <c r="AM739"/>
      <c r="AP739"/>
      <c r="AQ739"/>
      <c r="AR739"/>
      <c r="AS739" s="180"/>
      <c r="AT739"/>
      <c r="AU739"/>
      <c r="AV739"/>
      <c r="AW739"/>
      <c r="AX739"/>
      <c r="AY739"/>
      <c r="AZ739"/>
      <c r="BA739"/>
      <c r="BB739"/>
      <c r="BC739"/>
      <c r="BD739"/>
      <c r="BE739"/>
      <c r="BJ739"/>
      <c r="BK739"/>
      <c r="BL739"/>
      <c r="BP739"/>
      <c r="BQ739"/>
      <c r="BR739"/>
      <c r="CD739"/>
      <c r="CE739"/>
      <c r="CF739"/>
      <c r="CQ739"/>
      <c r="CR739"/>
      <c r="CS739"/>
      <c r="DQ739"/>
      <c r="DR739"/>
      <c r="DS739"/>
      <c r="DT739"/>
      <c r="DU739"/>
    </row>
    <row r="740" spans="1:125">
      <c r="A740"/>
      <c r="B740"/>
      <c r="C740"/>
      <c r="D740"/>
      <c r="E740"/>
      <c r="G740"/>
      <c r="K740"/>
      <c r="V740"/>
      <c r="AC740"/>
      <c r="AI740"/>
      <c r="AJ740"/>
      <c r="AK740"/>
      <c r="AL740"/>
      <c r="AM740"/>
      <c r="AP740"/>
      <c r="AQ740"/>
      <c r="AR740"/>
      <c r="AS740" s="180"/>
      <c r="AT740"/>
      <c r="AU740"/>
      <c r="AV740"/>
      <c r="AW740"/>
      <c r="AX740"/>
      <c r="AY740"/>
      <c r="AZ740"/>
      <c r="BA740"/>
      <c r="BB740"/>
      <c r="BC740"/>
      <c r="BD740"/>
      <c r="BE740"/>
      <c r="BJ740"/>
      <c r="BK740"/>
      <c r="BL740"/>
      <c r="BP740"/>
      <c r="BQ740"/>
      <c r="BR740"/>
      <c r="CD740"/>
      <c r="CE740"/>
      <c r="CF740"/>
      <c r="CQ740"/>
      <c r="CR740"/>
      <c r="CS740"/>
      <c r="DQ740"/>
      <c r="DR740"/>
      <c r="DS740"/>
      <c r="DT740"/>
      <c r="DU740"/>
    </row>
    <row r="741" spans="1:125">
      <c r="A741"/>
      <c r="B741"/>
      <c r="C741"/>
      <c r="D741"/>
      <c r="E741"/>
      <c r="G741"/>
      <c r="K741"/>
      <c r="V741"/>
      <c r="AC741"/>
      <c r="AI741"/>
      <c r="AJ741"/>
      <c r="AK741"/>
      <c r="AL741"/>
      <c r="AM741"/>
      <c r="AP741"/>
      <c r="AQ741"/>
      <c r="AR741"/>
      <c r="AS741" s="180"/>
      <c r="AT741"/>
      <c r="AU741"/>
      <c r="AV741"/>
      <c r="AW741"/>
      <c r="AX741"/>
      <c r="AY741"/>
      <c r="AZ741"/>
      <c r="BA741"/>
      <c r="BB741"/>
      <c r="BC741"/>
      <c r="BD741"/>
      <c r="BE741"/>
      <c r="BJ741"/>
      <c r="BK741"/>
      <c r="BL741"/>
      <c r="BP741"/>
      <c r="BQ741"/>
      <c r="BR741"/>
      <c r="CD741"/>
      <c r="CE741"/>
      <c r="CF741"/>
      <c r="CQ741"/>
      <c r="CR741"/>
      <c r="CS741"/>
      <c r="DQ741"/>
      <c r="DR741"/>
      <c r="DS741"/>
      <c r="DT741"/>
      <c r="DU741"/>
    </row>
    <row r="742" spans="1:125">
      <c r="A742"/>
      <c r="B742"/>
      <c r="C742"/>
      <c r="D742"/>
      <c r="E742"/>
      <c r="G742"/>
      <c r="K742"/>
      <c r="V742"/>
      <c r="AC742"/>
      <c r="AI742"/>
      <c r="AJ742"/>
      <c r="AK742"/>
      <c r="AL742"/>
      <c r="AM742"/>
      <c r="AP742"/>
      <c r="AQ742"/>
      <c r="AR742"/>
      <c r="AS742" s="180"/>
      <c r="AT742"/>
      <c r="AU742"/>
      <c r="AV742"/>
      <c r="AW742"/>
      <c r="AX742"/>
      <c r="AY742"/>
      <c r="AZ742"/>
      <c r="BA742"/>
      <c r="BB742"/>
      <c r="BC742"/>
      <c r="BD742"/>
      <c r="BE742"/>
      <c r="BJ742"/>
      <c r="BK742"/>
      <c r="BL742"/>
      <c r="BP742"/>
      <c r="BQ742"/>
      <c r="BR742"/>
      <c r="CD742"/>
      <c r="CE742"/>
      <c r="CF742"/>
      <c r="CQ742"/>
      <c r="CR742"/>
      <c r="CS742"/>
      <c r="DQ742"/>
      <c r="DR742"/>
      <c r="DS742"/>
      <c r="DT742"/>
      <c r="DU742"/>
    </row>
    <row r="743" spans="1:125">
      <c r="A743"/>
      <c r="B743"/>
      <c r="C743"/>
      <c r="D743"/>
      <c r="E743"/>
      <c r="G743"/>
      <c r="K743"/>
      <c r="V743"/>
      <c r="AC743"/>
      <c r="AI743"/>
      <c r="AJ743"/>
      <c r="AK743"/>
      <c r="AL743"/>
      <c r="AM743"/>
      <c r="AP743"/>
      <c r="AQ743"/>
      <c r="AR743"/>
      <c r="AS743" s="180"/>
      <c r="AT743"/>
      <c r="AU743"/>
      <c r="AV743"/>
      <c r="AW743"/>
      <c r="AX743"/>
      <c r="AY743"/>
      <c r="AZ743"/>
      <c r="BA743"/>
      <c r="BB743"/>
      <c r="BC743"/>
      <c r="BD743"/>
      <c r="BE743"/>
      <c r="BJ743"/>
      <c r="BK743"/>
      <c r="BL743"/>
      <c r="BP743"/>
      <c r="BQ743"/>
      <c r="BR743"/>
      <c r="CD743"/>
      <c r="CE743"/>
      <c r="CF743"/>
      <c r="CQ743"/>
      <c r="CR743"/>
      <c r="CS743"/>
      <c r="DQ743"/>
      <c r="DR743"/>
      <c r="DS743"/>
      <c r="DT743"/>
      <c r="DU743"/>
    </row>
    <row r="744" spans="1:125">
      <c r="A744"/>
      <c r="B744"/>
      <c r="C744"/>
      <c r="D744"/>
      <c r="E744"/>
      <c r="G744"/>
      <c r="K744"/>
      <c r="V744"/>
      <c r="AC744"/>
      <c r="AI744"/>
      <c r="AJ744"/>
      <c r="AK744"/>
      <c r="AL744"/>
      <c r="AM744"/>
      <c r="AP744"/>
      <c r="AQ744"/>
      <c r="AR744"/>
      <c r="AS744" s="180"/>
      <c r="AT744"/>
      <c r="AU744"/>
      <c r="AV744"/>
      <c r="AW744"/>
      <c r="AX744"/>
      <c r="AY744"/>
      <c r="AZ744"/>
      <c r="BA744"/>
      <c r="BB744"/>
      <c r="BC744"/>
      <c r="BD744"/>
      <c r="BE744"/>
      <c r="BJ744"/>
      <c r="BK744"/>
      <c r="BL744"/>
      <c r="BP744"/>
      <c r="BQ744"/>
      <c r="BR744"/>
      <c r="CD744"/>
      <c r="CE744"/>
      <c r="CF744"/>
      <c r="CQ744"/>
      <c r="CR744"/>
      <c r="CS744"/>
      <c r="DQ744"/>
      <c r="DR744"/>
      <c r="DS744"/>
      <c r="DT744"/>
      <c r="DU744"/>
    </row>
    <row r="745" spans="1:125">
      <c r="A745"/>
      <c r="B745"/>
      <c r="C745"/>
      <c r="D745"/>
      <c r="E745"/>
      <c r="G745"/>
      <c r="K745"/>
      <c r="V745"/>
      <c r="AC745"/>
      <c r="AI745"/>
      <c r="AJ745"/>
      <c r="AK745"/>
      <c r="AL745"/>
      <c r="AM745"/>
      <c r="AP745"/>
      <c r="AQ745"/>
      <c r="AR745"/>
      <c r="AS745" s="180"/>
      <c r="AT745"/>
      <c r="AU745"/>
      <c r="AV745"/>
      <c r="AW745"/>
      <c r="AX745"/>
      <c r="AY745"/>
      <c r="AZ745"/>
      <c r="BA745"/>
      <c r="BB745"/>
      <c r="BC745"/>
      <c r="BD745"/>
      <c r="BE745"/>
      <c r="BJ745"/>
      <c r="BK745"/>
      <c r="BL745"/>
      <c r="BP745"/>
      <c r="BQ745"/>
      <c r="BR745"/>
      <c r="CD745"/>
      <c r="CE745"/>
      <c r="CF745"/>
      <c r="CQ745"/>
      <c r="CR745"/>
      <c r="CS745"/>
      <c r="DQ745"/>
      <c r="DR745"/>
      <c r="DS745"/>
      <c r="DT745"/>
      <c r="DU745"/>
    </row>
    <row r="746" spans="1:125">
      <c r="A746"/>
      <c r="B746"/>
      <c r="C746"/>
      <c r="D746"/>
      <c r="E746"/>
      <c r="G746"/>
      <c r="K746"/>
      <c r="V746"/>
      <c r="AC746"/>
      <c r="AI746"/>
      <c r="AJ746"/>
      <c r="AK746"/>
      <c r="AL746"/>
      <c r="AM746"/>
      <c r="AP746"/>
      <c r="AQ746"/>
      <c r="AR746"/>
      <c r="AS746" s="180"/>
      <c r="AT746"/>
      <c r="AU746"/>
      <c r="AV746"/>
      <c r="AW746"/>
      <c r="AX746"/>
      <c r="AY746"/>
      <c r="AZ746"/>
      <c r="BA746"/>
      <c r="BB746"/>
      <c r="BC746"/>
      <c r="BD746"/>
      <c r="BE746"/>
      <c r="BJ746"/>
      <c r="BK746"/>
      <c r="BL746"/>
      <c r="BP746"/>
      <c r="BQ746"/>
      <c r="BR746"/>
      <c r="CD746"/>
      <c r="CE746"/>
      <c r="CF746"/>
      <c r="CQ746"/>
      <c r="CR746"/>
      <c r="CS746"/>
      <c r="DQ746"/>
      <c r="DR746"/>
      <c r="DS746"/>
      <c r="DT746"/>
      <c r="DU746"/>
    </row>
    <row r="747" spans="1:125">
      <c r="A747"/>
      <c r="B747"/>
      <c r="C747"/>
      <c r="D747"/>
      <c r="E747"/>
      <c r="G747"/>
      <c r="K747"/>
      <c r="V747"/>
      <c r="AC747"/>
      <c r="AI747"/>
      <c r="AJ747"/>
      <c r="AK747"/>
      <c r="AL747"/>
      <c r="AM747"/>
      <c r="AP747"/>
      <c r="AQ747"/>
      <c r="AR747"/>
      <c r="AS747" s="180"/>
      <c r="AT747"/>
      <c r="AU747"/>
      <c r="AV747"/>
      <c r="AW747"/>
      <c r="AX747"/>
      <c r="AY747"/>
      <c r="AZ747"/>
      <c r="BA747"/>
      <c r="BB747"/>
      <c r="BC747"/>
      <c r="BD747"/>
      <c r="BE747"/>
      <c r="BJ747"/>
      <c r="BK747"/>
      <c r="BL747"/>
      <c r="BP747"/>
      <c r="BQ747"/>
      <c r="BR747"/>
      <c r="CD747"/>
      <c r="CE747"/>
      <c r="CF747"/>
      <c r="CQ747"/>
      <c r="CR747"/>
      <c r="CS747"/>
      <c r="DQ747"/>
      <c r="DR747"/>
      <c r="DS747"/>
      <c r="DT747"/>
      <c r="DU747"/>
    </row>
    <row r="748" spans="1:125">
      <c r="A748"/>
      <c r="B748"/>
      <c r="C748"/>
      <c r="D748"/>
      <c r="E748"/>
      <c r="G748"/>
      <c r="K748"/>
      <c r="V748"/>
      <c r="AC748"/>
      <c r="AI748"/>
      <c r="AJ748"/>
      <c r="AK748"/>
      <c r="AL748"/>
      <c r="AM748"/>
      <c r="AP748"/>
      <c r="AQ748"/>
      <c r="AR748"/>
      <c r="AS748" s="180"/>
      <c r="AT748"/>
      <c r="AU748"/>
      <c r="AV748"/>
      <c r="AW748"/>
      <c r="AX748"/>
      <c r="AY748"/>
      <c r="AZ748"/>
      <c r="BA748"/>
      <c r="BB748"/>
      <c r="BC748"/>
      <c r="BD748"/>
      <c r="BE748"/>
      <c r="BJ748"/>
      <c r="BK748"/>
      <c r="BL748"/>
      <c r="BP748"/>
      <c r="BQ748"/>
      <c r="BR748"/>
      <c r="CD748"/>
      <c r="CE748"/>
      <c r="CF748"/>
      <c r="CQ748"/>
      <c r="CR748"/>
      <c r="CS748"/>
      <c r="DQ748"/>
      <c r="DR748"/>
      <c r="DS748"/>
      <c r="DT748"/>
      <c r="DU748"/>
    </row>
    <row r="749" spans="1:125">
      <c r="A749"/>
      <c r="B749"/>
      <c r="C749"/>
      <c r="D749"/>
      <c r="E749"/>
      <c r="G749"/>
      <c r="K749"/>
      <c r="V749"/>
      <c r="AC749"/>
      <c r="AI749"/>
      <c r="AJ749"/>
      <c r="AK749"/>
      <c r="AL749"/>
      <c r="AM749"/>
      <c r="AP749"/>
      <c r="AQ749"/>
      <c r="AR749"/>
      <c r="AS749" s="180"/>
      <c r="AT749"/>
      <c r="AU749"/>
      <c r="AV749"/>
      <c r="AW749"/>
      <c r="AX749"/>
      <c r="AY749"/>
      <c r="AZ749"/>
      <c r="BA749"/>
      <c r="BB749"/>
      <c r="BC749"/>
      <c r="BD749"/>
      <c r="BE749"/>
      <c r="BJ749"/>
      <c r="BK749"/>
      <c r="BL749"/>
      <c r="BP749"/>
      <c r="BQ749"/>
      <c r="BR749"/>
      <c r="CD749"/>
      <c r="CE749"/>
      <c r="CF749"/>
      <c r="CQ749"/>
      <c r="CR749"/>
      <c r="CS749"/>
      <c r="DQ749"/>
      <c r="DR749"/>
      <c r="DS749"/>
      <c r="DT749"/>
      <c r="DU749"/>
    </row>
    <row r="750" spans="1:125">
      <c r="A750"/>
      <c r="B750"/>
      <c r="C750"/>
      <c r="D750"/>
      <c r="E750"/>
      <c r="G750"/>
      <c r="K750"/>
      <c r="V750"/>
      <c r="AC750"/>
      <c r="AI750"/>
      <c r="AJ750"/>
      <c r="AK750"/>
      <c r="AL750"/>
      <c r="AM750"/>
      <c r="AP750"/>
      <c r="AQ750"/>
      <c r="AR750"/>
      <c r="AS750" s="180"/>
      <c r="AT750"/>
      <c r="AU750"/>
      <c r="AV750"/>
      <c r="AW750"/>
      <c r="AX750"/>
      <c r="AY750"/>
      <c r="AZ750"/>
      <c r="BA750"/>
      <c r="BB750"/>
      <c r="BC750"/>
      <c r="BD750"/>
      <c r="BE750"/>
      <c r="BJ750"/>
      <c r="BK750"/>
      <c r="BL750"/>
      <c r="BP750"/>
      <c r="BQ750"/>
      <c r="BR750"/>
      <c r="CD750"/>
      <c r="CE750"/>
      <c r="CF750"/>
      <c r="CQ750"/>
      <c r="CR750"/>
      <c r="CS750"/>
      <c r="DQ750"/>
      <c r="DR750"/>
      <c r="DS750"/>
      <c r="DT750"/>
      <c r="DU750"/>
    </row>
    <row r="751" spans="1:125">
      <c r="A751"/>
      <c r="B751"/>
      <c r="C751"/>
      <c r="D751"/>
      <c r="E751"/>
      <c r="G751"/>
      <c r="K751"/>
      <c r="V751"/>
      <c r="AC751"/>
      <c r="AI751"/>
      <c r="AJ751"/>
      <c r="AK751"/>
      <c r="AL751"/>
      <c r="AM751"/>
      <c r="AP751"/>
      <c r="AQ751"/>
      <c r="AR751"/>
      <c r="AS751" s="180"/>
      <c r="AT751"/>
      <c r="AU751"/>
      <c r="AV751"/>
      <c r="AW751"/>
      <c r="AX751"/>
      <c r="AY751"/>
      <c r="AZ751"/>
      <c r="BA751"/>
      <c r="BB751"/>
      <c r="BC751"/>
      <c r="BD751"/>
      <c r="BE751"/>
      <c r="BJ751"/>
      <c r="BK751"/>
      <c r="BL751"/>
      <c r="BP751"/>
      <c r="BQ751"/>
      <c r="BR751"/>
      <c r="CD751"/>
      <c r="CE751"/>
      <c r="CF751"/>
      <c r="CQ751"/>
      <c r="CR751"/>
      <c r="CS751"/>
      <c r="DQ751"/>
      <c r="DR751"/>
      <c r="DS751"/>
      <c r="DT751"/>
      <c r="DU751"/>
    </row>
    <row r="752" spans="1:125">
      <c r="A752"/>
      <c r="B752"/>
      <c r="C752"/>
      <c r="D752"/>
      <c r="E752"/>
      <c r="G752"/>
      <c r="K752"/>
      <c r="V752"/>
      <c r="AC752"/>
      <c r="AI752"/>
      <c r="AJ752"/>
      <c r="AK752"/>
      <c r="AL752"/>
      <c r="AM752"/>
      <c r="AP752"/>
      <c r="AQ752"/>
      <c r="AR752"/>
      <c r="AS752" s="180"/>
      <c r="AT752"/>
      <c r="AU752"/>
      <c r="AV752"/>
      <c r="AW752"/>
      <c r="AX752"/>
      <c r="AY752"/>
      <c r="AZ752"/>
      <c r="BA752"/>
      <c r="BB752"/>
      <c r="BC752"/>
      <c r="BD752"/>
      <c r="BE752"/>
      <c r="BJ752"/>
      <c r="BK752"/>
      <c r="BL752"/>
      <c r="BP752"/>
      <c r="BQ752"/>
      <c r="BR752"/>
      <c r="CD752"/>
      <c r="CE752"/>
      <c r="CF752"/>
      <c r="CQ752"/>
      <c r="CR752"/>
      <c r="CS752"/>
      <c r="DQ752"/>
      <c r="DR752"/>
      <c r="DS752"/>
      <c r="DT752"/>
      <c r="DU752"/>
    </row>
    <row r="753" spans="1:125">
      <c r="A753"/>
      <c r="B753"/>
      <c r="C753"/>
      <c r="D753"/>
      <c r="E753"/>
      <c r="G753"/>
      <c r="K753"/>
      <c r="V753"/>
      <c r="AC753"/>
      <c r="AI753"/>
      <c r="AJ753"/>
      <c r="AK753"/>
      <c r="AL753"/>
      <c r="AM753"/>
      <c r="AP753"/>
      <c r="AQ753"/>
      <c r="AR753"/>
      <c r="AS753" s="180"/>
      <c r="AT753"/>
      <c r="AU753"/>
      <c r="AV753"/>
      <c r="AW753"/>
      <c r="AX753"/>
      <c r="AY753"/>
      <c r="AZ753"/>
      <c r="BA753"/>
      <c r="BB753"/>
      <c r="BC753"/>
      <c r="BD753"/>
      <c r="BE753"/>
      <c r="BJ753"/>
      <c r="BK753"/>
      <c r="BL753"/>
      <c r="BP753"/>
      <c r="BQ753"/>
      <c r="BR753"/>
      <c r="CD753"/>
      <c r="CE753"/>
      <c r="CF753"/>
      <c r="CQ753"/>
      <c r="CR753"/>
      <c r="CS753"/>
      <c r="DQ753"/>
      <c r="DR753"/>
      <c r="DS753"/>
      <c r="DT753"/>
      <c r="DU753"/>
    </row>
    <row r="754" spans="1:125">
      <c r="A754"/>
      <c r="B754"/>
      <c r="C754"/>
      <c r="D754"/>
      <c r="E754"/>
      <c r="G754"/>
      <c r="K754"/>
      <c r="V754"/>
      <c r="AC754"/>
      <c r="AI754"/>
      <c r="AJ754"/>
      <c r="AK754"/>
      <c r="AL754"/>
      <c r="AM754"/>
      <c r="AP754"/>
      <c r="AQ754"/>
      <c r="AR754"/>
      <c r="AS754" s="180"/>
      <c r="AT754"/>
      <c r="AU754"/>
      <c r="AV754"/>
      <c r="AW754"/>
      <c r="AX754"/>
      <c r="AY754"/>
      <c r="AZ754"/>
      <c r="BA754"/>
      <c r="BB754"/>
      <c r="BC754"/>
      <c r="BD754"/>
      <c r="BE754"/>
      <c r="BJ754"/>
      <c r="BK754"/>
      <c r="BL754"/>
      <c r="BP754"/>
      <c r="BQ754"/>
      <c r="BR754"/>
      <c r="CD754"/>
      <c r="CE754"/>
      <c r="CF754"/>
      <c r="CQ754"/>
      <c r="CR754"/>
      <c r="CS754"/>
      <c r="DQ754"/>
      <c r="DR754"/>
      <c r="DS754"/>
      <c r="DT754"/>
      <c r="DU754"/>
    </row>
    <row r="755" spans="1:125">
      <c r="A755"/>
      <c r="B755"/>
      <c r="C755"/>
      <c r="D755"/>
      <c r="E755"/>
      <c r="G755"/>
      <c r="K755"/>
      <c r="V755"/>
      <c r="AC755"/>
      <c r="AI755"/>
      <c r="AJ755"/>
      <c r="AK755"/>
      <c r="AL755"/>
      <c r="AM755"/>
      <c r="AP755"/>
      <c r="AQ755"/>
      <c r="AR755"/>
      <c r="AS755" s="180"/>
      <c r="AT755"/>
      <c r="AU755"/>
      <c r="AV755"/>
      <c r="AW755"/>
      <c r="AX755"/>
      <c r="AY755"/>
      <c r="AZ755"/>
      <c r="BA755"/>
      <c r="BB755"/>
      <c r="BC755"/>
      <c r="BD755"/>
      <c r="BE755"/>
      <c r="BJ755"/>
      <c r="BK755"/>
      <c r="BL755"/>
      <c r="BP755"/>
      <c r="BQ755"/>
      <c r="BR755"/>
      <c r="CD755"/>
      <c r="CE755"/>
      <c r="CF755"/>
      <c r="CQ755"/>
      <c r="CR755"/>
      <c r="CS755"/>
      <c r="DQ755"/>
      <c r="DR755"/>
      <c r="DS755"/>
      <c r="DT755"/>
      <c r="DU755"/>
    </row>
    <row r="756" spans="1:125">
      <c r="A756"/>
      <c r="B756"/>
      <c r="C756"/>
      <c r="D756"/>
      <c r="E756"/>
      <c r="G756"/>
      <c r="K756"/>
      <c r="V756"/>
      <c r="AC756"/>
      <c r="AI756"/>
      <c r="AJ756"/>
      <c r="AK756"/>
      <c r="AL756"/>
      <c r="AM756"/>
      <c r="AP756"/>
      <c r="AQ756"/>
      <c r="AR756"/>
      <c r="AS756" s="180"/>
      <c r="AT756"/>
      <c r="AU756"/>
      <c r="AV756"/>
      <c r="AW756"/>
      <c r="AX756"/>
      <c r="AY756"/>
      <c r="AZ756"/>
      <c r="BA756"/>
      <c r="BB756"/>
      <c r="BC756"/>
      <c r="BD756"/>
      <c r="BE756"/>
      <c r="BJ756"/>
      <c r="BK756"/>
      <c r="BL756"/>
      <c r="BP756"/>
      <c r="BQ756"/>
      <c r="BR756"/>
      <c r="CD756"/>
      <c r="CE756"/>
      <c r="CF756"/>
      <c r="CQ756"/>
      <c r="CR756"/>
      <c r="CS756"/>
      <c r="DQ756"/>
      <c r="DR756"/>
      <c r="DS756"/>
      <c r="DT756"/>
      <c r="DU756"/>
    </row>
    <row r="757" spans="1:125">
      <c r="A757"/>
      <c r="B757"/>
      <c r="C757"/>
      <c r="D757"/>
      <c r="E757"/>
      <c r="G757"/>
      <c r="K757"/>
      <c r="V757"/>
      <c r="AC757"/>
      <c r="AI757"/>
      <c r="AJ757"/>
      <c r="AK757"/>
      <c r="AL757"/>
      <c r="AM757"/>
      <c r="AP757"/>
      <c r="AQ757"/>
      <c r="AR757"/>
      <c r="AS757" s="180"/>
      <c r="AT757"/>
      <c r="AU757"/>
      <c r="AV757"/>
      <c r="AW757"/>
      <c r="AX757"/>
      <c r="AY757"/>
      <c r="AZ757"/>
      <c r="BA757"/>
      <c r="BB757"/>
      <c r="BC757"/>
      <c r="BD757"/>
      <c r="BE757"/>
      <c r="BJ757"/>
      <c r="BK757"/>
      <c r="BL757"/>
      <c r="BP757"/>
      <c r="BQ757"/>
      <c r="BR757"/>
      <c r="CD757"/>
      <c r="CE757"/>
      <c r="CF757"/>
      <c r="CQ757"/>
      <c r="CR757"/>
      <c r="CS757"/>
      <c r="DQ757"/>
      <c r="DR757"/>
      <c r="DS757"/>
      <c r="DT757"/>
      <c r="DU757"/>
    </row>
    <row r="758" spans="1:125">
      <c r="A758"/>
      <c r="B758"/>
      <c r="C758"/>
      <c r="D758"/>
      <c r="E758"/>
      <c r="G758"/>
      <c r="K758"/>
      <c r="V758"/>
      <c r="AC758"/>
      <c r="AI758"/>
      <c r="AJ758"/>
      <c r="AK758"/>
      <c r="AL758"/>
      <c r="AM758"/>
      <c r="AP758"/>
      <c r="AQ758"/>
      <c r="AR758"/>
      <c r="AS758" s="180"/>
      <c r="AT758"/>
      <c r="AU758"/>
      <c r="AV758"/>
      <c r="AW758"/>
      <c r="AX758"/>
      <c r="AY758"/>
      <c r="AZ758"/>
      <c r="BA758"/>
      <c r="BB758"/>
      <c r="BC758"/>
      <c r="BD758"/>
      <c r="BE758"/>
      <c r="BJ758"/>
      <c r="BK758"/>
      <c r="BL758"/>
      <c r="BP758"/>
      <c r="BQ758"/>
      <c r="BR758"/>
      <c r="CD758"/>
      <c r="CE758"/>
      <c r="CF758"/>
      <c r="CQ758"/>
      <c r="CR758"/>
      <c r="CS758"/>
      <c r="DQ758"/>
      <c r="DR758"/>
      <c r="DS758"/>
      <c r="DT758"/>
      <c r="DU758"/>
    </row>
    <row r="759" spans="1:125">
      <c r="A759"/>
      <c r="B759"/>
      <c r="C759"/>
      <c r="D759"/>
      <c r="E759"/>
      <c r="G759"/>
      <c r="K759"/>
      <c r="V759"/>
      <c r="AC759"/>
      <c r="AI759"/>
      <c r="AJ759"/>
      <c r="AK759"/>
      <c r="AL759"/>
      <c r="AM759"/>
      <c r="AP759"/>
      <c r="AQ759"/>
      <c r="AR759"/>
      <c r="AS759" s="180"/>
      <c r="AT759"/>
      <c r="AU759"/>
      <c r="AV759"/>
      <c r="AW759"/>
      <c r="AX759"/>
      <c r="AY759"/>
      <c r="AZ759"/>
      <c r="BA759"/>
      <c r="BB759"/>
      <c r="BC759"/>
      <c r="BD759"/>
      <c r="BE759"/>
      <c r="BJ759"/>
      <c r="BK759"/>
      <c r="BL759"/>
      <c r="BP759"/>
      <c r="BQ759"/>
      <c r="BR759"/>
      <c r="CD759"/>
      <c r="CE759"/>
      <c r="CF759"/>
      <c r="CQ759"/>
      <c r="CR759"/>
      <c r="CS759"/>
      <c r="DQ759"/>
      <c r="DR759"/>
      <c r="DS759"/>
      <c r="DT759"/>
      <c r="DU759"/>
    </row>
    <row r="760" spans="1:125">
      <c r="A760"/>
      <c r="B760"/>
      <c r="C760"/>
      <c r="D760"/>
      <c r="E760"/>
      <c r="G760"/>
      <c r="K760"/>
      <c r="V760"/>
      <c r="AC760"/>
      <c r="AI760"/>
      <c r="AJ760"/>
      <c r="AK760"/>
      <c r="AL760"/>
      <c r="AM760"/>
      <c r="AP760"/>
      <c r="AQ760"/>
      <c r="AR760"/>
      <c r="AS760" s="180"/>
      <c r="AT760"/>
      <c r="AU760"/>
      <c r="AV760"/>
      <c r="AW760"/>
      <c r="AX760"/>
      <c r="AY760"/>
      <c r="AZ760"/>
      <c r="BA760"/>
      <c r="BB760"/>
      <c r="BC760"/>
      <c r="BD760"/>
      <c r="BE760"/>
      <c r="BJ760"/>
      <c r="BK760"/>
      <c r="BL760"/>
      <c r="BP760"/>
      <c r="BQ760"/>
      <c r="BR760"/>
      <c r="CD760"/>
      <c r="CE760"/>
      <c r="CF760"/>
      <c r="CQ760"/>
      <c r="CR760"/>
      <c r="CS760"/>
      <c r="DQ760"/>
      <c r="DR760"/>
      <c r="DS760"/>
      <c r="DT760"/>
      <c r="DU760"/>
    </row>
    <row r="761" spans="1:125">
      <c r="A761"/>
      <c r="B761"/>
      <c r="C761"/>
      <c r="D761"/>
      <c r="E761"/>
      <c r="G761"/>
      <c r="K761"/>
      <c r="V761"/>
      <c r="AC761"/>
      <c r="AI761"/>
      <c r="AJ761"/>
      <c r="AK761"/>
      <c r="AL761"/>
      <c r="AM761"/>
      <c r="AP761"/>
      <c r="AQ761"/>
      <c r="AR761"/>
      <c r="AS761" s="180"/>
      <c r="AT761"/>
      <c r="AU761"/>
      <c r="AV761"/>
      <c r="AW761"/>
      <c r="AX761"/>
      <c r="AY761"/>
      <c r="AZ761"/>
      <c r="BA761"/>
      <c r="BB761"/>
      <c r="BC761"/>
      <c r="BD761"/>
      <c r="BE761"/>
      <c r="BJ761"/>
      <c r="BK761"/>
      <c r="BL761"/>
      <c r="BP761"/>
      <c r="BQ761"/>
      <c r="BR761"/>
      <c r="CD761"/>
      <c r="CE761"/>
      <c r="CF761"/>
      <c r="CQ761"/>
      <c r="CR761"/>
      <c r="CS761"/>
      <c r="DQ761"/>
      <c r="DR761"/>
      <c r="DS761"/>
      <c r="DT761"/>
      <c r="DU761"/>
    </row>
    <row r="762" spans="1:125">
      <c r="A762"/>
      <c r="B762"/>
      <c r="C762"/>
      <c r="D762"/>
      <c r="E762"/>
      <c r="G762"/>
      <c r="K762"/>
      <c r="V762"/>
      <c r="AC762"/>
      <c r="AI762"/>
      <c r="AJ762"/>
      <c r="AK762"/>
      <c r="AL762"/>
      <c r="AM762"/>
      <c r="AP762"/>
      <c r="AQ762"/>
      <c r="AR762"/>
      <c r="AS762" s="180"/>
      <c r="AT762"/>
      <c r="AU762"/>
      <c r="AV762"/>
      <c r="AW762"/>
      <c r="AX762"/>
      <c r="AY762"/>
      <c r="AZ762"/>
      <c r="BA762"/>
      <c r="BB762"/>
      <c r="BC762"/>
      <c r="BD762"/>
      <c r="BE762"/>
      <c r="BJ762"/>
      <c r="BK762"/>
      <c r="BL762"/>
      <c r="BP762"/>
      <c r="BQ762"/>
      <c r="BR762"/>
      <c r="CD762"/>
      <c r="CE762"/>
      <c r="CF762"/>
      <c r="CQ762"/>
      <c r="CR762"/>
      <c r="CS762"/>
      <c r="DQ762"/>
      <c r="DR762"/>
      <c r="DS762"/>
      <c r="DT762"/>
      <c r="DU762"/>
    </row>
    <row r="763" spans="1:125">
      <c r="A763"/>
      <c r="B763"/>
      <c r="C763"/>
      <c r="D763"/>
      <c r="E763"/>
      <c r="G763"/>
      <c r="K763"/>
      <c r="V763"/>
      <c r="AC763"/>
      <c r="AI763"/>
      <c r="AJ763"/>
      <c r="AK763"/>
      <c r="AL763"/>
      <c r="AM763"/>
      <c r="AP763"/>
      <c r="AQ763"/>
      <c r="AR763"/>
      <c r="AS763" s="180"/>
      <c r="AT763"/>
      <c r="AU763"/>
      <c r="AV763"/>
      <c r="AW763"/>
      <c r="AX763"/>
      <c r="AY763"/>
      <c r="AZ763"/>
      <c r="BA763"/>
      <c r="BB763"/>
      <c r="BC763"/>
      <c r="BD763"/>
      <c r="BE763"/>
      <c r="BJ763"/>
      <c r="BK763"/>
      <c r="BL763"/>
      <c r="BP763"/>
      <c r="BQ763"/>
      <c r="BR763"/>
      <c r="CD763"/>
      <c r="CE763"/>
      <c r="CF763"/>
      <c r="CQ763"/>
      <c r="CR763"/>
      <c r="CS763"/>
      <c r="DQ763"/>
      <c r="DR763"/>
      <c r="DS763"/>
      <c r="DT763"/>
      <c r="DU763"/>
    </row>
    <row r="764" spans="1:125">
      <c r="A764"/>
      <c r="B764"/>
      <c r="C764"/>
      <c r="D764"/>
      <c r="E764"/>
      <c r="G764"/>
      <c r="K764"/>
      <c r="V764"/>
      <c r="AC764"/>
      <c r="AI764"/>
      <c r="AJ764"/>
      <c r="AK764"/>
      <c r="AL764"/>
      <c r="AM764"/>
      <c r="AP764"/>
      <c r="AQ764"/>
      <c r="AR764"/>
      <c r="AS764" s="180"/>
      <c r="AT764"/>
      <c r="AU764"/>
      <c r="AV764"/>
      <c r="AW764"/>
      <c r="AX764"/>
      <c r="AY764"/>
      <c r="AZ764"/>
      <c r="BA764"/>
      <c r="BB764"/>
      <c r="BC764"/>
      <c r="BD764"/>
      <c r="BE764"/>
      <c r="BJ764"/>
      <c r="BK764"/>
      <c r="BL764"/>
      <c r="BP764"/>
      <c r="BQ764"/>
      <c r="BR764"/>
      <c r="CD764"/>
      <c r="CE764"/>
      <c r="CF764"/>
      <c r="CQ764"/>
      <c r="CR764"/>
      <c r="CS764"/>
      <c r="DQ764"/>
      <c r="DR764"/>
      <c r="DS764"/>
      <c r="DT764"/>
      <c r="DU764"/>
    </row>
    <row r="765" spans="1:125">
      <c r="A765"/>
      <c r="B765"/>
      <c r="C765"/>
      <c r="D765"/>
      <c r="E765"/>
      <c r="G765"/>
      <c r="K765"/>
      <c r="V765"/>
      <c r="AC765"/>
      <c r="AI765"/>
      <c r="AJ765"/>
      <c r="AK765"/>
      <c r="AL765"/>
      <c r="AM765"/>
      <c r="AP765"/>
      <c r="AQ765"/>
      <c r="AR765"/>
      <c r="AS765" s="180"/>
      <c r="AT765"/>
      <c r="AU765"/>
      <c r="AV765"/>
      <c r="AW765"/>
      <c r="AX765"/>
      <c r="AY765"/>
      <c r="AZ765"/>
      <c r="BA765"/>
      <c r="BB765"/>
      <c r="BC765"/>
      <c r="BD765"/>
      <c r="BE765"/>
      <c r="BJ765"/>
      <c r="BK765"/>
      <c r="BL765"/>
      <c r="BP765"/>
      <c r="BQ765"/>
      <c r="BR765"/>
      <c r="CD765"/>
      <c r="CE765"/>
      <c r="CF765"/>
      <c r="CQ765"/>
      <c r="CR765"/>
      <c r="CS765"/>
      <c r="DQ765"/>
      <c r="DR765"/>
      <c r="DS765"/>
      <c r="DT765"/>
      <c r="DU765"/>
    </row>
    <row r="766" spans="1:125">
      <c r="A766"/>
      <c r="B766"/>
      <c r="C766"/>
      <c r="D766"/>
      <c r="E766"/>
      <c r="G766"/>
      <c r="K766"/>
      <c r="V766"/>
      <c r="AC766"/>
      <c r="AI766"/>
      <c r="AJ766"/>
      <c r="AK766"/>
      <c r="AL766"/>
      <c r="AM766"/>
      <c r="AP766"/>
      <c r="AQ766"/>
      <c r="AR766"/>
      <c r="AS766" s="180"/>
      <c r="AT766"/>
      <c r="AU766"/>
      <c r="AV766"/>
      <c r="AW766"/>
      <c r="AX766"/>
      <c r="AY766"/>
      <c r="AZ766"/>
      <c r="BA766"/>
      <c r="BB766"/>
      <c r="BC766"/>
      <c r="BD766"/>
      <c r="BE766"/>
      <c r="BJ766"/>
      <c r="BK766"/>
      <c r="BL766"/>
      <c r="BP766"/>
      <c r="BQ766"/>
      <c r="BR766"/>
      <c r="CD766"/>
      <c r="CE766"/>
      <c r="CF766"/>
      <c r="CQ766"/>
      <c r="CR766"/>
      <c r="CS766"/>
      <c r="DQ766"/>
      <c r="DR766"/>
      <c r="DS766"/>
      <c r="DT766"/>
      <c r="DU766"/>
    </row>
    <row r="767" spans="1:125">
      <c r="A767"/>
      <c r="B767"/>
      <c r="C767"/>
      <c r="D767"/>
      <c r="E767"/>
      <c r="G767"/>
      <c r="K767"/>
      <c r="V767"/>
      <c r="AC767"/>
      <c r="AI767"/>
      <c r="AJ767"/>
      <c r="AK767"/>
      <c r="AL767"/>
      <c r="AM767"/>
      <c r="AP767"/>
      <c r="AQ767"/>
      <c r="AR767"/>
      <c r="AS767" s="180"/>
      <c r="AT767"/>
      <c r="AU767"/>
      <c r="AV767"/>
      <c r="AW767"/>
      <c r="AX767"/>
      <c r="AY767"/>
      <c r="AZ767"/>
      <c r="BA767"/>
      <c r="BB767"/>
      <c r="BC767"/>
      <c r="BD767"/>
      <c r="BE767"/>
      <c r="BJ767"/>
      <c r="BK767"/>
      <c r="BL767"/>
      <c r="BP767"/>
      <c r="BQ767"/>
      <c r="BR767"/>
      <c r="CD767"/>
      <c r="CE767"/>
      <c r="CF767"/>
      <c r="CQ767"/>
      <c r="CR767"/>
      <c r="CS767"/>
      <c r="DQ767"/>
      <c r="DR767"/>
      <c r="DS767"/>
      <c r="DT767"/>
      <c r="DU767"/>
    </row>
    <row r="768" spans="1:125">
      <c r="A768"/>
      <c r="B768"/>
      <c r="C768"/>
      <c r="D768"/>
      <c r="E768"/>
      <c r="G768"/>
      <c r="K768"/>
      <c r="V768"/>
      <c r="AC768"/>
      <c r="AI768"/>
      <c r="AJ768"/>
      <c r="AK768"/>
      <c r="AL768"/>
      <c r="AM768"/>
      <c r="AP768"/>
      <c r="AQ768"/>
      <c r="AR768"/>
      <c r="AS768" s="180"/>
      <c r="AT768"/>
      <c r="AU768"/>
      <c r="AV768"/>
      <c r="AW768"/>
      <c r="AX768"/>
      <c r="AY768"/>
      <c r="AZ768"/>
      <c r="BA768"/>
      <c r="BB768"/>
      <c r="BC768"/>
      <c r="BD768"/>
      <c r="BE768"/>
      <c r="BJ768"/>
      <c r="BK768"/>
      <c r="BL768"/>
      <c r="BP768"/>
      <c r="BQ768"/>
      <c r="BR768"/>
      <c r="CD768"/>
      <c r="CE768"/>
      <c r="CF768"/>
      <c r="CQ768"/>
      <c r="CR768"/>
      <c r="CS768"/>
      <c r="DQ768"/>
      <c r="DR768"/>
      <c r="DS768"/>
      <c r="DT768"/>
      <c r="DU768"/>
    </row>
    <row r="769" spans="1:125">
      <c r="A769"/>
      <c r="B769"/>
      <c r="C769"/>
      <c r="D769"/>
      <c r="E769"/>
      <c r="G769"/>
      <c r="K769"/>
      <c r="V769"/>
      <c r="AC769"/>
      <c r="AI769"/>
      <c r="AJ769"/>
      <c r="AK769"/>
      <c r="AL769"/>
      <c r="AM769"/>
      <c r="AP769"/>
      <c r="AQ769"/>
      <c r="AR769"/>
      <c r="AS769" s="180"/>
      <c r="AT769"/>
      <c r="AU769"/>
      <c r="AV769"/>
      <c r="AW769"/>
      <c r="AX769"/>
      <c r="AY769"/>
      <c r="AZ769"/>
      <c r="BA769"/>
      <c r="BB769"/>
      <c r="BC769"/>
      <c r="BD769"/>
      <c r="BE769"/>
      <c r="BJ769"/>
      <c r="BK769"/>
      <c r="BL769"/>
      <c r="BP769"/>
      <c r="BQ769"/>
      <c r="BR769"/>
      <c r="CD769"/>
      <c r="CE769"/>
      <c r="CF769"/>
      <c r="CQ769"/>
      <c r="CR769"/>
      <c r="CS769"/>
      <c r="DQ769"/>
      <c r="DR769"/>
      <c r="DS769"/>
      <c r="DT769"/>
      <c r="DU769"/>
    </row>
    <row r="770" spans="1:125">
      <c r="A770"/>
      <c r="B770"/>
      <c r="C770"/>
      <c r="D770"/>
      <c r="E770"/>
      <c r="G770"/>
      <c r="K770"/>
      <c r="V770"/>
      <c r="AC770"/>
      <c r="AI770"/>
      <c r="AJ770"/>
      <c r="AK770"/>
      <c r="AL770"/>
      <c r="AM770"/>
      <c r="AP770"/>
      <c r="AQ770"/>
      <c r="AR770"/>
      <c r="AS770" s="180"/>
      <c r="AT770"/>
      <c r="AU770"/>
      <c r="AV770"/>
      <c r="AW770"/>
      <c r="AX770"/>
      <c r="AY770"/>
      <c r="AZ770"/>
      <c r="BA770"/>
      <c r="BB770"/>
      <c r="BC770"/>
      <c r="BD770"/>
      <c r="BE770"/>
      <c r="BJ770"/>
      <c r="BK770"/>
      <c r="BL770"/>
      <c r="BP770"/>
      <c r="BQ770"/>
      <c r="BR770"/>
      <c r="CD770"/>
      <c r="CE770"/>
      <c r="CF770"/>
      <c r="CQ770"/>
      <c r="CR770"/>
      <c r="CS770"/>
      <c r="DQ770"/>
      <c r="DR770"/>
      <c r="DS770"/>
      <c r="DT770"/>
      <c r="DU770"/>
    </row>
    <row r="771" spans="1:125">
      <c r="A771"/>
      <c r="B771"/>
      <c r="C771"/>
      <c r="D771"/>
      <c r="E771"/>
      <c r="G771"/>
      <c r="K771"/>
      <c r="V771"/>
      <c r="AC771"/>
      <c r="AI771"/>
      <c r="AJ771"/>
      <c r="AK771"/>
      <c r="AL771"/>
      <c r="AM771"/>
      <c r="AP771"/>
      <c r="AQ771"/>
      <c r="AR771"/>
      <c r="AS771" s="180"/>
      <c r="AT771"/>
      <c r="AU771"/>
      <c r="AV771"/>
      <c r="AW771"/>
      <c r="AX771"/>
      <c r="AY771"/>
      <c r="AZ771"/>
      <c r="BA771"/>
      <c r="BB771"/>
      <c r="BC771"/>
      <c r="BD771"/>
      <c r="BE771"/>
      <c r="BJ771"/>
      <c r="BK771"/>
      <c r="BL771"/>
      <c r="BP771"/>
      <c r="BQ771"/>
      <c r="BR771"/>
      <c r="CD771"/>
      <c r="CE771"/>
      <c r="CF771"/>
      <c r="CQ771"/>
      <c r="CR771"/>
      <c r="CS771"/>
      <c r="DQ771"/>
      <c r="DR771"/>
      <c r="DS771"/>
      <c r="DT771"/>
      <c r="DU771"/>
    </row>
    <row r="772" spans="1:125">
      <c r="A772"/>
      <c r="B772"/>
      <c r="C772"/>
      <c r="D772"/>
      <c r="E772"/>
      <c r="G772"/>
      <c r="K772"/>
      <c r="V772"/>
      <c r="AC772"/>
      <c r="AI772"/>
      <c r="AJ772"/>
      <c r="AK772"/>
      <c r="AL772"/>
      <c r="AM772"/>
      <c r="AP772"/>
      <c r="AQ772"/>
      <c r="AR772"/>
      <c r="AS772" s="180"/>
      <c r="AT772"/>
      <c r="AU772"/>
      <c r="AV772"/>
      <c r="AW772"/>
      <c r="AX772"/>
      <c r="AY772"/>
      <c r="AZ772"/>
      <c r="BA772"/>
      <c r="BB772"/>
      <c r="BC772"/>
      <c r="BD772"/>
      <c r="BE772"/>
      <c r="BJ772"/>
      <c r="BK772"/>
      <c r="BL772"/>
      <c r="BP772"/>
      <c r="BQ772"/>
      <c r="BR772"/>
      <c r="CD772"/>
      <c r="CE772"/>
      <c r="CF772"/>
      <c r="CQ772"/>
      <c r="CR772"/>
      <c r="CS772"/>
      <c r="DQ772"/>
      <c r="DR772"/>
      <c r="DS772"/>
      <c r="DT772"/>
      <c r="DU772"/>
    </row>
    <row r="773" spans="1:125">
      <c r="A773"/>
      <c r="B773"/>
      <c r="C773"/>
      <c r="D773"/>
      <c r="E773"/>
      <c r="G773"/>
      <c r="K773"/>
      <c r="V773"/>
      <c r="AC773"/>
      <c r="AI773"/>
      <c r="AJ773"/>
      <c r="AK773"/>
      <c r="AL773"/>
      <c r="AM773"/>
      <c r="AP773"/>
      <c r="AQ773"/>
      <c r="AR773"/>
      <c r="AS773" s="180"/>
      <c r="AT773"/>
      <c r="AU773"/>
      <c r="AV773"/>
      <c r="AW773"/>
      <c r="AX773"/>
      <c r="AY773"/>
      <c r="AZ773"/>
      <c r="BA773"/>
      <c r="BB773"/>
      <c r="BC773"/>
      <c r="BD773"/>
      <c r="BE773"/>
      <c r="BJ773"/>
      <c r="BK773"/>
      <c r="BL773"/>
      <c r="BP773"/>
      <c r="BQ773"/>
      <c r="BR773"/>
      <c r="CD773"/>
      <c r="CE773"/>
      <c r="CF773"/>
      <c r="CQ773"/>
      <c r="CR773"/>
      <c r="CS773"/>
      <c r="DQ773"/>
      <c r="DR773"/>
      <c r="DS773"/>
      <c r="DT773"/>
      <c r="DU773"/>
    </row>
    <row r="774" spans="1:125">
      <c r="A774"/>
      <c r="B774"/>
      <c r="C774"/>
      <c r="D774"/>
      <c r="E774"/>
      <c r="G774"/>
      <c r="K774"/>
      <c r="V774"/>
      <c r="AC774"/>
      <c r="AI774"/>
      <c r="AJ774"/>
      <c r="AK774"/>
      <c r="AL774"/>
      <c r="AM774"/>
      <c r="AP774"/>
      <c r="AQ774"/>
      <c r="AR774"/>
      <c r="AS774" s="180"/>
      <c r="AT774"/>
      <c r="AU774"/>
      <c r="AV774"/>
      <c r="AW774"/>
      <c r="AX774"/>
      <c r="AY774"/>
      <c r="AZ774"/>
      <c r="BA774"/>
      <c r="BB774"/>
      <c r="BC774"/>
      <c r="BD774"/>
      <c r="BE774"/>
      <c r="BJ774"/>
      <c r="BK774"/>
      <c r="BL774"/>
      <c r="BP774"/>
      <c r="BQ774"/>
      <c r="BR774"/>
      <c r="CD774"/>
      <c r="CE774"/>
      <c r="CF774"/>
      <c r="CQ774"/>
      <c r="CR774"/>
      <c r="CS774"/>
      <c r="DQ774"/>
      <c r="DR774"/>
      <c r="DS774"/>
      <c r="DT774"/>
      <c r="DU774"/>
    </row>
    <row r="775" spans="1:125">
      <c r="A775"/>
      <c r="B775"/>
      <c r="C775"/>
      <c r="D775"/>
      <c r="E775"/>
      <c r="G775"/>
      <c r="K775"/>
      <c r="V775"/>
      <c r="AC775"/>
      <c r="AI775"/>
      <c r="AJ775"/>
      <c r="AK775"/>
      <c r="AL775"/>
      <c r="AM775"/>
      <c r="AP775"/>
      <c r="AQ775"/>
      <c r="AR775"/>
      <c r="AS775" s="180"/>
      <c r="AT775"/>
      <c r="AU775"/>
      <c r="AV775"/>
      <c r="AW775"/>
      <c r="AX775"/>
      <c r="AY775"/>
      <c r="AZ775"/>
      <c r="BA775"/>
      <c r="BB775"/>
      <c r="BC775"/>
      <c r="BD775"/>
      <c r="BE775"/>
      <c r="BJ775"/>
      <c r="BK775"/>
      <c r="BL775"/>
      <c r="BP775"/>
      <c r="BQ775"/>
      <c r="BR775"/>
      <c r="CD775"/>
      <c r="CE775"/>
      <c r="CF775"/>
      <c r="CQ775"/>
      <c r="CR775"/>
      <c r="CS775"/>
      <c r="DQ775"/>
      <c r="DR775"/>
      <c r="DS775"/>
      <c r="DT775"/>
      <c r="DU775"/>
    </row>
    <row r="776" spans="1:125">
      <c r="A776"/>
      <c r="B776"/>
      <c r="C776"/>
      <c r="D776"/>
      <c r="E776"/>
      <c r="G776"/>
      <c r="K776"/>
      <c r="V776"/>
      <c r="AC776"/>
      <c r="AI776"/>
      <c r="AJ776"/>
      <c r="AK776"/>
      <c r="AL776"/>
      <c r="AM776"/>
      <c r="AP776"/>
      <c r="AQ776"/>
      <c r="AR776"/>
      <c r="AS776" s="180"/>
      <c r="AT776"/>
      <c r="AU776"/>
      <c r="AV776"/>
      <c r="AW776"/>
      <c r="AX776"/>
      <c r="AY776"/>
      <c r="AZ776"/>
      <c r="BA776"/>
      <c r="BB776"/>
      <c r="BC776"/>
      <c r="BD776"/>
      <c r="BE776"/>
      <c r="BJ776"/>
      <c r="BK776"/>
      <c r="BL776"/>
      <c r="BP776"/>
      <c r="BQ776"/>
      <c r="BR776"/>
      <c r="CD776"/>
      <c r="CE776"/>
      <c r="CF776"/>
      <c r="CQ776"/>
      <c r="CR776"/>
      <c r="CS776"/>
      <c r="DQ776"/>
      <c r="DR776"/>
      <c r="DS776"/>
      <c r="DT776"/>
      <c r="DU776"/>
    </row>
    <row r="777" spans="1:125">
      <c r="A777"/>
      <c r="B777"/>
      <c r="C777"/>
      <c r="D777"/>
      <c r="E777"/>
      <c r="G777"/>
      <c r="K777"/>
      <c r="V777"/>
      <c r="AC777"/>
      <c r="AI777"/>
      <c r="AJ777"/>
      <c r="AK777"/>
      <c r="AL777"/>
      <c r="AM777"/>
      <c r="AP777"/>
      <c r="AQ777"/>
      <c r="AR777"/>
      <c r="AS777" s="180"/>
      <c r="AT777"/>
      <c r="AU777"/>
      <c r="AV777"/>
      <c r="AW777"/>
      <c r="AX777"/>
      <c r="AY777"/>
      <c r="AZ777"/>
      <c r="BA777"/>
      <c r="BB777"/>
      <c r="BC777"/>
      <c r="BD777"/>
      <c r="BE777"/>
      <c r="BJ777"/>
      <c r="BK777"/>
      <c r="BL777"/>
      <c r="BP777"/>
      <c r="BQ777"/>
      <c r="BR777"/>
      <c r="CD777"/>
      <c r="CE777"/>
      <c r="CF777"/>
      <c r="CQ777"/>
      <c r="CR777"/>
      <c r="CS777"/>
      <c r="DQ777"/>
      <c r="DR777"/>
      <c r="DS777"/>
      <c r="DT777"/>
      <c r="DU777"/>
    </row>
    <row r="778" spans="1:125">
      <c r="A778"/>
      <c r="B778"/>
      <c r="C778"/>
      <c r="D778"/>
      <c r="E778"/>
      <c r="G778"/>
      <c r="K778"/>
      <c r="V778"/>
      <c r="AC778"/>
      <c r="AI778"/>
      <c r="AJ778"/>
      <c r="AK778"/>
      <c r="AL778"/>
      <c r="AM778"/>
      <c r="AP778"/>
      <c r="AQ778"/>
      <c r="AR778"/>
      <c r="AS778" s="180"/>
      <c r="AT778"/>
      <c r="AU778"/>
      <c r="AV778"/>
      <c r="AW778"/>
      <c r="AX778"/>
      <c r="AY778"/>
      <c r="AZ778"/>
      <c r="BA778"/>
      <c r="BB778"/>
      <c r="BC778"/>
      <c r="BD778"/>
      <c r="BE778"/>
      <c r="BJ778"/>
      <c r="BK778"/>
      <c r="BL778"/>
      <c r="BP778"/>
      <c r="BQ778"/>
      <c r="BR778"/>
      <c r="CD778"/>
      <c r="CE778"/>
      <c r="CF778"/>
      <c r="CQ778"/>
      <c r="CR778"/>
      <c r="CS778"/>
      <c r="DQ778"/>
      <c r="DR778"/>
      <c r="DS778"/>
      <c r="DT778"/>
      <c r="DU778"/>
    </row>
    <row r="779" spans="1:125">
      <c r="A779"/>
      <c r="B779"/>
      <c r="C779"/>
      <c r="D779"/>
      <c r="E779"/>
      <c r="G779"/>
      <c r="K779"/>
      <c r="V779"/>
      <c r="AC779"/>
      <c r="AI779"/>
      <c r="AJ779"/>
      <c r="AK779"/>
      <c r="AL779"/>
      <c r="AM779"/>
      <c r="AP779"/>
      <c r="AQ779"/>
      <c r="AR779"/>
      <c r="AS779" s="180"/>
      <c r="AT779"/>
      <c r="AU779"/>
      <c r="AV779"/>
      <c r="AW779"/>
      <c r="AX779"/>
      <c r="AY779"/>
      <c r="AZ779"/>
      <c r="BA779"/>
      <c r="BB779"/>
      <c r="BC779"/>
      <c r="BD779"/>
      <c r="BE779"/>
      <c r="BJ779"/>
      <c r="BK779"/>
      <c r="BL779"/>
      <c r="BP779"/>
      <c r="BQ779"/>
      <c r="BR779"/>
      <c r="CD779"/>
      <c r="CE779"/>
      <c r="CF779"/>
      <c r="CQ779"/>
      <c r="CR779"/>
      <c r="CS779"/>
      <c r="DQ779"/>
      <c r="DR779"/>
      <c r="DS779"/>
      <c r="DT779"/>
      <c r="DU779"/>
    </row>
    <row r="780" spans="1:125">
      <c r="A780"/>
      <c r="B780"/>
      <c r="C780"/>
      <c r="D780"/>
      <c r="E780"/>
      <c r="G780"/>
      <c r="K780"/>
      <c r="V780"/>
      <c r="AC780"/>
      <c r="AI780"/>
      <c r="AJ780"/>
      <c r="AK780"/>
      <c r="AL780"/>
      <c r="AM780"/>
      <c r="AP780"/>
      <c r="AQ780"/>
      <c r="AR780"/>
      <c r="AS780" s="180"/>
      <c r="AT780"/>
      <c r="AU780"/>
      <c r="AV780"/>
      <c r="AW780"/>
      <c r="AX780"/>
      <c r="AY780"/>
      <c r="AZ780"/>
      <c r="BA780"/>
      <c r="BB780"/>
      <c r="BC780"/>
      <c r="BD780"/>
      <c r="BE780"/>
      <c r="BJ780"/>
      <c r="BK780"/>
      <c r="BL780"/>
      <c r="BP780"/>
      <c r="BQ780"/>
      <c r="BR780"/>
      <c r="CD780"/>
      <c r="CE780"/>
      <c r="CF780"/>
      <c r="CQ780"/>
      <c r="CR780"/>
      <c r="CS780"/>
      <c r="DQ780"/>
      <c r="DR780"/>
      <c r="DS780"/>
      <c r="DT780"/>
      <c r="DU780"/>
    </row>
    <row r="781" spans="1:125">
      <c r="A781"/>
      <c r="B781"/>
      <c r="C781"/>
      <c r="D781"/>
      <c r="E781"/>
      <c r="G781"/>
      <c r="K781"/>
      <c r="V781"/>
      <c r="AC781"/>
      <c r="AI781"/>
      <c r="AJ781"/>
      <c r="AK781"/>
      <c r="AL781"/>
      <c r="AM781"/>
      <c r="AP781"/>
      <c r="AQ781"/>
      <c r="AR781"/>
      <c r="AS781" s="180"/>
      <c r="AT781"/>
      <c r="AU781"/>
      <c r="AV781"/>
      <c r="AW781"/>
      <c r="AX781"/>
      <c r="AY781"/>
      <c r="AZ781"/>
      <c r="BA781"/>
      <c r="BB781"/>
      <c r="BC781"/>
      <c r="BD781"/>
      <c r="BE781"/>
      <c r="BJ781"/>
      <c r="BK781"/>
      <c r="BL781"/>
      <c r="BP781"/>
      <c r="BQ781"/>
      <c r="BR781"/>
      <c r="CD781"/>
      <c r="CE781"/>
      <c r="CF781"/>
      <c r="CQ781"/>
      <c r="CR781"/>
      <c r="CS781"/>
      <c r="DQ781"/>
      <c r="DR781"/>
      <c r="DS781"/>
      <c r="DT781"/>
      <c r="DU781"/>
    </row>
    <row r="782" spans="1:125">
      <c r="A782"/>
      <c r="B782"/>
      <c r="C782"/>
      <c r="D782"/>
      <c r="E782"/>
      <c r="G782"/>
      <c r="K782"/>
      <c r="V782"/>
      <c r="AC782"/>
      <c r="AI782"/>
      <c r="AJ782"/>
      <c r="AK782"/>
      <c r="AL782"/>
      <c r="AM782"/>
      <c r="AP782"/>
      <c r="AQ782"/>
      <c r="AR782"/>
      <c r="AS782" s="180"/>
      <c r="AT782"/>
      <c r="AU782"/>
      <c r="AV782"/>
      <c r="AW782"/>
      <c r="AX782"/>
      <c r="AY782"/>
      <c r="AZ782"/>
      <c r="BA782"/>
      <c r="BB782"/>
      <c r="BC782"/>
      <c r="BD782"/>
      <c r="BE782"/>
      <c r="BJ782"/>
      <c r="BK782"/>
      <c r="BL782"/>
      <c r="BP782"/>
      <c r="BQ782"/>
      <c r="BR782"/>
      <c r="CD782"/>
      <c r="CE782"/>
      <c r="CF782"/>
      <c r="CQ782"/>
      <c r="CR782"/>
      <c r="CS782"/>
      <c r="DQ782"/>
      <c r="DR782"/>
      <c r="DS782"/>
      <c r="DT782"/>
      <c r="DU782"/>
    </row>
    <row r="783" spans="1:125">
      <c r="A783"/>
      <c r="B783"/>
      <c r="C783"/>
      <c r="D783"/>
      <c r="E783"/>
      <c r="G783"/>
      <c r="K783"/>
      <c r="V783"/>
      <c r="AC783"/>
      <c r="AI783"/>
      <c r="AJ783"/>
      <c r="AK783"/>
      <c r="AL783"/>
      <c r="AM783"/>
      <c r="AP783"/>
      <c r="AQ783"/>
      <c r="AR783"/>
      <c r="AS783" s="180"/>
      <c r="AT783"/>
      <c r="AU783"/>
      <c r="AV783"/>
      <c r="AW783"/>
      <c r="AX783"/>
      <c r="AY783"/>
      <c r="AZ783"/>
      <c r="BA783"/>
      <c r="BB783"/>
      <c r="BC783"/>
      <c r="BD783"/>
      <c r="BE783"/>
      <c r="BJ783"/>
      <c r="BK783"/>
      <c r="BL783"/>
      <c r="BP783"/>
      <c r="BQ783"/>
      <c r="BR783"/>
      <c r="CD783"/>
      <c r="CE783"/>
      <c r="CF783"/>
      <c r="CQ783"/>
      <c r="CR783"/>
      <c r="CS783"/>
      <c r="DQ783"/>
      <c r="DR783"/>
      <c r="DS783"/>
      <c r="DT783"/>
      <c r="DU783"/>
    </row>
    <row r="784" spans="1:125">
      <c r="A784"/>
      <c r="B784"/>
      <c r="C784"/>
      <c r="D784"/>
      <c r="E784"/>
      <c r="G784"/>
      <c r="K784"/>
      <c r="V784"/>
      <c r="AC784"/>
      <c r="AI784"/>
      <c r="AJ784"/>
      <c r="AK784"/>
      <c r="AL784"/>
      <c r="AM784"/>
      <c r="AP784"/>
      <c r="AQ784"/>
      <c r="AR784"/>
      <c r="AS784" s="180"/>
      <c r="AT784"/>
      <c r="AU784"/>
      <c r="AV784"/>
      <c r="AW784"/>
      <c r="AX784"/>
      <c r="AY784"/>
      <c r="AZ784"/>
      <c r="BA784"/>
      <c r="BB784"/>
      <c r="BC784"/>
      <c r="BD784"/>
      <c r="BE784"/>
      <c r="BJ784"/>
      <c r="BK784"/>
      <c r="BL784"/>
      <c r="BP784"/>
      <c r="BQ784"/>
      <c r="BR784"/>
      <c r="CD784"/>
      <c r="CE784"/>
      <c r="CF784"/>
      <c r="CQ784"/>
      <c r="CR784"/>
      <c r="CS784"/>
      <c r="DQ784"/>
      <c r="DR784"/>
      <c r="DS784"/>
      <c r="DT784"/>
      <c r="DU784"/>
    </row>
    <row r="785" spans="1:125">
      <c r="A785"/>
      <c r="B785"/>
      <c r="C785"/>
      <c r="D785"/>
      <c r="E785"/>
      <c r="G785"/>
      <c r="K785"/>
      <c r="V785"/>
      <c r="AC785"/>
      <c r="AI785"/>
      <c r="AJ785"/>
      <c r="AK785"/>
      <c r="AL785"/>
      <c r="AM785"/>
      <c r="AP785"/>
      <c r="AQ785"/>
      <c r="AR785"/>
      <c r="AS785" s="180"/>
      <c r="AT785"/>
      <c r="AU785"/>
      <c r="AV785"/>
      <c r="AW785"/>
      <c r="AX785"/>
      <c r="AY785"/>
      <c r="AZ785"/>
      <c r="BA785"/>
      <c r="BB785"/>
      <c r="BC785"/>
      <c r="BD785"/>
      <c r="BE785"/>
      <c r="BJ785"/>
      <c r="BK785"/>
      <c r="BL785"/>
      <c r="BP785"/>
      <c r="BQ785"/>
      <c r="BR785"/>
      <c r="CD785"/>
      <c r="CE785"/>
      <c r="CF785"/>
      <c r="CQ785"/>
      <c r="CR785"/>
      <c r="CS785"/>
      <c r="DQ785"/>
      <c r="DR785"/>
      <c r="DS785"/>
      <c r="DT785"/>
      <c r="DU785"/>
    </row>
    <row r="786" spans="1:125">
      <c r="A786"/>
      <c r="B786"/>
      <c r="C786"/>
      <c r="D786"/>
      <c r="E786"/>
      <c r="G786"/>
      <c r="K786"/>
      <c r="V786"/>
      <c r="AC786"/>
      <c r="AI786"/>
      <c r="AJ786"/>
      <c r="AK786"/>
      <c r="AL786"/>
      <c r="AM786"/>
      <c r="AP786"/>
      <c r="AQ786"/>
      <c r="AR786"/>
      <c r="AS786" s="180"/>
      <c r="AT786"/>
      <c r="AU786"/>
      <c r="AV786"/>
      <c r="AW786"/>
      <c r="AX786"/>
      <c r="AY786"/>
      <c r="AZ786"/>
      <c r="BA786"/>
      <c r="BB786"/>
      <c r="BC786"/>
      <c r="BD786"/>
      <c r="BE786"/>
      <c r="BJ786"/>
      <c r="BK786"/>
      <c r="BL786"/>
      <c r="BP786"/>
      <c r="BQ786"/>
      <c r="BR786"/>
      <c r="CD786"/>
      <c r="CE786"/>
      <c r="CF786"/>
      <c r="CQ786"/>
      <c r="CR786"/>
      <c r="CS786"/>
      <c r="DQ786"/>
      <c r="DR786"/>
      <c r="DS786"/>
      <c r="DT786"/>
      <c r="DU786"/>
    </row>
    <row r="787" spans="1:125">
      <c r="A787"/>
      <c r="B787"/>
      <c r="C787"/>
      <c r="D787"/>
      <c r="E787"/>
      <c r="G787"/>
      <c r="K787"/>
      <c r="V787"/>
      <c r="AC787"/>
      <c r="AI787"/>
      <c r="AJ787"/>
      <c r="AK787"/>
      <c r="AL787"/>
      <c r="AM787"/>
      <c r="AP787"/>
      <c r="AQ787"/>
      <c r="AR787"/>
      <c r="AS787" s="180"/>
      <c r="AT787"/>
      <c r="AU787"/>
      <c r="AV787"/>
      <c r="AW787"/>
      <c r="AX787"/>
      <c r="AY787"/>
      <c r="AZ787"/>
      <c r="BA787"/>
      <c r="BB787"/>
      <c r="BC787"/>
      <c r="BD787"/>
      <c r="BE787"/>
      <c r="BJ787"/>
      <c r="BK787"/>
      <c r="BL787"/>
      <c r="BP787"/>
      <c r="BQ787"/>
      <c r="BR787"/>
      <c r="CD787"/>
      <c r="CE787"/>
      <c r="CF787"/>
      <c r="CQ787"/>
      <c r="CR787"/>
      <c r="CS787"/>
      <c r="DQ787"/>
      <c r="DR787"/>
      <c r="DS787"/>
      <c r="DT787"/>
      <c r="DU787"/>
    </row>
    <row r="788" spans="1:125">
      <c r="A788"/>
      <c r="B788"/>
      <c r="C788"/>
      <c r="D788"/>
      <c r="E788"/>
      <c r="G788"/>
      <c r="K788"/>
      <c r="V788"/>
      <c r="AC788"/>
      <c r="AI788"/>
      <c r="AJ788"/>
      <c r="AK788"/>
      <c r="AL788"/>
      <c r="AM788"/>
      <c r="AP788"/>
      <c r="AQ788"/>
      <c r="AR788"/>
      <c r="AS788" s="180"/>
      <c r="AT788"/>
      <c r="AU788"/>
      <c r="AV788"/>
      <c r="AW788"/>
      <c r="AX788"/>
      <c r="AY788"/>
      <c r="AZ788"/>
      <c r="BA788"/>
      <c r="BB788"/>
      <c r="BC788"/>
      <c r="BD788"/>
      <c r="BE788"/>
      <c r="BJ788"/>
      <c r="BK788"/>
      <c r="BL788"/>
      <c r="BP788"/>
      <c r="BQ788"/>
      <c r="BR788"/>
      <c r="CD788"/>
      <c r="CE788"/>
      <c r="CF788"/>
      <c r="CQ788"/>
      <c r="CR788"/>
      <c r="CS788"/>
      <c r="DQ788"/>
      <c r="DR788"/>
      <c r="DS788"/>
      <c r="DT788"/>
      <c r="DU788"/>
    </row>
    <row r="789" spans="1:125">
      <c r="A789"/>
      <c r="B789"/>
      <c r="C789"/>
      <c r="D789"/>
      <c r="E789"/>
      <c r="G789"/>
      <c r="K789"/>
      <c r="V789"/>
      <c r="AC789"/>
      <c r="AI789"/>
      <c r="AJ789"/>
      <c r="AK789"/>
      <c r="AL789"/>
      <c r="AM789"/>
      <c r="AP789"/>
      <c r="AQ789"/>
      <c r="AR789"/>
      <c r="AS789" s="180"/>
      <c r="AT789"/>
      <c r="AU789"/>
      <c r="AV789"/>
      <c r="AW789"/>
      <c r="AX789"/>
      <c r="AY789"/>
      <c r="AZ789"/>
      <c r="BA789"/>
      <c r="BB789"/>
      <c r="BC789"/>
      <c r="BD789"/>
      <c r="BE789"/>
      <c r="BJ789"/>
      <c r="BK789"/>
      <c r="BL789"/>
      <c r="BP789"/>
      <c r="BQ789"/>
      <c r="BR789"/>
      <c r="CD789"/>
      <c r="CE789"/>
      <c r="CF789"/>
      <c r="CQ789"/>
      <c r="CR789"/>
      <c r="CS789"/>
      <c r="DQ789"/>
      <c r="DR789"/>
      <c r="DS789"/>
      <c r="DT789"/>
      <c r="DU789"/>
    </row>
    <row r="790" spans="1:125">
      <c r="A790"/>
      <c r="B790"/>
      <c r="C790"/>
      <c r="D790"/>
      <c r="E790"/>
      <c r="G790"/>
      <c r="K790"/>
      <c r="V790"/>
      <c r="AC790"/>
      <c r="AI790"/>
      <c r="AJ790"/>
      <c r="AK790"/>
      <c r="AL790"/>
      <c r="AM790"/>
      <c r="AP790"/>
      <c r="AQ790"/>
      <c r="AR790"/>
      <c r="AS790" s="180"/>
      <c r="AT790"/>
      <c r="AU790"/>
      <c r="AV790"/>
      <c r="AW790"/>
      <c r="AX790"/>
      <c r="AY790"/>
      <c r="AZ790"/>
      <c r="BA790"/>
      <c r="BB790"/>
      <c r="BC790"/>
      <c r="BD790"/>
      <c r="BE790"/>
      <c r="BJ790"/>
      <c r="BK790"/>
      <c r="BL790"/>
      <c r="BP790"/>
      <c r="BQ790"/>
      <c r="BR790"/>
      <c r="CD790"/>
      <c r="CE790"/>
      <c r="CF790"/>
      <c r="CQ790"/>
      <c r="CR790"/>
      <c r="CS790"/>
      <c r="DQ790"/>
      <c r="DR790"/>
      <c r="DS790"/>
      <c r="DT790"/>
      <c r="DU790"/>
    </row>
    <row r="791" spans="1:125">
      <c r="A791"/>
      <c r="B791"/>
      <c r="C791"/>
      <c r="D791"/>
      <c r="E791"/>
      <c r="G791"/>
      <c r="K791"/>
      <c r="V791"/>
      <c r="AC791"/>
      <c r="AI791"/>
      <c r="AJ791"/>
      <c r="AK791"/>
      <c r="AL791"/>
      <c r="AM791"/>
      <c r="AP791"/>
      <c r="AQ791"/>
      <c r="AR791"/>
      <c r="AS791" s="180"/>
      <c r="AT791"/>
      <c r="AU791"/>
      <c r="AV791"/>
      <c r="AW791"/>
      <c r="AX791"/>
      <c r="AY791"/>
      <c r="AZ791"/>
      <c r="BA791"/>
      <c r="BB791"/>
      <c r="BC791"/>
      <c r="BD791"/>
      <c r="BE791"/>
      <c r="BJ791"/>
      <c r="BK791"/>
      <c r="BL791"/>
      <c r="BP791"/>
      <c r="BQ791"/>
      <c r="BR791"/>
      <c r="CD791"/>
      <c r="CE791"/>
      <c r="CF791"/>
      <c r="CQ791"/>
      <c r="CR791"/>
      <c r="CS791"/>
      <c r="DQ791"/>
      <c r="DR791"/>
      <c r="DS791"/>
      <c r="DT791"/>
      <c r="DU791"/>
    </row>
    <row r="792" spans="1:125">
      <c r="A792"/>
      <c r="B792"/>
      <c r="C792"/>
      <c r="D792"/>
      <c r="E792"/>
      <c r="G792"/>
      <c r="K792"/>
      <c r="V792"/>
      <c r="AC792"/>
      <c r="AI792"/>
      <c r="AJ792"/>
      <c r="AK792"/>
      <c r="AL792"/>
      <c r="AM792"/>
      <c r="AP792"/>
      <c r="AQ792"/>
      <c r="AR792"/>
      <c r="AS792" s="180"/>
      <c r="AT792"/>
      <c r="AU792"/>
      <c r="AV792"/>
      <c r="AW792"/>
      <c r="AX792"/>
      <c r="AY792"/>
      <c r="AZ792"/>
      <c r="BA792"/>
      <c r="BB792"/>
      <c r="BC792"/>
      <c r="BD792"/>
      <c r="BE792"/>
      <c r="BJ792"/>
      <c r="BK792"/>
      <c r="BL792"/>
      <c r="BP792"/>
      <c r="BQ792"/>
      <c r="BR792"/>
      <c r="CD792"/>
      <c r="CE792"/>
      <c r="CF792"/>
      <c r="CQ792"/>
      <c r="CR792"/>
      <c r="CS792"/>
      <c r="DQ792"/>
      <c r="DR792"/>
      <c r="DS792"/>
      <c r="DT792"/>
      <c r="DU792"/>
    </row>
    <row r="793" spans="1:125">
      <c r="A793"/>
      <c r="B793"/>
      <c r="C793"/>
      <c r="D793"/>
      <c r="E793"/>
      <c r="G793"/>
      <c r="K793"/>
      <c r="V793"/>
      <c r="AC793"/>
      <c r="AI793"/>
      <c r="AJ793"/>
      <c r="AK793"/>
      <c r="AL793"/>
      <c r="AM793"/>
      <c r="AP793"/>
      <c r="AQ793"/>
      <c r="AR793"/>
      <c r="AS793" s="180"/>
      <c r="AT793"/>
      <c r="AU793"/>
      <c r="AV793"/>
      <c r="AW793"/>
      <c r="AX793"/>
      <c r="AY793"/>
      <c r="AZ793"/>
      <c r="BA793"/>
      <c r="BB793"/>
      <c r="BC793"/>
      <c r="BD793"/>
      <c r="BE793"/>
      <c r="BJ793"/>
      <c r="BK793"/>
      <c r="BL793"/>
      <c r="BP793"/>
      <c r="BQ793"/>
      <c r="BR793"/>
      <c r="CD793"/>
      <c r="CE793"/>
      <c r="CF793"/>
      <c r="CQ793"/>
      <c r="CR793"/>
      <c r="CS793"/>
      <c r="DQ793"/>
      <c r="DR793"/>
      <c r="DS793"/>
      <c r="DT793"/>
      <c r="DU793"/>
    </row>
    <row r="794" spans="1:125">
      <c r="A794"/>
      <c r="B794"/>
      <c r="C794"/>
      <c r="D794"/>
      <c r="E794"/>
      <c r="G794"/>
      <c r="K794"/>
      <c r="V794"/>
      <c r="AC794"/>
      <c r="AI794"/>
      <c r="AJ794"/>
      <c r="AK794"/>
      <c r="AL794"/>
      <c r="AM794"/>
      <c r="AP794"/>
      <c r="AQ794"/>
      <c r="AR794"/>
      <c r="AS794" s="180"/>
      <c r="AT794"/>
      <c r="AU794"/>
      <c r="AV794"/>
      <c r="AW794"/>
      <c r="AX794"/>
      <c r="AY794"/>
      <c r="AZ794"/>
      <c r="BA794"/>
      <c r="BB794"/>
      <c r="BC794"/>
      <c r="BD794"/>
      <c r="BE794"/>
      <c r="BJ794"/>
      <c r="BK794"/>
      <c r="BL794"/>
      <c r="BP794"/>
      <c r="BQ794"/>
      <c r="BR794"/>
      <c r="CD794"/>
      <c r="CE794"/>
      <c r="CF794"/>
      <c r="CQ794"/>
      <c r="CR794"/>
      <c r="CS794"/>
      <c r="DQ794"/>
      <c r="DR794"/>
      <c r="DS794"/>
      <c r="DT794"/>
      <c r="DU794"/>
    </row>
    <row r="795" spans="1:125">
      <c r="A795"/>
      <c r="B795"/>
      <c r="C795"/>
      <c r="D795"/>
      <c r="E795"/>
      <c r="G795"/>
      <c r="K795"/>
      <c r="V795"/>
      <c r="AC795"/>
      <c r="AI795"/>
      <c r="AJ795"/>
      <c r="AK795"/>
      <c r="AL795"/>
      <c r="AM795"/>
      <c r="AP795"/>
      <c r="AQ795"/>
      <c r="AR795"/>
      <c r="AS795" s="180"/>
      <c r="AT795"/>
      <c r="AU795"/>
      <c r="AV795"/>
      <c r="AW795"/>
      <c r="AX795"/>
      <c r="AY795"/>
      <c r="AZ795"/>
      <c r="BA795"/>
      <c r="BB795"/>
      <c r="BC795"/>
      <c r="BD795"/>
      <c r="BE795"/>
      <c r="BJ795"/>
      <c r="BK795"/>
      <c r="BL795"/>
      <c r="BP795"/>
      <c r="BQ795"/>
      <c r="BR795"/>
      <c r="CD795"/>
      <c r="CE795"/>
      <c r="CF795"/>
      <c r="CQ795"/>
      <c r="CR795"/>
      <c r="CS795"/>
      <c r="DQ795"/>
      <c r="DR795"/>
      <c r="DS795"/>
      <c r="DT795"/>
      <c r="DU795"/>
    </row>
    <row r="796" spans="1:125">
      <c r="A796"/>
      <c r="B796"/>
      <c r="C796"/>
      <c r="D796"/>
      <c r="E796"/>
      <c r="G796"/>
      <c r="K796"/>
      <c r="V796"/>
      <c r="AC796"/>
      <c r="AI796"/>
      <c r="AJ796"/>
      <c r="AK796"/>
      <c r="AL796"/>
      <c r="AM796"/>
      <c r="AP796"/>
      <c r="AQ796"/>
      <c r="AR796"/>
      <c r="AS796" s="180"/>
      <c r="AT796"/>
      <c r="AU796"/>
      <c r="AV796"/>
      <c r="AW796"/>
      <c r="AX796"/>
      <c r="AY796"/>
      <c r="AZ796"/>
      <c r="BA796"/>
      <c r="BB796"/>
      <c r="BC796"/>
      <c r="BD796"/>
      <c r="BE796"/>
      <c r="BJ796"/>
      <c r="BK796"/>
      <c r="BL796"/>
      <c r="BP796"/>
      <c r="BQ796"/>
      <c r="BR796"/>
      <c r="CD796"/>
      <c r="CE796"/>
      <c r="CF796"/>
      <c r="CQ796"/>
      <c r="CR796"/>
      <c r="CS796"/>
      <c r="DQ796"/>
      <c r="DR796"/>
      <c r="DS796"/>
      <c r="DT796"/>
      <c r="DU796"/>
    </row>
    <row r="797" spans="1:125">
      <c r="A797"/>
      <c r="B797"/>
      <c r="C797"/>
      <c r="D797"/>
      <c r="E797"/>
      <c r="G797"/>
      <c r="K797"/>
      <c r="V797"/>
      <c r="AC797"/>
      <c r="AI797"/>
      <c r="AJ797"/>
      <c r="AK797"/>
      <c r="AL797"/>
      <c r="AM797"/>
      <c r="AP797"/>
      <c r="AQ797"/>
      <c r="AR797"/>
      <c r="AS797" s="180"/>
      <c r="AT797"/>
      <c r="AU797"/>
      <c r="AV797"/>
      <c r="AW797"/>
      <c r="AX797"/>
      <c r="AY797"/>
      <c r="AZ797"/>
      <c r="BA797"/>
      <c r="BB797"/>
      <c r="BC797"/>
      <c r="BD797"/>
      <c r="BE797"/>
      <c r="BJ797"/>
      <c r="BK797"/>
      <c r="BL797"/>
      <c r="BP797"/>
      <c r="BQ797"/>
      <c r="BR797"/>
      <c r="CD797"/>
      <c r="CE797"/>
      <c r="CF797"/>
      <c r="CQ797"/>
      <c r="CR797"/>
      <c r="CS797"/>
      <c r="DQ797"/>
      <c r="DR797"/>
      <c r="DS797"/>
      <c r="DT797"/>
      <c r="DU797"/>
    </row>
    <row r="798" spans="1:125">
      <c r="A798"/>
      <c r="B798"/>
      <c r="C798"/>
      <c r="D798"/>
      <c r="E798"/>
      <c r="G798"/>
      <c r="K798"/>
      <c r="V798"/>
      <c r="AC798"/>
      <c r="AI798"/>
      <c r="AJ798"/>
      <c r="AK798"/>
      <c r="AL798"/>
      <c r="AM798"/>
      <c r="AP798"/>
      <c r="AQ798"/>
      <c r="AR798"/>
      <c r="AS798" s="180"/>
      <c r="AT798"/>
      <c r="AU798"/>
      <c r="AV798"/>
      <c r="AW798"/>
      <c r="AX798"/>
      <c r="AY798"/>
      <c r="AZ798"/>
      <c r="BA798"/>
      <c r="BB798"/>
      <c r="BC798"/>
      <c r="BD798"/>
      <c r="BE798"/>
      <c r="BJ798"/>
      <c r="BK798"/>
      <c r="BL798"/>
      <c r="BP798"/>
      <c r="BQ798"/>
      <c r="BR798"/>
      <c r="CD798"/>
      <c r="CE798"/>
      <c r="CF798"/>
      <c r="CQ798"/>
      <c r="CR798"/>
      <c r="CS798"/>
      <c r="DQ798"/>
      <c r="DR798"/>
      <c r="DS798"/>
      <c r="DT798"/>
      <c r="DU798"/>
    </row>
    <row r="799" spans="1:125">
      <c r="A799"/>
      <c r="B799"/>
      <c r="C799"/>
      <c r="D799"/>
      <c r="E799"/>
      <c r="G799"/>
      <c r="K799"/>
      <c r="V799"/>
      <c r="AC799"/>
      <c r="AI799"/>
      <c r="AJ799"/>
      <c r="AK799"/>
      <c r="AL799"/>
      <c r="AM799"/>
      <c r="AP799"/>
      <c r="AQ799"/>
      <c r="AR799"/>
      <c r="AS799" s="180"/>
      <c r="AT799"/>
      <c r="AU799"/>
      <c r="AV799"/>
      <c r="AW799"/>
      <c r="AX799"/>
      <c r="AY799"/>
      <c r="AZ799"/>
      <c r="BA799"/>
      <c r="BB799"/>
      <c r="BC799"/>
      <c r="BD799"/>
      <c r="BE799"/>
      <c r="BJ799"/>
      <c r="BK799"/>
      <c r="BL799"/>
      <c r="BP799"/>
      <c r="BQ799"/>
      <c r="BR799"/>
      <c r="CD799"/>
      <c r="CE799"/>
      <c r="CF799"/>
      <c r="CQ799"/>
      <c r="CR799"/>
      <c r="CS799"/>
      <c r="DQ799"/>
      <c r="DR799"/>
      <c r="DS799"/>
      <c r="DT799"/>
      <c r="DU799"/>
    </row>
    <row r="800" spans="1:125">
      <c r="A800"/>
      <c r="B800"/>
      <c r="C800"/>
      <c r="D800"/>
      <c r="E800"/>
      <c r="G800"/>
      <c r="K800"/>
      <c r="V800"/>
      <c r="AC800"/>
      <c r="AI800"/>
      <c r="AJ800"/>
      <c r="AK800"/>
      <c r="AL800"/>
      <c r="AM800"/>
      <c r="AP800"/>
      <c r="AQ800"/>
      <c r="AR800"/>
      <c r="AS800" s="180"/>
      <c r="AT800"/>
      <c r="AU800"/>
      <c r="AV800"/>
      <c r="AW800"/>
      <c r="AX800"/>
      <c r="AY800"/>
      <c r="AZ800"/>
      <c r="BA800"/>
      <c r="BB800"/>
      <c r="BC800"/>
      <c r="BD800"/>
      <c r="BE800"/>
      <c r="BJ800"/>
      <c r="BK800"/>
      <c r="BL800"/>
      <c r="BP800"/>
      <c r="BQ800"/>
      <c r="BR800"/>
      <c r="CD800"/>
      <c r="CE800"/>
      <c r="CF800"/>
      <c r="CQ800"/>
      <c r="CR800"/>
      <c r="CS800"/>
      <c r="DQ800"/>
      <c r="DR800"/>
      <c r="DS800"/>
      <c r="DT800"/>
      <c r="DU800"/>
    </row>
    <row r="801" spans="1:125">
      <c r="A801"/>
      <c r="B801"/>
      <c r="C801"/>
      <c r="D801"/>
      <c r="E801"/>
      <c r="G801"/>
      <c r="K801"/>
      <c r="V801"/>
      <c r="AC801"/>
      <c r="AI801"/>
      <c r="AJ801"/>
      <c r="AK801"/>
      <c r="AL801"/>
      <c r="AM801"/>
      <c r="AP801"/>
      <c r="AQ801"/>
      <c r="AR801"/>
      <c r="AS801" s="180"/>
      <c r="AT801"/>
      <c r="AU801"/>
      <c r="AV801"/>
      <c r="AW801"/>
      <c r="AX801"/>
      <c r="AY801"/>
      <c r="AZ801"/>
      <c r="BA801"/>
      <c r="BB801"/>
      <c r="BC801"/>
      <c r="BD801"/>
      <c r="BE801"/>
      <c r="BJ801"/>
      <c r="BK801"/>
      <c r="BL801"/>
      <c r="BP801"/>
      <c r="BQ801"/>
      <c r="BR801"/>
      <c r="CD801"/>
      <c r="CE801"/>
      <c r="CF801"/>
      <c r="CQ801"/>
      <c r="CR801"/>
      <c r="CS801"/>
      <c r="DQ801"/>
      <c r="DR801"/>
      <c r="DS801"/>
      <c r="DT801"/>
      <c r="DU801"/>
    </row>
    <row r="802" spans="1:125">
      <c r="A802"/>
      <c r="B802"/>
      <c r="C802"/>
      <c r="D802"/>
      <c r="E802"/>
      <c r="G802"/>
      <c r="K802"/>
      <c r="V802"/>
      <c r="AC802"/>
      <c r="AI802"/>
      <c r="AJ802"/>
      <c r="AK802"/>
      <c r="AL802"/>
      <c r="AM802"/>
      <c r="AP802"/>
      <c r="AQ802"/>
      <c r="AR802"/>
      <c r="AS802" s="180"/>
      <c r="AT802"/>
      <c r="AU802"/>
      <c r="AV802"/>
      <c r="AW802"/>
      <c r="AX802"/>
      <c r="AY802"/>
      <c r="AZ802"/>
      <c r="BA802"/>
      <c r="BB802"/>
      <c r="BC802"/>
      <c r="BD802"/>
      <c r="BE802"/>
      <c r="BJ802"/>
      <c r="BK802"/>
      <c r="BL802"/>
      <c r="BP802"/>
      <c r="BQ802"/>
      <c r="BR802"/>
      <c r="CD802"/>
      <c r="CE802"/>
      <c r="CF802"/>
      <c r="CQ802"/>
      <c r="CR802"/>
      <c r="CS802"/>
      <c r="DQ802"/>
      <c r="DR802"/>
      <c r="DS802"/>
      <c r="DT802"/>
      <c r="DU802"/>
    </row>
    <row r="803" spans="1:125">
      <c r="A803"/>
      <c r="B803"/>
      <c r="C803"/>
      <c r="D803"/>
      <c r="E803"/>
      <c r="G803"/>
      <c r="K803"/>
      <c r="V803"/>
      <c r="AC803"/>
      <c r="AI803"/>
      <c r="AJ803"/>
      <c r="AK803"/>
      <c r="AL803"/>
      <c r="AM803"/>
      <c r="AP803"/>
      <c r="AQ803"/>
      <c r="AR803"/>
      <c r="AS803" s="180"/>
      <c r="AT803"/>
      <c r="AU803"/>
      <c r="AV803"/>
      <c r="AW803"/>
      <c r="AX803"/>
      <c r="AY803"/>
      <c r="AZ803"/>
      <c r="BA803"/>
      <c r="BB803"/>
      <c r="BC803"/>
      <c r="BD803"/>
      <c r="BE803"/>
      <c r="BJ803"/>
      <c r="BK803"/>
      <c r="BL803"/>
      <c r="BP803"/>
      <c r="BQ803"/>
      <c r="BR803"/>
      <c r="CD803"/>
      <c r="CE803"/>
      <c r="CF803"/>
      <c r="CQ803"/>
      <c r="CR803"/>
      <c r="CS803"/>
      <c r="DQ803"/>
      <c r="DR803"/>
      <c r="DS803"/>
      <c r="DT803"/>
      <c r="DU803"/>
    </row>
    <row r="804" spans="1:125">
      <c r="A804"/>
      <c r="B804"/>
      <c r="C804"/>
      <c r="D804"/>
      <c r="E804"/>
      <c r="G804"/>
      <c r="K804"/>
      <c r="V804"/>
      <c r="AC804"/>
      <c r="AI804"/>
      <c r="AJ804"/>
      <c r="AK804"/>
      <c r="AL804"/>
      <c r="AM804"/>
      <c r="AP804"/>
      <c r="AQ804"/>
      <c r="AR804"/>
      <c r="AS804" s="180"/>
      <c r="AT804"/>
      <c r="AU804"/>
      <c r="AV804"/>
      <c r="AW804"/>
      <c r="AX804"/>
      <c r="AY804"/>
      <c r="AZ804"/>
      <c r="BA804"/>
      <c r="BB804"/>
      <c r="BC804"/>
      <c r="BD804"/>
      <c r="BE804"/>
      <c r="BJ804"/>
      <c r="BK804"/>
      <c r="BL804"/>
      <c r="BP804"/>
      <c r="BQ804"/>
      <c r="BR804"/>
      <c r="CD804"/>
      <c r="CE804"/>
      <c r="CF804"/>
      <c r="CQ804"/>
      <c r="CR804"/>
      <c r="CS804"/>
      <c r="DQ804"/>
      <c r="DR804"/>
      <c r="DS804"/>
      <c r="DT804"/>
      <c r="DU804"/>
    </row>
    <row r="805" spans="1:125">
      <c r="A805"/>
      <c r="B805"/>
      <c r="C805"/>
      <c r="D805"/>
      <c r="E805"/>
      <c r="G805"/>
      <c r="K805"/>
      <c r="V805"/>
      <c r="AC805"/>
      <c r="AI805"/>
      <c r="AJ805"/>
      <c r="AK805"/>
      <c r="AL805"/>
      <c r="AM805"/>
      <c r="AP805"/>
      <c r="AQ805"/>
      <c r="AR805"/>
      <c r="AS805" s="180"/>
      <c r="AT805"/>
      <c r="AU805"/>
      <c r="AV805"/>
      <c r="AW805"/>
      <c r="AX805"/>
      <c r="AY805"/>
      <c r="AZ805"/>
      <c r="BA805"/>
      <c r="BB805"/>
      <c r="BC805"/>
      <c r="BD805"/>
      <c r="BE805"/>
      <c r="BJ805"/>
      <c r="BK805"/>
      <c r="BL805"/>
      <c r="BP805"/>
      <c r="BQ805"/>
      <c r="BR805"/>
      <c r="CD805"/>
      <c r="CE805"/>
      <c r="CF805"/>
      <c r="CQ805"/>
      <c r="CR805"/>
      <c r="CS805"/>
      <c r="DQ805"/>
      <c r="DR805"/>
      <c r="DS805"/>
      <c r="DT805"/>
      <c r="DU805"/>
    </row>
    <row r="806" spans="1:125">
      <c r="A806"/>
      <c r="B806"/>
      <c r="C806"/>
      <c r="D806"/>
      <c r="E806"/>
      <c r="G806"/>
      <c r="K806"/>
      <c r="V806"/>
      <c r="AC806"/>
      <c r="AI806"/>
      <c r="AJ806"/>
      <c r="AK806"/>
      <c r="AL806"/>
      <c r="AM806"/>
      <c r="AP806"/>
      <c r="AQ806"/>
      <c r="AR806"/>
      <c r="AS806" s="180"/>
      <c r="AT806"/>
      <c r="AU806"/>
      <c r="AV806"/>
      <c r="AW806"/>
      <c r="AX806"/>
      <c r="AY806"/>
      <c r="AZ806"/>
      <c r="BA806"/>
      <c r="BB806"/>
      <c r="BC806"/>
      <c r="BD806"/>
      <c r="BE806"/>
      <c r="BJ806"/>
      <c r="BK806"/>
      <c r="BL806"/>
      <c r="BP806"/>
      <c r="BQ806"/>
      <c r="BR806"/>
      <c r="CD806"/>
      <c r="CE806"/>
      <c r="CF806"/>
      <c r="CQ806"/>
      <c r="CR806"/>
      <c r="CS806"/>
      <c r="DQ806"/>
      <c r="DR806"/>
      <c r="DS806"/>
      <c r="DT806"/>
      <c r="DU806"/>
    </row>
    <row r="807" spans="1:125">
      <c r="A807"/>
      <c r="B807"/>
      <c r="C807"/>
      <c r="D807"/>
      <c r="E807"/>
      <c r="G807"/>
      <c r="K807"/>
      <c r="V807"/>
      <c r="AC807"/>
      <c r="AI807"/>
      <c r="AJ807"/>
      <c r="AK807"/>
      <c r="AL807"/>
      <c r="AM807"/>
      <c r="AP807"/>
      <c r="AQ807"/>
      <c r="AR807"/>
      <c r="AS807" s="180"/>
      <c r="AT807"/>
      <c r="AU807"/>
      <c r="AV807"/>
      <c r="AW807"/>
      <c r="AX807"/>
      <c r="AY807"/>
      <c r="AZ807"/>
      <c r="BA807"/>
      <c r="BB807"/>
      <c r="BC807"/>
      <c r="BD807"/>
      <c r="BE807"/>
      <c r="BJ807"/>
      <c r="BK807"/>
      <c r="BL807"/>
      <c r="BP807"/>
      <c r="BQ807"/>
      <c r="BR807"/>
      <c r="CD807"/>
      <c r="CE807"/>
      <c r="CF807"/>
      <c r="CQ807"/>
      <c r="CR807"/>
      <c r="CS807"/>
      <c r="DQ807"/>
      <c r="DR807"/>
      <c r="DS807"/>
      <c r="DT807"/>
      <c r="DU807"/>
    </row>
    <row r="808" spans="1:125">
      <c r="A808"/>
      <c r="B808"/>
      <c r="C808"/>
      <c r="D808"/>
      <c r="E808"/>
      <c r="G808"/>
      <c r="K808"/>
      <c r="V808"/>
      <c r="AC808"/>
      <c r="AI808"/>
      <c r="AJ808"/>
      <c r="AK808"/>
      <c r="AL808"/>
      <c r="AM808"/>
      <c r="AP808"/>
      <c r="AQ808"/>
      <c r="AR808"/>
      <c r="AS808" s="180"/>
      <c r="AT808"/>
      <c r="AU808"/>
      <c r="AV808"/>
      <c r="AW808"/>
      <c r="AX808"/>
      <c r="AY808"/>
      <c r="AZ808"/>
      <c r="BA808"/>
      <c r="BB808"/>
      <c r="BC808"/>
      <c r="BD808"/>
      <c r="BE808"/>
      <c r="BJ808"/>
      <c r="BK808"/>
      <c r="BL808"/>
      <c r="BP808"/>
      <c r="BQ808"/>
      <c r="BR808"/>
      <c r="CD808"/>
      <c r="CE808"/>
      <c r="CF808"/>
      <c r="CQ808"/>
      <c r="CR808"/>
      <c r="CS808"/>
      <c r="DQ808"/>
      <c r="DR808"/>
      <c r="DS808"/>
      <c r="DT808"/>
      <c r="DU808"/>
    </row>
    <row r="809" spans="1:125">
      <c r="A809"/>
      <c r="B809"/>
      <c r="C809"/>
      <c r="D809"/>
      <c r="E809"/>
      <c r="G809"/>
      <c r="K809"/>
      <c r="V809"/>
      <c r="AC809"/>
      <c r="AI809"/>
      <c r="AJ809"/>
      <c r="AK809"/>
      <c r="AL809"/>
      <c r="AM809"/>
      <c r="AP809"/>
      <c r="AQ809"/>
      <c r="AR809"/>
      <c r="AS809" s="180"/>
      <c r="AT809"/>
      <c r="AU809"/>
      <c r="AV809"/>
      <c r="AW809"/>
      <c r="AX809"/>
      <c r="AY809"/>
      <c r="AZ809"/>
      <c r="BA809"/>
      <c r="BB809"/>
      <c r="BC809"/>
      <c r="BD809"/>
      <c r="BE809"/>
      <c r="BJ809"/>
      <c r="BK809"/>
      <c r="BL809"/>
      <c r="BP809"/>
      <c r="BQ809"/>
      <c r="BR809"/>
      <c r="CD809"/>
      <c r="CE809"/>
      <c r="CF809"/>
      <c r="CQ809"/>
      <c r="CR809"/>
      <c r="CS809"/>
      <c r="DQ809"/>
      <c r="DR809"/>
      <c r="DS809"/>
      <c r="DT809"/>
      <c r="DU809"/>
    </row>
    <row r="810" spans="1:125">
      <c r="A810"/>
      <c r="B810"/>
      <c r="C810"/>
      <c r="D810"/>
      <c r="E810"/>
      <c r="G810"/>
      <c r="K810"/>
      <c r="V810"/>
      <c r="AC810"/>
      <c r="AI810"/>
      <c r="AJ810"/>
      <c r="AK810"/>
      <c r="AL810"/>
      <c r="AM810"/>
      <c r="AP810"/>
      <c r="AQ810"/>
      <c r="AR810"/>
      <c r="AS810" s="180"/>
      <c r="AT810"/>
      <c r="AU810"/>
      <c r="AV810"/>
      <c r="AW810"/>
      <c r="AX810"/>
      <c r="AY810"/>
      <c r="AZ810"/>
      <c r="BA810"/>
      <c r="BB810"/>
      <c r="BC810"/>
      <c r="BD810"/>
      <c r="BE810"/>
      <c r="BJ810"/>
      <c r="BK810"/>
      <c r="BL810"/>
      <c r="BP810"/>
      <c r="BQ810"/>
      <c r="BR810"/>
      <c r="CD810"/>
      <c r="CE810"/>
      <c r="CF810"/>
      <c r="CQ810"/>
      <c r="CR810"/>
      <c r="CS810"/>
      <c r="DQ810"/>
      <c r="DR810"/>
      <c r="DS810"/>
      <c r="DT810"/>
      <c r="DU810"/>
    </row>
    <row r="811" spans="1:125">
      <c r="A811"/>
      <c r="B811"/>
      <c r="C811"/>
      <c r="D811"/>
      <c r="E811"/>
      <c r="G811"/>
      <c r="K811"/>
      <c r="V811"/>
      <c r="AC811"/>
      <c r="AI811"/>
      <c r="AJ811"/>
      <c r="AK811"/>
      <c r="AL811"/>
      <c r="AM811"/>
      <c r="AP811"/>
      <c r="AQ811"/>
      <c r="AR811"/>
      <c r="AS811" s="180"/>
      <c r="AT811"/>
      <c r="AU811"/>
      <c r="AV811"/>
      <c r="AW811"/>
      <c r="AX811"/>
      <c r="AY811"/>
      <c r="AZ811"/>
      <c r="BA811"/>
      <c r="BB811"/>
      <c r="BC811"/>
      <c r="BD811"/>
      <c r="BE811"/>
      <c r="BJ811"/>
      <c r="BK811"/>
      <c r="BL811"/>
      <c r="BP811"/>
      <c r="BQ811"/>
      <c r="BR811"/>
      <c r="CD811"/>
      <c r="CE811"/>
      <c r="CF811"/>
      <c r="CQ811"/>
      <c r="CR811"/>
      <c r="CS811"/>
      <c r="DQ811"/>
      <c r="DR811"/>
      <c r="DS811"/>
      <c r="DT811"/>
      <c r="DU811"/>
    </row>
    <row r="812" spans="1:125">
      <c r="A812"/>
      <c r="B812"/>
      <c r="C812"/>
      <c r="D812"/>
      <c r="E812"/>
      <c r="G812"/>
      <c r="K812"/>
      <c r="V812"/>
      <c r="AC812"/>
      <c r="AI812"/>
      <c r="AJ812"/>
      <c r="AK812"/>
      <c r="AL812"/>
      <c r="AM812"/>
      <c r="AP812"/>
      <c r="AQ812"/>
      <c r="AR812"/>
      <c r="AS812" s="180"/>
      <c r="AT812"/>
      <c r="AU812"/>
      <c r="AV812"/>
      <c r="AW812"/>
      <c r="AX812"/>
      <c r="AY812"/>
      <c r="AZ812"/>
      <c r="BA812"/>
      <c r="BB812"/>
      <c r="BC812"/>
      <c r="BD812"/>
      <c r="BE812"/>
      <c r="BJ812"/>
      <c r="BK812"/>
      <c r="BL812"/>
      <c r="BP812"/>
      <c r="BQ812"/>
      <c r="BR812"/>
      <c r="CD812"/>
      <c r="CE812"/>
      <c r="CF812"/>
      <c r="CQ812"/>
      <c r="CR812"/>
      <c r="CS812"/>
      <c r="DQ812"/>
      <c r="DR812"/>
      <c r="DS812"/>
      <c r="DT812"/>
      <c r="DU812"/>
    </row>
    <row r="813" spans="1:125">
      <c r="A813"/>
      <c r="B813"/>
      <c r="C813"/>
      <c r="D813"/>
      <c r="E813"/>
      <c r="G813"/>
      <c r="K813"/>
      <c r="V813"/>
      <c r="AC813"/>
      <c r="AI813"/>
      <c r="AJ813"/>
      <c r="AK813"/>
      <c r="AL813"/>
      <c r="AM813"/>
      <c r="AP813"/>
      <c r="AQ813"/>
      <c r="AR813"/>
      <c r="AS813" s="180"/>
      <c r="AT813"/>
      <c r="AU813"/>
      <c r="AV813"/>
      <c r="AW813"/>
      <c r="AX813"/>
      <c r="AY813"/>
      <c r="AZ813"/>
      <c r="BA813"/>
      <c r="BB813"/>
      <c r="BC813"/>
      <c r="BD813"/>
      <c r="BE813"/>
      <c r="BJ813"/>
      <c r="BK813"/>
      <c r="BL813"/>
      <c r="BP813"/>
      <c r="BQ813"/>
      <c r="BR813"/>
      <c r="CD813"/>
      <c r="CE813"/>
      <c r="CF813"/>
      <c r="CQ813"/>
      <c r="CR813"/>
      <c r="CS813"/>
      <c r="DQ813"/>
      <c r="DR813"/>
      <c r="DS813"/>
      <c r="DT813"/>
      <c r="DU813"/>
    </row>
    <row r="814" spans="1:125">
      <c r="A814"/>
      <c r="B814"/>
      <c r="C814"/>
      <c r="D814"/>
      <c r="E814"/>
      <c r="G814"/>
      <c r="K814"/>
      <c r="V814"/>
      <c r="AC814"/>
      <c r="AI814"/>
      <c r="AJ814"/>
      <c r="AK814"/>
      <c r="AL814"/>
      <c r="AM814"/>
      <c r="AP814"/>
      <c r="AQ814"/>
      <c r="AR814"/>
      <c r="AS814" s="180"/>
      <c r="AT814"/>
      <c r="AU814"/>
      <c r="AV814"/>
      <c r="AW814"/>
      <c r="AX814"/>
      <c r="AY814"/>
      <c r="AZ814"/>
      <c r="BA814"/>
      <c r="BB814"/>
      <c r="BC814"/>
      <c r="BD814"/>
      <c r="BE814"/>
      <c r="BJ814"/>
      <c r="BK814"/>
      <c r="BL814"/>
      <c r="BP814"/>
      <c r="BQ814"/>
      <c r="BR814"/>
      <c r="CD814"/>
      <c r="CE814"/>
      <c r="CF814"/>
      <c r="CQ814"/>
      <c r="CR814"/>
      <c r="CS814"/>
      <c r="DQ814"/>
      <c r="DR814"/>
      <c r="DS814"/>
      <c r="DT814"/>
      <c r="DU814"/>
    </row>
    <row r="815" spans="1:125">
      <c r="A815"/>
      <c r="B815"/>
      <c r="C815"/>
      <c r="D815"/>
      <c r="E815"/>
      <c r="G815"/>
      <c r="K815"/>
      <c r="V815"/>
      <c r="AC815"/>
      <c r="AI815"/>
      <c r="AJ815"/>
      <c r="AK815"/>
      <c r="AL815"/>
      <c r="AM815"/>
      <c r="AP815"/>
      <c r="AQ815"/>
      <c r="AR815"/>
      <c r="AS815" s="180"/>
      <c r="AT815"/>
      <c r="AU815"/>
      <c r="AV815"/>
      <c r="AW815"/>
      <c r="AX815"/>
      <c r="AY815"/>
      <c r="AZ815"/>
      <c r="BA815"/>
      <c r="BB815"/>
      <c r="BC815"/>
      <c r="BD815"/>
      <c r="BE815"/>
      <c r="BJ815"/>
      <c r="BK815"/>
      <c r="BL815"/>
      <c r="BP815"/>
      <c r="BQ815"/>
      <c r="BR815"/>
      <c r="CD815"/>
      <c r="CE815"/>
      <c r="CF815"/>
      <c r="CQ815"/>
      <c r="CR815"/>
      <c r="CS815"/>
      <c r="DQ815"/>
      <c r="DR815"/>
      <c r="DS815"/>
      <c r="DT815"/>
      <c r="DU815"/>
    </row>
    <row r="816" spans="1:125">
      <c r="A816"/>
      <c r="B816"/>
      <c r="C816"/>
      <c r="D816"/>
      <c r="E816"/>
      <c r="G816"/>
      <c r="K816"/>
      <c r="V816"/>
      <c r="AC816"/>
      <c r="AI816"/>
      <c r="AJ816"/>
      <c r="AK816"/>
      <c r="AL816"/>
      <c r="AM816"/>
      <c r="AP816"/>
      <c r="AQ816"/>
      <c r="AR816"/>
      <c r="AS816" s="180"/>
      <c r="AT816"/>
      <c r="AU816"/>
      <c r="AV816"/>
      <c r="AW816"/>
      <c r="AX816"/>
      <c r="AY816"/>
      <c r="AZ816"/>
      <c r="BA816"/>
      <c r="BB816"/>
      <c r="BC816"/>
      <c r="BD816"/>
      <c r="BE816"/>
      <c r="BJ816"/>
      <c r="BK816"/>
      <c r="BL816"/>
      <c r="BP816"/>
      <c r="BQ816"/>
      <c r="BR816"/>
      <c r="CD816"/>
      <c r="CE816"/>
      <c r="CF816"/>
      <c r="CQ816"/>
      <c r="CR816"/>
      <c r="CS816"/>
      <c r="DQ816"/>
      <c r="DR816"/>
      <c r="DS816"/>
      <c r="DT816"/>
      <c r="DU816"/>
    </row>
    <row r="817" spans="1:125">
      <c r="A817"/>
      <c r="B817"/>
      <c r="C817"/>
      <c r="D817"/>
      <c r="E817"/>
      <c r="G817"/>
      <c r="K817"/>
      <c r="V817"/>
      <c r="AC817"/>
      <c r="AI817"/>
      <c r="AJ817"/>
      <c r="AK817"/>
      <c r="AL817"/>
      <c r="AM817"/>
      <c r="AP817"/>
      <c r="AQ817"/>
      <c r="AR817"/>
      <c r="AS817" s="180"/>
      <c r="AT817"/>
      <c r="AU817"/>
      <c r="AV817"/>
      <c r="AW817"/>
      <c r="AX817"/>
      <c r="AY817"/>
      <c r="AZ817"/>
      <c r="BA817"/>
      <c r="BB817"/>
      <c r="BC817"/>
      <c r="BD817"/>
      <c r="BE817"/>
      <c r="BJ817"/>
      <c r="BK817"/>
      <c r="BL817"/>
      <c r="BP817"/>
      <c r="BQ817"/>
      <c r="BR817"/>
      <c r="CD817"/>
      <c r="CE817"/>
      <c r="CF817"/>
      <c r="CQ817"/>
      <c r="CR817"/>
      <c r="CS817"/>
      <c r="DQ817"/>
      <c r="DR817"/>
      <c r="DS817"/>
      <c r="DT817"/>
      <c r="DU817"/>
    </row>
    <row r="818" spans="1:125">
      <c r="A818"/>
      <c r="B818"/>
      <c r="C818"/>
      <c r="D818"/>
      <c r="E818"/>
      <c r="G818"/>
      <c r="K818"/>
      <c r="V818"/>
      <c r="AC818"/>
      <c r="AI818"/>
      <c r="AJ818"/>
      <c r="AK818"/>
      <c r="AL818"/>
      <c r="AM818"/>
      <c r="AP818"/>
      <c r="AQ818"/>
      <c r="AR818"/>
      <c r="AS818" s="180"/>
      <c r="AT818"/>
      <c r="AU818"/>
      <c r="AV818"/>
      <c r="AW818"/>
      <c r="AX818"/>
      <c r="AY818"/>
      <c r="AZ818"/>
      <c r="BA818"/>
      <c r="BB818"/>
      <c r="BC818"/>
      <c r="BD818"/>
      <c r="BE818"/>
      <c r="BJ818"/>
      <c r="BK818"/>
      <c r="BL818"/>
      <c r="BP818"/>
      <c r="BQ818"/>
      <c r="BR818"/>
      <c r="CD818"/>
      <c r="CE818"/>
      <c r="CF818"/>
      <c r="CQ818"/>
      <c r="CR818"/>
      <c r="CS818"/>
      <c r="DQ818"/>
      <c r="DR818"/>
      <c r="DS818"/>
      <c r="DT818"/>
      <c r="DU818"/>
    </row>
    <row r="819" spans="1:125">
      <c r="A819"/>
      <c r="B819"/>
      <c r="C819"/>
      <c r="D819"/>
      <c r="E819"/>
      <c r="G819"/>
      <c r="K819"/>
      <c r="V819"/>
      <c r="AC819"/>
      <c r="AI819"/>
      <c r="AJ819"/>
      <c r="AK819"/>
      <c r="AL819"/>
      <c r="AM819"/>
      <c r="AP819"/>
      <c r="AQ819"/>
      <c r="AR819"/>
      <c r="AS819" s="180"/>
      <c r="AT819"/>
      <c r="AU819"/>
      <c r="AV819"/>
      <c r="AW819"/>
      <c r="AX819"/>
      <c r="AY819"/>
      <c r="AZ819"/>
      <c r="BA819"/>
      <c r="BB819"/>
      <c r="BC819"/>
      <c r="BD819"/>
      <c r="BE819"/>
      <c r="BJ819"/>
      <c r="BK819"/>
      <c r="BL819"/>
      <c r="BP819"/>
      <c r="BQ819"/>
      <c r="BR819"/>
      <c r="CD819"/>
      <c r="CE819"/>
      <c r="CF819"/>
      <c r="CQ819"/>
      <c r="CR819"/>
      <c r="CS819"/>
      <c r="DQ819"/>
      <c r="DR819"/>
      <c r="DS819"/>
      <c r="DT819"/>
      <c r="DU819"/>
    </row>
    <row r="820" spans="1:125">
      <c r="A820"/>
      <c r="B820"/>
      <c r="C820"/>
      <c r="D820"/>
      <c r="E820"/>
      <c r="G820"/>
      <c r="K820"/>
      <c r="V820"/>
      <c r="AC820"/>
      <c r="AI820"/>
      <c r="AJ820"/>
      <c r="AK820"/>
      <c r="AL820"/>
      <c r="AM820"/>
      <c r="AP820"/>
      <c r="AQ820"/>
      <c r="AR820"/>
      <c r="AS820" s="180"/>
      <c r="AT820"/>
      <c r="AU820"/>
      <c r="AV820"/>
      <c r="AW820"/>
      <c r="AX820"/>
      <c r="AY820"/>
      <c r="AZ820"/>
      <c r="BA820"/>
      <c r="BB820"/>
      <c r="BC820"/>
      <c r="BD820"/>
      <c r="BE820"/>
      <c r="BJ820"/>
      <c r="BK820"/>
      <c r="BL820"/>
      <c r="BP820"/>
      <c r="BQ820"/>
      <c r="BR820"/>
      <c r="CD820"/>
      <c r="CE820"/>
      <c r="CF820"/>
      <c r="CQ820"/>
      <c r="CR820"/>
      <c r="CS820"/>
      <c r="DQ820"/>
      <c r="DR820"/>
      <c r="DS820"/>
      <c r="DT820"/>
      <c r="DU820"/>
    </row>
    <row r="821" spans="1:125">
      <c r="A821"/>
      <c r="B821"/>
      <c r="C821"/>
      <c r="D821"/>
      <c r="E821"/>
      <c r="G821"/>
      <c r="K821"/>
      <c r="V821"/>
      <c r="AC821"/>
      <c r="AI821"/>
      <c r="AJ821"/>
      <c r="AK821"/>
      <c r="AL821"/>
      <c r="AM821"/>
      <c r="AP821"/>
      <c r="AQ821"/>
      <c r="AR821"/>
      <c r="AS821" s="180"/>
      <c r="AT821"/>
      <c r="AU821"/>
      <c r="AV821"/>
      <c r="AW821"/>
      <c r="AX821"/>
      <c r="AY821"/>
      <c r="AZ821"/>
      <c r="BA821"/>
      <c r="BB821"/>
      <c r="BC821"/>
      <c r="BD821"/>
      <c r="BE821"/>
      <c r="BJ821"/>
      <c r="BK821"/>
      <c r="BL821"/>
      <c r="BP821"/>
      <c r="BQ821"/>
      <c r="BR821"/>
      <c r="CD821"/>
      <c r="CE821"/>
      <c r="CF821"/>
      <c r="CQ821"/>
      <c r="CR821"/>
      <c r="CS821"/>
      <c r="DQ821"/>
      <c r="DR821"/>
      <c r="DS821"/>
      <c r="DT821"/>
      <c r="DU821"/>
    </row>
    <row r="822" spans="1:125">
      <c r="A822"/>
      <c r="B822"/>
      <c r="C822"/>
      <c r="D822"/>
      <c r="E822"/>
      <c r="G822"/>
      <c r="K822"/>
      <c r="V822"/>
      <c r="AC822"/>
      <c r="AI822"/>
      <c r="AJ822"/>
      <c r="AK822"/>
      <c r="AL822"/>
      <c r="AM822"/>
      <c r="AP822"/>
      <c r="AQ822"/>
      <c r="AR822"/>
      <c r="AS822" s="180"/>
      <c r="AT822"/>
      <c r="AU822"/>
      <c r="AV822"/>
      <c r="AW822"/>
      <c r="AX822"/>
      <c r="AY822"/>
      <c r="AZ822"/>
      <c r="BA822"/>
      <c r="BB822"/>
      <c r="BC822"/>
      <c r="BD822"/>
      <c r="BE822"/>
      <c r="BJ822"/>
      <c r="BK822"/>
      <c r="BL822"/>
      <c r="BP822"/>
      <c r="BQ822"/>
      <c r="BR822"/>
      <c r="CD822"/>
      <c r="CE822"/>
      <c r="CF822"/>
      <c r="CQ822"/>
      <c r="CR822"/>
      <c r="CS822"/>
      <c r="DQ822"/>
      <c r="DR822"/>
      <c r="DS822"/>
      <c r="DT822"/>
      <c r="DU822"/>
    </row>
    <row r="823" spans="1:125">
      <c r="A823"/>
      <c r="B823"/>
      <c r="C823"/>
      <c r="D823"/>
      <c r="E823"/>
      <c r="G823"/>
      <c r="K823"/>
      <c r="V823"/>
      <c r="AC823"/>
      <c r="AI823"/>
      <c r="AJ823"/>
      <c r="AK823"/>
      <c r="AL823"/>
      <c r="AM823"/>
      <c r="AP823"/>
      <c r="AQ823"/>
      <c r="AR823"/>
      <c r="AS823" s="180"/>
      <c r="AT823"/>
      <c r="AU823"/>
      <c r="AV823"/>
      <c r="AW823"/>
      <c r="AX823"/>
      <c r="AY823"/>
      <c r="AZ823"/>
      <c r="BA823"/>
      <c r="BB823"/>
      <c r="BC823"/>
      <c r="BD823"/>
      <c r="BE823"/>
      <c r="BJ823"/>
      <c r="BK823"/>
      <c r="BL823"/>
      <c r="BP823"/>
      <c r="BQ823"/>
      <c r="BR823"/>
      <c r="CD823"/>
      <c r="CE823"/>
      <c r="CF823"/>
      <c r="CQ823"/>
      <c r="CR823"/>
      <c r="CS823"/>
      <c r="DQ823"/>
      <c r="DR823"/>
      <c r="DS823"/>
      <c r="DT823"/>
      <c r="DU823"/>
    </row>
    <row r="824" spans="1:125">
      <c r="A824"/>
      <c r="B824"/>
      <c r="C824"/>
      <c r="D824"/>
      <c r="E824"/>
      <c r="G824"/>
      <c r="K824"/>
      <c r="V824"/>
      <c r="AC824"/>
      <c r="AI824"/>
      <c r="AJ824"/>
      <c r="AK824"/>
      <c r="AL824"/>
      <c r="AM824"/>
      <c r="AP824"/>
      <c r="AQ824"/>
      <c r="AR824"/>
      <c r="AS824" s="180"/>
      <c r="AT824"/>
      <c r="AU824"/>
      <c r="AV824"/>
      <c r="AW824"/>
      <c r="AX824"/>
      <c r="AY824"/>
      <c r="AZ824"/>
      <c r="BA824"/>
      <c r="BB824"/>
      <c r="BC824"/>
      <c r="BD824"/>
      <c r="BE824"/>
      <c r="BJ824"/>
      <c r="BK824"/>
      <c r="BL824"/>
      <c r="BP824"/>
      <c r="BQ824"/>
      <c r="BR824"/>
      <c r="CD824"/>
      <c r="CE824"/>
      <c r="CF824"/>
      <c r="CQ824"/>
      <c r="CR824"/>
      <c r="CS824"/>
      <c r="DQ824"/>
      <c r="DR824"/>
      <c r="DS824"/>
      <c r="DT824"/>
      <c r="DU824"/>
    </row>
    <row r="825" spans="1:125">
      <c r="A825"/>
      <c r="B825"/>
      <c r="C825"/>
      <c r="D825"/>
      <c r="E825"/>
      <c r="G825"/>
      <c r="K825"/>
      <c r="V825"/>
      <c r="AC825"/>
      <c r="AI825"/>
      <c r="AJ825"/>
      <c r="AK825"/>
      <c r="AL825"/>
      <c r="AM825"/>
      <c r="AP825"/>
      <c r="AQ825"/>
      <c r="AR825"/>
      <c r="AS825" s="180"/>
      <c r="AT825"/>
      <c r="AU825"/>
      <c r="AV825"/>
      <c r="AW825"/>
      <c r="AX825"/>
      <c r="AY825"/>
      <c r="AZ825"/>
      <c r="BA825"/>
      <c r="BB825"/>
      <c r="BC825"/>
      <c r="BD825"/>
      <c r="BE825"/>
      <c r="BJ825"/>
      <c r="BK825"/>
      <c r="BL825"/>
      <c r="BP825"/>
      <c r="BQ825"/>
      <c r="BR825"/>
      <c r="CD825"/>
      <c r="CE825"/>
      <c r="CF825"/>
      <c r="CQ825"/>
      <c r="CR825"/>
      <c r="CS825"/>
      <c r="DQ825"/>
      <c r="DR825"/>
      <c r="DS825"/>
      <c r="DT825"/>
      <c r="DU825"/>
    </row>
    <row r="826" spans="1:125">
      <c r="A826"/>
      <c r="B826"/>
      <c r="C826"/>
      <c r="D826"/>
      <c r="E826"/>
      <c r="G826"/>
      <c r="K826"/>
      <c r="V826"/>
      <c r="AC826"/>
      <c r="AI826"/>
      <c r="AJ826"/>
      <c r="AK826"/>
      <c r="AL826"/>
      <c r="AM826"/>
      <c r="AP826"/>
      <c r="AQ826"/>
      <c r="AR826"/>
      <c r="AS826" s="180"/>
      <c r="AT826"/>
      <c r="AU826"/>
      <c r="AV826"/>
      <c r="AW826"/>
      <c r="AX826"/>
      <c r="AY826"/>
      <c r="AZ826"/>
      <c r="BA826"/>
      <c r="BB826"/>
      <c r="BC826"/>
      <c r="BD826"/>
      <c r="BE826"/>
      <c r="BJ826"/>
      <c r="BK826"/>
      <c r="BL826"/>
      <c r="BP826"/>
      <c r="BQ826"/>
      <c r="BR826"/>
      <c r="CD826"/>
      <c r="CE826"/>
      <c r="CF826"/>
      <c r="CQ826"/>
      <c r="CR826"/>
      <c r="CS826"/>
      <c r="DQ826"/>
      <c r="DR826"/>
      <c r="DS826"/>
      <c r="DT826"/>
      <c r="DU826"/>
    </row>
    <row r="827" spans="1:125">
      <c r="A827"/>
      <c r="B827"/>
      <c r="C827"/>
      <c r="D827"/>
      <c r="E827"/>
      <c r="G827"/>
      <c r="K827"/>
      <c r="V827"/>
      <c r="AC827"/>
      <c r="AI827"/>
      <c r="AJ827"/>
      <c r="AK827"/>
      <c r="AL827"/>
      <c r="AM827"/>
      <c r="AP827"/>
      <c r="AQ827"/>
      <c r="AR827"/>
      <c r="AS827" s="180"/>
      <c r="AT827"/>
      <c r="AU827"/>
      <c r="AV827"/>
      <c r="AW827"/>
      <c r="AX827"/>
      <c r="AY827"/>
      <c r="AZ827"/>
      <c r="BA827"/>
      <c r="BB827"/>
      <c r="BC827"/>
      <c r="BD827"/>
      <c r="BE827"/>
      <c r="BJ827"/>
      <c r="BK827"/>
      <c r="BL827"/>
      <c r="BP827"/>
      <c r="BQ827"/>
      <c r="BR827"/>
      <c r="CD827"/>
      <c r="CE827"/>
      <c r="CF827"/>
      <c r="CQ827"/>
      <c r="CR827"/>
      <c r="CS827"/>
      <c r="DQ827"/>
      <c r="DR827"/>
      <c r="DS827"/>
      <c r="DT827"/>
      <c r="DU827"/>
    </row>
    <row r="828" spans="1:125">
      <c r="A828"/>
      <c r="B828"/>
      <c r="C828"/>
      <c r="D828"/>
      <c r="E828"/>
      <c r="G828"/>
      <c r="K828"/>
      <c r="V828"/>
      <c r="AC828"/>
      <c r="AI828"/>
      <c r="AJ828"/>
      <c r="AK828"/>
      <c r="AL828"/>
      <c r="AM828"/>
      <c r="AP828"/>
      <c r="AQ828"/>
      <c r="AR828"/>
      <c r="AS828" s="180"/>
      <c r="AT828"/>
      <c r="AU828"/>
      <c r="AV828"/>
      <c r="AW828"/>
      <c r="AX828"/>
      <c r="AY828"/>
      <c r="AZ828"/>
      <c r="BA828"/>
      <c r="BB828"/>
      <c r="BC828"/>
      <c r="BD828"/>
      <c r="BE828"/>
      <c r="BJ828"/>
      <c r="BK828"/>
      <c r="BL828"/>
      <c r="BP828"/>
      <c r="BQ828"/>
      <c r="BR828"/>
      <c r="CD828"/>
      <c r="CE828"/>
      <c r="CF828"/>
      <c r="CQ828"/>
      <c r="CR828"/>
      <c r="CS828"/>
      <c r="DQ828"/>
      <c r="DR828"/>
      <c r="DS828"/>
      <c r="DT828"/>
      <c r="DU828"/>
    </row>
    <row r="829" spans="1:125">
      <c r="A829"/>
      <c r="B829"/>
      <c r="C829"/>
      <c r="D829"/>
      <c r="E829"/>
      <c r="G829"/>
      <c r="K829"/>
      <c r="V829"/>
      <c r="AC829"/>
      <c r="AI829"/>
      <c r="AJ829"/>
      <c r="AK829"/>
      <c r="AL829"/>
      <c r="AM829"/>
      <c r="AP829"/>
      <c r="AQ829"/>
      <c r="AR829"/>
      <c r="AS829" s="180"/>
      <c r="AT829"/>
      <c r="AU829"/>
      <c r="AV829"/>
      <c r="AW829"/>
      <c r="AX829"/>
      <c r="AY829"/>
      <c r="AZ829"/>
      <c r="BA829"/>
      <c r="BB829"/>
      <c r="BC829"/>
      <c r="BD829"/>
      <c r="BE829"/>
      <c r="BJ829"/>
      <c r="BK829"/>
      <c r="BL829"/>
      <c r="BP829"/>
      <c r="BQ829"/>
      <c r="BR829"/>
      <c r="CD829"/>
      <c r="CE829"/>
      <c r="CF829"/>
      <c r="CQ829"/>
      <c r="CR829"/>
      <c r="CS829"/>
      <c r="DQ829"/>
      <c r="DR829"/>
      <c r="DS829"/>
      <c r="DT829"/>
      <c r="DU829"/>
    </row>
    <row r="830" spans="1:125">
      <c r="A830"/>
      <c r="B830"/>
      <c r="C830"/>
      <c r="D830"/>
      <c r="E830"/>
      <c r="G830"/>
      <c r="K830"/>
      <c r="V830"/>
      <c r="AC830"/>
      <c r="AI830"/>
      <c r="AJ830"/>
      <c r="AK830"/>
      <c r="AL830"/>
      <c r="AM830"/>
      <c r="AP830"/>
      <c r="AQ830"/>
      <c r="AR830"/>
      <c r="AS830" s="180"/>
      <c r="AT830"/>
      <c r="AU830"/>
      <c r="AV830"/>
      <c r="AW830"/>
      <c r="AX830"/>
      <c r="AY830"/>
      <c r="AZ830"/>
      <c r="BA830"/>
      <c r="BB830"/>
      <c r="BC830"/>
      <c r="BD830"/>
      <c r="BE830"/>
      <c r="BJ830"/>
      <c r="BK830"/>
      <c r="BL830"/>
      <c r="BP830"/>
      <c r="BQ830"/>
      <c r="BR830"/>
      <c r="CD830"/>
      <c r="CE830"/>
      <c r="CF830"/>
      <c r="CQ830"/>
      <c r="CR830"/>
      <c r="CS830"/>
      <c r="DQ830"/>
      <c r="DR830"/>
      <c r="DS830"/>
      <c r="DT830"/>
      <c r="DU830"/>
    </row>
    <row r="831" spans="1:125">
      <c r="A831"/>
      <c r="B831"/>
      <c r="C831"/>
      <c r="D831"/>
      <c r="E831"/>
      <c r="G831"/>
      <c r="K831"/>
      <c r="V831"/>
      <c r="AC831"/>
      <c r="AI831"/>
      <c r="AJ831"/>
      <c r="AK831"/>
      <c r="AL831"/>
      <c r="AM831"/>
      <c r="AP831"/>
      <c r="AQ831"/>
      <c r="AR831"/>
      <c r="AS831" s="180"/>
      <c r="AT831"/>
      <c r="AU831"/>
      <c r="AV831"/>
      <c r="AW831"/>
      <c r="AX831"/>
      <c r="AY831"/>
      <c r="AZ831"/>
      <c r="BA831"/>
      <c r="BB831"/>
      <c r="BC831"/>
      <c r="BD831"/>
      <c r="BE831"/>
      <c r="BJ831"/>
      <c r="BK831"/>
      <c r="BL831"/>
      <c r="BP831"/>
      <c r="BQ831"/>
      <c r="BR831"/>
      <c r="CD831"/>
      <c r="CE831"/>
      <c r="CF831"/>
      <c r="CQ831"/>
      <c r="CR831"/>
      <c r="CS831"/>
      <c r="DQ831"/>
      <c r="DR831"/>
      <c r="DS831"/>
      <c r="DT831"/>
      <c r="DU831"/>
    </row>
    <row r="832" spans="1:125">
      <c r="A832"/>
      <c r="B832"/>
      <c r="C832"/>
      <c r="D832"/>
      <c r="E832"/>
      <c r="G832"/>
      <c r="K832"/>
      <c r="V832"/>
      <c r="AC832"/>
      <c r="AI832"/>
      <c r="AJ832"/>
      <c r="AK832"/>
      <c r="AL832"/>
      <c r="AM832"/>
      <c r="AP832"/>
      <c r="AQ832"/>
      <c r="AR832"/>
      <c r="AS832" s="180"/>
      <c r="AT832"/>
      <c r="AU832"/>
      <c r="AV832"/>
      <c r="AW832"/>
      <c r="AX832"/>
      <c r="AY832"/>
      <c r="AZ832"/>
      <c r="BA832"/>
      <c r="BB832"/>
      <c r="BC832"/>
      <c r="BD832"/>
      <c r="BE832"/>
      <c r="BJ832"/>
      <c r="BK832"/>
      <c r="BL832"/>
      <c r="BP832"/>
      <c r="BQ832"/>
      <c r="BR832"/>
      <c r="CD832"/>
      <c r="CE832"/>
      <c r="CF832"/>
      <c r="CQ832"/>
      <c r="CR832"/>
      <c r="CS832"/>
      <c r="DQ832"/>
      <c r="DR832"/>
      <c r="DS832"/>
      <c r="DT832"/>
      <c r="DU832"/>
    </row>
    <row r="833" spans="1:125">
      <c r="A833"/>
      <c r="B833"/>
      <c r="C833"/>
      <c r="D833"/>
      <c r="E833"/>
      <c r="G833"/>
      <c r="K833"/>
      <c r="V833"/>
      <c r="AC833"/>
      <c r="AI833"/>
      <c r="AJ833"/>
      <c r="AK833"/>
      <c r="AL833"/>
      <c r="AM833"/>
      <c r="AP833"/>
      <c r="AQ833"/>
      <c r="AR833"/>
      <c r="AS833" s="180"/>
      <c r="AT833"/>
      <c r="AU833"/>
      <c r="AV833"/>
      <c r="AW833"/>
      <c r="AX833"/>
      <c r="AY833"/>
      <c r="AZ833"/>
      <c r="BA833"/>
      <c r="BB833"/>
      <c r="BC833"/>
      <c r="BD833"/>
      <c r="BE833"/>
      <c r="BJ833"/>
      <c r="BK833"/>
      <c r="BL833"/>
      <c r="BP833"/>
      <c r="BQ833"/>
      <c r="BR833"/>
      <c r="CD833"/>
      <c r="CE833"/>
      <c r="CF833"/>
      <c r="CQ833"/>
      <c r="CR833"/>
      <c r="CS833"/>
      <c r="DQ833"/>
      <c r="DR833"/>
      <c r="DS833"/>
      <c r="DT833"/>
      <c r="DU833"/>
    </row>
    <row r="834" spans="1:125">
      <c r="A834"/>
      <c r="B834"/>
      <c r="C834"/>
      <c r="D834"/>
      <c r="E834"/>
      <c r="G834"/>
      <c r="K834"/>
      <c r="V834"/>
      <c r="AC834"/>
      <c r="AI834"/>
      <c r="AJ834"/>
      <c r="AK834"/>
      <c r="AL834"/>
      <c r="AM834"/>
      <c r="AP834"/>
      <c r="AQ834"/>
      <c r="AR834"/>
      <c r="AS834" s="180"/>
      <c r="AT834"/>
      <c r="AU834"/>
      <c r="AV834"/>
      <c r="AW834"/>
      <c r="AX834"/>
      <c r="AY834"/>
      <c r="AZ834"/>
      <c r="BA834"/>
      <c r="BB834"/>
      <c r="BC834"/>
      <c r="BD834"/>
      <c r="BE834"/>
      <c r="BJ834"/>
      <c r="BK834"/>
      <c r="BL834"/>
      <c r="BP834"/>
      <c r="BQ834"/>
      <c r="BR834"/>
      <c r="CD834"/>
      <c r="CE834"/>
      <c r="CF834"/>
      <c r="CQ834"/>
      <c r="CR834"/>
      <c r="CS834"/>
      <c r="DQ834"/>
      <c r="DR834"/>
      <c r="DS834"/>
      <c r="DT834"/>
      <c r="DU834"/>
    </row>
    <row r="835" spans="1:125">
      <c r="A835"/>
      <c r="B835"/>
      <c r="C835"/>
      <c r="D835"/>
      <c r="E835"/>
      <c r="G835"/>
      <c r="K835"/>
      <c r="V835"/>
      <c r="AC835"/>
      <c r="AI835"/>
      <c r="AJ835"/>
      <c r="AK835"/>
      <c r="AL835"/>
      <c r="AM835"/>
      <c r="AP835"/>
      <c r="AQ835"/>
      <c r="AR835"/>
      <c r="AS835" s="180"/>
      <c r="AT835"/>
      <c r="AU835"/>
      <c r="AV835"/>
      <c r="AW835"/>
      <c r="AX835"/>
      <c r="AY835"/>
      <c r="AZ835"/>
      <c r="BA835"/>
      <c r="BB835"/>
      <c r="BC835"/>
      <c r="BD835"/>
      <c r="BE835"/>
      <c r="BJ835"/>
      <c r="BK835"/>
      <c r="BL835"/>
      <c r="BP835"/>
      <c r="BQ835"/>
      <c r="BR835"/>
      <c r="CD835"/>
      <c r="CE835"/>
      <c r="CF835"/>
      <c r="CQ835"/>
      <c r="CR835"/>
      <c r="CS835"/>
      <c r="DQ835"/>
      <c r="DR835"/>
      <c r="DS835"/>
      <c r="DT835"/>
      <c r="DU835"/>
    </row>
    <row r="836" spans="1:125">
      <c r="A836"/>
      <c r="B836"/>
      <c r="C836"/>
      <c r="D836"/>
      <c r="E836"/>
      <c r="G836"/>
      <c r="K836"/>
      <c r="V836"/>
      <c r="AC836"/>
      <c r="AI836"/>
      <c r="AJ836"/>
      <c r="AK836"/>
      <c r="AL836"/>
      <c r="AM836"/>
      <c r="AP836"/>
      <c r="AQ836"/>
      <c r="AR836"/>
      <c r="AS836" s="180"/>
      <c r="AT836"/>
      <c r="AU836"/>
      <c r="AV836"/>
      <c r="AW836"/>
      <c r="AX836"/>
      <c r="AY836"/>
      <c r="AZ836"/>
      <c r="BA836"/>
      <c r="BB836"/>
      <c r="BC836"/>
      <c r="BD836"/>
      <c r="BE836"/>
      <c r="BJ836"/>
      <c r="BK836"/>
      <c r="BL836"/>
      <c r="BP836"/>
      <c r="BQ836"/>
      <c r="BR836"/>
      <c r="CD836"/>
      <c r="CE836"/>
      <c r="CF836"/>
      <c r="CQ836"/>
      <c r="CR836"/>
      <c r="CS836"/>
      <c r="DQ836"/>
      <c r="DR836"/>
      <c r="DS836"/>
      <c r="DT836"/>
      <c r="DU836"/>
    </row>
    <row r="837" spans="1:125">
      <c r="A837"/>
      <c r="B837"/>
      <c r="C837"/>
      <c r="D837"/>
      <c r="E837"/>
      <c r="G837"/>
      <c r="K837"/>
      <c r="V837"/>
      <c r="AC837"/>
      <c r="AI837"/>
      <c r="AJ837"/>
      <c r="AK837"/>
      <c r="AL837"/>
      <c r="AM837"/>
      <c r="AP837"/>
      <c r="AQ837"/>
      <c r="AR837"/>
      <c r="AS837" s="180"/>
      <c r="AT837"/>
      <c r="AU837"/>
      <c r="AV837"/>
      <c r="AW837"/>
      <c r="AX837"/>
      <c r="AY837"/>
      <c r="AZ837"/>
      <c r="BA837"/>
      <c r="BB837"/>
      <c r="BC837"/>
      <c r="BD837"/>
      <c r="BE837"/>
      <c r="BJ837"/>
      <c r="BK837"/>
      <c r="BL837"/>
      <c r="BP837"/>
      <c r="BQ837"/>
      <c r="BR837"/>
      <c r="CD837"/>
      <c r="CE837"/>
      <c r="CF837"/>
      <c r="CQ837"/>
      <c r="CR837"/>
      <c r="CS837"/>
      <c r="DQ837"/>
      <c r="DR837"/>
      <c r="DS837"/>
      <c r="DT837"/>
      <c r="DU837"/>
    </row>
    <row r="838" spans="1:125">
      <c r="A838"/>
      <c r="B838"/>
      <c r="C838"/>
      <c r="D838"/>
      <c r="E838"/>
      <c r="G838"/>
      <c r="K838"/>
      <c r="V838"/>
      <c r="AC838"/>
      <c r="AI838"/>
      <c r="AJ838"/>
      <c r="AK838"/>
      <c r="AL838"/>
      <c r="AM838"/>
      <c r="AP838"/>
      <c r="AQ838"/>
      <c r="AR838"/>
      <c r="AS838" s="180"/>
      <c r="AT838"/>
      <c r="AU838"/>
      <c r="AV838"/>
      <c r="AW838"/>
      <c r="AX838"/>
      <c r="AY838"/>
      <c r="AZ838"/>
      <c r="BA838"/>
      <c r="BB838"/>
      <c r="BC838"/>
      <c r="BD838"/>
      <c r="BE838"/>
      <c r="BJ838"/>
      <c r="BK838"/>
      <c r="BL838"/>
      <c r="BP838"/>
      <c r="BQ838"/>
      <c r="BR838"/>
      <c r="CD838"/>
      <c r="CE838"/>
      <c r="CF838"/>
      <c r="CQ838"/>
      <c r="CR838"/>
      <c r="CS838"/>
      <c r="DQ838"/>
      <c r="DR838"/>
      <c r="DS838"/>
      <c r="DT838"/>
      <c r="DU838"/>
    </row>
    <row r="839" spans="1:125">
      <c r="A839"/>
      <c r="B839"/>
      <c r="C839"/>
      <c r="D839"/>
      <c r="E839"/>
      <c r="G839"/>
      <c r="K839"/>
      <c r="V839"/>
      <c r="AC839"/>
      <c r="AI839"/>
      <c r="AJ839"/>
      <c r="AK839"/>
      <c r="AL839"/>
      <c r="AM839"/>
      <c r="AP839"/>
      <c r="AQ839"/>
      <c r="AR839"/>
      <c r="AS839" s="180"/>
      <c r="AT839"/>
      <c r="AU839"/>
      <c r="AV839"/>
      <c r="AW839"/>
      <c r="AX839"/>
      <c r="AY839"/>
      <c r="AZ839"/>
      <c r="BA839"/>
      <c r="BB839"/>
      <c r="BC839"/>
      <c r="BD839"/>
      <c r="BE839"/>
      <c r="BJ839"/>
      <c r="BK839"/>
      <c r="BL839"/>
      <c r="BP839"/>
      <c r="BQ839"/>
      <c r="BR839"/>
      <c r="CD839"/>
      <c r="CE839"/>
      <c r="CF839"/>
      <c r="CQ839"/>
      <c r="CR839"/>
      <c r="CS839"/>
      <c r="DQ839"/>
      <c r="DR839"/>
      <c r="DS839"/>
      <c r="DT839"/>
      <c r="DU839"/>
    </row>
    <row r="840" spans="1:125">
      <c r="A840"/>
      <c r="B840"/>
      <c r="C840"/>
      <c r="D840"/>
      <c r="E840"/>
      <c r="G840"/>
      <c r="K840"/>
      <c r="V840"/>
      <c r="AC840"/>
      <c r="AI840"/>
      <c r="AJ840"/>
      <c r="AK840"/>
      <c r="AL840"/>
      <c r="AM840"/>
      <c r="AP840"/>
      <c r="AQ840"/>
      <c r="AR840"/>
      <c r="AS840" s="180"/>
      <c r="AT840"/>
      <c r="AU840"/>
      <c r="AV840"/>
      <c r="AW840"/>
      <c r="AX840"/>
      <c r="AY840"/>
      <c r="AZ840"/>
      <c r="BA840"/>
      <c r="BB840"/>
      <c r="BC840"/>
      <c r="BD840"/>
      <c r="BE840"/>
      <c r="BJ840"/>
      <c r="BK840"/>
      <c r="BL840"/>
      <c r="BP840"/>
      <c r="BQ840"/>
      <c r="BR840"/>
      <c r="CD840"/>
      <c r="CE840"/>
      <c r="CF840"/>
      <c r="CQ840"/>
      <c r="CR840"/>
      <c r="CS840"/>
      <c r="DQ840"/>
      <c r="DR840"/>
      <c r="DS840"/>
      <c r="DT840"/>
      <c r="DU840"/>
    </row>
    <row r="841" spans="1:125">
      <c r="A841"/>
      <c r="B841"/>
      <c r="C841"/>
      <c r="D841"/>
      <c r="E841"/>
      <c r="G841"/>
      <c r="K841"/>
      <c r="V841"/>
      <c r="AC841"/>
      <c r="AI841"/>
      <c r="AJ841"/>
      <c r="AK841"/>
      <c r="AL841"/>
      <c r="AM841"/>
      <c r="AP841"/>
      <c r="AQ841"/>
      <c r="AR841"/>
      <c r="AS841" s="180"/>
      <c r="AT841"/>
      <c r="AU841"/>
      <c r="AV841"/>
      <c r="AW841"/>
      <c r="AX841"/>
      <c r="AY841"/>
      <c r="AZ841"/>
      <c r="BA841"/>
      <c r="BB841"/>
      <c r="BC841"/>
      <c r="BD841"/>
      <c r="BE841"/>
      <c r="BJ841"/>
      <c r="BK841"/>
      <c r="BL841"/>
      <c r="BP841"/>
      <c r="BQ841"/>
      <c r="BR841"/>
      <c r="CD841"/>
      <c r="CE841"/>
      <c r="CF841"/>
      <c r="CQ841"/>
      <c r="CR841"/>
      <c r="CS841"/>
      <c r="DQ841"/>
      <c r="DR841"/>
      <c r="DS841"/>
      <c r="DT841"/>
      <c r="DU841"/>
    </row>
    <row r="842" spans="1:125">
      <c r="A842"/>
      <c r="B842"/>
      <c r="C842"/>
      <c r="D842"/>
      <c r="E842"/>
      <c r="G842"/>
      <c r="K842"/>
      <c r="V842"/>
      <c r="AC842"/>
      <c r="AI842"/>
      <c r="AJ842"/>
      <c r="AK842"/>
      <c r="AL842"/>
      <c r="AM842"/>
      <c r="AP842"/>
      <c r="AQ842"/>
      <c r="AR842"/>
      <c r="AS842" s="180"/>
      <c r="AT842"/>
      <c r="AU842"/>
      <c r="AV842"/>
      <c r="AW842"/>
      <c r="AX842"/>
      <c r="AY842"/>
      <c r="AZ842"/>
      <c r="BA842"/>
      <c r="BB842"/>
      <c r="BC842"/>
      <c r="BD842"/>
      <c r="BE842"/>
      <c r="BJ842"/>
      <c r="BK842"/>
      <c r="BL842"/>
      <c r="BP842"/>
      <c r="BQ842"/>
      <c r="BR842"/>
      <c r="CD842"/>
      <c r="CE842"/>
      <c r="CF842"/>
      <c r="CQ842"/>
      <c r="CR842"/>
      <c r="CS842"/>
      <c r="DQ842"/>
      <c r="DR842"/>
      <c r="DS842"/>
      <c r="DT842"/>
      <c r="DU842"/>
    </row>
    <row r="843" spans="1:125">
      <c r="A843"/>
      <c r="B843"/>
      <c r="C843"/>
      <c r="D843"/>
      <c r="E843"/>
      <c r="G843"/>
      <c r="K843"/>
      <c r="V843"/>
      <c r="AC843"/>
      <c r="AI843"/>
      <c r="AJ843"/>
      <c r="AK843"/>
      <c r="AL843"/>
      <c r="AM843"/>
      <c r="AP843"/>
      <c r="AQ843"/>
      <c r="AR843"/>
      <c r="AS843" s="180"/>
      <c r="AT843"/>
      <c r="AU843"/>
      <c r="AV843"/>
      <c r="AW843"/>
      <c r="AX843"/>
      <c r="AY843"/>
      <c r="AZ843"/>
      <c r="BA843"/>
      <c r="BB843"/>
      <c r="BC843"/>
      <c r="BD843"/>
      <c r="BE843"/>
      <c r="BJ843"/>
      <c r="BK843"/>
      <c r="BL843"/>
      <c r="BP843"/>
      <c r="BQ843"/>
      <c r="BR843"/>
      <c r="CD843"/>
      <c r="CE843"/>
      <c r="CF843"/>
      <c r="CQ843"/>
      <c r="CR843"/>
      <c r="CS843"/>
      <c r="DQ843"/>
      <c r="DR843"/>
      <c r="DS843"/>
      <c r="DT843"/>
      <c r="DU843"/>
    </row>
    <row r="844" spans="1:125">
      <c r="A844"/>
      <c r="B844"/>
      <c r="C844"/>
      <c r="D844"/>
      <c r="E844"/>
      <c r="G844"/>
      <c r="K844"/>
      <c r="V844"/>
      <c r="AC844"/>
      <c r="AI844"/>
      <c r="AJ844"/>
      <c r="AK844"/>
      <c r="AL844"/>
      <c r="AM844"/>
      <c r="AP844"/>
      <c r="AQ844"/>
      <c r="AR844"/>
      <c r="AS844" s="180"/>
      <c r="AT844"/>
      <c r="AU844"/>
      <c r="AV844"/>
      <c r="AW844"/>
      <c r="AX844"/>
      <c r="AY844"/>
      <c r="AZ844"/>
      <c r="BA844"/>
      <c r="BB844"/>
      <c r="BC844"/>
      <c r="BD844"/>
      <c r="BE844"/>
      <c r="BJ844"/>
      <c r="BK844"/>
      <c r="BL844"/>
      <c r="BP844"/>
      <c r="BQ844"/>
      <c r="BR844"/>
      <c r="CD844"/>
      <c r="CE844"/>
      <c r="CF844"/>
      <c r="CQ844"/>
      <c r="CR844"/>
      <c r="CS844"/>
      <c r="DQ844"/>
      <c r="DR844"/>
      <c r="DS844"/>
      <c r="DT844"/>
      <c r="DU844"/>
    </row>
    <row r="845" spans="1:125">
      <c r="A845"/>
      <c r="B845"/>
      <c r="C845"/>
      <c r="D845"/>
      <c r="E845"/>
      <c r="G845"/>
      <c r="K845"/>
      <c r="V845"/>
      <c r="AC845"/>
      <c r="AI845"/>
      <c r="AJ845"/>
      <c r="AK845"/>
      <c r="AL845"/>
      <c r="AM845"/>
      <c r="AP845"/>
      <c r="AQ845"/>
      <c r="AR845"/>
      <c r="AS845" s="180"/>
      <c r="AT845"/>
      <c r="AU845"/>
      <c r="AV845"/>
      <c r="AW845"/>
      <c r="AX845"/>
      <c r="AY845"/>
      <c r="AZ845"/>
      <c r="BA845"/>
      <c r="BB845"/>
      <c r="BC845"/>
      <c r="BD845"/>
      <c r="BE845"/>
      <c r="BJ845"/>
      <c r="BK845"/>
      <c r="BL845"/>
      <c r="BP845"/>
      <c r="BQ845"/>
      <c r="BR845"/>
      <c r="CD845"/>
      <c r="CE845"/>
      <c r="CF845"/>
      <c r="CQ845"/>
      <c r="CR845"/>
      <c r="CS845"/>
      <c r="DQ845"/>
      <c r="DR845"/>
      <c r="DS845"/>
      <c r="DT845"/>
      <c r="DU845"/>
    </row>
    <row r="846" spans="1:125">
      <c r="A846"/>
      <c r="B846"/>
      <c r="C846"/>
      <c r="D846"/>
      <c r="E846"/>
      <c r="G846"/>
      <c r="K846"/>
      <c r="V846"/>
      <c r="AC846"/>
      <c r="AI846"/>
      <c r="AJ846"/>
      <c r="AK846"/>
      <c r="AL846"/>
      <c r="AM846"/>
      <c r="AP846"/>
      <c r="AQ846"/>
      <c r="AR846"/>
      <c r="AS846" s="180"/>
      <c r="AT846"/>
      <c r="AU846"/>
      <c r="AV846"/>
      <c r="AW846"/>
      <c r="AX846"/>
      <c r="AY846"/>
      <c r="AZ846"/>
      <c r="BA846"/>
      <c r="BB846"/>
      <c r="BC846"/>
      <c r="BD846"/>
      <c r="BE846"/>
      <c r="BJ846"/>
      <c r="BK846"/>
      <c r="BL846"/>
      <c r="BP846"/>
      <c r="BQ846"/>
      <c r="BR846"/>
      <c r="CD846"/>
      <c r="CE846"/>
      <c r="CF846"/>
      <c r="CQ846"/>
      <c r="CR846"/>
      <c r="CS846"/>
      <c r="DQ846"/>
      <c r="DR846"/>
      <c r="DS846"/>
      <c r="DT846"/>
      <c r="DU846"/>
    </row>
    <row r="847" spans="1:125">
      <c r="A847"/>
      <c r="B847"/>
      <c r="C847"/>
      <c r="D847"/>
      <c r="E847"/>
      <c r="G847"/>
      <c r="K847"/>
      <c r="V847"/>
      <c r="AC847"/>
      <c r="AI847"/>
      <c r="AJ847"/>
      <c r="AK847"/>
      <c r="AL847"/>
      <c r="AM847"/>
      <c r="AP847"/>
      <c r="AQ847"/>
      <c r="AR847"/>
      <c r="AS847" s="180"/>
      <c r="AT847"/>
      <c r="AU847"/>
      <c r="AV847"/>
      <c r="AW847"/>
      <c r="AX847"/>
      <c r="AY847"/>
      <c r="AZ847"/>
      <c r="BA847"/>
      <c r="BB847"/>
      <c r="BC847"/>
      <c r="BD847"/>
      <c r="BE847"/>
      <c r="BJ847"/>
      <c r="BK847"/>
      <c r="BL847"/>
      <c r="BP847"/>
      <c r="BQ847"/>
      <c r="BR847"/>
      <c r="CD847"/>
      <c r="CE847"/>
      <c r="CF847"/>
      <c r="CQ847"/>
      <c r="CR847"/>
      <c r="CS847"/>
      <c r="DQ847"/>
      <c r="DR847"/>
      <c r="DS847"/>
      <c r="DT847"/>
      <c r="DU847"/>
    </row>
    <row r="848" spans="1:125">
      <c r="A848"/>
      <c r="B848"/>
      <c r="C848"/>
      <c r="D848"/>
      <c r="E848"/>
      <c r="G848"/>
      <c r="K848"/>
      <c r="V848"/>
      <c r="AC848"/>
      <c r="AI848"/>
      <c r="AJ848"/>
      <c r="AK848"/>
      <c r="AL848"/>
      <c r="AM848"/>
      <c r="AP848"/>
      <c r="AQ848"/>
      <c r="AR848"/>
      <c r="AS848" s="180"/>
      <c r="AT848"/>
      <c r="AU848"/>
      <c r="AV848"/>
      <c r="AW848"/>
      <c r="AX848"/>
      <c r="AY848"/>
      <c r="AZ848"/>
      <c r="BA848"/>
      <c r="BB848"/>
      <c r="BC848"/>
      <c r="BD848"/>
      <c r="BE848"/>
      <c r="BJ848"/>
      <c r="BK848"/>
      <c r="BL848"/>
      <c r="BP848"/>
      <c r="BQ848"/>
      <c r="BR848"/>
      <c r="CD848"/>
      <c r="CE848"/>
      <c r="CF848"/>
      <c r="CQ848"/>
      <c r="CR848"/>
      <c r="CS848"/>
      <c r="DQ848"/>
      <c r="DR848"/>
      <c r="DS848"/>
      <c r="DT848"/>
      <c r="DU848"/>
    </row>
    <row r="849" spans="1:125">
      <c r="A849"/>
      <c r="B849"/>
      <c r="C849"/>
      <c r="D849"/>
      <c r="E849"/>
      <c r="G849"/>
      <c r="K849"/>
      <c r="V849"/>
      <c r="AC849"/>
      <c r="AI849"/>
      <c r="AJ849"/>
      <c r="AK849"/>
      <c r="AL849"/>
      <c r="AM849"/>
      <c r="AP849"/>
      <c r="AQ849"/>
      <c r="AR849"/>
      <c r="AS849" s="180"/>
      <c r="AT849"/>
      <c r="AU849"/>
      <c r="AV849"/>
      <c r="AW849"/>
      <c r="AX849"/>
      <c r="AY849"/>
      <c r="AZ849"/>
      <c r="BA849"/>
      <c r="BB849"/>
      <c r="BC849"/>
      <c r="BD849"/>
      <c r="BE849"/>
      <c r="BJ849"/>
      <c r="BK849"/>
      <c r="BL849"/>
      <c r="BP849"/>
      <c r="BQ849"/>
      <c r="BR849"/>
      <c r="CD849"/>
      <c r="CE849"/>
      <c r="CF849"/>
      <c r="CQ849"/>
      <c r="CR849"/>
      <c r="CS849"/>
      <c r="DQ849"/>
      <c r="DR849"/>
      <c r="DS849"/>
      <c r="DT849"/>
      <c r="DU849"/>
    </row>
    <row r="850" spans="1:125">
      <c r="A850"/>
      <c r="B850"/>
      <c r="C850"/>
      <c r="D850"/>
      <c r="E850"/>
      <c r="G850"/>
      <c r="K850"/>
      <c r="V850"/>
      <c r="AC850"/>
      <c r="AI850"/>
      <c r="AJ850"/>
      <c r="AK850"/>
      <c r="AL850"/>
      <c r="AM850"/>
      <c r="AP850"/>
      <c r="AQ850"/>
      <c r="AR850"/>
      <c r="AS850" s="180"/>
      <c r="AT850"/>
      <c r="AU850"/>
      <c r="AV850"/>
      <c r="AW850"/>
      <c r="AX850"/>
      <c r="AY850"/>
      <c r="AZ850"/>
      <c r="BA850"/>
      <c r="BB850"/>
      <c r="BC850"/>
      <c r="BD850"/>
      <c r="BE850"/>
      <c r="BJ850"/>
      <c r="BK850"/>
      <c r="BL850"/>
      <c r="BP850"/>
      <c r="BQ850"/>
      <c r="BR850"/>
      <c r="CD850"/>
      <c r="CE850"/>
      <c r="CF850"/>
      <c r="CQ850"/>
      <c r="CR850"/>
      <c r="CS850"/>
      <c r="DQ850"/>
      <c r="DR850"/>
      <c r="DS850"/>
      <c r="DT850"/>
      <c r="DU850"/>
    </row>
    <row r="851" spans="1:125">
      <c r="A851"/>
      <c r="B851"/>
      <c r="C851"/>
      <c r="D851"/>
      <c r="E851"/>
      <c r="G851"/>
      <c r="K851"/>
      <c r="V851"/>
      <c r="AC851"/>
      <c r="AI851"/>
      <c r="AJ851"/>
      <c r="AK851"/>
      <c r="AL851"/>
      <c r="AM851"/>
      <c r="AP851"/>
      <c r="AQ851"/>
      <c r="AR851"/>
      <c r="AS851" s="180"/>
      <c r="AT851"/>
      <c r="AU851"/>
      <c r="AV851"/>
      <c r="AW851"/>
      <c r="AX851"/>
      <c r="AY851"/>
      <c r="AZ851"/>
      <c r="BA851"/>
      <c r="BB851"/>
      <c r="BC851"/>
      <c r="BD851"/>
      <c r="BE851"/>
      <c r="BJ851"/>
      <c r="BK851"/>
      <c r="BL851"/>
      <c r="BP851"/>
      <c r="BQ851"/>
      <c r="BR851"/>
      <c r="CD851"/>
      <c r="CE851"/>
      <c r="CF851"/>
      <c r="CQ851"/>
      <c r="CR851"/>
      <c r="CS851"/>
      <c r="DQ851"/>
      <c r="DR851"/>
      <c r="DS851"/>
      <c r="DT851"/>
      <c r="DU851"/>
    </row>
    <row r="852" spans="1:125">
      <c r="A852"/>
      <c r="B852"/>
      <c r="C852"/>
      <c r="D852"/>
      <c r="E852"/>
      <c r="G852"/>
      <c r="K852"/>
      <c r="V852"/>
      <c r="AC852"/>
      <c r="AI852"/>
      <c r="AJ852"/>
      <c r="AK852"/>
      <c r="AL852"/>
      <c r="AM852"/>
      <c r="AP852"/>
      <c r="AQ852"/>
      <c r="AR852"/>
      <c r="AS852" s="180"/>
      <c r="AT852"/>
      <c r="AU852"/>
      <c r="AV852"/>
      <c r="AW852"/>
      <c r="AX852"/>
      <c r="AY852"/>
      <c r="AZ852"/>
      <c r="BA852"/>
      <c r="BB852"/>
      <c r="BC852"/>
      <c r="BD852"/>
      <c r="BE852"/>
      <c r="BJ852"/>
      <c r="BK852"/>
      <c r="BL852"/>
      <c r="BP852"/>
      <c r="BQ852"/>
      <c r="BR852"/>
      <c r="CD852"/>
      <c r="CE852"/>
      <c r="CF852"/>
      <c r="CQ852"/>
      <c r="CR852"/>
      <c r="CS852"/>
      <c r="DQ852"/>
      <c r="DR852"/>
      <c r="DS852"/>
      <c r="DT852"/>
      <c r="DU852"/>
    </row>
    <row r="853" spans="1:125">
      <c r="A853"/>
      <c r="B853"/>
      <c r="C853"/>
      <c r="D853"/>
      <c r="E853"/>
      <c r="G853"/>
      <c r="K853"/>
      <c r="V853"/>
      <c r="AC853"/>
      <c r="AI853"/>
      <c r="AJ853"/>
      <c r="AK853"/>
      <c r="AL853"/>
      <c r="AM853"/>
      <c r="AP853"/>
      <c r="AQ853"/>
      <c r="AR853"/>
      <c r="AS853" s="180"/>
      <c r="AT853"/>
      <c r="AU853"/>
      <c r="AV853"/>
      <c r="AW853"/>
      <c r="AX853"/>
      <c r="AY853"/>
      <c r="AZ853"/>
      <c r="BA853"/>
      <c r="BB853"/>
      <c r="BC853"/>
      <c r="BD853"/>
      <c r="BE853"/>
      <c r="BJ853"/>
      <c r="BK853"/>
      <c r="BL853"/>
      <c r="BP853"/>
      <c r="BQ853"/>
      <c r="BR853"/>
      <c r="CD853"/>
      <c r="CE853"/>
      <c r="CF853"/>
      <c r="CQ853"/>
      <c r="CR853"/>
      <c r="CS853"/>
      <c r="DQ853"/>
      <c r="DR853"/>
      <c r="DS853"/>
      <c r="DT853"/>
      <c r="DU853"/>
    </row>
    <row r="854" spans="1:125">
      <c r="A854"/>
      <c r="B854"/>
      <c r="C854"/>
      <c r="D854"/>
      <c r="E854"/>
      <c r="G854"/>
      <c r="K854"/>
      <c r="V854"/>
      <c r="AC854"/>
      <c r="AI854"/>
      <c r="AJ854"/>
      <c r="AK854"/>
      <c r="AL854"/>
      <c r="AM854"/>
      <c r="AP854"/>
      <c r="AQ854"/>
      <c r="AR854"/>
      <c r="AS854" s="180"/>
      <c r="AT854"/>
      <c r="AU854"/>
      <c r="AV854"/>
      <c r="AW854"/>
      <c r="AX854"/>
      <c r="AY854"/>
      <c r="AZ854"/>
      <c r="BA854"/>
      <c r="BB854"/>
      <c r="BC854"/>
      <c r="BD854"/>
      <c r="BE854"/>
      <c r="BJ854"/>
      <c r="BK854"/>
      <c r="BL854"/>
      <c r="BP854"/>
      <c r="BQ854"/>
      <c r="BR854"/>
      <c r="CD854"/>
      <c r="CE854"/>
      <c r="CF854"/>
      <c r="CQ854"/>
      <c r="CR854"/>
      <c r="CS854"/>
      <c r="DQ854"/>
      <c r="DR854"/>
      <c r="DS854"/>
      <c r="DT854"/>
      <c r="DU854"/>
    </row>
    <row r="855" spans="1:125">
      <c r="A855"/>
      <c r="B855"/>
      <c r="C855"/>
      <c r="D855"/>
      <c r="E855"/>
      <c r="G855"/>
      <c r="K855"/>
      <c r="V855"/>
      <c r="AC855"/>
      <c r="AI855"/>
      <c r="AJ855"/>
      <c r="AK855"/>
      <c r="AL855"/>
      <c r="AM855"/>
      <c r="AP855"/>
      <c r="AQ855"/>
      <c r="AR855"/>
      <c r="AS855" s="180"/>
      <c r="AT855"/>
      <c r="AU855"/>
      <c r="AV855"/>
      <c r="AW855"/>
      <c r="AX855"/>
      <c r="AY855"/>
      <c r="AZ855"/>
      <c r="BA855"/>
      <c r="BB855"/>
      <c r="BC855"/>
      <c r="BD855"/>
      <c r="BE855"/>
      <c r="BJ855"/>
      <c r="BK855"/>
      <c r="BL855"/>
      <c r="BP855"/>
      <c r="BQ855"/>
      <c r="BR855"/>
      <c r="CD855"/>
      <c r="CE855"/>
      <c r="CF855"/>
      <c r="CQ855"/>
      <c r="CR855"/>
      <c r="CS855"/>
      <c r="DQ855"/>
      <c r="DR855"/>
      <c r="DS855"/>
      <c r="DT855"/>
      <c r="DU855"/>
    </row>
    <row r="856" spans="1:125">
      <c r="A856"/>
      <c r="B856"/>
      <c r="C856"/>
      <c r="D856"/>
      <c r="E856"/>
      <c r="G856"/>
      <c r="K856"/>
      <c r="V856"/>
      <c r="AC856"/>
      <c r="AI856"/>
      <c r="AJ856"/>
      <c r="AK856"/>
      <c r="AL856"/>
      <c r="AM856"/>
      <c r="AP856"/>
      <c r="AQ856"/>
      <c r="AR856"/>
      <c r="AS856" s="180"/>
      <c r="AT856"/>
      <c r="AU856"/>
      <c r="AV856"/>
      <c r="AW856"/>
      <c r="AX856"/>
      <c r="AY856"/>
      <c r="AZ856"/>
      <c r="BA856"/>
      <c r="BB856"/>
      <c r="BC856"/>
      <c r="BD856"/>
      <c r="BE856"/>
      <c r="BJ856"/>
      <c r="BK856"/>
      <c r="BL856"/>
      <c r="BP856"/>
      <c r="BQ856"/>
      <c r="BR856"/>
      <c r="CD856"/>
      <c r="CE856"/>
      <c r="CF856"/>
      <c r="CQ856"/>
      <c r="CR856"/>
      <c r="CS856"/>
      <c r="DQ856"/>
      <c r="DR856"/>
      <c r="DS856"/>
      <c r="DT856"/>
      <c r="DU856"/>
    </row>
    <row r="857" spans="1:125">
      <c r="A857"/>
      <c r="B857"/>
      <c r="C857"/>
      <c r="D857"/>
      <c r="E857"/>
      <c r="G857"/>
      <c r="K857"/>
      <c r="V857"/>
      <c r="AC857"/>
      <c r="AI857"/>
      <c r="AJ857"/>
      <c r="AK857"/>
      <c r="AL857"/>
      <c r="AM857"/>
      <c r="AP857"/>
      <c r="AQ857"/>
      <c r="AR857"/>
      <c r="AS857" s="180"/>
      <c r="AT857"/>
      <c r="AU857"/>
      <c r="AV857"/>
      <c r="AW857"/>
      <c r="AX857"/>
      <c r="AY857"/>
      <c r="AZ857"/>
      <c r="BA857"/>
      <c r="BB857"/>
      <c r="BC857"/>
      <c r="BD857"/>
      <c r="BE857"/>
      <c r="BJ857"/>
      <c r="BK857"/>
      <c r="BL857"/>
      <c r="BP857"/>
      <c r="BQ857"/>
      <c r="BR857"/>
      <c r="CD857"/>
      <c r="CE857"/>
      <c r="CF857"/>
      <c r="CQ857"/>
      <c r="CR857"/>
      <c r="CS857"/>
      <c r="DQ857"/>
      <c r="DR857"/>
      <c r="DS857"/>
      <c r="DT857"/>
      <c r="DU857"/>
    </row>
    <row r="858" spans="1:125">
      <c r="A858"/>
      <c r="B858"/>
      <c r="C858"/>
      <c r="D858"/>
      <c r="E858"/>
      <c r="G858"/>
      <c r="K858"/>
      <c r="V858"/>
      <c r="AC858"/>
      <c r="AI858"/>
      <c r="AJ858"/>
      <c r="AK858"/>
      <c r="AL858"/>
      <c r="AM858"/>
      <c r="AP858"/>
      <c r="AQ858"/>
      <c r="AR858"/>
      <c r="AS858" s="180"/>
      <c r="AT858"/>
      <c r="AU858"/>
      <c r="AV858"/>
      <c r="AW858"/>
      <c r="AX858"/>
      <c r="AY858"/>
      <c r="AZ858"/>
      <c r="BA858"/>
      <c r="BB858"/>
      <c r="BC858"/>
      <c r="BD858"/>
      <c r="BE858"/>
      <c r="BJ858"/>
      <c r="BK858"/>
      <c r="BL858"/>
      <c r="BP858"/>
      <c r="BQ858"/>
      <c r="BR858"/>
      <c r="CD858"/>
      <c r="CE858"/>
      <c r="CF858"/>
      <c r="CQ858"/>
      <c r="CR858"/>
      <c r="CS858"/>
      <c r="DQ858"/>
      <c r="DR858"/>
      <c r="DS858"/>
      <c r="DT858"/>
      <c r="DU858"/>
    </row>
    <row r="859" spans="1:125">
      <c r="A859"/>
      <c r="B859"/>
      <c r="C859"/>
      <c r="D859"/>
      <c r="E859"/>
      <c r="G859"/>
      <c r="K859"/>
      <c r="V859"/>
      <c r="AC859"/>
      <c r="AI859"/>
      <c r="AJ859"/>
      <c r="AK859"/>
      <c r="AL859"/>
      <c r="AM859"/>
      <c r="AP859"/>
      <c r="AQ859"/>
      <c r="AR859"/>
      <c r="AS859" s="180"/>
      <c r="AT859"/>
      <c r="AU859"/>
      <c r="AV859"/>
      <c r="AW859"/>
      <c r="AX859"/>
      <c r="AY859"/>
      <c r="AZ859"/>
      <c r="BA859"/>
      <c r="BB859"/>
      <c r="BC859"/>
      <c r="BD859"/>
      <c r="BE859"/>
      <c r="BJ859"/>
      <c r="BK859"/>
      <c r="BL859"/>
      <c r="BP859"/>
      <c r="BQ859"/>
      <c r="BR859"/>
      <c r="CD859"/>
      <c r="CE859"/>
      <c r="CF859"/>
      <c r="CQ859"/>
      <c r="CR859"/>
      <c r="CS859"/>
      <c r="DQ859"/>
      <c r="DR859"/>
      <c r="DS859"/>
      <c r="DT859"/>
      <c r="DU859"/>
    </row>
    <row r="860" spans="1:125">
      <c r="A860"/>
      <c r="B860"/>
      <c r="C860"/>
      <c r="D860"/>
      <c r="E860"/>
      <c r="G860"/>
      <c r="K860"/>
      <c r="V860"/>
      <c r="AC860"/>
      <c r="AI860"/>
      <c r="AJ860"/>
      <c r="AK860"/>
      <c r="AL860"/>
      <c r="AM860"/>
      <c r="AP860"/>
      <c r="AQ860"/>
      <c r="AR860"/>
      <c r="AS860" s="180"/>
      <c r="AT860"/>
      <c r="AU860"/>
      <c r="AV860"/>
      <c r="AW860"/>
      <c r="AX860"/>
      <c r="AY860"/>
      <c r="AZ860"/>
      <c r="BA860"/>
      <c r="BB860"/>
      <c r="BC860"/>
      <c r="BD860"/>
      <c r="BE860"/>
      <c r="BJ860"/>
      <c r="BK860"/>
      <c r="BL860"/>
      <c r="BP860"/>
      <c r="BQ860"/>
      <c r="BR860"/>
      <c r="CD860"/>
      <c r="CE860"/>
      <c r="CF860"/>
      <c r="CQ860"/>
      <c r="CR860"/>
      <c r="CS860"/>
      <c r="DQ860"/>
      <c r="DR860"/>
      <c r="DS860"/>
      <c r="DT860"/>
      <c r="DU860"/>
    </row>
    <row r="861" spans="1:125">
      <c r="A861"/>
      <c r="B861"/>
      <c r="C861"/>
      <c r="D861"/>
      <c r="E861"/>
      <c r="G861"/>
      <c r="K861"/>
      <c r="V861"/>
      <c r="AC861"/>
      <c r="AI861"/>
      <c r="AJ861"/>
      <c r="AK861"/>
      <c r="AL861"/>
      <c r="AM861"/>
      <c r="AP861"/>
      <c r="AQ861"/>
      <c r="AR861"/>
      <c r="AS861" s="180"/>
      <c r="AT861"/>
      <c r="AU861"/>
      <c r="AV861"/>
      <c r="AW861"/>
      <c r="AX861"/>
      <c r="AY861"/>
      <c r="AZ861"/>
      <c r="BA861"/>
      <c r="BB861"/>
      <c r="BC861"/>
      <c r="BD861"/>
      <c r="BE861"/>
      <c r="BJ861"/>
      <c r="BK861"/>
      <c r="BL861"/>
      <c r="BP861"/>
      <c r="BQ861"/>
      <c r="BR861"/>
      <c r="CD861"/>
      <c r="CE861"/>
      <c r="CF861"/>
      <c r="CQ861"/>
      <c r="CR861"/>
      <c r="CS861"/>
      <c r="DQ861"/>
      <c r="DR861"/>
      <c r="DS861"/>
      <c r="DT861"/>
      <c r="DU861"/>
    </row>
    <row r="862" spans="1:125">
      <c r="A862"/>
      <c r="B862"/>
      <c r="C862"/>
      <c r="D862"/>
      <c r="E862"/>
      <c r="G862"/>
      <c r="K862"/>
      <c r="V862"/>
      <c r="AC862"/>
      <c r="AI862"/>
      <c r="AJ862"/>
      <c r="AK862"/>
      <c r="AL862"/>
      <c r="AM862"/>
      <c r="AP862"/>
      <c r="AQ862"/>
      <c r="AR862"/>
      <c r="AS862" s="180"/>
      <c r="AT862"/>
      <c r="AU862"/>
      <c r="AV862"/>
      <c r="AW862"/>
      <c r="AX862"/>
      <c r="AY862"/>
      <c r="AZ862"/>
      <c r="BA862"/>
      <c r="BB862"/>
      <c r="BC862"/>
      <c r="BD862"/>
      <c r="BE862"/>
      <c r="BJ862"/>
      <c r="BK862"/>
      <c r="BL862"/>
      <c r="BP862"/>
      <c r="BQ862"/>
      <c r="BR862"/>
      <c r="CD862"/>
      <c r="CE862"/>
      <c r="CF862"/>
      <c r="CQ862"/>
      <c r="CR862"/>
      <c r="CS862"/>
      <c r="DQ862"/>
      <c r="DR862"/>
      <c r="DS862"/>
      <c r="DT862"/>
      <c r="DU862"/>
    </row>
    <row r="863" spans="1:125">
      <c r="A863"/>
      <c r="B863"/>
      <c r="C863"/>
      <c r="D863"/>
      <c r="E863"/>
      <c r="G863"/>
      <c r="K863"/>
      <c r="V863"/>
      <c r="AC863"/>
      <c r="AI863"/>
      <c r="AJ863"/>
      <c r="AK863"/>
      <c r="AL863"/>
      <c r="AM863"/>
      <c r="AP863"/>
      <c r="AQ863"/>
      <c r="AR863"/>
      <c r="AS863" s="180"/>
      <c r="AT863"/>
      <c r="AU863"/>
      <c r="AV863"/>
      <c r="AW863"/>
      <c r="AX863"/>
      <c r="AY863"/>
      <c r="AZ863"/>
      <c r="BA863"/>
      <c r="BB863"/>
      <c r="BC863"/>
      <c r="BD863"/>
      <c r="BE863"/>
      <c r="BJ863"/>
      <c r="BK863"/>
      <c r="BL863"/>
      <c r="BP863"/>
      <c r="BQ863"/>
      <c r="BR863"/>
      <c r="CD863"/>
      <c r="CE863"/>
      <c r="CF863"/>
      <c r="CQ863"/>
      <c r="CR863"/>
      <c r="CS863"/>
      <c r="DQ863"/>
      <c r="DR863"/>
      <c r="DS863"/>
      <c r="DT863"/>
      <c r="DU863"/>
    </row>
    <row r="864" spans="1:125">
      <c r="A864"/>
      <c r="B864"/>
      <c r="C864"/>
      <c r="D864"/>
      <c r="E864"/>
      <c r="G864"/>
      <c r="K864"/>
      <c r="V864"/>
      <c r="AC864"/>
      <c r="AI864"/>
      <c r="AJ864"/>
      <c r="AK864"/>
      <c r="AL864"/>
      <c r="AM864"/>
      <c r="AP864"/>
      <c r="AQ864"/>
      <c r="AR864"/>
      <c r="AS864" s="180"/>
      <c r="AT864"/>
      <c r="AU864"/>
      <c r="AV864"/>
      <c r="AW864"/>
      <c r="AX864"/>
      <c r="AY864"/>
      <c r="AZ864"/>
      <c r="BA864"/>
      <c r="BB864"/>
      <c r="BC864"/>
      <c r="BD864"/>
      <c r="BE864"/>
      <c r="BJ864"/>
      <c r="BK864"/>
      <c r="BL864"/>
      <c r="BP864"/>
      <c r="BQ864"/>
      <c r="BR864"/>
      <c r="CD864"/>
      <c r="CE864"/>
      <c r="CF864"/>
      <c r="CQ864"/>
      <c r="CR864"/>
      <c r="CS864"/>
      <c r="DQ864"/>
      <c r="DR864"/>
      <c r="DS864"/>
      <c r="DT864"/>
      <c r="DU864"/>
    </row>
    <row r="865" spans="1:125">
      <c r="A865"/>
      <c r="B865"/>
      <c r="C865"/>
      <c r="D865"/>
      <c r="E865"/>
      <c r="G865"/>
      <c r="K865"/>
      <c r="V865"/>
      <c r="AC865"/>
      <c r="AI865"/>
      <c r="AJ865"/>
      <c r="AK865"/>
      <c r="AL865"/>
      <c r="AM865"/>
      <c r="AP865"/>
      <c r="AQ865"/>
      <c r="AR865"/>
      <c r="AS865" s="180"/>
      <c r="AT865"/>
      <c r="AU865"/>
      <c r="AV865"/>
      <c r="AW865"/>
      <c r="AX865"/>
      <c r="AY865"/>
      <c r="AZ865"/>
      <c r="BA865"/>
      <c r="BB865"/>
      <c r="BC865"/>
      <c r="BD865"/>
      <c r="BE865"/>
      <c r="BJ865"/>
      <c r="BK865"/>
      <c r="BL865"/>
      <c r="BP865"/>
      <c r="BQ865"/>
      <c r="BR865"/>
      <c r="CD865"/>
      <c r="CE865"/>
      <c r="CF865"/>
      <c r="CQ865"/>
      <c r="CR865"/>
      <c r="CS865"/>
      <c r="DQ865"/>
      <c r="DR865"/>
      <c r="DS865"/>
      <c r="DT865"/>
      <c r="DU865"/>
    </row>
    <row r="866" spans="1:125">
      <c r="A866"/>
      <c r="B866"/>
      <c r="C866"/>
      <c r="D866"/>
      <c r="E866"/>
      <c r="G866"/>
      <c r="K866"/>
      <c r="V866"/>
      <c r="AC866"/>
      <c r="AI866"/>
      <c r="AJ866"/>
      <c r="AK866"/>
      <c r="AL866"/>
      <c r="AM866"/>
      <c r="AP866"/>
      <c r="AQ866"/>
      <c r="AR866"/>
      <c r="AS866" s="180"/>
      <c r="AT866"/>
      <c r="AU866"/>
      <c r="AV866"/>
      <c r="AW866"/>
      <c r="AX866"/>
      <c r="AY866"/>
      <c r="AZ866"/>
      <c r="BA866"/>
      <c r="BB866"/>
      <c r="BC866"/>
      <c r="BD866"/>
      <c r="BE866"/>
      <c r="BJ866"/>
      <c r="BK866"/>
      <c r="BL866"/>
      <c r="BP866"/>
      <c r="BQ866"/>
      <c r="BR866"/>
      <c r="CD866"/>
      <c r="CE866"/>
      <c r="CF866"/>
      <c r="CQ866"/>
      <c r="CR866"/>
      <c r="CS866"/>
      <c r="DQ866"/>
      <c r="DR866"/>
      <c r="DS866"/>
      <c r="DT866"/>
      <c r="DU866"/>
    </row>
    <row r="867" spans="1:125">
      <c r="A867"/>
      <c r="B867"/>
      <c r="C867"/>
      <c r="D867"/>
      <c r="E867"/>
      <c r="G867"/>
      <c r="K867"/>
      <c r="V867"/>
      <c r="AC867"/>
      <c r="AI867"/>
      <c r="AJ867"/>
      <c r="AK867"/>
      <c r="AL867"/>
      <c r="AM867"/>
      <c r="AP867"/>
      <c r="AQ867"/>
      <c r="AR867"/>
      <c r="AS867" s="180"/>
      <c r="AT867"/>
      <c r="AU867"/>
      <c r="AV867"/>
      <c r="AW867"/>
      <c r="AX867"/>
      <c r="AY867"/>
      <c r="AZ867"/>
      <c r="BA867"/>
      <c r="BB867"/>
      <c r="BC867"/>
      <c r="BD867"/>
      <c r="BE867"/>
      <c r="BJ867"/>
      <c r="BK867"/>
      <c r="BL867"/>
      <c r="BP867"/>
      <c r="BQ867"/>
      <c r="BR867"/>
      <c r="CD867"/>
      <c r="CE867"/>
      <c r="CF867"/>
      <c r="CQ867"/>
      <c r="CR867"/>
      <c r="CS867"/>
      <c r="DQ867"/>
      <c r="DR867"/>
      <c r="DS867"/>
      <c r="DT867"/>
      <c r="DU867"/>
    </row>
    <row r="868" spans="1:125"/>
    <row r="869" spans="1:125"/>
    <row r="870" spans="1:125"/>
    <row r="871" spans="1:125"/>
    <row r="872" spans="1:125"/>
    <row r="873" spans="1:125"/>
    <row r="874" spans="1:125"/>
    <row r="875" spans="1:125"/>
    <row r="876" spans="1:125"/>
    <row r="877" spans="1:125"/>
    <row r="878" spans="1:125"/>
    <row r="879" spans="1:125"/>
    <row r="880" spans="1:125"/>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sheetData>
  <sheetProtection algorithmName="SHA-512" hashValue="lQoOSxP+Xw16KUavABZEOjgsN61yivK7hywhc3+IdMe86qUZJdrZHF0cTQGtTujNSugYwuO/U0+civmC/7gTrQ==" saltValue="3zxkfCm3BntszA+shgJHmw==" spinCount="100000" sheet="1" objects="1" scenarios="1"/>
  <hyperlinks>
    <hyperlink ref="A3" location="'M03-S02'!A1" display="'M03-S02'!A1" xr:uid="{A8305E27-1129-4141-A0E3-4EE71F9D9795}"/>
    <hyperlink ref="A34" location="'M03-S03'!A1" display="'M03-S03'!A1" xr:uid="{F4CEE002-2D5B-49CB-8945-FA5BD6B02642}"/>
    <hyperlink ref="A50" location="'M03-S04'!A1" display="'M03-S04'!A1" xr:uid="{9ECB5328-9BDB-43CE-B9D7-856A638BCD30}"/>
    <hyperlink ref="A66" location="'M03-S05'!A1" display="'M03-S05'!A1" xr:uid="{1C6C1C41-6411-49EA-ABA7-4F39C3644221}"/>
    <hyperlink ref="A102" location="'M03-S06'!A1" display="'M03-S06'!A1" xr:uid="{384B9B0B-B7A2-46BD-A6B1-2598700BEBB6}"/>
    <hyperlink ref="A118" location="'M03-S07'!A1" display="'M03-S07'!A1" xr:uid="{E0C6D4BA-C076-41E9-9492-113440BE62F2}"/>
    <hyperlink ref="A134" location="'M03-S08'!A1" display="'M03-S08'!A1" xr:uid="{2847CA4D-CDFA-4CF2-BE88-6650566B4311}"/>
    <hyperlink ref="A150" location="'M04-S02'!A1" display="'M04-S02'!A1" xr:uid="{2CBB8A1D-5937-4363-99FF-1E18C7879B72}"/>
    <hyperlink ref="A181" location="'M04-S03'!A1" display="'M04-S03'!A1" xr:uid="{9974DEC0-7D40-4E60-80CA-B94B88752D0F}"/>
    <hyperlink ref="A197" location="'M04-S04'!A1" display="'M04-S04'!A1" xr:uid="{D7FC858A-BC8D-4299-813B-4FE1E889B16C}"/>
    <hyperlink ref="A213" location="'M04-S05'!A1" display="'M04-S05'!A1" xr:uid="{F0173D88-9438-4BAE-9117-2C9FD253DDB0}"/>
    <hyperlink ref="A229" location="'M04-S06'!A1" display="'M04-S06'!A1" xr:uid="{DEC352C7-DD30-4B26-8900-6ACAC8F6A8C7}"/>
    <hyperlink ref="A245" location="'M04-S07'!A1" display="'M04-S07'!A1" xr:uid="{1A059226-98CE-4F9A-B037-DAE4AB8D2001}"/>
    <hyperlink ref="A277" location="'M04-S09'!A1" display="'M04-S09'!A1" xr:uid="{521F4C8E-70DB-4D12-B58D-4548A83D3169}"/>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2B438-2CAC-41AA-86A3-35BAB28DE6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6183eef-e5b6-4449-b443-53ec3f5c91f4"/>
    <ds:schemaRef ds:uri="http://www.w3.org/XML/1998/namespace"/>
    <ds:schemaRef ds:uri="http://purl.org/dc/dcmitype/"/>
  </ds:schemaRefs>
</ds:datastoreItem>
</file>

<file path=customXml/itemProps2.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3FAEBE-E07F-4BA5-B41F-5529F479EA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373</vt:i4>
      </vt:variant>
    </vt:vector>
  </HeadingPairs>
  <TitlesOfParts>
    <vt:vector size="412" baseType="lpstr">
      <vt:lpstr>Changelog</vt:lpstr>
      <vt:lpstr>DATA TABLES</vt:lpstr>
      <vt:lpstr>TEMPLATE</vt:lpstr>
      <vt:lpstr>MEASURES1_M</vt:lpstr>
      <vt:lpstr>MEASURES2_M</vt:lpstr>
      <vt:lpstr>MEASURES3_M</vt:lpstr>
      <vt:lpstr>CBDATA</vt:lpstr>
      <vt:lpstr>LPD Tables</vt:lpstr>
      <vt:lpstr>EXPORT</vt:lpstr>
      <vt:lpstr>M01-S01</vt:lpstr>
      <vt:lpstr>M01-S02</vt:lpstr>
      <vt:lpstr>M01-S03</vt:lpstr>
      <vt:lpstr>M02-S01</vt:lpstr>
      <vt:lpstr>M02-S02</vt:lpstr>
      <vt:lpstr>M02-S03</vt:lpstr>
      <vt:lpstr>M02-S04</vt:lpstr>
      <vt:lpstr>M03-S01</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M05-S01</vt:lpstr>
      <vt:lpstr>M05-S02</vt:lpstr>
      <vt:lpstr>M05-S02-1</vt:lpstr>
      <vt:lpstr>M05-S03</vt:lpstr>
      <vt:lpstr>M05-S04</vt:lpstr>
      <vt:lpstr>M05-S05</vt:lpstr>
      <vt:lpstr>M05-S07</vt:lpstr>
      <vt:lpstr>ACTIVEBLOCK</vt:lpstr>
      <vt:lpstr>ACTIVECOMPL</vt:lpstr>
      <vt:lpstr>ACTIVEOFFER</vt:lpstr>
      <vt:lpstr>APP_TYPE</vt:lpstr>
      <vt:lpstr>BLOCKBIDRATE</vt:lpstr>
      <vt:lpstr>BONUSCUSRATE</vt:lpstr>
      <vt:lpstr>BUILDING</vt:lpstr>
      <vt:lpstr>BUSDEVELNAME</vt:lpstr>
      <vt:lpstr>CBALL</vt:lpstr>
      <vt:lpstr>CBCUSE</vt:lpstr>
      <vt:lpstr>CBPRESE</vt:lpstr>
      <vt:lpstr>CBREQ</vt:lpstr>
      <vt:lpstr>CITIES</vt:lpstr>
      <vt:lpstr>CMELIGHTACTUALW</vt:lpstr>
      <vt:lpstr>CMELIGHTBASE1</vt:lpstr>
      <vt:lpstr>CMELIGHTBASEW</vt:lpstr>
      <vt:lpstr>'M03-S01'!CMELIGHTEFF1</vt:lpstr>
      <vt:lpstr>'M04-S08'!CMELIGHTEFF1</vt:lpstr>
      <vt:lpstr>'M04-S09'!CMELIGHTEFF1</vt:lpstr>
      <vt:lpstr>CMELIGHTEFF1</vt:lpstr>
      <vt:lpstr>'M03-S01'!CMELIGHTEFFBASEW</vt:lpstr>
      <vt:lpstr>'M04-S08'!CMELIGHTEFFBASEW</vt:lpstr>
      <vt:lpstr>'M04-S09'!CMELIGHTEFFBASEW</vt:lpstr>
      <vt:lpstr>CMELIGHTEFFBASEW</vt:lpstr>
      <vt:lpstr>CMEMISC2DESC</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ELOSS</vt:lpstr>
      <vt:lpstr>'M04-S08'!ENDUSECAT</vt:lpstr>
      <vt:lpstr>'M04-S09'!ENDUSECAT</vt:lpstr>
      <vt:lpstr>ENDUSECAT</vt:lpstr>
      <vt:lpstr>ENERGYCODESLIST</vt:lpstr>
      <vt:lpstr>ENERGYMODELLIST</vt:lpstr>
      <vt:lpstr>ENGCALC</vt:lpstr>
      <vt:lpstr>ENGDATE</vt:lpstr>
      <vt:lpstr>'M04-S08'!ENGNRSNAMES</vt:lpstr>
      <vt:lpstr>'M04-S09'!ENGNRSNAMES</vt:lpstr>
      <vt:lpstr>ENGNRSNAMES</vt:lpstr>
      <vt:lpstr>ENGSIGN</vt:lpstr>
      <vt:lpstr>EXPIRATION</vt:lpstr>
      <vt:lpstr>EXPIRATION_DATE</vt:lpstr>
      <vt:lpstr>FOOT1</vt:lpstr>
      <vt:lpstr>FOOT2</vt:lpstr>
      <vt:lpstr>FOOT3</vt:lpstr>
      <vt:lpstr>FOOT4</vt:lpstr>
      <vt:lpstr>FOOT5</vt:lpstr>
      <vt:lpstr>FOOT6</vt:lpstr>
      <vt:lpstr>FOOTDISCLAIM</vt:lpstr>
      <vt:lpstr>FOOTDISCLAIM_N</vt:lpstr>
      <vt:lpstr>FOOTDISCLAIM_X</vt:lpstr>
      <vt:lpstr>GDR</vt:lpstr>
      <vt:lpstr>GLOSS</vt:lpstr>
      <vt:lpstr>'M04-S08'!IMPLSPECNAME</vt:lpstr>
      <vt:lpstr>'M04-S09'!IMPLSPECNAME</vt:lpstr>
      <vt:lpstr>IMPLSPECNAME</vt:lpstr>
      <vt:lpstr>INCCOSTCAP</vt:lpstr>
      <vt:lpstr>INCENSTATUS</vt:lpstr>
      <vt:lpstr>INCENTOTAL</vt:lpstr>
      <vt:lpstr>INCENTOTALCUSE</vt:lpstr>
      <vt:lpstr>INCENTOTALPRESE</vt:lpstr>
      <vt:lpstr>INCENTTYPE_LIST</vt:lpstr>
      <vt:lpstr>'M04-S08'!INSTALL</vt:lpstr>
      <vt:lpstr>'M04-S09'!INSTALL</vt:lpstr>
      <vt:lpstr>INSTALL</vt:lpstr>
      <vt:lpstr>'M04-S08'!INSTALLERLIST</vt:lpstr>
      <vt:lpstr>'M04-S09'!INSTALLERLIST</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LOCATIONTYPELIST</vt:lpstr>
      <vt:lpstr>LPDSPACELIST</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M4S9</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'M04-S08'!PAYMENTLIST</vt:lpstr>
      <vt:lpstr>'M04-S09'!PAYMENTLIST</vt:lpstr>
      <vt:lpstr>PAYMENTLIST</vt:lpstr>
      <vt:lpstr>PAYMENTLIST_N</vt:lpstr>
      <vt:lpstr>Paymentlist_x</vt:lpstr>
      <vt:lpstr>PAYPRESE</vt:lpstr>
      <vt:lpstr>'M04-S08'!PAYTO</vt:lpstr>
      <vt:lpstr>'M04-S09'!PAYTO</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'M05-S01'!Print_Area</vt:lpstr>
      <vt:lpstr>'M05-S02'!Print_Area</vt:lpstr>
      <vt:lpstr>'M05-S02-1'!Print_Area</vt:lpstr>
      <vt:lpstr>'M05-S03'!Print_Area</vt:lpstr>
      <vt:lpstr>'M05-S04'!Print_Area</vt:lpstr>
      <vt:lpstr>'M05-S05'!Print_Area</vt:lpstr>
      <vt:lpstr>'M05-S07'!Print_Area</vt:lpstr>
      <vt:lpstr>'M04-S08'!PROGRAM</vt:lpstr>
      <vt:lpstr>'M04-S09'!PROGRAM</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SPACELPD1</vt:lpstr>
      <vt:lpstr>SPACELPD2</vt:lpstr>
      <vt:lpstr>SPACELPD3</vt:lpstr>
      <vt:lpstr>SPACELPD4</vt:lpstr>
      <vt:lpstr>SPACELPD5</vt:lpstr>
      <vt:lpstr>SPACELPD6</vt:lpstr>
      <vt:lpstr>SPILLOVERNUMBER</vt:lpstr>
      <vt:lpstr>SPOpts_X</vt:lpstr>
      <vt:lpstr>STATESABBREV</vt:lpstr>
      <vt:lpstr>STDCOMPRESSLIST</vt:lpstr>
      <vt:lpstr>STDHVACEFFMIN</vt:lpstr>
      <vt:lpstr>STDHVACEFFMIN2</vt:lpstr>
      <vt:lpstr>STDHVACLIST</vt:lpstr>
      <vt:lpstr>STDHVACMEASURES</vt:lpstr>
      <vt:lpstr>STDHVACTONMAX</vt:lpstr>
      <vt:lpstr>STDHVACTONMIN</vt:lpstr>
      <vt:lpstr>STDLIGHTBASEMAX</vt:lpstr>
      <vt:lpstr>STDLIGHTBASEMIN</vt:lpstr>
      <vt:lpstr>STDLIGHTCATLIST</vt:lpstr>
      <vt:lpstr>'M04-S08'!STDLIGHTCONTLIST</vt:lpstr>
      <vt:lpstr>'M04-S09'!STDLIGHTCONTLIST</vt:lpstr>
      <vt:lpstr>STDLIGHTCONTLIST</vt:lpstr>
      <vt:lpstr>STDLIGHTEFFMAX</vt:lpstr>
      <vt:lpstr>STDLIGHTEFFMIN</vt:lpstr>
      <vt:lpstr>STDLIGHTINEFCAT2DROP</vt:lpstr>
      <vt:lpstr>STDLIGHTINEFCAT2NAME</vt:lpstr>
      <vt:lpstr>STDLIGHTINEFCAT2W</vt:lpstr>
      <vt:lpstr>STDLIGHTMEASURES</vt:lpstr>
      <vt:lpstr>STDMOTORSLIST</vt:lpstr>
      <vt:lpstr>STDREFRIGLIST</vt:lpstr>
      <vt:lpstr>STDWATERLIST</vt:lpstr>
      <vt:lpstr>'M04-S08'!TAXLIST</vt:lpstr>
      <vt:lpstr>'M04-S09'!TAXLIST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Johns, Kally</cp:lastModifiedBy>
  <cp:lastPrinted>2020-06-04T17:35:08Z</cp:lastPrinted>
  <dcterms:created xsi:type="dcterms:W3CDTF">2015-10-07T20:52:11Z</dcterms:created>
  <dcterms:modified xsi:type="dcterms:W3CDTF">2020-10-27T15:00:03Z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